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fileSharing readOnlyRecommended="1"/>
  <workbookPr codeName="EstaPastaDeTrabalho" defaultThemeVersion="124226"/>
  <mc:AlternateContent xmlns:mc="http://schemas.openxmlformats.org/markup-compatibility/2006">
    <mc:Choice Requires="x15">
      <x15ac:absPath xmlns:x15ac="http://schemas.microsoft.com/office/spreadsheetml/2010/11/ac" url="C:\Pedro\TCC\scrap_info_financeira_bovespa\RIS\"/>
    </mc:Choice>
  </mc:AlternateContent>
  <xr:revisionPtr revIDLastSave="0" documentId="8_{7CF8051B-7DD8-4DBE-ABC0-CBD146B00564}" xr6:coauthVersionLast="46" xr6:coauthVersionMax="46" xr10:uidLastSave="{00000000-0000-0000-0000-000000000000}"/>
  <bookViews>
    <workbookView xWindow="-120" yWindow="-120" windowWidth="20640" windowHeight="11160" tabRatio="860" activeTab="2" xr2:uid="{00000000-000D-0000-FFFF-FFFF00000000}"/>
  </bookViews>
  <sheets>
    <sheet name="Capa | Cover" sheetId="13" r:id="rId1"/>
    <sheet name="Balanço | BalSheet" sheetId="17" r:id="rId2"/>
    <sheet name="DRE | IncS" sheetId="16" r:id="rId3"/>
    <sheet name="Prod. Fin. | Financial Products" sheetId="21" r:id="rId4"/>
    <sheet name="Recebíveis | Receivables" sheetId="15" r:id="rId5"/>
    <sheet name="Dados Operac. | Operating Data" sheetId="4" r:id="rId6"/>
    <sheet name="Lista de Lojas | Stores List " sheetId="23" r:id="rId7"/>
    <sheet name="Dividendos | Dividends" sheetId="5" r:id="rId8"/>
    <sheet name="IFRS 16" sheetId="24" state="hidden" r:id="rId9"/>
    <sheet name="Plan1" sheetId="19" state="hidden" r:id="rId10"/>
  </sheets>
  <externalReferences>
    <externalReference r:id="rId11"/>
    <externalReference r:id="rId12"/>
    <externalReference r:id="rId13"/>
    <externalReference r:id="rId14"/>
    <externalReference r:id="rId15"/>
  </externalReferences>
  <definedNames>
    <definedName name="_xlnm._FilterDatabase" localSheetId="1" hidden="1">'Balanço | BalSheet'!$B$5:$DX$67</definedName>
    <definedName name="_xlnm._FilterDatabase" localSheetId="6" hidden="1">'Lista de Lojas | Stores List '!$B$4:$L$612</definedName>
    <definedName name="aaaa" localSheetId="6">#REF!</definedName>
    <definedName name="aaaa" localSheetId="4">#REF!</definedName>
    <definedName name="aaaa">#REF!</definedName>
    <definedName name="ANO_BASE" localSheetId="1">#REF!</definedName>
    <definedName name="ANO_BASE" localSheetId="5">#REF!</definedName>
    <definedName name="ANO_BASE" localSheetId="7">#REF!</definedName>
    <definedName name="ANO_BASE" localSheetId="2">#REF!</definedName>
    <definedName name="ANO_BASE" localSheetId="6">#REF!</definedName>
    <definedName name="ANO_BASE" localSheetId="4">#REF!</definedName>
    <definedName name="ANO_BASE">#REF!</definedName>
    <definedName name="CÓD." localSheetId="1">#REF!</definedName>
    <definedName name="CÓD." localSheetId="5">#REF!</definedName>
    <definedName name="CÓD." localSheetId="7">#REF!</definedName>
    <definedName name="CÓD." localSheetId="2">#REF!</definedName>
    <definedName name="CÓD." localSheetId="6">#REF!</definedName>
    <definedName name="CÓD." localSheetId="4">#REF!</definedName>
    <definedName name="CÓD.">#REF!</definedName>
    <definedName name="gjkfu" localSheetId="6">#REF!</definedName>
    <definedName name="gjkfu">#REF!</definedName>
    <definedName name="JUROS" localSheetId="1">#REF!</definedName>
    <definedName name="JUROS" localSheetId="5">#REF!</definedName>
    <definedName name="JUROS" localSheetId="7">#REF!</definedName>
    <definedName name="JUROS" localSheetId="2">#REF!</definedName>
    <definedName name="JUROS" localSheetId="6">#REF!</definedName>
    <definedName name="JUROS" localSheetId="4">#REF!</definedName>
    <definedName name="JUROS">#REF!</definedName>
    <definedName name="lalala" localSheetId="1">[1]DADOS!$E$7</definedName>
    <definedName name="lalala" localSheetId="5">[1]DADOS!$E$7</definedName>
    <definedName name="lalala" localSheetId="7">[1]DADOS!$E$7</definedName>
    <definedName name="lalala" localSheetId="2">[1]DADOS!$E$7</definedName>
    <definedName name="lalala" localSheetId="6">[1]DADOS!$E$7</definedName>
    <definedName name="lalala" localSheetId="4">[1]DADOS!$E$7</definedName>
    <definedName name="lalala">[2]DADOS!$E$7</definedName>
    <definedName name="MULTA" localSheetId="1">#REF!</definedName>
    <definedName name="MULTA" localSheetId="5">#REF!</definedName>
    <definedName name="MULTA" localSheetId="7">#REF!</definedName>
    <definedName name="MULTA" localSheetId="2">#REF!</definedName>
    <definedName name="MULTA" localSheetId="6">#REF!</definedName>
    <definedName name="MULTA" localSheetId="4">#REF!</definedName>
    <definedName name="MULTA">#REF!</definedName>
    <definedName name="operat">'Dados Operac. | Operating Data'!$B$2</definedName>
    <definedName name="_xlnm.Print_Area" localSheetId="1">'Balanço | BalSheet'!$B$4:$FE$67</definedName>
    <definedName name="_xlnm.Print_Area" localSheetId="0">'Capa | Cover'!$B$2:$L$25</definedName>
    <definedName name="_xlnm.Print_Area" localSheetId="5">'Dados Operac. | Operating Data'!$B$3:$CT$64</definedName>
    <definedName name="_xlnm.Print_Area" localSheetId="7">'Dividendos | Dividends'!$B$3:$H$87</definedName>
    <definedName name="_xlnm.Print_Area" localSheetId="2">'DRE | IncS'!$B$2:$JR$42</definedName>
    <definedName name="_xlnm.Print_Area" localSheetId="6">'Lista de Lojas | Stores List '!$C$618:$G$661</definedName>
    <definedName name="_xlnm.Print_Area" localSheetId="3">'Prod. Fin. | Financial Products'!$B$2:$IJ$36</definedName>
    <definedName name="_xlnm.Print_Area" localSheetId="4">'Recebíveis | Receivables'!$B$3:$FI$50</definedName>
    <definedName name="_xlnm.Print_Titles" localSheetId="1">'Balanço | BalSheet'!$B:$B</definedName>
    <definedName name="_xlnm.Print_Titles" localSheetId="5">'Dados Operac. | Operating Data'!$B:$B</definedName>
    <definedName name="_xlnm.Print_Titles" localSheetId="2">'DRE | IncS'!$B:$B</definedName>
    <definedName name="_xlnm.Print_Titles" localSheetId="4">'Recebíveis | Receivables'!$B:$B</definedName>
    <definedName name="Rec" localSheetId="6">#REF!</definedName>
    <definedName name="Rec">#REF!</definedName>
    <definedName name="sasasa" localSheetId="1">[3]Resultado!$A$1:$K$56</definedName>
    <definedName name="sasasa" localSheetId="5">[3]Resultado!$A$1:$K$56</definedName>
    <definedName name="sasasa" localSheetId="7">[3]Resultado!$A$1:$K$56</definedName>
    <definedName name="sasasa" localSheetId="2">[3]Resultado!$A$1:$K$56</definedName>
    <definedName name="sasasa" localSheetId="6">[3]Resultado!$A$1:$K$56</definedName>
    <definedName name="sasasa" localSheetId="4">[3]Resultado!$A$1:$K$56</definedName>
    <definedName name="sasasa">[4]Resultado!$A$1:$K$56</definedName>
    <definedName name="Vendas2000" localSheetId="1">[5]VENDAS!#REF!</definedName>
    <definedName name="Vendas2000" localSheetId="5">[5]VENDAS!#REF!</definedName>
    <definedName name="Vendas2000" localSheetId="7">[5]VENDAS!#REF!</definedName>
    <definedName name="Vendas2000" localSheetId="2">[5]VENDAS!#REF!</definedName>
    <definedName name="Vendas2000" localSheetId="6">[5]VENDAS!#REF!</definedName>
    <definedName name="Vendas2000" localSheetId="4">[5]VENDAS!#REF!</definedName>
    <definedName name="Vendas2000">[5]VENDAS!#REF!</definedName>
    <definedName name="vendas2002" localSheetId="1">[5]VENDAS!#REF!</definedName>
    <definedName name="vendas2002" localSheetId="5">[5]VENDAS!#REF!</definedName>
    <definedName name="vendas2002" localSheetId="7">[5]VENDAS!#REF!</definedName>
    <definedName name="vendas2002" localSheetId="2">[5]VENDAS!#REF!</definedName>
    <definedName name="vendas2002" localSheetId="6">[5]VENDAS!#REF!</definedName>
    <definedName name="vendas2002" localSheetId="4">[5]VENDAS!#REF!</definedName>
    <definedName name="vendas2002">[5]VENDAS!#REF!</definedName>
    <definedName name="vfcjhfg" localSheetId="6">[5]VENDAS!#REF!</definedName>
    <definedName name="vfcjhfg">[5]VENDAS!#REF!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5" i="23" l="1"/>
  <c r="K5" i="23"/>
  <c r="DA16" i="4" l="1"/>
  <c r="DA14" i="4"/>
  <c r="DD10" i="4" l="1"/>
  <c r="DJ58" i="4" l="1"/>
  <c r="DK55" i="4"/>
  <c r="DK51" i="4"/>
  <c r="DK50" i="4"/>
  <c r="DJ47" i="4"/>
  <c r="DJ45" i="4"/>
  <c r="DK44" i="4"/>
  <c r="DK40" i="4"/>
  <c r="DK39" i="4"/>
  <c r="DJ36" i="4"/>
  <c r="DJ34" i="4"/>
  <c r="DK33" i="4"/>
  <c r="DK31" i="4"/>
  <c r="DK30" i="4"/>
  <c r="DJ30" i="4"/>
  <c r="DJ39" i="4" s="1"/>
  <c r="DJ50" i="4" s="1"/>
  <c r="DJ19" i="4"/>
  <c r="DK19" i="4"/>
  <c r="DK17" i="4"/>
  <c r="DK10" i="4"/>
  <c r="DJ4" i="4"/>
  <c r="DK4" i="4" l="1"/>
  <c r="DK56" i="4"/>
  <c r="DJ8" i="4"/>
  <c r="DJ56" i="4"/>
  <c r="DK45" i="4"/>
  <c r="DK8" i="4"/>
  <c r="DK34" i="4"/>
  <c r="GM34" i="15" l="1"/>
  <c r="GM33" i="15"/>
  <c r="GK32" i="15"/>
  <c r="GK31" i="15"/>
  <c r="GL31" i="15" s="1"/>
  <c r="GM28" i="15"/>
  <c r="GM26" i="15"/>
  <c r="GM25" i="15"/>
  <c r="GM24" i="15"/>
  <c r="GK23" i="15"/>
  <c r="GM18" i="15"/>
  <c r="GM17" i="15"/>
  <c r="GM16" i="15"/>
  <c r="GM15" i="15"/>
  <c r="GM12" i="15"/>
  <c r="GM11" i="15"/>
  <c r="GM10" i="15"/>
  <c r="GM9" i="15"/>
  <c r="GK8" i="15"/>
  <c r="GL33" i="15" l="1"/>
  <c r="GM13" i="15"/>
  <c r="GL32" i="15"/>
  <c r="GL34" i="15"/>
  <c r="DJ11" i="4" l="1"/>
  <c r="GI56" i="17" l="1"/>
  <c r="GI60" i="17"/>
  <c r="GI67" i="17"/>
  <c r="GI66" i="17"/>
  <c r="GI65" i="17"/>
  <c r="GI63" i="17"/>
  <c r="GI62" i="17"/>
  <c r="GI48" i="17"/>
  <c r="GI47" i="17"/>
  <c r="GI49" i="17"/>
  <c r="GI41" i="17"/>
  <c r="GI24" i="17"/>
  <c r="GI40" i="17"/>
  <c r="GI64" i="17"/>
  <c r="GI53" i="17"/>
  <c r="GI52" i="17"/>
  <c r="GI51" i="17"/>
  <c r="GI35" i="17"/>
  <c r="GI34" i="17"/>
  <c r="GI33" i="17"/>
  <c r="GI29" i="17"/>
  <c r="GI28" i="17"/>
  <c r="GI27" i="17"/>
  <c r="GI20" i="17"/>
  <c r="GI16" i="17"/>
  <c r="GI15" i="17"/>
  <c r="GI14" i="17"/>
  <c r="GI11" i="17"/>
  <c r="GI9" i="17"/>
  <c r="GI8" i="17"/>
  <c r="GI46" i="17"/>
  <c r="GI45" i="17"/>
  <c r="GI13" i="17"/>
  <c r="GI55" i="17"/>
  <c r="GI44" i="17"/>
  <c r="GI43" i="17"/>
  <c r="GI42" i="17"/>
  <c r="GI39" i="17"/>
  <c r="GI26" i="17"/>
  <c r="GI23" i="17"/>
  <c r="GI21" i="17"/>
  <c r="GI19" i="17"/>
  <c r="GI17" i="17"/>
  <c r="GI10" i="17"/>
  <c r="GG38" i="17" l="1"/>
  <c r="GI37" i="17"/>
  <c r="GG18" i="17"/>
  <c r="GG12" i="17"/>
  <c r="GG32" i="17"/>
  <c r="GG61" i="17"/>
  <c r="GG7" i="17"/>
  <c r="GG50" i="17"/>
  <c r="GG31" i="17" l="1"/>
  <c r="GG6" i="17"/>
  <c r="GH7" i="17" s="1"/>
  <c r="GH50" i="17" l="1"/>
  <c r="GH12" i="17"/>
  <c r="GH44" i="17"/>
  <c r="GH25" i="17"/>
  <c r="GH40" i="17"/>
  <c r="GH37" i="17"/>
  <c r="GH20" i="17"/>
  <c r="GH17" i="17"/>
  <c r="GH14" i="17"/>
  <c r="GH6" i="17"/>
  <c r="GH59" i="17"/>
  <c r="GH48" i="17"/>
  <c r="GH36" i="17"/>
  <c r="GH28" i="17"/>
  <c r="GH23" i="17"/>
  <c r="GH21" i="17"/>
  <c r="GH16" i="17"/>
  <c r="GH47" i="17"/>
  <c r="GH26" i="17"/>
  <c r="GH58" i="17"/>
  <c r="GH39" i="17"/>
  <c r="GH19" i="17"/>
  <c r="GH64" i="17"/>
  <c r="GH60" i="17"/>
  <c r="GH55" i="17"/>
  <c r="GH35" i="17"/>
  <c r="GH22" i="17"/>
  <c r="GH10" i="17"/>
  <c r="GH56" i="17"/>
  <c r="GH51" i="17"/>
  <c r="GH41" i="17"/>
  <c r="GH24" i="17"/>
  <c r="GH46" i="17"/>
  <c r="GH67" i="17"/>
  <c r="GH45" i="17"/>
  <c r="GH66" i="17"/>
  <c r="GH52" i="17"/>
  <c r="GH11" i="17"/>
  <c r="GH15" i="17"/>
  <c r="GH34" i="17"/>
  <c r="GH53" i="17"/>
  <c r="GH33" i="17"/>
  <c r="GH8" i="17"/>
  <c r="GH38" i="17"/>
  <c r="GH18" i="17"/>
  <c r="GH13" i="17"/>
  <c r="GH43" i="17"/>
  <c r="GH63" i="17"/>
  <c r="GH42" i="17"/>
  <c r="GH62" i="17"/>
  <c r="GH65" i="17"/>
  <c r="GH27" i="17"/>
  <c r="GH9" i="17"/>
  <c r="GH29" i="17"/>
  <c r="GH49" i="17"/>
  <c r="GG69" i="17"/>
  <c r="GH31" i="17"/>
  <c r="GH32" i="17"/>
  <c r="GH61" i="17"/>
  <c r="KH29" i="21" l="1"/>
  <c r="KH27" i="21"/>
  <c r="KH26" i="21"/>
  <c r="KI25" i="21"/>
  <c r="KI31" i="21" s="1"/>
  <c r="KF25" i="21"/>
  <c r="KF31" i="21" s="1"/>
  <c r="KI19" i="21"/>
  <c r="KF19" i="21"/>
  <c r="KI26" i="21" l="1"/>
  <c r="KI27" i="21"/>
  <c r="KI29" i="21"/>
  <c r="LQ11" i="16" l="1"/>
  <c r="LQ9" i="16"/>
  <c r="LQ6" i="16"/>
  <c r="LQ5" i="16"/>
  <c r="LR37" i="16"/>
  <c r="LQ30" i="16"/>
  <c r="LQ25" i="16"/>
  <c r="LQ24" i="16"/>
  <c r="LQ23" i="16"/>
  <c r="LQ22" i="16"/>
  <c r="LQ21" i="16"/>
  <c r="LQ20" i="16"/>
  <c r="LQ19" i="16"/>
  <c r="LQ18" i="16"/>
  <c r="LQ17" i="16"/>
  <c r="LQ16" i="16"/>
  <c r="LT1" i="16"/>
  <c r="LQ1" i="16"/>
  <c r="LR1" i="16" s="1"/>
  <c r="LO1" i="16"/>
  <c r="KF16" i="21" l="1"/>
  <c r="LO10" i="16"/>
  <c r="LP31" i="16"/>
  <c r="LP34" i="16"/>
  <c r="LQ12" i="16"/>
  <c r="LO4" i="16"/>
  <c r="LP18" i="16"/>
  <c r="LP27" i="16"/>
  <c r="LP8" i="16"/>
  <c r="LP12" i="16"/>
  <c r="LP16" i="16"/>
  <c r="LP19" i="16"/>
  <c r="LP21" i="16"/>
  <c r="LP5" i="16"/>
  <c r="LP9" i="16"/>
  <c r="LP11" i="16"/>
  <c r="LP17" i="16"/>
  <c r="LP20" i="16"/>
  <c r="LP22" i="16"/>
  <c r="LP24" i="16"/>
  <c r="LO14" i="16"/>
  <c r="LP33" i="16"/>
  <c r="LP6" i="16"/>
  <c r="LP23" i="16"/>
  <c r="LP25" i="16"/>
  <c r="LQ27" i="16"/>
  <c r="LP30" i="16"/>
  <c r="LQ33" i="16"/>
  <c r="LO7" i="16"/>
  <c r="LQ8" i="16"/>
  <c r="LO15" i="16"/>
  <c r="LP10" i="16" l="1"/>
  <c r="LP4" i="16"/>
  <c r="LP15" i="16"/>
  <c r="LP14" i="16"/>
  <c r="LO13" i="16"/>
  <c r="LP7" i="16"/>
  <c r="LO29" i="16" l="1"/>
  <c r="LP13" i="16"/>
  <c r="LO32" i="16" l="1"/>
  <c r="LP29" i="16"/>
  <c r="LP32" i="16" l="1"/>
  <c r="LO35" i="16"/>
  <c r="LP35" i="16" l="1"/>
  <c r="LO36" i="16"/>
  <c r="LP36" i="16" l="1"/>
  <c r="D658" i="23" l="1"/>
  <c r="D625" i="23"/>
  <c r="JT8" i="21" l="1"/>
  <c r="JT4" i="21" l="1"/>
  <c r="DI50" i="4" l="1"/>
  <c r="DI39" i="4"/>
  <c r="DI30" i="4"/>
  <c r="DH30" i="4"/>
  <c r="DH39" i="4" s="1"/>
  <c r="DH50" i="4" s="1"/>
  <c r="DI19" i="4"/>
  <c r="DH19" i="4"/>
  <c r="DI17" i="4"/>
  <c r="DI10" i="4"/>
  <c r="GJ34" i="15" l="1"/>
  <c r="GJ33" i="15"/>
  <c r="GH32" i="15"/>
  <c r="GH31" i="15"/>
  <c r="GJ26" i="15"/>
  <c r="GJ25" i="15"/>
  <c r="GJ24" i="15"/>
  <c r="GH23" i="15"/>
  <c r="GJ18" i="15"/>
  <c r="GJ17" i="15"/>
  <c r="GJ16" i="15"/>
  <c r="GJ12" i="15"/>
  <c r="GJ11" i="15"/>
  <c r="GJ10" i="15"/>
  <c r="GI32" i="15" l="1"/>
  <c r="GI34" i="15"/>
  <c r="GI31" i="15"/>
  <c r="GI33" i="15"/>
  <c r="GJ9" i="15" l="1"/>
  <c r="GJ13" i="15" l="1"/>
  <c r="GH8" i="15"/>
  <c r="KC25" i="21" l="1"/>
  <c r="KC31" i="21" s="1"/>
  <c r="KC19" i="21"/>
  <c r="JZ25" i="21"/>
  <c r="JZ31" i="21" s="1"/>
  <c r="JZ19" i="21"/>
  <c r="LN1" i="16"/>
  <c r="LK19" i="16"/>
  <c r="LK18" i="16"/>
  <c r="LK1" i="16"/>
  <c r="LH1" i="16"/>
  <c r="LK22" i="16" l="1"/>
  <c r="LK24" i="16"/>
  <c r="LK30" i="16"/>
  <c r="LK20" i="16"/>
  <c r="LK23" i="16"/>
  <c r="LK21" i="16"/>
  <c r="LK25" i="16"/>
  <c r="LL28" i="16"/>
  <c r="LR28" i="16" s="1"/>
  <c r="LL26" i="16"/>
  <c r="LR26" i="16" s="1"/>
  <c r="LI1" i="16"/>
  <c r="LL1" i="16" s="1"/>
  <c r="GD38" i="17" l="1"/>
  <c r="LI14" i="16"/>
  <c r="LJ21" i="16"/>
  <c r="LJ23" i="16"/>
  <c r="LJ6" i="16"/>
  <c r="LK6" i="16"/>
  <c r="LJ12" i="16"/>
  <c r="LK12" i="16"/>
  <c r="JZ16" i="21"/>
  <c r="LJ18" i="16"/>
  <c r="LJ8" i="16"/>
  <c r="LK8" i="16"/>
  <c r="LJ31" i="16"/>
  <c r="LJ19" i="16"/>
  <c r="LJ34" i="16"/>
  <c r="LJ30" i="16"/>
  <c r="LJ22" i="16"/>
  <c r="LK9" i="16"/>
  <c r="LJ9" i="16"/>
  <c r="LJ25" i="16"/>
  <c r="LK5" i="16"/>
  <c r="LJ5" i="16"/>
  <c r="LK11" i="16"/>
  <c r="LJ11" i="16"/>
  <c r="LJ20" i="16"/>
  <c r="LJ24" i="16"/>
  <c r="LI4" i="16"/>
  <c r="LI7" i="16"/>
  <c r="LI10" i="16"/>
  <c r="LJ10" i="16" l="1"/>
  <c r="LJ7" i="16"/>
  <c r="LJ4" i="16"/>
  <c r="LJ14" i="16"/>
  <c r="LI13" i="16"/>
  <c r="LJ13" i="16" l="1"/>
  <c r="GF67" i="17" l="1"/>
  <c r="GF66" i="17"/>
  <c r="GF65" i="17"/>
  <c r="GF64" i="17"/>
  <c r="GF63" i="17"/>
  <c r="GF62" i="17"/>
  <c r="GD61" i="17"/>
  <c r="GF60" i="17"/>
  <c r="GF56" i="17"/>
  <c r="GF55" i="17"/>
  <c r="GF53" i="17"/>
  <c r="GF52" i="17"/>
  <c r="GF51" i="17"/>
  <c r="GD50" i="17"/>
  <c r="GF49" i="17"/>
  <c r="GF48" i="17"/>
  <c r="GF47" i="17"/>
  <c r="GF46" i="17"/>
  <c r="GF45" i="17"/>
  <c r="GF44" i="17"/>
  <c r="GF43" i="17"/>
  <c r="GF42" i="17"/>
  <c r="GF41" i="17"/>
  <c r="GF40" i="17"/>
  <c r="GF39" i="17"/>
  <c r="GF37" i="17"/>
  <c r="GF35" i="17"/>
  <c r="GF34" i="17"/>
  <c r="GF33" i="17"/>
  <c r="GD32" i="17"/>
  <c r="GF29" i="17"/>
  <c r="GF28" i="17"/>
  <c r="GF27" i="17"/>
  <c r="GF26" i="17"/>
  <c r="GF24" i="17"/>
  <c r="GF23" i="17"/>
  <c r="GF21" i="17"/>
  <c r="GF20" i="17"/>
  <c r="GD18" i="17"/>
  <c r="GF17" i="17"/>
  <c r="GF16" i="17"/>
  <c r="GF15" i="17"/>
  <c r="GF14" i="17"/>
  <c r="GF13" i="17"/>
  <c r="GD12" i="17"/>
  <c r="GF11" i="17"/>
  <c r="GF10" i="17"/>
  <c r="GF9" i="17"/>
  <c r="GF8" i="17"/>
  <c r="GD7" i="17"/>
  <c r="GD6" i="17" l="1"/>
  <c r="GE38" i="17" s="1"/>
  <c r="GD31" i="17"/>
  <c r="GE18" i="17" l="1"/>
  <c r="GE32" i="17"/>
  <c r="GE7" i="17"/>
  <c r="GD69" i="17"/>
  <c r="GE31" i="17"/>
  <c r="GE66" i="17"/>
  <c r="GE64" i="17"/>
  <c r="GE62" i="17"/>
  <c r="GE48" i="17"/>
  <c r="GE46" i="17"/>
  <c r="GE44" i="17"/>
  <c r="GE42" i="17"/>
  <c r="GE40" i="17"/>
  <c r="GE36" i="17"/>
  <c r="GE34" i="17"/>
  <c r="GE28" i="17"/>
  <c r="GE26" i="17"/>
  <c r="GE21" i="17"/>
  <c r="GE19" i="17"/>
  <c r="GE10" i="17"/>
  <c r="GE8" i="17"/>
  <c r="GE25" i="17"/>
  <c r="GE23" i="17"/>
  <c r="GE17" i="17"/>
  <c r="GE15" i="17"/>
  <c r="GE13" i="17"/>
  <c r="GE6" i="17"/>
  <c r="GE67" i="17"/>
  <c r="GE65" i="17"/>
  <c r="GE63" i="17"/>
  <c r="GE59" i="17"/>
  <c r="GE49" i="17"/>
  <c r="GE47" i="17"/>
  <c r="GE45" i="17"/>
  <c r="GE43" i="17"/>
  <c r="GE41" i="17"/>
  <c r="GE39" i="17"/>
  <c r="GE35" i="17"/>
  <c r="GE33" i="17"/>
  <c r="GE29" i="17"/>
  <c r="GE27" i="17"/>
  <c r="GE20" i="17"/>
  <c r="GE11" i="17"/>
  <c r="GE9" i="17"/>
  <c r="GE58" i="17"/>
  <c r="GE55" i="17"/>
  <c r="GE52" i="17"/>
  <c r="GE50" i="17"/>
  <c r="GE37" i="17"/>
  <c r="GE24" i="17"/>
  <c r="GE16" i="17"/>
  <c r="GE14" i="17"/>
  <c r="GE12" i="17"/>
  <c r="GE60" i="17"/>
  <c r="GE56" i="17"/>
  <c r="GE53" i="17"/>
  <c r="GE51" i="17"/>
  <c r="GE22" i="17"/>
  <c r="GE61" i="17"/>
  <c r="DF30" i="4" l="1"/>
  <c r="DF39" i="4" s="1"/>
  <c r="DF50" i="4" s="1"/>
  <c r="LF34" i="16" l="1"/>
  <c r="LL34" i="16" s="1"/>
  <c r="LR34" i="16" s="1"/>
  <c r="DF31" i="4" l="1"/>
  <c r="DG31" i="4" s="1"/>
  <c r="DD31" i="4"/>
  <c r="DK32" i="4" s="1"/>
  <c r="DB31" i="4"/>
  <c r="CZ31" i="4"/>
  <c r="CW31" i="4"/>
  <c r="CU31" i="4"/>
  <c r="CS31" i="4"/>
  <c r="CP31" i="4"/>
  <c r="CN31" i="4"/>
  <c r="CL31" i="4"/>
  <c r="CI31" i="4"/>
  <c r="CG31" i="4"/>
  <c r="CE31" i="4"/>
  <c r="CB31" i="4"/>
  <c r="BZ31" i="4"/>
  <c r="BX31" i="4"/>
  <c r="BS31" i="4"/>
  <c r="DF40" i="4"/>
  <c r="DD40" i="4"/>
  <c r="DK41" i="4" s="1"/>
  <c r="DB40" i="4"/>
  <c r="CZ40" i="4"/>
  <c r="CW40" i="4"/>
  <c r="CU40" i="4"/>
  <c r="CS40" i="4"/>
  <c r="CP40" i="4"/>
  <c r="CN40" i="4"/>
  <c r="CL40" i="4"/>
  <c r="CI40" i="4"/>
  <c r="CG40" i="4"/>
  <c r="CE40" i="4"/>
  <c r="CB40" i="4"/>
  <c r="BZ40" i="4"/>
  <c r="BX40" i="4"/>
  <c r="BU40" i="4"/>
  <c r="BS40" i="4"/>
  <c r="BQ40" i="4"/>
  <c r="BN40" i="4"/>
  <c r="BL40" i="4"/>
  <c r="BJ40" i="4"/>
  <c r="BG40" i="4"/>
  <c r="BE40" i="4"/>
  <c r="BC40" i="4"/>
  <c r="AY40" i="4"/>
  <c r="AZ40" i="4" s="1"/>
  <c r="AX40" i="4"/>
  <c r="AU40" i="4"/>
  <c r="AV40" i="4" s="1"/>
  <c r="DG40" i="4" l="1"/>
  <c r="FO38" i="17"/>
  <c r="FO12" i="17"/>
  <c r="FX19" i="17"/>
  <c r="FR19" i="17"/>
  <c r="GF19" i="17" s="1"/>
  <c r="FO19" i="17"/>
  <c r="FO61" i="17" l="1"/>
  <c r="FO50" i="17"/>
  <c r="FO18" i="17"/>
  <c r="FO7" i="17"/>
  <c r="FO32" i="17"/>
  <c r="FO6" i="17" l="1"/>
  <c r="FO31" i="17"/>
  <c r="LF18" i="16" l="1"/>
  <c r="LL18" i="16" l="1"/>
  <c r="LR18" i="16" s="1"/>
  <c r="KF1" i="16"/>
  <c r="KG1" i="16" s="1"/>
  <c r="KH1" i="16" s="1"/>
  <c r="KI1" i="16" s="1"/>
  <c r="KJ1" i="16" s="1"/>
  <c r="KK1" i="16" s="1"/>
  <c r="KL1" i="16" s="1"/>
  <c r="KM1" i="16" s="1"/>
  <c r="KN1" i="16" s="1"/>
  <c r="KO1" i="16" s="1"/>
  <c r="KP1" i="16" s="1"/>
  <c r="KQ1" i="16" s="1"/>
  <c r="KR1" i="16" s="1"/>
  <c r="KS1" i="16" s="1"/>
  <c r="KT1" i="16" s="1"/>
  <c r="KU1" i="16" s="1"/>
  <c r="KV1" i="16" s="1"/>
  <c r="KW1" i="16" s="1"/>
  <c r="KX1" i="16" s="1"/>
  <c r="KY1" i="16" s="1"/>
  <c r="KZ1" i="16" s="1"/>
  <c r="LA1" i="16" s="1"/>
  <c r="LB1" i="16" s="1"/>
  <c r="LC1" i="16" s="1"/>
  <c r="LF1" i="16" s="1"/>
  <c r="LB18" i="16" l="1"/>
  <c r="KZ15" i="16"/>
  <c r="KZ14" i="16"/>
  <c r="KZ10" i="16"/>
  <c r="KE15" i="16" l="1"/>
  <c r="KE7" i="16"/>
  <c r="KE10" i="16" l="1"/>
  <c r="KH10" i="16" l="1"/>
  <c r="KH15" i="16"/>
  <c r="KH7" i="16"/>
  <c r="KN10" i="16" l="1"/>
  <c r="LK10" i="16" s="1"/>
  <c r="KN15" i="16"/>
  <c r="KN7" i="16"/>
  <c r="LK7" i="16" s="1"/>
  <c r="KT10" i="16" l="1"/>
  <c r="LQ10" i="16" s="1"/>
  <c r="KT15" i="16"/>
  <c r="LQ15" i="16" s="1"/>
  <c r="KT7" i="16"/>
  <c r="LQ7" i="16" s="1"/>
  <c r="GA32" i="17" l="1"/>
  <c r="GA50" i="17"/>
  <c r="DE4" i="4" l="1"/>
  <c r="DF55" i="4"/>
  <c r="DF51" i="4"/>
  <c r="DF44" i="4"/>
  <c r="DF33" i="4"/>
  <c r="DG33" i="4" s="1"/>
  <c r="DF32" i="4"/>
  <c r="DG13" i="4" l="1"/>
  <c r="DG12" i="4"/>
  <c r="DF8" i="4"/>
  <c r="DF58" i="4"/>
  <c r="DF56" i="4"/>
  <c r="DG55" i="4"/>
  <c r="DF52" i="4"/>
  <c r="DG51" i="4"/>
  <c r="DG50" i="4"/>
  <c r="DF47" i="4"/>
  <c r="DG44" i="4"/>
  <c r="DF41" i="4"/>
  <c r="DF45" i="4"/>
  <c r="DG39" i="4"/>
  <c r="DF36" i="4"/>
  <c r="DF34" i="4"/>
  <c r="DG34" i="4" s="1"/>
  <c r="DG32" i="4"/>
  <c r="DG30" i="4"/>
  <c r="DG19" i="4"/>
  <c r="DF19" i="4"/>
  <c r="DG18" i="4"/>
  <c r="DI18" i="4" s="1"/>
  <c r="DK18" i="4" s="1"/>
  <c r="DG17" i="4"/>
  <c r="DG16" i="4"/>
  <c r="DG15" i="4"/>
  <c r="DG14" i="4"/>
  <c r="DF11" i="4"/>
  <c r="DG10" i="4"/>
  <c r="DF4" i="4"/>
  <c r="GE27" i="15"/>
  <c r="GE14" i="15"/>
  <c r="DG56" i="4" l="1"/>
  <c r="DG8" i="4"/>
  <c r="DG11" i="4"/>
  <c r="DG4" i="4"/>
  <c r="DG45" i="4" l="1"/>
  <c r="GG47" i="15" l="1"/>
  <c r="GG36" i="15"/>
  <c r="GF36" i="15"/>
  <c r="GG34" i="15"/>
  <c r="GG33" i="15"/>
  <c r="GE32" i="15"/>
  <c r="GE31" i="15"/>
  <c r="GF33" i="15" s="1"/>
  <c r="GG28" i="15"/>
  <c r="GG27" i="15"/>
  <c r="GG26" i="15"/>
  <c r="GG25" i="15"/>
  <c r="GG24" i="15"/>
  <c r="GE23" i="15"/>
  <c r="GG18" i="15"/>
  <c r="GG17" i="15"/>
  <c r="GG16" i="15"/>
  <c r="GG15" i="15"/>
  <c r="GG14" i="15"/>
  <c r="GG12" i="15"/>
  <c r="GG11" i="15"/>
  <c r="GG10" i="15"/>
  <c r="GG9" i="15"/>
  <c r="GE8" i="15"/>
  <c r="GE6" i="15" s="1"/>
  <c r="LF5" i="16"/>
  <c r="LD34" i="16"/>
  <c r="LF33" i="16"/>
  <c r="LE33" i="16"/>
  <c r="LD33" i="16"/>
  <c r="LF31" i="16"/>
  <c r="LL31" i="16" s="1"/>
  <c r="LR31" i="16" s="1"/>
  <c r="LD31" i="16"/>
  <c r="LF30" i="16"/>
  <c r="LE30" i="16"/>
  <c r="LD30" i="16"/>
  <c r="LD28" i="16"/>
  <c r="LF27" i="16"/>
  <c r="LE27" i="16"/>
  <c r="LD27" i="16"/>
  <c r="LD26" i="16"/>
  <c r="LF25" i="16"/>
  <c r="LE25" i="16"/>
  <c r="LD25" i="16"/>
  <c r="LF24" i="16"/>
  <c r="LE24" i="16"/>
  <c r="LD24" i="16"/>
  <c r="LF23" i="16"/>
  <c r="LE23" i="16"/>
  <c r="LD23" i="16"/>
  <c r="LF22" i="16"/>
  <c r="LE22" i="16"/>
  <c r="LD22" i="16"/>
  <c r="LF21" i="16"/>
  <c r="LE21" i="16"/>
  <c r="LD21" i="16"/>
  <c r="LF20" i="16"/>
  <c r="LE20" i="16"/>
  <c r="LD20" i="16"/>
  <c r="LF19" i="16"/>
  <c r="LE19" i="16"/>
  <c r="LD19" i="16"/>
  <c r="LE18" i="16"/>
  <c r="LD18" i="16"/>
  <c r="LF17" i="16"/>
  <c r="LE17" i="16"/>
  <c r="LD17" i="16"/>
  <c r="LF16" i="16"/>
  <c r="LE16" i="16"/>
  <c r="LD16" i="16"/>
  <c r="LC15" i="16"/>
  <c r="LD15" i="16" s="1"/>
  <c r="LC14" i="16"/>
  <c r="LD14" i="16" s="1"/>
  <c r="LF12" i="16"/>
  <c r="LE12" i="16"/>
  <c r="LD12" i="16"/>
  <c r="LF11" i="16"/>
  <c r="LE11" i="16"/>
  <c r="LD11" i="16"/>
  <c r="LC10" i="16"/>
  <c r="LF9" i="16"/>
  <c r="LE9" i="16"/>
  <c r="LD9" i="16"/>
  <c r="LF8" i="16"/>
  <c r="LE8" i="16"/>
  <c r="LD8" i="16"/>
  <c r="LC7" i="16"/>
  <c r="LD7" i="16" s="1"/>
  <c r="LF6" i="16"/>
  <c r="LE6" i="16"/>
  <c r="LD6" i="16"/>
  <c r="LE5" i="16"/>
  <c r="LD5" i="16"/>
  <c r="LC4" i="16"/>
  <c r="GC8" i="17"/>
  <c r="GC67" i="17"/>
  <c r="GC66" i="17"/>
  <c r="GC65" i="17"/>
  <c r="GC64" i="17"/>
  <c r="GC63" i="17"/>
  <c r="GC62" i="17"/>
  <c r="GA61" i="17"/>
  <c r="GA31" i="17" s="1"/>
  <c r="GC60" i="17"/>
  <c r="GC56" i="17"/>
  <c r="GC55" i="17"/>
  <c r="GC53" i="17"/>
  <c r="GC52" i="17"/>
  <c r="GC51" i="17"/>
  <c r="GC49" i="17"/>
  <c r="GC48" i="17"/>
  <c r="GC47" i="17"/>
  <c r="GC46" i="17"/>
  <c r="GC45" i="17"/>
  <c r="GC44" i="17"/>
  <c r="GC43" i="17"/>
  <c r="GC42" i="17"/>
  <c r="GC41" i="17"/>
  <c r="GC40" i="17"/>
  <c r="GC39" i="17"/>
  <c r="GA38" i="17"/>
  <c r="GC37" i="17"/>
  <c r="GC35" i="17"/>
  <c r="GC34" i="17"/>
  <c r="GC33" i="17"/>
  <c r="GC29" i="17"/>
  <c r="GC28" i="17"/>
  <c r="GC27" i="17"/>
  <c r="GC26" i="17"/>
  <c r="GC24" i="17"/>
  <c r="GC23" i="17"/>
  <c r="GC21" i="17"/>
  <c r="GC20" i="17"/>
  <c r="GA18" i="17"/>
  <c r="GC17" i="17"/>
  <c r="GC16" i="17"/>
  <c r="GC15" i="17"/>
  <c r="GC14" i="17"/>
  <c r="GC13" i="17"/>
  <c r="GA12" i="17"/>
  <c r="GC11" i="17"/>
  <c r="GC10" i="17"/>
  <c r="GC9" i="17"/>
  <c r="GA7" i="17"/>
  <c r="LL5" i="16" l="1"/>
  <c r="LR5" i="16" s="1"/>
  <c r="LL21" i="16"/>
  <c r="LR21" i="16" s="1"/>
  <c r="LL25" i="16"/>
  <c r="LR25" i="16" s="1"/>
  <c r="LL30" i="16"/>
  <c r="LR30" i="16" s="1"/>
  <c r="LL12" i="16"/>
  <c r="LR12" i="16" s="1"/>
  <c r="LL20" i="16"/>
  <c r="LR20" i="16" s="1"/>
  <c r="LL24" i="16"/>
  <c r="LR24" i="16" s="1"/>
  <c r="LL6" i="16"/>
  <c r="LR6" i="16" s="1"/>
  <c r="LL8" i="16"/>
  <c r="LR8" i="16" s="1"/>
  <c r="LL22" i="16"/>
  <c r="LR22" i="16" s="1"/>
  <c r="LL9" i="16"/>
  <c r="LR9" i="16" s="1"/>
  <c r="LL11" i="16"/>
  <c r="LR11" i="16" s="1"/>
  <c r="LL19" i="16"/>
  <c r="LR19" i="16" s="1"/>
  <c r="LL23" i="16"/>
  <c r="LR23" i="16" s="1"/>
  <c r="LG25" i="16"/>
  <c r="LG9" i="16"/>
  <c r="LG12" i="16"/>
  <c r="LG11" i="16"/>
  <c r="LG20" i="16"/>
  <c r="LG27" i="16"/>
  <c r="LG8" i="16"/>
  <c r="LG19" i="16"/>
  <c r="LD4" i="16"/>
  <c r="LG6" i="16"/>
  <c r="LG18" i="16"/>
  <c r="LG31" i="16"/>
  <c r="LG33" i="16"/>
  <c r="LG5" i="16"/>
  <c r="LG17" i="16"/>
  <c r="LG21" i="16"/>
  <c r="LG34" i="16"/>
  <c r="GE20" i="15"/>
  <c r="GE21" i="15"/>
  <c r="LG16" i="16"/>
  <c r="LG30" i="16"/>
  <c r="GE5" i="15"/>
  <c r="GF17" i="15" s="1"/>
  <c r="GF32" i="15"/>
  <c r="GF34" i="15"/>
  <c r="GF31" i="15"/>
  <c r="LD10" i="16"/>
  <c r="LC13" i="16"/>
  <c r="LG22" i="16"/>
  <c r="LG23" i="16"/>
  <c r="LG24" i="16"/>
  <c r="GA6" i="17"/>
  <c r="GB7" i="17" s="1"/>
  <c r="JW29" i="21"/>
  <c r="JW27" i="21"/>
  <c r="JW26" i="21"/>
  <c r="JW25" i="21"/>
  <c r="JW31" i="21" s="1"/>
  <c r="JW22" i="21"/>
  <c r="JZ22" i="21" s="1"/>
  <c r="JW21" i="21"/>
  <c r="JW20" i="21"/>
  <c r="JW19" i="21"/>
  <c r="JW16" i="21"/>
  <c r="JW6" i="21"/>
  <c r="JW12" i="21"/>
  <c r="JW10" i="21"/>
  <c r="JW9" i="21"/>
  <c r="JW5" i="21"/>
  <c r="LS23" i="16" l="1"/>
  <c r="LS9" i="16"/>
  <c r="LS22" i="16"/>
  <c r="LS20" i="16"/>
  <c r="LS21" i="16"/>
  <c r="LS24" i="16"/>
  <c r="LS19" i="16"/>
  <c r="KI16" i="21"/>
  <c r="LS8" i="16"/>
  <c r="LS34" i="16"/>
  <c r="LS18" i="16"/>
  <c r="LS12" i="16"/>
  <c r="LS5" i="16"/>
  <c r="LS25" i="16"/>
  <c r="LS11" i="16"/>
  <c r="LS6" i="16"/>
  <c r="LS30" i="16"/>
  <c r="LS31" i="16"/>
  <c r="LM19" i="16"/>
  <c r="LM8" i="16"/>
  <c r="LM24" i="16"/>
  <c r="LM11" i="16"/>
  <c r="LM6" i="16"/>
  <c r="LM30" i="16"/>
  <c r="LM25" i="16"/>
  <c r="LM20" i="16"/>
  <c r="LM18" i="16"/>
  <c r="LM9" i="16"/>
  <c r="LM12" i="16"/>
  <c r="LM23" i="16"/>
  <c r="LM21" i="16"/>
  <c r="KB22" i="21"/>
  <c r="KC22" i="21"/>
  <c r="KF22" i="21" s="1"/>
  <c r="LM31" i="16"/>
  <c r="LM22" i="16"/>
  <c r="LM34" i="16"/>
  <c r="KC16" i="21"/>
  <c r="KB26" i="21"/>
  <c r="KC26" i="21"/>
  <c r="KB27" i="21"/>
  <c r="KC27" i="21"/>
  <c r="KB29" i="21"/>
  <c r="KC29" i="21"/>
  <c r="LM5" i="16"/>
  <c r="GF22" i="15"/>
  <c r="GF10" i="15"/>
  <c r="GB38" i="17"/>
  <c r="GB12" i="17"/>
  <c r="GB18" i="17"/>
  <c r="GF13" i="15"/>
  <c r="GF24" i="15"/>
  <c r="GF18" i="15"/>
  <c r="GF11" i="15"/>
  <c r="GF7" i="15"/>
  <c r="GF12" i="15"/>
  <c r="GF23" i="15"/>
  <c r="GF20" i="15"/>
  <c r="GE49" i="15"/>
  <c r="GF49" i="15" s="1"/>
  <c r="GE50" i="15"/>
  <c r="GF9" i="15"/>
  <c r="GF28" i="15"/>
  <c r="GF16" i="15"/>
  <c r="GF8" i="15"/>
  <c r="GF27" i="15"/>
  <c r="GF6" i="15"/>
  <c r="GF15" i="15"/>
  <c r="GF26" i="15"/>
  <c r="GF14" i="15"/>
  <c r="GF5" i="15"/>
  <c r="GF25" i="15"/>
  <c r="GF21" i="15"/>
  <c r="JX9" i="21"/>
  <c r="JW8" i="21"/>
  <c r="JX8" i="21" s="1"/>
  <c r="JW32" i="21"/>
  <c r="JX10" i="21"/>
  <c r="LC29" i="16"/>
  <c r="LD13" i="16"/>
  <c r="GA69" i="17"/>
  <c r="GB31" i="17"/>
  <c r="GB66" i="17"/>
  <c r="GB64" i="17"/>
  <c r="GB62" i="17"/>
  <c r="GB48" i="17"/>
  <c r="GB46" i="17"/>
  <c r="GB44" i="17"/>
  <c r="GB42" i="17"/>
  <c r="GB40" i="17"/>
  <c r="GB36" i="17"/>
  <c r="GB34" i="17"/>
  <c r="GB28" i="17"/>
  <c r="GB26" i="17"/>
  <c r="GB21" i="17"/>
  <c r="GB19" i="17"/>
  <c r="GB67" i="17"/>
  <c r="GB65" i="17"/>
  <c r="GB63" i="17"/>
  <c r="GB59" i="17"/>
  <c r="GB49" i="17"/>
  <c r="GB47" i="17"/>
  <c r="GB45" i="17"/>
  <c r="GB43" i="17"/>
  <c r="GB41" i="17"/>
  <c r="GB39" i="17"/>
  <c r="GB35" i="17"/>
  <c r="GB33" i="17"/>
  <c r="GB29" i="17"/>
  <c r="GB27" i="17"/>
  <c r="GB22" i="17"/>
  <c r="GB20" i="17"/>
  <c r="GB11" i="17"/>
  <c r="GB9" i="17"/>
  <c r="GB16" i="17"/>
  <c r="GB10" i="17"/>
  <c r="GB8" i="17"/>
  <c r="GB23" i="17"/>
  <c r="GB13" i="17"/>
  <c r="GB6" i="17"/>
  <c r="GB58" i="17"/>
  <c r="GB55" i="17"/>
  <c r="GB52" i="17"/>
  <c r="GB50" i="17"/>
  <c r="GB37" i="17"/>
  <c r="GB24" i="17"/>
  <c r="GB14" i="17"/>
  <c r="GB60" i="17"/>
  <c r="GB56" i="17"/>
  <c r="GB53" i="17"/>
  <c r="GB51" i="17"/>
  <c r="GB25" i="17"/>
  <c r="GB17" i="17"/>
  <c r="GB15" i="17"/>
  <c r="GB61" i="17"/>
  <c r="GB32" i="17"/>
  <c r="JW23" i="21"/>
  <c r="JW33" i="21"/>
  <c r="JX6" i="21"/>
  <c r="JX12" i="21"/>
  <c r="JW4" i="21"/>
  <c r="JX5" i="21"/>
  <c r="KH22" i="21" l="1"/>
  <c r="KI22" i="21"/>
  <c r="LD40" i="16"/>
  <c r="JT17" i="21"/>
  <c r="JW13" i="21"/>
  <c r="JW35" i="21"/>
  <c r="GF47" i="15"/>
  <c r="GF50" i="15"/>
  <c r="LD29" i="16"/>
  <c r="LC32" i="16"/>
  <c r="JX4" i="21"/>
  <c r="LD32" i="16" l="1"/>
  <c r="LC35" i="16"/>
  <c r="LC36" i="16" s="1"/>
  <c r="JX13" i="21"/>
  <c r="LD35" i="16" l="1"/>
  <c r="JT33" i="21"/>
  <c r="JT32" i="21"/>
  <c r="JV29" i="21"/>
  <c r="JV28" i="21"/>
  <c r="JV27" i="21"/>
  <c r="JV26" i="21"/>
  <c r="JT23" i="21"/>
  <c r="JV22" i="21"/>
  <c r="JT19" i="21"/>
  <c r="JT25" i="21" s="1"/>
  <c r="JT31" i="21" s="1"/>
  <c r="JT16" i="21"/>
  <c r="JU6" i="21" s="1"/>
  <c r="JV12" i="21"/>
  <c r="JV11" i="21"/>
  <c r="JV10" i="21"/>
  <c r="JV6" i="21"/>
  <c r="JT13" i="21" l="1"/>
  <c r="JU13" i="21" s="1"/>
  <c r="JU10" i="21"/>
  <c r="JU4" i="21"/>
  <c r="JU8" i="21"/>
  <c r="LD36" i="16"/>
  <c r="JU9" i="21"/>
  <c r="JT35" i="21"/>
  <c r="JU5" i="21"/>
  <c r="JU12" i="21"/>
  <c r="JT14" i="21" l="1"/>
  <c r="LC39" i="16"/>
  <c r="FH28" i="17"/>
  <c r="FK28" i="17"/>
  <c r="FN28" i="17"/>
  <c r="FQ28" i="17"/>
  <c r="FT28" i="17"/>
  <c r="FW28" i="17"/>
  <c r="LB19" i="16"/>
  <c r="KV19" i="16"/>
  <c r="KP19" i="16"/>
  <c r="KJ19" i="16"/>
  <c r="JU19" i="16"/>
  <c r="JE19" i="16"/>
  <c r="JK19" i="16"/>
  <c r="JO19" i="16"/>
  <c r="JL19" i="16"/>
  <c r="LD39" i="16" l="1"/>
  <c r="F652" i="23"/>
  <c r="F656" i="23"/>
  <c r="F655" i="23"/>
  <c r="F654" i="23"/>
  <c r="F653" i="23"/>
  <c r="F651" i="23"/>
  <c r="F650" i="23"/>
  <c r="F649" i="23"/>
  <c r="F648" i="23"/>
  <c r="F647" i="23"/>
  <c r="F646" i="23"/>
  <c r="F645" i="23"/>
  <c r="F644" i="23"/>
  <c r="F643" i="23"/>
  <c r="F642" i="23"/>
  <c r="F641" i="23"/>
  <c r="F640" i="23"/>
  <c r="F639" i="23"/>
  <c r="F638" i="23"/>
  <c r="F637" i="23"/>
  <c r="F636" i="23"/>
  <c r="F635" i="23"/>
  <c r="F634" i="23"/>
  <c r="F633" i="23"/>
  <c r="F632" i="23"/>
  <c r="F631" i="23"/>
  <c r="F630" i="23"/>
  <c r="F620" i="23"/>
  <c r="F619" i="23"/>
  <c r="E652" i="23"/>
  <c r="E655" i="23"/>
  <c r="E640" i="23"/>
  <c r="D648" i="23"/>
  <c r="E622" i="23"/>
  <c r="E620" i="23"/>
  <c r="E619" i="23"/>
  <c r="D620" i="23"/>
  <c r="K477" i="23"/>
  <c r="K458" i="23" s="1"/>
  <c r="F657" i="23" l="1"/>
  <c r="FL38" i="17" l="1"/>
  <c r="JK20" i="21" l="1"/>
  <c r="JE20" i="21"/>
  <c r="IV20" i="21"/>
  <c r="JK9" i="21" l="1"/>
  <c r="JK5" i="21"/>
  <c r="JE9" i="21"/>
  <c r="JE5" i="21"/>
  <c r="IY9" i="21"/>
  <c r="JV9" i="21" s="1"/>
  <c r="IY5" i="21"/>
  <c r="JV5" i="21" s="1"/>
  <c r="IV9" i="21"/>
  <c r="IV32" i="21" s="1"/>
  <c r="IV5" i="21"/>
  <c r="DC8" i="4" l="1"/>
  <c r="DA8" i="4"/>
  <c r="CY8" i="4"/>
  <c r="CX8" i="4"/>
  <c r="CV8" i="4"/>
  <c r="CT8" i="4"/>
  <c r="CR8" i="4"/>
  <c r="CQ8" i="4"/>
  <c r="CO8" i="4"/>
  <c r="CN8" i="4"/>
  <c r="CM8" i="4"/>
  <c r="CK8" i="4"/>
  <c r="CJ8" i="4"/>
  <c r="CH8" i="4"/>
  <c r="CF8" i="4"/>
  <c r="CD8" i="4"/>
  <c r="CC8" i="4"/>
  <c r="CA8" i="4"/>
  <c r="BY8" i="4"/>
  <c r="BW8" i="4"/>
  <c r="BV8" i="4"/>
  <c r="BU8" i="4"/>
  <c r="BT8" i="4"/>
  <c r="BR8" i="4"/>
  <c r="BP8" i="4"/>
  <c r="BO8" i="4"/>
  <c r="BN8" i="4"/>
  <c r="BM8" i="4"/>
  <c r="BL8" i="4"/>
  <c r="BK8" i="4"/>
  <c r="BJ8" i="4"/>
  <c r="BI8" i="4"/>
  <c r="BH8" i="4"/>
  <c r="BG8" i="4"/>
  <c r="BF8" i="4"/>
  <c r="BD8" i="4"/>
  <c r="BC8" i="4"/>
  <c r="BB8" i="4"/>
  <c r="BA8" i="4"/>
  <c r="AZ8" i="4"/>
  <c r="AY8" i="4"/>
  <c r="AX8" i="4"/>
  <c r="AW8" i="4"/>
  <c r="AV8" i="4"/>
  <c r="AU8" i="4"/>
  <c r="AT8" i="4"/>
  <c r="AS8" i="4"/>
  <c r="AR8" i="4"/>
  <c r="AQ8" i="4"/>
  <c r="AP8" i="4"/>
  <c r="AO8" i="4"/>
  <c r="AN8" i="4"/>
  <c r="AM8" i="4"/>
  <c r="AL8" i="4"/>
  <c r="AK8" i="4"/>
  <c r="AJ8" i="4"/>
  <c r="AI8" i="4"/>
  <c r="AH8" i="4"/>
  <c r="AG8" i="4"/>
  <c r="AF8" i="4"/>
  <c r="AE8" i="4"/>
  <c r="AD8" i="4"/>
  <c r="AC8" i="4"/>
  <c r="AB8" i="4"/>
  <c r="AA8" i="4"/>
  <c r="Z8" i="4"/>
  <c r="Y8" i="4"/>
  <c r="X8" i="4"/>
  <c r="W8" i="4"/>
  <c r="V8" i="4"/>
  <c r="U8" i="4"/>
  <c r="T8" i="4"/>
  <c r="S8" i="4"/>
  <c r="R8" i="4"/>
  <c r="Q8" i="4"/>
  <c r="P8" i="4"/>
  <c r="O8" i="4"/>
  <c r="N8" i="4"/>
  <c r="M8" i="4"/>
  <c r="L8" i="4"/>
  <c r="K8" i="4"/>
  <c r="J8" i="4"/>
  <c r="I8" i="4"/>
  <c r="H8" i="4"/>
  <c r="G8" i="4"/>
  <c r="F8" i="4"/>
  <c r="E8" i="4"/>
  <c r="D8" i="4"/>
  <c r="DE8" i="4" l="1"/>
  <c r="DE34" i="4"/>
  <c r="JQ33" i="21" l="1"/>
  <c r="JQ32" i="21"/>
  <c r="FZ28" i="17" l="1"/>
  <c r="FX32" i="17"/>
  <c r="DE11" i="4"/>
  <c r="DE58" i="4"/>
  <c r="DE56" i="4"/>
  <c r="DE50" i="4"/>
  <c r="DE47" i="4"/>
  <c r="DE45" i="4"/>
  <c r="DE39" i="4"/>
  <c r="DE36" i="4"/>
  <c r="DE30" i="4"/>
  <c r="DE19" i="4"/>
  <c r="GD47" i="15"/>
  <c r="GD36" i="15"/>
  <c r="GC36" i="15"/>
  <c r="GD34" i="15"/>
  <c r="GD33" i="15"/>
  <c r="GB32" i="15"/>
  <c r="GB31" i="15"/>
  <c r="GC33" i="15" s="1"/>
  <c r="GD28" i="15"/>
  <c r="GD27" i="15"/>
  <c r="GD26" i="15"/>
  <c r="GD25" i="15"/>
  <c r="GD24" i="15"/>
  <c r="GB23" i="15"/>
  <c r="GB21" i="15" s="1"/>
  <c r="GD22" i="15"/>
  <c r="GD18" i="15"/>
  <c r="GD17" i="15"/>
  <c r="GD16" i="15"/>
  <c r="GD15" i="15"/>
  <c r="GD14" i="15"/>
  <c r="GD13" i="15"/>
  <c r="GD12" i="15"/>
  <c r="GD11" i="15"/>
  <c r="GD10" i="15"/>
  <c r="GD9" i="15"/>
  <c r="GB8" i="15"/>
  <c r="GD7" i="15"/>
  <c r="JS33" i="21"/>
  <c r="JS32" i="21"/>
  <c r="JS29" i="21"/>
  <c r="JS28" i="21"/>
  <c r="JS27" i="21"/>
  <c r="JS26" i="21"/>
  <c r="JQ23" i="21"/>
  <c r="JS22" i="21"/>
  <c r="JS21" i="21"/>
  <c r="JS20" i="21"/>
  <c r="JQ19" i="21"/>
  <c r="JQ25" i="21" s="1"/>
  <c r="JQ31" i="21" s="1"/>
  <c r="JQ16" i="21"/>
  <c r="JS12" i="21"/>
  <c r="JS11" i="21"/>
  <c r="JS10" i="21"/>
  <c r="JS9" i="21"/>
  <c r="JQ8" i="21"/>
  <c r="JS6" i="21"/>
  <c r="JS5" i="21"/>
  <c r="JQ4" i="21"/>
  <c r="LA34" i="16"/>
  <c r="LB33" i="16"/>
  <c r="LA33" i="16"/>
  <c r="LA31" i="16"/>
  <c r="LB30" i="16"/>
  <c r="LA30" i="16"/>
  <c r="LA28" i="16"/>
  <c r="LB27" i="16"/>
  <c r="LA27" i="16"/>
  <c r="LA26" i="16"/>
  <c r="LB25" i="16"/>
  <c r="LA25" i="16"/>
  <c r="LB24" i="16"/>
  <c r="LA24" i="16"/>
  <c r="LB23" i="16"/>
  <c r="LA23" i="16"/>
  <c r="LB22" i="16"/>
  <c r="LA22" i="16"/>
  <c r="LB21" i="16"/>
  <c r="LA21" i="16"/>
  <c r="LB20" i="16"/>
  <c r="LA20" i="16"/>
  <c r="LA19" i="16"/>
  <c r="LA18" i="16"/>
  <c r="LB16" i="16"/>
  <c r="LA16" i="16"/>
  <c r="LF14" i="16"/>
  <c r="LB12" i="16"/>
  <c r="LA12" i="16"/>
  <c r="LB11" i="16"/>
  <c r="LA11" i="16"/>
  <c r="LF10" i="16"/>
  <c r="LB9" i="16"/>
  <c r="LA9" i="16"/>
  <c r="LB8" i="16"/>
  <c r="LA8" i="16"/>
  <c r="KZ7" i="16"/>
  <c r="LB6" i="16"/>
  <c r="LA6" i="16"/>
  <c r="LB5" i="16"/>
  <c r="LA5" i="16"/>
  <c r="KZ4" i="16"/>
  <c r="LF4" i="16" s="1"/>
  <c r="FZ67" i="17"/>
  <c r="FZ66" i="17"/>
  <c r="FZ65" i="17"/>
  <c r="FZ64" i="17"/>
  <c r="FZ63" i="17"/>
  <c r="FZ62" i="17"/>
  <c r="FX61" i="17"/>
  <c r="FZ60" i="17"/>
  <c r="FZ56" i="17"/>
  <c r="FZ55" i="17"/>
  <c r="FZ53" i="17"/>
  <c r="FZ52" i="17"/>
  <c r="FZ51" i="17"/>
  <c r="FX50" i="17"/>
  <c r="FZ49" i="17"/>
  <c r="FZ48" i="17"/>
  <c r="FZ47" i="17"/>
  <c r="FZ46" i="17"/>
  <c r="FZ45" i="17"/>
  <c r="FZ44" i="17"/>
  <c r="FZ43" i="17"/>
  <c r="FZ42" i="17"/>
  <c r="FZ41" i="17"/>
  <c r="FZ40" i="17"/>
  <c r="FZ39" i="17"/>
  <c r="FX38" i="17"/>
  <c r="FZ37" i="17"/>
  <c r="FZ35" i="17"/>
  <c r="FZ34" i="17"/>
  <c r="FZ33" i="17"/>
  <c r="FZ29" i="17"/>
  <c r="FZ27" i="17"/>
  <c r="FZ26" i="17"/>
  <c r="FZ24" i="17"/>
  <c r="FZ23" i="17"/>
  <c r="FZ21" i="17"/>
  <c r="FZ20" i="17"/>
  <c r="FX18" i="17"/>
  <c r="FZ17" i="17"/>
  <c r="FZ16" i="17"/>
  <c r="FZ15" i="17"/>
  <c r="FZ14" i="17"/>
  <c r="FZ13" i="17"/>
  <c r="FX12" i="17"/>
  <c r="FZ11" i="17"/>
  <c r="FZ10" i="17"/>
  <c r="FZ9" i="17"/>
  <c r="FZ8" i="17"/>
  <c r="FX7" i="17"/>
  <c r="LG10" i="16" l="1"/>
  <c r="LL10" i="16"/>
  <c r="LR10" i="16" s="1"/>
  <c r="LG4" i="16"/>
  <c r="LL4" i="16"/>
  <c r="LR4" i="16" s="1"/>
  <c r="LG14" i="16"/>
  <c r="LL14" i="16"/>
  <c r="LR14" i="16" s="1"/>
  <c r="LF7" i="16"/>
  <c r="KZ13" i="16"/>
  <c r="GB5" i="15"/>
  <c r="GC10" i="15" s="1"/>
  <c r="GB6" i="15"/>
  <c r="GB50" i="15" s="1"/>
  <c r="GB20" i="15"/>
  <c r="JR6" i="21"/>
  <c r="JR9" i="21"/>
  <c r="JR4" i="21"/>
  <c r="JR10" i="21"/>
  <c r="JR12" i="21"/>
  <c r="GC32" i="15"/>
  <c r="GC34" i="15"/>
  <c r="GC31" i="15"/>
  <c r="JQ35" i="21"/>
  <c r="JS35" i="21" s="1"/>
  <c r="JR8" i="21"/>
  <c r="JR5" i="21"/>
  <c r="JQ13" i="21"/>
  <c r="LA10" i="16"/>
  <c r="LA7" i="16"/>
  <c r="LA4" i="16"/>
  <c r="LA14" i="16"/>
  <c r="FX6" i="17"/>
  <c r="FX31" i="17"/>
  <c r="D623" i="23"/>
  <c r="D622" i="23"/>
  <c r="D621" i="23"/>
  <c r="D619" i="23"/>
  <c r="BU2" i="4"/>
  <c r="LS4" i="16" l="1"/>
  <c r="LS14" i="16"/>
  <c r="LS10" i="16"/>
  <c r="LM14" i="16"/>
  <c r="LM4" i="16"/>
  <c r="LM10" i="16"/>
  <c r="LG7" i="16"/>
  <c r="LL7" i="16"/>
  <c r="LR7" i="16" s="1"/>
  <c r="KZ29" i="16"/>
  <c r="KZ32" i="16" s="1"/>
  <c r="KZ35" i="16" s="1"/>
  <c r="KZ36" i="16" s="1"/>
  <c r="LF13" i="16"/>
  <c r="FY18" i="17"/>
  <c r="FY28" i="17"/>
  <c r="GC16" i="15"/>
  <c r="GB49" i="15"/>
  <c r="GC49" i="15" s="1"/>
  <c r="GC9" i="15"/>
  <c r="GC7" i="15"/>
  <c r="GC27" i="15"/>
  <c r="GC8" i="15"/>
  <c r="GC17" i="15"/>
  <c r="GC6" i="15"/>
  <c r="GC28" i="15"/>
  <c r="GC18" i="15"/>
  <c r="GC11" i="15"/>
  <c r="GC26" i="15"/>
  <c r="LA13" i="16"/>
  <c r="GC50" i="15"/>
  <c r="GC20" i="15"/>
  <c r="GC21" i="15"/>
  <c r="GC15" i="15"/>
  <c r="GC24" i="15"/>
  <c r="GC14" i="15"/>
  <c r="GC5" i="15"/>
  <c r="GC25" i="15"/>
  <c r="GC13" i="15"/>
  <c r="GC22" i="15"/>
  <c r="GC12" i="15"/>
  <c r="GC23" i="15"/>
  <c r="JR13" i="21"/>
  <c r="FY32" i="17"/>
  <c r="FY38" i="17"/>
  <c r="FX69" i="17"/>
  <c r="FY31" i="17"/>
  <c r="FY66" i="17"/>
  <c r="FY64" i="17"/>
  <c r="FY62" i="17"/>
  <c r="FY48" i="17"/>
  <c r="FY46" i="17"/>
  <c r="FY44" i="17"/>
  <c r="FY42" i="17"/>
  <c r="FY40" i="17"/>
  <c r="FY36" i="17"/>
  <c r="FY34" i="17"/>
  <c r="FY27" i="17"/>
  <c r="FY22" i="17"/>
  <c r="FY20" i="17"/>
  <c r="FY11" i="17"/>
  <c r="FY9" i="17"/>
  <c r="FY24" i="17"/>
  <c r="FY16" i="17"/>
  <c r="FY14" i="17"/>
  <c r="FY23" i="17"/>
  <c r="FY17" i="17"/>
  <c r="FY13" i="17"/>
  <c r="FY60" i="17"/>
  <c r="FY56" i="17"/>
  <c r="FY53" i="17"/>
  <c r="FY51" i="17"/>
  <c r="FY12" i="17"/>
  <c r="FY25" i="17"/>
  <c r="FY67" i="17"/>
  <c r="FY65" i="17"/>
  <c r="FY63" i="17"/>
  <c r="FY59" i="17"/>
  <c r="FY49" i="17"/>
  <c r="FY47" i="17"/>
  <c r="FY45" i="17"/>
  <c r="FY43" i="17"/>
  <c r="FY41" i="17"/>
  <c r="FY39" i="17"/>
  <c r="FY35" i="17"/>
  <c r="FY33" i="17"/>
  <c r="FY29" i="17"/>
  <c r="FY26" i="17"/>
  <c r="FY21" i="17"/>
  <c r="FY19" i="17"/>
  <c r="FY10" i="17"/>
  <c r="FY8" i="17"/>
  <c r="FY58" i="17"/>
  <c r="FY55" i="17"/>
  <c r="FY52" i="17"/>
  <c r="FY50" i="17"/>
  <c r="FY37" i="17"/>
  <c r="FY15" i="17"/>
  <c r="FY6" i="17"/>
  <c r="FY61" i="17"/>
  <c r="FY7" i="17"/>
  <c r="BU63" i="4"/>
  <c r="LS7" i="16" l="1"/>
  <c r="LM7" i="16"/>
  <c r="LG13" i="16"/>
  <c r="LL13" i="16"/>
  <c r="LR13" i="16" s="1"/>
  <c r="KZ39" i="16"/>
  <c r="LF40" i="16"/>
  <c r="LA40" i="16"/>
  <c r="JQ17" i="21"/>
  <c r="JQ14" i="21" s="1"/>
  <c r="GC47" i="15"/>
  <c r="FT41" i="17"/>
  <c r="FQ41" i="17"/>
  <c r="LS13" i="16" l="1"/>
  <c r="LM13" i="16"/>
  <c r="LG40" i="16"/>
  <c r="JW17" i="21"/>
  <c r="JW14" i="21" s="1"/>
  <c r="LF39" i="16"/>
  <c r="LA39" i="16"/>
  <c r="FN41" i="17"/>
  <c r="LG39" i="16" l="1"/>
  <c r="FW41" i="17"/>
  <c r="FI38" i="17"/>
  <c r="G659" i="23" l="1"/>
  <c r="F659" i="23"/>
  <c r="E659" i="23"/>
  <c r="D659" i="23"/>
  <c r="G658" i="23"/>
  <c r="F658" i="23"/>
  <c r="F660" i="23" s="1"/>
  <c r="E658" i="23"/>
  <c r="G656" i="23"/>
  <c r="E656" i="23"/>
  <c r="D656" i="23"/>
  <c r="G655" i="23"/>
  <c r="D655" i="23"/>
  <c r="G654" i="23"/>
  <c r="E654" i="23"/>
  <c r="D654" i="23"/>
  <c r="G653" i="23"/>
  <c r="E653" i="23"/>
  <c r="D653" i="23"/>
  <c r="G652" i="23"/>
  <c r="D652" i="23"/>
  <c r="G651" i="23"/>
  <c r="E651" i="23"/>
  <c r="D651" i="23"/>
  <c r="G650" i="23"/>
  <c r="E650" i="23"/>
  <c r="D650" i="23"/>
  <c r="G649" i="23"/>
  <c r="E649" i="23"/>
  <c r="D649" i="23"/>
  <c r="G648" i="23"/>
  <c r="E648" i="23"/>
  <c r="G647" i="23"/>
  <c r="E647" i="23"/>
  <c r="D647" i="23"/>
  <c r="G646" i="23"/>
  <c r="E646" i="23"/>
  <c r="D646" i="23"/>
  <c r="G645" i="23"/>
  <c r="E645" i="23"/>
  <c r="D645" i="23"/>
  <c r="G644" i="23"/>
  <c r="E644" i="23"/>
  <c r="D644" i="23"/>
  <c r="G643" i="23"/>
  <c r="E643" i="23"/>
  <c r="D643" i="23"/>
  <c r="G642" i="23"/>
  <c r="E642" i="23"/>
  <c r="D642" i="23"/>
  <c r="G641" i="23"/>
  <c r="E641" i="23"/>
  <c r="D641" i="23"/>
  <c r="G640" i="23"/>
  <c r="D640" i="23"/>
  <c r="G639" i="23"/>
  <c r="E639" i="23"/>
  <c r="D639" i="23"/>
  <c r="G638" i="23"/>
  <c r="E638" i="23"/>
  <c r="D638" i="23"/>
  <c r="G637" i="23"/>
  <c r="E637" i="23"/>
  <c r="D637" i="23"/>
  <c r="G636" i="23"/>
  <c r="E636" i="23"/>
  <c r="D636" i="23"/>
  <c r="G635" i="23"/>
  <c r="E635" i="23"/>
  <c r="D635" i="23"/>
  <c r="G634" i="23"/>
  <c r="E634" i="23"/>
  <c r="D634" i="23"/>
  <c r="G633" i="23"/>
  <c r="E633" i="23"/>
  <c r="D633" i="23"/>
  <c r="G632" i="23"/>
  <c r="E632" i="23"/>
  <c r="D632" i="23"/>
  <c r="G631" i="23"/>
  <c r="E631" i="23"/>
  <c r="D631" i="23"/>
  <c r="G630" i="23"/>
  <c r="E630" i="23"/>
  <c r="D630" i="23"/>
  <c r="G626" i="23"/>
  <c r="F626" i="23"/>
  <c r="E626" i="23"/>
  <c r="D626" i="23"/>
  <c r="G625" i="23"/>
  <c r="F625" i="23"/>
  <c r="E625" i="23"/>
  <c r="G623" i="23"/>
  <c r="F623" i="23"/>
  <c r="E623" i="23"/>
  <c r="G622" i="23"/>
  <c r="F622" i="23"/>
  <c r="G621" i="23"/>
  <c r="F621" i="23"/>
  <c r="E621" i="23"/>
  <c r="G620" i="23"/>
  <c r="G619" i="23"/>
  <c r="K612" i="23"/>
  <c r="K611" i="23" s="1"/>
  <c r="K610" i="23" s="1"/>
  <c r="K609" i="23" s="1"/>
  <c r="K608" i="23" s="1"/>
  <c r="K607" i="23" s="1"/>
  <c r="K606" i="23" s="1"/>
  <c r="K605" i="23" s="1"/>
  <c r="K604" i="23" s="1"/>
  <c r="K603" i="23" s="1"/>
  <c r="K602" i="23" s="1"/>
  <c r="K601" i="23" s="1"/>
  <c r="K600" i="23" s="1"/>
  <c r="K599" i="23" s="1"/>
  <c r="K598" i="23" s="1"/>
  <c r="K597" i="23" s="1"/>
  <c r="K596" i="23" s="1"/>
  <c r="K595" i="23" s="1"/>
  <c r="K594" i="23" s="1"/>
  <c r="K593" i="23" s="1"/>
  <c r="K592" i="23" s="1"/>
  <c r="K591" i="23" s="1"/>
  <c r="K590" i="23" s="1"/>
  <c r="K589" i="23" s="1"/>
  <c r="K588" i="23" s="1"/>
  <c r="K587" i="23" s="1"/>
  <c r="K586" i="23" s="1"/>
  <c r="K585" i="23" s="1"/>
  <c r="K584" i="23" s="1"/>
  <c r="K583" i="23" s="1"/>
  <c r="K582" i="23" s="1"/>
  <c r="K581" i="23" s="1"/>
  <c r="K580" i="23" s="1"/>
  <c r="K579" i="23" s="1"/>
  <c r="K578" i="23" s="1"/>
  <c r="K577" i="23" s="1"/>
  <c r="K576" i="23" s="1"/>
  <c r="K575" i="23" s="1"/>
  <c r="K574" i="23" s="1"/>
  <c r="K573" i="23" s="1"/>
  <c r="K572" i="23" s="1"/>
  <c r="K571" i="23" s="1"/>
  <c r="K570" i="23" s="1"/>
  <c r="K569" i="23" s="1"/>
  <c r="K568" i="23" s="1"/>
  <c r="K567" i="23" s="1"/>
  <c r="K566" i="23" s="1"/>
  <c r="K565" i="23" s="1"/>
  <c r="K564" i="23" s="1"/>
  <c r="K563" i="23" s="1"/>
  <c r="K562" i="23" s="1"/>
  <c r="K561" i="23" s="1"/>
  <c r="K560" i="23" s="1"/>
  <c r="K559" i="23" s="1"/>
  <c r="K558" i="23" s="1"/>
  <c r="K557" i="23" s="1"/>
  <c r="K556" i="23" s="1"/>
  <c r="K555" i="23" s="1"/>
  <c r="K554" i="23" s="1"/>
  <c r="K553" i="23" s="1"/>
  <c r="K552" i="23" s="1"/>
  <c r="K551" i="23" s="1"/>
  <c r="K550" i="23" s="1"/>
  <c r="K549" i="23" s="1"/>
  <c r="K548" i="23" s="1"/>
  <c r="K547" i="23" s="1"/>
  <c r="K546" i="23" s="1"/>
  <c r="K544" i="23" s="1"/>
  <c r="K543" i="23" s="1"/>
  <c r="K542" i="23" s="1"/>
  <c r="K541" i="23" s="1"/>
  <c r="K540" i="23" s="1"/>
  <c r="K539" i="23" s="1"/>
  <c r="K538" i="23" s="1"/>
  <c r="K537" i="23" s="1"/>
  <c r="K536" i="23" s="1"/>
  <c r="K535" i="23" s="1"/>
  <c r="K534" i="23" s="1"/>
  <c r="K533" i="23" s="1"/>
  <c r="K532" i="23" s="1"/>
  <c r="K531" i="23" s="1"/>
  <c r="K530" i="23" s="1"/>
  <c r="K529" i="23" s="1"/>
  <c r="K528" i="23" s="1"/>
  <c r="K527" i="23" s="1"/>
  <c r="K526" i="23" s="1"/>
  <c r="K525" i="23" s="1"/>
  <c r="K524" i="23" s="1"/>
  <c r="K523" i="23" s="1"/>
  <c r="K522" i="23" s="1"/>
  <c r="K521" i="23" s="1"/>
  <c r="K520" i="23" s="1"/>
  <c r="K519" i="23" s="1"/>
  <c r="K518" i="23" s="1"/>
  <c r="K517" i="23" s="1"/>
  <c r="K516" i="23" s="1"/>
  <c r="K515" i="23" s="1"/>
  <c r="K514" i="23" s="1"/>
  <c r="K513" i="23" s="1"/>
  <c r="K512" i="23" s="1"/>
  <c r="K511" i="23" s="1"/>
  <c r="K510" i="23" s="1"/>
  <c r="K509" i="23" s="1"/>
  <c r="K508" i="23" s="1"/>
  <c r="K507" i="23" s="1"/>
  <c r="K506" i="23" s="1"/>
  <c r="K505" i="23" s="1"/>
  <c r="K504" i="23" s="1"/>
  <c r="K503" i="23" s="1"/>
  <c r="K502" i="23" s="1"/>
  <c r="K501" i="23" s="1"/>
  <c r="K500" i="23" s="1"/>
  <c r="K499" i="23" s="1"/>
  <c r="K498" i="23" s="1"/>
  <c r="K497" i="23" s="1"/>
  <c r="K496" i="23" s="1"/>
  <c r="K495" i="23" s="1"/>
  <c r="K494" i="23" s="1"/>
  <c r="K493" i="23" s="1"/>
  <c r="K492" i="23" s="1"/>
  <c r="K491" i="23" s="1"/>
  <c r="K490" i="23" s="1"/>
  <c r="K489" i="23" s="1"/>
  <c r="K488" i="23" s="1"/>
  <c r="K487" i="23" s="1"/>
  <c r="K486" i="23" s="1"/>
  <c r="K485" i="23" s="1"/>
  <c r="K484" i="23" s="1"/>
  <c r="K483" i="23" s="1"/>
  <c r="K482" i="23" s="1"/>
  <c r="K481" i="23" s="1"/>
  <c r="K480" i="23" s="1"/>
  <c r="K479" i="23" s="1"/>
  <c r="K476" i="23" s="1"/>
  <c r="K475" i="23" s="1"/>
  <c r="K474" i="23" s="1"/>
  <c r="K473" i="23" s="1"/>
  <c r="K472" i="23" s="1"/>
  <c r="K471" i="23" s="1"/>
  <c r="K470" i="23" s="1"/>
  <c r="K469" i="23" s="1"/>
  <c r="K468" i="23" s="1"/>
  <c r="K466" i="23" s="1"/>
  <c r="K465" i="23" s="1"/>
  <c r="K464" i="23" s="1"/>
  <c r="K461" i="23" s="1"/>
  <c r="K460" i="23" s="1"/>
  <c r="K459" i="23" s="1"/>
  <c r="K457" i="23" s="1"/>
  <c r="K456" i="23" s="1"/>
  <c r="K455" i="23" s="1"/>
  <c r="K454" i="23" s="1"/>
  <c r="K452" i="23" s="1"/>
  <c r="K451" i="23" s="1"/>
  <c r="K450" i="23" s="1"/>
  <c r="K449" i="23" s="1"/>
  <c r="K448" i="23" s="1"/>
  <c r="K447" i="23" s="1"/>
  <c r="K446" i="23" s="1"/>
  <c r="K445" i="23" s="1"/>
  <c r="K444" i="23" s="1"/>
  <c r="K443" i="23" s="1"/>
  <c r="K441" i="23" s="1"/>
  <c r="K440" i="23" s="1"/>
  <c r="K438" i="23" s="1"/>
  <c r="K437" i="23" s="1"/>
  <c r="K436" i="23" s="1"/>
  <c r="K434" i="23" s="1"/>
  <c r="K433" i="23" s="1"/>
  <c r="K432" i="23" s="1"/>
  <c r="K430" i="23" s="1"/>
  <c r="K428" i="23" s="1"/>
  <c r="K425" i="23" s="1"/>
  <c r="K423" i="23" s="1"/>
  <c r="K422" i="23" s="1"/>
  <c r="K421" i="23" s="1"/>
  <c r="K420" i="23" s="1"/>
  <c r="K418" i="23" s="1"/>
  <c r="K417" i="23" s="1"/>
  <c r="K415" i="23" s="1"/>
  <c r="K413" i="23" s="1"/>
  <c r="K412" i="23" s="1"/>
  <c r="K410" i="23" s="1"/>
  <c r="K409" i="23" s="1"/>
  <c r="K408" i="23" s="1"/>
  <c r="K406" i="23" s="1"/>
  <c r="K405" i="23" s="1"/>
  <c r="K403" i="23" s="1"/>
  <c r="K402" i="23" s="1"/>
  <c r="K401" i="23" s="1"/>
  <c r="K399" i="23" s="1"/>
  <c r="K398" i="23" s="1"/>
  <c r="K396" i="23" s="1"/>
  <c r="K395" i="23" s="1"/>
  <c r="K393" i="23" s="1"/>
  <c r="K392" i="23" s="1"/>
  <c r="K389" i="23" s="1"/>
  <c r="K388" i="23" s="1"/>
  <c r="K385" i="23" s="1"/>
  <c r="K383" i="23" s="1"/>
  <c r="K382" i="23" s="1"/>
  <c r="K381" i="23" s="1"/>
  <c r="K378" i="23" s="1"/>
  <c r="K376" i="23" s="1"/>
  <c r="K375" i="23" s="1"/>
  <c r="K373" i="23" s="1"/>
  <c r="K372" i="23" s="1"/>
  <c r="K371" i="23" s="1"/>
  <c r="K370" i="23" s="1"/>
  <c r="K369" i="23" s="1"/>
  <c r="K368" i="23" s="1"/>
  <c r="K367" i="23" s="1"/>
  <c r="K365" i="23" s="1"/>
  <c r="K362" i="23" s="1"/>
  <c r="K359" i="23" s="1"/>
  <c r="K357" i="23" s="1"/>
  <c r="K352" i="23" s="1"/>
  <c r="K349" i="23" s="1"/>
  <c r="K348" i="23" s="1"/>
  <c r="K347" i="23" s="1"/>
  <c r="K342" i="23" s="1"/>
  <c r="K339" i="23" s="1"/>
  <c r="K338" i="23" s="1"/>
  <c r="K337" i="23" s="1"/>
  <c r="K335" i="23" s="1"/>
  <c r="K331" i="23" s="1"/>
  <c r="K330" i="23" s="1"/>
  <c r="K329" i="23" s="1"/>
  <c r="K326" i="23" s="1"/>
  <c r="K325" i="23" s="1"/>
  <c r="K324" i="23" s="1"/>
  <c r="K323" i="23" s="1"/>
  <c r="K320" i="23" s="1"/>
  <c r="K319" i="23" s="1"/>
  <c r="K318" i="23" s="1"/>
  <c r="K317" i="23" s="1"/>
  <c r="K315" i="23" s="1"/>
  <c r="K314" i="23" s="1"/>
  <c r="K313" i="23" s="1"/>
  <c r="K312" i="23" s="1"/>
  <c r="K311" i="23" s="1"/>
  <c r="K310" i="23" s="1"/>
  <c r="K309" i="23" s="1"/>
  <c r="K308" i="23" s="1"/>
  <c r="K307" i="23" s="1"/>
  <c r="K303" i="23" s="1"/>
  <c r="K302" i="23" s="1"/>
  <c r="K301" i="23" s="1"/>
  <c r="K300" i="23" s="1"/>
  <c r="K299" i="23" s="1"/>
  <c r="K298" i="23" s="1"/>
  <c r="K297" i="23" s="1"/>
  <c r="K296" i="23" s="1"/>
  <c r="K295" i="23" s="1"/>
  <c r="K289" i="23" s="1"/>
  <c r="K288" i="23" s="1"/>
  <c r="K285" i="23" s="1"/>
  <c r="K284" i="23" s="1"/>
  <c r="K283" i="23" s="1"/>
  <c r="K277" i="23" s="1"/>
  <c r="K274" i="23" s="1"/>
  <c r="K270" i="23" s="1"/>
  <c r="K269" i="23" s="1"/>
  <c r="K267" i="23" s="1"/>
  <c r="K266" i="23" s="1"/>
  <c r="K265" i="23" s="1"/>
  <c r="K264" i="23" s="1"/>
  <c r="K263" i="23" s="1"/>
  <c r="K262" i="23" s="1"/>
  <c r="K259" i="23" s="1"/>
  <c r="K257" i="23" s="1"/>
  <c r="K256" i="23" s="1"/>
  <c r="K250" i="23" s="1"/>
  <c r="K249" i="23" s="1"/>
  <c r="K247" i="23" s="1"/>
  <c r="K246" i="23" s="1"/>
  <c r="K244" i="23" s="1"/>
  <c r="K242" i="23" s="1"/>
  <c r="K231" i="23" s="1"/>
  <c r="K229" i="23" s="1"/>
  <c r="L611" i="23"/>
  <c r="L610" i="23" s="1"/>
  <c r="L609" i="23" s="1"/>
  <c r="L608" i="23" s="1"/>
  <c r="L607" i="23" s="1"/>
  <c r="L606" i="23" s="1"/>
  <c r="L605" i="23" s="1"/>
  <c r="L604" i="23" s="1"/>
  <c r="L603" i="23" s="1"/>
  <c r="L602" i="23" s="1"/>
  <c r="L601" i="23" s="1"/>
  <c r="L600" i="23" s="1"/>
  <c r="L599" i="23" s="1"/>
  <c r="L598" i="23" s="1"/>
  <c r="L597" i="23" s="1"/>
  <c r="L596" i="23" s="1"/>
  <c r="L595" i="23" s="1"/>
  <c r="L594" i="23" s="1"/>
  <c r="L593" i="23" s="1"/>
  <c r="L592" i="23" s="1"/>
  <c r="L591" i="23" s="1"/>
  <c r="L590" i="23" s="1"/>
  <c r="L589" i="23" s="1"/>
  <c r="L588" i="23" s="1"/>
  <c r="L587" i="23" s="1"/>
  <c r="L586" i="23" s="1"/>
  <c r="L585" i="23" s="1"/>
  <c r="L584" i="23" s="1"/>
  <c r="L583" i="23" s="1"/>
  <c r="L582" i="23" s="1"/>
  <c r="L581" i="23" s="1"/>
  <c r="L580" i="23" s="1"/>
  <c r="L579" i="23" s="1"/>
  <c r="L578" i="23" s="1"/>
  <c r="L577" i="23" s="1"/>
  <c r="L576" i="23" s="1"/>
  <c r="L575" i="23" s="1"/>
  <c r="L574" i="23" s="1"/>
  <c r="L573" i="23" s="1"/>
  <c r="L572" i="23" s="1"/>
  <c r="L571" i="23" s="1"/>
  <c r="L570" i="23" s="1"/>
  <c r="L569" i="23" s="1"/>
  <c r="L568" i="23" s="1"/>
  <c r="L567" i="23" s="1"/>
  <c r="L566" i="23" s="1"/>
  <c r="L565" i="23" s="1"/>
  <c r="L564" i="23" s="1"/>
  <c r="L563" i="23" s="1"/>
  <c r="L562" i="23" s="1"/>
  <c r="L561" i="23" s="1"/>
  <c r="L560" i="23" s="1"/>
  <c r="L559" i="23" s="1"/>
  <c r="L558" i="23" s="1"/>
  <c r="L557" i="23" s="1"/>
  <c r="L556" i="23" s="1"/>
  <c r="L555" i="23" s="1"/>
  <c r="L554" i="23" s="1"/>
  <c r="L553" i="23" s="1"/>
  <c r="L552" i="23" s="1"/>
  <c r="L551" i="23" s="1"/>
  <c r="L550" i="23" s="1"/>
  <c r="L549" i="23" s="1"/>
  <c r="L548" i="23" s="1"/>
  <c r="L547" i="23" s="1"/>
  <c r="L546" i="23" s="1"/>
  <c r="L544" i="23" s="1"/>
  <c r="L543" i="23" s="1"/>
  <c r="L542" i="23" s="1"/>
  <c r="L541" i="23" s="1"/>
  <c r="L540" i="23" s="1"/>
  <c r="L539" i="23" s="1"/>
  <c r="L538" i="23" s="1"/>
  <c r="L537" i="23" s="1"/>
  <c r="L536" i="23" s="1"/>
  <c r="L535" i="23" s="1"/>
  <c r="L534" i="23" s="1"/>
  <c r="L533" i="23" s="1"/>
  <c r="L532" i="23" s="1"/>
  <c r="L531" i="23" s="1"/>
  <c r="L530" i="23" s="1"/>
  <c r="L529" i="23" s="1"/>
  <c r="L528" i="23" s="1"/>
  <c r="L527" i="23" s="1"/>
  <c r="L526" i="23" s="1"/>
  <c r="L525" i="23" s="1"/>
  <c r="L524" i="23" s="1"/>
  <c r="L523" i="23" s="1"/>
  <c r="L522" i="23" s="1"/>
  <c r="L521" i="23" s="1"/>
  <c r="L520" i="23" s="1"/>
  <c r="L519" i="23" s="1"/>
  <c r="L518" i="23" s="1"/>
  <c r="L517" i="23" s="1"/>
  <c r="L516" i="23" s="1"/>
  <c r="L515" i="23" s="1"/>
  <c r="L514" i="23" s="1"/>
  <c r="L513" i="23" s="1"/>
  <c r="L512" i="23" s="1"/>
  <c r="L511" i="23" s="1"/>
  <c r="L510" i="23" s="1"/>
  <c r="L509" i="23" s="1"/>
  <c r="L508" i="23" s="1"/>
  <c r="L507" i="23" s="1"/>
  <c r="L506" i="23" s="1"/>
  <c r="L505" i="23" s="1"/>
  <c r="L504" i="23" s="1"/>
  <c r="L503" i="23" s="1"/>
  <c r="L502" i="23" s="1"/>
  <c r="L501" i="23" s="1"/>
  <c r="L500" i="23" s="1"/>
  <c r="L499" i="23" s="1"/>
  <c r="L498" i="23" s="1"/>
  <c r="L497" i="23" s="1"/>
  <c r="L496" i="23" s="1"/>
  <c r="L495" i="23" s="1"/>
  <c r="L494" i="23" s="1"/>
  <c r="L493" i="23" s="1"/>
  <c r="L492" i="23" s="1"/>
  <c r="L491" i="23" s="1"/>
  <c r="L490" i="23" s="1"/>
  <c r="L489" i="23" s="1"/>
  <c r="L488" i="23" s="1"/>
  <c r="L487" i="23" s="1"/>
  <c r="L486" i="23" s="1"/>
  <c r="L485" i="23" s="1"/>
  <c r="L484" i="23" s="1"/>
  <c r="L483" i="23" s="1"/>
  <c r="L482" i="23" s="1"/>
  <c r="L481" i="23" s="1"/>
  <c r="L480" i="23" s="1"/>
  <c r="L479" i="23" s="1"/>
  <c r="L478" i="23" s="1"/>
  <c r="L477" i="23" s="1"/>
  <c r="L476" i="23" s="1"/>
  <c r="L475" i="23" s="1"/>
  <c r="L474" i="23" s="1"/>
  <c r="L473" i="23" s="1"/>
  <c r="L472" i="23" s="1"/>
  <c r="L471" i="23" s="1"/>
  <c r="L470" i="23" s="1"/>
  <c r="L469" i="23" s="1"/>
  <c r="L468" i="23" s="1"/>
  <c r="L467" i="23" s="1"/>
  <c r="L466" i="23" s="1"/>
  <c r="L465" i="23" s="1"/>
  <c r="L464" i="23" s="1"/>
  <c r="L462" i="23" s="1"/>
  <c r="L461" i="23" s="1"/>
  <c r="L460" i="23" s="1"/>
  <c r="L459" i="23" s="1"/>
  <c r="L458" i="23" s="1"/>
  <c r="L457" i="23" s="1"/>
  <c r="L456" i="23" s="1"/>
  <c r="L455" i="23" s="1"/>
  <c r="L454" i="23" s="1"/>
  <c r="L453" i="23" s="1"/>
  <c r="L452" i="23" s="1"/>
  <c r="L451" i="23" s="1"/>
  <c r="L450" i="23" s="1"/>
  <c r="L449" i="23" s="1"/>
  <c r="L448" i="23" s="1"/>
  <c r="L447" i="23" s="1"/>
  <c r="L446" i="23" s="1"/>
  <c r="L445" i="23" s="1"/>
  <c r="L444" i="23" s="1"/>
  <c r="L443" i="23" s="1"/>
  <c r="L442" i="23" s="1"/>
  <c r="L441" i="23" s="1"/>
  <c r="L440" i="23" s="1"/>
  <c r="K467" i="23"/>
  <c r="K462" i="23" s="1"/>
  <c r="K453" i="23"/>
  <c r="K442" i="23" s="1"/>
  <c r="K435" i="23" s="1"/>
  <c r="K397" i="23"/>
  <c r="K391" i="23" s="1"/>
  <c r="K390" i="23" s="1"/>
  <c r="K387" i="23" s="1"/>
  <c r="K384" i="23" s="1"/>
  <c r="K380" i="23" s="1"/>
  <c r="K364" i="23" s="1"/>
  <c r="K341" i="23" s="1"/>
  <c r="K340" i="23" s="1"/>
  <c r="K336" i="23" s="1"/>
  <c r="K334" i="23" s="1"/>
  <c r="K328" i="23" s="1"/>
  <c r="K322" i="23" s="1"/>
  <c r="K316" i="23" s="1"/>
  <c r="K294" i="23" s="1"/>
  <c r="K292" i="23" s="1"/>
  <c r="K290" i="23" s="1"/>
  <c r="K282" i="23" s="1"/>
  <c r="K281" i="23" s="1"/>
  <c r="K280" i="23" s="1"/>
  <c r="K276" i="23" s="1"/>
  <c r="K273" i="23" s="1"/>
  <c r="K92" i="23"/>
  <c r="K89" i="23" s="1"/>
  <c r="K48" i="23" s="1"/>
  <c r="K47" i="23" s="1"/>
  <c r="K40" i="23" s="1"/>
  <c r="K39" i="23" s="1"/>
  <c r="K26" i="23" s="1"/>
  <c r="L438" i="23" l="1"/>
  <c r="L437" i="23" s="1"/>
  <c r="L436" i="23" s="1"/>
  <c r="L435" i="23" s="1"/>
  <c r="L434" i="23" s="1"/>
  <c r="L433" i="23" s="1"/>
  <c r="L432" i="23" s="1"/>
  <c r="L431" i="23" s="1"/>
  <c r="L430" i="23" s="1"/>
  <c r="L429" i="23" s="1"/>
  <c r="L428" i="23" s="1"/>
  <c r="L426" i="23" s="1"/>
  <c r="L425" i="23" s="1"/>
  <c r="L424" i="23" s="1"/>
  <c r="L423" i="23" s="1"/>
  <c r="L422" i="23" s="1"/>
  <c r="L421" i="23" s="1"/>
  <c r="L420" i="23" s="1"/>
  <c r="L419" i="23" s="1"/>
  <c r="L418" i="23" s="1"/>
  <c r="L417" i="23" s="1"/>
  <c r="L415" i="23" s="1"/>
  <c r="L414" i="23" s="1"/>
  <c r="L413" i="23" s="1"/>
  <c r="L412" i="23" s="1"/>
  <c r="L411" i="23" s="1"/>
  <c r="L410" i="23" s="1"/>
  <c r="L409" i="23" s="1"/>
  <c r="L408" i="23" s="1"/>
  <c r="L407" i="23" s="1"/>
  <c r="L406" i="23" s="1"/>
  <c r="L405" i="23" s="1"/>
  <c r="L403" i="23" s="1"/>
  <c r="L402" i="23" s="1"/>
  <c r="L401" i="23" s="1"/>
  <c r="L399" i="23" s="1"/>
  <c r="L398" i="23" s="1"/>
  <c r="L397" i="23" s="1"/>
  <c r="L396" i="23" s="1"/>
  <c r="L395" i="23" s="1"/>
  <c r="L394" i="23" s="1"/>
  <c r="L393" i="23" s="1"/>
  <c r="L392" i="23" s="1"/>
  <c r="L391" i="23" s="1"/>
  <c r="L390" i="23" s="1"/>
  <c r="L389" i="23" s="1"/>
  <c r="L388" i="23" s="1"/>
  <c r="L387" i="23" s="1"/>
  <c r="L386" i="23" s="1"/>
  <c r="L385" i="23" s="1"/>
  <c r="L384" i="23" s="1"/>
  <c r="L383" i="23" s="1"/>
  <c r="L382" i="23" s="1"/>
  <c r="L381" i="23" s="1"/>
  <c r="L380" i="23" s="1"/>
  <c r="L379" i="23" s="1"/>
  <c r="L378" i="23" s="1"/>
  <c r="L376" i="23" s="1"/>
  <c r="L375" i="23" s="1"/>
  <c r="L373" i="23" s="1"/>
  <c r="L372" i="23" s="1"/>
  <c r="L371" i="23" s="1"/>
  <c r="L370" i="23" s="1"/>
  <c r="L369" i="23" s="1"/>
  <c r="L368" i="23" s="1"/>
  <c r="L367" i="23" s="1"/>
  <c r="L366" i="23" s="1"/>
  <c r="L365" i="23" s="1"/>
  <c r="L364" i="23" s="1"/>
  <c r="L363" i="23" s="1"/>
  <c r="L362" i="23" s="1"/>
  <c r="L361" i="23" s="1"/>
  <c r="L360" i="23" s="1"/>
  <c r="L359" i="23" s="1"/>
  <c r="L357" i="23" s="1"/>
  <c r="L353" i="23" s="1"/>
  <c r="L352" i="23" s="1"/>
  <c r="L350" i="23" s="1"/>
  <c r="L349" i="23" s="1"/>
  <c r="L348" i="23" s="1"/>
  <c r="L347" i="23" s="1"/>
  <c r="L344" i="23" s="1"/>
  <c r="L343" i="23" s="1"/>
  <c r="L342" i="23" s="1"/>
  <c r="L341" i="23" s="1"/>
  <c r="L340" i="23" s="1"/>
  <c r="L339" i="23" s="1"/>
  <c r="L338" i="23" s="1"/>
  <c r="L337" i="23" s="1"/>
  <c r="L336" i="23" s="1"/>
  <c r="L335" i="23" s="1"/>
  <c r="L334" i="23" s="1"/>
  <c r="L333" i="23" s="1"/>
  <c r="L332" i="23" s="1"/>
  <c r="L331" i="23" s="1"/>
  <c r="L330" i="23" s="1"/>
  <c r="L329" i="23" s="1"/>
  <c r="L328" i="23" s="1"/>
  <c r="L327" i="23" s="1"/>
  <c r="L326" i="23" s="1"/>
  <c r="L325" i="23" s="1"/>
  <c r="L324" i="23" s="1"/>
  <c r="L323" i="23" s="1"/>
  <c r="L322" i="23" s="1"/>
  <c r="L321" i="23" s="1"/>
  <c r="L320" i="23" s="1"/>
  <c r="L319" i="23" s="1"/>
  <c r="L318" i="23" s="1"/>
  <c r="L317" i="23" s="1"/>
  <c r="L316" i="23" s="1"/>
  <c r="L315" i="23" s="1"/>
  <c r="L314" i="23" s="1"/>
  <c r="L313" i="23" s="1"/>
  <c r="L312" i="23" s="1"/>
  <c r="L311" i="23" s="1"/>
  <c r="L310" i="23" s="1"/>
  <c r="L309" i="23" s="1"/>
  <c r="L308" i="23" s="1"/>
  <c r="L307" i="23" s="1"/>
  <c r="F624" i="23"/>
  <c r="F627" i="23" s="1"/>
  <c r="G657" i="23"/>
  <c r="G660" i="23" s="1"/>
  <c r="G624" i="23"/>
  <c r="G627" i="23" s="1"/>
  <c r="K431" i="23"/>
  <c r="K429" i="23" s="1"/>
  <c r="K426" i="23" s="1"/>
  <c r="K424" i="23" s="1"/>
  <c r="K419" i="23" s="1"/>
  <c r="K414" i="23" s="1"/>
  <c r="K407" i="23" s="1"/>
  <c r="K394" i="23" s="1"/>
  <c r="K386" i="23" s="1"/>
  <c r="K379" i="23" s="1"/>
  <c r="K366" i="23" s="1"/>
  <c r="K363" i="23" s="1"/>
  <c r="K361" i="23" s="1"/>
  <c r="K360" i="23" s="1"/>
  <c r="K353" i="23" s="1"/>
  <c r="K350" i="23" s="1"/>
  <c r="K344" i="23" s="1"/>
  <c r="K343" i="23" s="1"/>
  <c r="K333" i="23" s="1"/>
  <c r="K332" i="23" s="1"/>
  <c r="K327" i="23" s="1"/>
  <c r="K321" i="23" s="1"/>
  <c r="K260" i="23"/>
  <c r="K258" i="23" s="1"/>
  <c r="K254" i="23" s="1"/>
  <c r="K253" i="23" s="1"/>
  <c r="K252" i="23" s="1"/>
  <c r="K251" i="23" s="1"/>
  <c r="K248" i="23" s="1"/>
  <c r="K245" i="23" s="1"/>
  <c r="K224" i="23"/>
  <c r="K223" i="23" s="1"/>
  <c r="K222" i="23" s="1"/>
  <c r="K221" i="23" s="1"/>
  <c r="K219" i="23" s="1"/>
  <c r="K218" i="23" s="1"/>
  <c r="K214" i="23" s="1"/>
  <c r="K211" i="23" s="1"/>
  <c r="K208" i="23" s="1"/>
  <c r="K207" i="23" s="1"/>
  <c r="K206" i="23" s="1"/>
  <c r="K205" i="23" s="1"/>
  <c r="K201" i="23" s="1"/>
  <c r="K197" i="23" s="1"/>
  <c r="K190" i="23" s="1"/>
  <c r="K189" i="23" s="1"/>
  <c r="K188" i="23" s="1"/>
  <c r="K185" i="23" s="1"/>
  <c r="K181" i="23" s="1"/>
  <c r="K177" i="23" s="1"/>
  <c r="K169" i="23" s="1"/>
  <c r="K168" i="23" s="1"/>
  <c r="K165" i="23" s="1"/>
  <c r="K164" i="23" s="1"/>
  <c r="K162" i="23" s="1"/>
  <c r="K160" i="23" s="1"/>
  <c r="K157" i="23" s="1"/>
  <c r="K155" i="23" s="1"/>
  <c r="K153" i="23" s="1"/>
  <c r="K152" i="23" s="1"/>
  <c r="K149" i="23" s="1"/>
  <c r="K147" i="23" s="1"/>
  <c r="K146" i="23" s="1"/>
  <c r="K142" i="23" s="1"/>
  <c r="K140" i="23" s="1"/>
  <c r="K139" i="23" s="1"/>
  <c r="K138" i="23" s="1"/>
  <c r="K137" i="23" s="1"/>
  <c r="K135" i="23" s="1"/>
  <c r="K131" i="23" s="1"/>
  <c r="K130" i="23" s="1"/>
  <c r="K128" i="23" s="1"/>
  <c r="K126" i="23" s="1"/>
  <c r="K125" i="23" s="1"/>
  <c r="K121" i="23" s="1"/>
  <c r="K114" i="23" s="1"/>
  <c r="K113" i="23" s="1"/>
  <c r="K111" i="23" s="1"/>
  <c r="K110" i="23" s="1"/>
  <c r="K109" i="23" s="1"/>
  <c r="E657" i="23"/>
  <c r="E660" i="23" s="1"/>
  <c r="D657" i="23"/>
  <c r="D660" i="23" s="1"/>
  <c r="E624" i="23"/>
  <c r="E627" i="23" s="1"/>
  <c r="D624" i="23"/>
  <c r="D627" i="23" s="1"/>
  <c r="K107" i="23" l="1"/>
  <c r="K106" i="23" s="1"/>
  <c r="K95" i="23" s="1"/>
  <c r="K93" i="23" s="1"/>
  <c r="K91" i="23" s="1"/>
  <c r="K88" i="23" s="1"/>
  <c r="K83" i="23" s="1"/>
  <c r="K82" i="23" s="1"/>
  <c r="K81" i="23" s="1"/>
  <c r="K80" i="23" s="1"/>
  <c r="K79" i="23" s="1"/>
  <c r="K77" i="23" s="1"/>
  <c r="K76" i="23" s="1"/>
  <c r="K75" i="23" s="1"/>
  <c r="K74" i="23" s="1"/>
  <c r="K73" i="23" s="1"/>
  <c r="K72" i="23" s="1"/>
  <c r="K71" i="23" s="1"/>
  <c r="K70" i="23" s="1"/>
  <c r="K62" i="23" s="1"/>
  <c r="K58" i="23" s="1"/>
  <c r="K57" i="23" s="1"/>
  <c r="K54" i="23" s="1"/>
  <c r="K53" i="23" s="1"/>
  <c r="K52" i="23" s="1"/>
  <c r="L306" i="23"/>
  <c r="L305" i="23" s="1"/>
  <c r="L304" i="23" s="1"/>
  <c r="L303" i="23" s="1"/>
  <c r="L302" i="23" s="1"/>
  <c r="L301" i="23" s="1"/>
  <c r="L300" i="23" s="1"/>
  <c r="L299" i="23" s="1"/>
  <c r="L298" i="23" s="1"/>
  <c r="L297" i="23" s="1"/>
  <c r="L296" i="23" s="1"/>
  <c r="L295" i="23" s="1"/>
  <c r="L294" i="23" s="1"/>
  <c r="L293" i="23" s="1"/>
  <c r="L292" i="23" s="1"/>
  <c r="L291" i="23" s="1"/>
  <c r="L290" i="23" s="1"/>
  <c r="L289" i="23" s="1"/>
  <c r="L288" i="23" s="1"/>
  <c r="L287" i="23" s="1"/>
  <c r="L285" i="23" s="1"/>
  <c r="L284" i="23" s="1"/>
  <c r="L283" i="23" s="1"/>
  <c r="L282" i="23" s="1"/>
  <c r="L281" i="23" s="1"/>
  <c r="L280" i="23" s="1"/>
  <c r="L278" i="23" s="1"/>
  <c r="L277" i="23" s="1"/>
  <c r="L276" i="23" s="1"/>
  <c r="L275" i="23" s="1"/>
  <c r="L274" i="23" s="1"/>
  <c r="L273" i="23" s="1"/>
  <c r="L271" i="23" s="1"/>
  <c r="L270" i="23" s="1"/>
  <c r="L269" i="23" s="1"/>
  <c r="L268" i="23" s="1"/>
  <c r="L267" i="23" s="1"/>
  <c r="L266" i="23" s="1"/>
  <c r="L265" i="23" s="1"/>
  <c r="L264" i="23" s="1"/>
  <c r="L263" i="23" s="1"/>
  <c r="L262" i="23" s="1"/>
  <c r="L260" i="23" s="1"/>
  <c r="K306" i="23"/>
  <c r="K305" i="23" s="1"/>
  <c r="K304" i="23" s="1"/>
  <c r="K293" i="23" s="1"/>
  <c r="K291" i="23" s="1"/>
  <c r="K287" i="23" s="1"/>
  <c r="K278" i="23" s="1"/>
  <c r="K275" i="23" s="1"/>
  <c r="K271" i="23" s="1"/>
  <c r="K268" i="23" s="1"/>
  <c r="K255" i="23" s="1"/>
  <c r="K243" i="23" s="1"/>
  <c r="K241" i="23" s="1"/>
  <c r="K238" i="23" s="1"/>
  <c r="K230" i="23" s="1"/>
  <c r="K227" i="23" s="1"/>
  <c r="K226" i="23" s="1"/>
  <c r="K225" i="23" s="1"/>
  <c r="K220" i="23" s="1"/>
  <c r="K216" i="23" s="1"/>
  <c r="K213" i="23" s="1"/>
  <c r="K212" i="23" s="1"/>
  <c r="K210" i="23" s="1"/>
  <c r="K204" i="23" s="1"/>
  <c r="K200" i="23" s="1"/>
  <c r="K199" i="23" s="1"/>
  <c r="K195" i="23" s="1"/>
  <c r="K187" i="23" s="1"/>
  <c r="K183" i="23" s="1"/>
  <c r="K182" i="23" s="1"/>
  <c r="K180" i="23" s="1"/>
  <c r="K178" i="23" s="1"/>
  <c r="K176" i="23" s="1"/>
  <c r="K174" i="23" s="1"/>
  <c r="K173" i="23" s="1"/>
  <c r="K172" i="23" s="1"/>
  <c r="K167" i="23" s="1"/>
  <c r="K163" i="23" s="1"/>
  <c r="K161" i="23" s="1"/>
  <c r="K158" i="23" s="1"/>
  <c r="K143" i="23" s="1"/>
  <c r="K129" i="23" s="1"/>
  <c r="K117" i="23" s="1"/>
  <c r="K112" i="23" s="1"/>
  <c r="K105" i="23" s="1"/>
  <c r="K101" i="23" s="1"/>
  <c r="K100" i="23" s="1"/>
  <c r="K99" i="23" s="1"/>
  <c r="K98" i="23" s="1"/>
  <c r="K97" i="23" s="1"/>
  <c r="K90" i="23" s="1"/>
  <c r="K84" i="23" s="1"/>
  <c r="K69" i="23" s="1"/>
  <c r="K68" i="23" s="1"/>
  <c r="K67" i="23" s="1"/>
  <c r="K66" i="23" s="1"/>
  <c r="K64" i="23" s="1"/>
  <c r="K61" i="23" s="1"/>
  <c r="K60" i="23" s="1"/>
  <c r="K59" i="23" s="1"/>
  <c r="K239" i="23"/>
  <c r="K237" i="23" s="1"/>
  <c r="K236" i="23" s="1"/>
  <c r="K235" i="23" s="1"/>
  <c r="K234" i="23" s="1"/>
  <c r="K233" i="23" s="1"/>
  <c r="K232" i="23" s="1"/>
  <c r="K217" i="23" s="1"/>
  <c r="K215" i="23" s="1"/>
  <c r="K209" i="23" s="1"/>
  <c r="K203" i="23" s="1"/>
  <c r="K202" i="23" s="1"/>
  <c r="K198" i="23" s="1"/>
  <c r="K196" i="23" s="1"/>
  <c r="K194" i="23" s="1"/>
  <c r="K193" i="23" s="1"/>
  <c r="K192" i="23" s="1"/>
  <c r="K186" i="23" s="1"/>
  <c r="K184" i="23" s="1"/>
  <c r="K179" i="23" s="1"/>
  <c r="K175" i="23" s="1"/>
  <c r="K171" i="23" s="1"/>
  <c r="K170" i="23" s="1"/>
  <c r="K166" i="23" s="1"/>
  <c r="K159" i="23" s="1"/>
  <c r="K156" i="23" s="1"/>
  <c r="K154" i="23" s="1"/>
  <c r="K151" i="23" s="1"/>
  <c r="K150" i="23" s="1"/>
  <c r="K148" i="23" s="1"/>
  <c r="K145" i="23" s="1"/>
  <c r="K144" i="23" s="1"/>
  <c r="K141" i="23" s="1"/>
  <c r="K136" i="23" s="1"/>
  <c r="K134" i="23" s="1"/>
  <c r="K133" i="23" s="1"/>
  <c r="K132" i="23" s="1"/>
  <c r="K127" i="23" s="1"/>
  <c r="F661" i="23"/>
  <c r="E661" i="23"/>
  <c r="D661" i="23"/>
  <c r="DD55" i="4"/>
  <c r="DD33" i="4"/>
  <c r="K43" i="23" l="1"/>
  <c r="K16" i="23" s="1"/>
  <c r="K13" i="23" s="1"/>
  <c r="K50" i="23"/>
  <c r="K51" i="23" s="1"/>
  <c r="K49" i="23" s="1"/>
  <c r="K46" i="23" s="1"/>
  <c r="K45" i="23" s="1"/>
  <c r="K44" i="23" s="1"/>
  <c r="K37" i="23" s="1"/>
  <c r="K36" i="23" s="1"/>
  <c r="K35" i="23" s="1"/>
  <c r="K34" i="23" s="1"/>
  <c r="K32" i="23" s="1"/>
  <c r="K30" i="23" s="1"/>
  <c r="K28" i="23" s="1"/>
  <c r="K27" i="23" s="1"/>
  <c r="K25" i="23" s="1"/>
  <c r="K24" i="23" s="1"/>
  <c r="K23" i="23" s="1"/>
  <c r="K22" i="23" s="1"/>
  <c r="K21" i="23" s="1"/>
  <c r="K20" i="23" s="1"/>
  <c r="K19" i="23" s="1"/>
  <c r="K18" i="23" s="1"/>
  <c r="K17" i="23" s="1"/>
  <c r="L259" i="23"/>
  <c r="L258" i="23" s="1"/>
  <c r="L257" i="23" s="1"/>
  <c r="L256" i="23" s="1"/>
  <c r="L255" i="23" s="1"/>
  <c r="L254" i="23" s="1"/>
  <c r="L253" i="23" s="1"/>
  <c r="L252" i="23" s="1"/>
  <c r="L251" i="23" s="1"/>
  <c r="L250" i="23" s="1"/>
  <c r="L249" i="23" s="1"/>
  <c r="L248" i="23" s="1"/>
  <c r="L247" i="23" s="1"/>
  <c r="L246" i="23" s="1"/>
  <c r="L245" i="23" s="1"/>
  <c r="L244" i="23" s="1"/>
  <c r="L243" i="23" s="1"/>
  <c r="L242" i="23" s="1"/>
  <c r="L241" i="23" s="1"/>
  <c r="L239" i="23" s="1"/>
  <c r="L238" i="23" s="1"/>
  <c r="L237" i="23" s="1"/>
  <c r="L236" i="23" s="1"/>
  <c r="L235" i="23" s="1"/>
  <c r="L234" i="23" s="1"/>
  <c r="L233" i="23" s="1"/>
  <c r="L232" i="23" s="1"/>
  <c r="L231" i="23" s="1"/>
  <c r="L230" i="23" s="1"/>
  <c r="L229" i="23" s="1"/>
  <c r="L227" i="23" s="1"/>
  <c r="L226" i="23" s="1"/>
  <c r="L225" i="23" s="1"/>
  <c r="L224" i="23" s="1"/>
  <c r="L223" i="23" s="1"/>
  <c r="L222" i="23" s="1"/>
  <c r="L221" i="23" s="1"/>
  <c r="L220" i="23" s="1"/>
  <c r="L219" i="23" s="1"/>
  <c r="L218" i="23" s="1"/>
  <c r="L217" i="23" s="1"/>
  <c r="L216" i="23" s="1"/>
  <c r="L215" i="23" s="1"/>
  <c r="L214" i="23" s="1"/>
  <c r="L213" i="23" s="1"/>
  <c r="L212" i="23" s="1"/>
  <c r="L211" i="23" s="1"/>
  <c r="L210" i="23" s="1"/>
  <c r="L209" i="23" s="1"/>
  <c r="L208" i="23" s="1"/>
  <c r="L207" i="23" s="1"/>
  <c r="L206" i="23" s="1"/>
  <c r="L205" i="23" s="1"/>
  <c r="L204" i="23" s="1"/>
  <c r="L203" i="23" s="1"/>
  <c r="L202" i="23" s="1"/>
  <c r="L201" i="23" s="1"/>
  <c r="L200" i="23" s="1"/>
  <c r="L199" i="23" s="1"/>
  <c r="L198" i="23" s="1"/>
  <c r="L197" i="23" s="1"/>
  <c r="L196" i="23" s="1"/>
  <c r="L195" i="23" s="1"/>
  <c r="L194" i="23" s="1"/>
  <c r="L193" i="23" s="1"/>
  <c r="L192" i="23" s="1"/>
  <c r="K124" i="23"/>
  <c r="K123" i="23" s="1"/>
  <c r="K122" i="23" s="1"/>
  <c r="K120" i="23" s="1"/>
  <c r="K119" i="23" s="1"/>
  <c r="K118" i="23" s="1"/>
  <c r="K116" i="23" s="1"/>
  <c r="K115" i="23" s="1"/>
  <c r="K104" i="23" s="1"/>
  <c r="K103" i="23" s="1"/>
  <c r="K102" i="23" s="1"/>
  <c r="K96" i="23" s="1"/>
  <c r="K87" i="23" s="1"/>
  <c r="K86" i="23" s="1"/>
  <c r="K85" i="23" s="1"/>
  <c r="K78" i="23" s="1"/>
  <c r="K65" i="23" s="1"/>
  <c r="K63" i="23" s="1"/>
  <c r="K56" i="23" s="1"/>
  <c r="K55" i="23" s="1"/>
  <c r="K42" i="23" s="1"/>
  <c r="K41" i="23" s="1"/>
  <c r="K38" i="23" s="1"/>
  <c r="K33" i="23" s="1"/>
  <c r="K31" i="23" s="1"/>
  <c r="K29" i="23" s="1"/>
  <c r="K15" i="23" l="1"/>
  <c r="K14" i="23" s="1"/>
  <c r="K12" i="23" s="1"/>
  <c r="K9" i="23" s="1"/>
  <c r="K8" i="23" s="1"/>
  <c r="K7" i="23" s="1"/>
  <c r="K6" i="23" s="1"/>
  <c r="L186" i="23"/>
  <c r="L185" i="23" s="1"/>
  <c r="L184" i="23" s="1"/>
  <c r="L183" i="23" s="1"/>
  <c r="L182" i="23" s="1"/>
  <c r="L181" i="23" s="1"/>
  <c r="L180" i="23" s="1"/>
  <c r="L179" i="23" s="1"/>
  <c r="L178" i="23" s="1"/>
  <c r="L177" i="23" s="1"/>
  <c r="L176" i="23" s="1"/>
  <c r="L175" i="23" s="1"/>
  <c r="L174" i="23" s="1"/>
  <c r="L173" i="23" s="1"/>
  <c r="L172" i="23" s="1"/>
  <c r="L171" i="23" s="1"/>
  <c r="L170" i="23" s="1"/>
  <c r="L169" i="23" s="1"/>
  <c r="L168" i="23" s="1"/>
  <c r="L167" i="23" s="1"/>
  <c r="L166" i="23" s="1"/>
  <c r="L165" i="23" s="1"/>
  <c r="L164" i="23" s="1"/>
  <c r="L163" i="23" s="1"/>
  <c r="L162" i="23" s="1"/>
  <c r="L161" i="23" s="1"/>
  <c r="L160" i="23" s="1"/>
  <c r="L159" i="23" s="1"/>
  <c r="L158" i="23" s="1"/>
  <c r="L157" i="23" s="1"/>
  <c r="L156" i="23" s="1"/>
  <c r="L155" i="23" s="1"/>
  <c r="L154" i="23" s="1"/>
  <c r="L153" i="23" s="1"/>
  <c r="L152" i="23" s="1"/>
  <c r="L151" i="23" s="1"/>
  <c r="L150" i="23" s="1"/>
  <c r="L149" i="23" s="1"/>
  <c r="L148" i="23" s="1"/>
  <c r="L147" i="23" s="1"/>
  <c r="L146" i="23" s="1"/>
  <c r="L145" i="23" s="1"/>
  <c r="L144" i="23" s="1"/>
  <c r="L143" i="23" s="1"/>
  <c r="L142" i="23" s="1"/>
  <c r="L141" i="23" s="1"/>
  <c r="L140" i="23" s="1"/>
  <c r="L139" i="23" s="1"/>
  <c r="L138" i="23" s="1"/>
  <c r="L137" i="23" s="1"/>
  <c r="L136" i="23" s="1"/>
  <c r="L135" i="23" s="1"/>
  <c r="L134" i="23" s="1"/>
  <c r="L133" i="23" s="1"/>
  <c r="L132" i="23" s="1"/>
  <c r="L131" i="23" s="1"/>
  <c r="L130" i="23" s="1"/>
  <c r="L129" i="23" s="1"/>
  <c r="L128" i="23" s="1"/>
  <c r="L127" i="23" s="1"/>
  <c r="L126" i="23" s="1"/>
  <c r="L125" i="23" s="1"/>
  <c r="L124" i="23" s="1"/>
  <c r="L123" i="23" s="1"/>
  <c r="L122" i="23" s="1"/>
  <c r="L121" i="23" s="1"/>
  <c r="L120" i="23" s="1"/>
  <c r="L119" i="23" s="1"/>
  <c r="L118" i="23" s="1"/>
  <c r="L117" i="23" s="1"/>
  <c r="L116" i="23" s="1"/>
  <c r="L115" i="23" s="1"/>
  <c r="L114" i="23" s="1"/>
  <c r="L113" i="23" s="1"/>
  <c r="L112" i="23" s="1"/>
  <c r="L111" i="23" s="1"/>
  <c r="L110" i="23" s="1"/>
  <c r="L109" i="23" s="1"/>
  <c r="L190" i="23"/>
  <c r="L189" i="23" s="1"/>
  <c r="L188" i="23" s="1"/>
  <c r="L187" i="23" s="1"/>
  <c r="FU38" i="17"/>
  <c r="GI38" i="17" s="1"/>
  <c r="FU32" i="17"/>
  <c r="GI32" i="17" s="1"/>
  <c r="L107" i="23" l="1"/>
  <c r="L106" i="23" s="1"/>
  <c r="L105" i="23" s="1"/>
  <c r="L104" i="23" s="1"/>
  <c r="L103" i="23" s="1"/>
  <c r="L102" i="23" s="1"/>
  <c r="L101" i="23" s="1"/>
  <c r="L100" i="23" s="1"/>
  <c r="L99" i="23" s="1"/>
  <c r="L98" i="23" s="1"/>
  <c r="L97" i="23" s="1"/>
  <c r="L96" i="23" s="1"/>
  <c r="L95" i="23" s="1"/>
  <c r="L94" i="23" s="1"/>
  <c r="L93" i="23" s="1"/>
  <c r="L92" i="23" s="1"/>
  <c r="L91" i="23" s="1"/>
  <c r="L90" i="23" s="1"/>
  <c r="L89" i="23" s="1"/>
  <c r="L88" i="23" s="1"/>
  <c r="L87" i="23" s="1"/>
  <c r="L86" i="23" s="1"/>
  <c r="L85" i="23" s="1"/>
  <c r="L84" i="23" s="1"/>
  <c r="L83" i="23" s="1"/>
  <c r="L82" i="23" s="1"/>
  <c r="L81" i="23" s="1"/>
  <c r="L80" i="23" s="1"/>
  <c r="L79" i="23" s="1"/>
  <c r="L78" i="23" s="1"/>
  <c r="L77" i="23" s="1"/>
  <c r="L76" i="23" s="1"/>
  <c r="L75" i="23" s="1"/>
  <c r="L74" i="23" s="1"/>
  <c r="L73" i="23" s="1"/>
  <c r="L72" i="23" s="1"/>
  <c r="L71" i="23" s="1"/>
  <c r="L70" i="23" s="1"/>
  <c r="L69" i="23" s="1"/>
  <c r="L68" i="23" s="1"/>
  <c r="L67" i="23" s="1"/>
  <c r="L66" i="23" s="1"/>
  <c r="L65" i="23" s="1"/>
  <c r="L64" i="23" s="1"/>
  <c r="L63" i="23" s="1"/>
  <c r="L62" i="23" s="1"/>
  <c r="L61" i="23" s="1"/>
  <c r="L60" i="23" s="1"/>
  <c r="L59" i="23" s="1"/>
  <c r="L58" i="23" s="1"/>
  <c r="L57" i="23" s="1"/>
  <c r="L56" i="23" s="1"/>
  <c r="L55" i="23" s="1"/>
  <c r="L54" i="23" s="1"/>
  <c r="L53" i="23" s="1"/>
  <c r="L52" i="23" s="1"/>
  <c r="L50" i="23" s="1"/>
  <c r="L51" i="23" s="1"/>
  <c r="L49" i="23" s="1"/>
  <c r="L48" i="23" s="1"/>
  <c r="L47" i="23" s="1"/>
  <c r="L46" i="23" s="1"/>
  <c r="L45" i="23" s="1"/>
  <c r="L44" i="23" s="1"/>
  <c r="L43" i="23" s="1"/>
  <c r="L42" i="23" s="1"/>
  <c r="L41" i="23" s="1"/>
  <c r="L40" i="23" s="1"/>
  <c r="L39" i="23" s="1"/>
  <c r="L38" i="23" s="1"/>
  <c r="L37" i="23" s="1"/>
  <c r="L36" i="23" s="1"/>
  <c r="L35" i="23" s="1"/>
  <c r="L34" i="23" s="1"/>
  <c r="L33" i="23" s="1"/>
  <c r="L32" i="23" s="1"/>
  <c r="L31" i="23" s="1"/>
  <c r="L30" i="23" s="1"/>
  <c r="L29" i="23" s="1"/>
  <c r="L28" i="23" s="1"/>
  <c r="L27" i="23" s="1"/>
  <c r="L26" i="23" s="1"/>
  <c r="L25" i="23" s="1"/>
  <c r="L24" i="23" s="1"/>
  <c r="L23" i="23" s="1"/>
  <c r="L22" i="23" s="1"/>
  <c r="L21" i="23" s="1"/>
  <c r="L20" i="23" s="1"/>
  <c r="L19" i="23" s="1"/>
  <c r="L18" i="23" s="1"/>
  <c r="L17" i="23" s="1"/>
  <c r="L16" i="23" s="1"/>
  <c r="L15" i="23" s="1"/>
  <c r="L14" i="23" s="1"/>
  <c r="L13" i="23" s="1"/>
  <c r="L12" i="23" s="1"/>
  <c r="L11" i="23" s="1"/>
  <c r="L10" i="23" s="1"/>
  <c r="L9" i="23" s="1"/>
  <c r="L8" i="23" s="1"/>
  <c r="L7" i="23" s="1"/>
  <c r="L6" i="23" s="1"/>
  <c r="FU7" i="17"/>
  <c r="GI7" i="17" s="1"/>
  <c r="DD58" i="4"/>
  <c r="DC58" i="4"/>
  <c r="DC56" i="4"/>
  <c r="DD51" i="4"/>
  <c r="DK52" i="4" s="1"/>
  <c r="DK5" i="4" s="1"/>
  <c r="DD50" i="4"/>
  <c r="DC50" i="4"/>
  <c r="DD47" i="4"/>
  <c r="DC47" i="4"/>
  <c r="DC45" i="4"/>
  <c r="DD44" i="4"/>
  <c r="DD8" i="4" s="1"/>
  <c r="DD39" i="4"/>
  <c r="DC39" i="4"/>
  <c r="DD36" i="4"/>
  <c r="DC36" i="4"/>
  <c r="DC34" i="4"/>
  <c r="DD34" i="4" s="1"/>
  <c r="DD30" i="4"/>
  <c r="DC30" i="4"/>
  <c r="DD19" i="4"/>
  <c r="DC19" i="4"/>
  <c r="DD17" i="4"/>
  <c r="DC11" i="4"/>
  <c r="DC4" i="4"/>
  <c r="FY31" i="15"/>
  <c r="FY8" i="15"/>
  <c r="GA47" i="15"/>
  <c r="GA36" i="15"/>
  <c r="FZ36" i="15"/>
  <c r="GA34" i="15"/>
  <c r="GA33" i="15"/>
  <c r="FY32" i="15"/>
  <c r="GM32" i="15" s="1"/>
  <c r="GA28" i="15"/>
  <c r="GA27" i="15"/>
  <c r="GA26" i="15"/>
  <c r="GA25" i="15"/>
  <c r="GA24" i="15"/>
  <c r="FY23" i="15"/>
  <c r="GA18" i="15"/>
  <c r="GA17" i="15"/>
  <c r="GA16" i="15"/>
  <c r="GA15" i="15"/>
  <c r="GA14" i="15"/>
  <c r="GA13" i="15"/>
  <c r="GA12" i="15"/>
  <c r="GA11" i="15"/>
  <c r="GA10" i="15"/>
  <c r="GA9" i="15"/>
  <c r="JK33" i="21"/>
  <c r="JM33" i="21" s="1"/>
  <c r="JK32" i="21"/>
  <c r="JM32" i="21" s="1"/>
  <c r="JN29" i="21"/>
  <c r="JM29" i="21"/>
  <c r="JN27" i="21"/>
  <c r="JM27" i="21"/>
  <c r="JN26" i="21"/>
  <c r="JM26" i="21"/>
  <c r="JK23" i="21"/>
  <c r="JN22" i="21"/>
  <c r="JN21" i="21"/>
  <c r="JP21" i="21" s="1"/>
  <c r="JN20" i="21"/>
  <c r="JM20" i="21"/>
  <c r="JN19" i="21"/>
  <c r="JN25" i="21" s="1"/>
  <c r="JN31" i="21" s="1"/>
  <c r="JK19" i="21"/>
  <c r="JK25" i="21" s="1"/>
  <c r="JK31" i="21" s="1"/>
  <c r="JK16" i="21"/>
  <c r="JL6" i="21" s="1"/>
  <c r="JM12" i="21"/>
  <c r="JM10" i="21"/>
  <c r="JM9" i="21"/>
  <c r="JK8" i="21"/>
  <c r="JM6" i="21"/>
  <c r="JM5" i="21"/>
  <c r="JK4" i="21"/>
  <c r="KW28" i="16"/>
  <c r="KW26" i="16"/>
  <c r="KW37" i="16"/>
  <c r="KU34" i="16"/>
  <c r="KV33" i="16"/>
  <c r="KU33" i="16"/>
  <c r="KU31" i="16"/>
  <c r="KV30" i="16"/>
  <c r="KU30" i="16"/>
  <c r="KU28" i="16"/>
  <c r="KV27" i="16"/>
  <c r="KU27" i="16"/>
  <c r="KU26" i="16"/>
  <c r="KV25" i="16"/>
  <c r="KU25" i="16"/>
  <c r="KV24" i="16"/>
  <c r="KU24" i="16"/>
  <c r="KV23" i="16"/>
  <c r="KU23" i="16"/>
  <c r="KV22" i="16"/>
  <c r="KU22" i="16"/>
  <c r="KV21" i="16"/>
  <c r="KU21" i="16"/>
  <c r="KV20" i="16"/>
  <c r="KU20" i="16"/>
  <c r="KU19" i="16"/>
  <c r="KV18" i="16"/>
  <c r="KU18" i="16"/>
  <c r="KU17" i="16"/>
  <c r="KV16" i="16"/>
  <c r="KU16" i="16"/>
  <c r="KU15" i="16"/>
  <c r="KT14" i="16"/>
  <c r="LQ14" i="16" s="1"/>
  <c r="KV12" i="16"/>
  <c r="KU12" i="16"/>
  <c r="KV11" i="16"/>
  <c r="KU11" i="16"/>
  <c r="KU10" i="16"/>
  <c r="KV9" i="16"/>
  <c r="KU9" i="16"/>
  <c r="KV8" i="16"/>
  <c r="KU8" i="16"/>
  <c r="KU7" i="16"/>
  <c r="KV6" i="16"/>
  <c r="KU6" i="16"/>
  <c r="KV5" i="16"/>
  <c r="KU5" i="16"/>
  <c r="KT4" i="16"/>
  <c r="FW67" i="17"/>
  <c r="FW66" i="17"/>
  <c r="FW65" i="17"/>
  <c r="FW64" i="17"/>
  <c r="FW63" i="17"/>
  <c r="FW62" i="17"/>
  <c r="FU61" i="17"/>
  <c r="GI61" i="17" s="1"/>
  <c r="FW60" i="17"/>
  <c r="FW56" i="17"/>
  <c r="FW55" i="17"/>
  <c r="FW53" i="17"/>
  <c r="FW52" i="17"/>
  <c r="FW51" i="17"/>
  <c r="FU50" i="17"/>
  <c r="GI50" i="17" s="1"/>
  <c r="FW49" i="17"/>
  <c r="FW48" i="17"/>
  <c r="FW47" i="17"/>
  <c r="FW46" i="17"/>
  <c r="FW45" i="17"/>
  <c r="FW44" i="17"/>
  <c r="FW43" i="17"/>
  <c r="FW42" i="17"/>
  <c r="FW40" i="17"/>
  <c r="FW39" i="17"/>
  <c r="FW37" i="17"/>
  <c r="FW35" i="17"/>
  <c r="FW34" i="17"/>
  <c r="FW33" i="17"/>
  <c r="FW29" i="17"/>
  <c r="FW27" i="17"/>
  <c r="FW26" i="17"/>
  <c r="FW24" i="17"/>
  <c r="FW23" i="17"/>
  <c r="FW21" i="17"/>
  <c r="FW20" i="17"/>
  <c r="FW19" i="17"/>
  <c r="FU18" i="17"/>
  <c r="GI18" i="17" s="1"/>
  <c r="FW17" i="17"/>
  <c r="FW16" i="17"/>
  <c r="FW15" i="17"/>
  <c r="FW14" i="17"/>
  <c r="FW13" i="17"/>
  <c r="FU12" i="17"/>
  <c r="GI12" i="17" s="1"/>
  <c r="FW11" i="17"/>
  <c r="FW10" i="17"/>
  <c r="FW9" i="17"/>
  <c r="FY21" i="15" l="1"/>
  <c r="GM23" i="15"/>
  <c r="FY6" i="15"/>
  <c r="GM8" i="15"/>
  <c r="FZ33" i="15"/>
  <c r="GM31" i="15"/>
  <c r="KU4" i="16"/>
  <c r="LQ4" i="16"/>
  <c r="JP26" i="21"/>
  <c r="KK26" i="21"/>
  <c r="JP29" i="21"/>
  <c r="KK29" i="21"/>
  <c r="JP22" i="21"/>
  <c r="KK22" i="21"/>
  <c r="JP27" i="21"/>
  <c r="KK27" i="21"/>
  <c r="DE41" i="4"/>
  <c r="DG41" i="4"/>
  <c r="DE52" i="4"/>
  <c r="DG52" i="4"/>
  <c r="DE32" i="4"/>
  <c r="DF5" i="4"/>
  <c r="DD4" i="4"/>
  <c r="JL4" i="21"/>
  <c r="JL9" i="21"/>
  <c r="JL12" i="21"/>
  <c r="GA7" i="15"/>
  <c r="JN23" i="21"/>
  <c r="JP23" i="21" s="1"/>
  <c r="GA22" i="15"/>
  <c r="FW8" i="17"/>
  <c r="JL5" i="21"/>
  <c r="DD45" i="4"/>
  <c r="DD56" i="4"/>
  <c r="FY20" i="15"/>
  <c r="FZ32" i="15"/>
  <c r="FZ34" i="15"/>
  <c r="FZ31" i="15"/>
  <c r="GA8" i="15"/>
  <c r="JL8" i="21"/>
  <c r="JK13" i="21"/>
  <c r="JK35" i="21"/>
  <c r="JM35" i="21" s="1"/>
  <c r="JP20" i="21"/>
  <c r="JL10" i="21"/>
  <c r="KU14" i="16"/>
  <c r="KT13" i="16"/>
  <c r="LQ13" i="16" s="1"/>
  <c r="FU6" i="17"/>
  <c r="FU31" i="17"/>
  <c r="GI31" i="17" s="1"/>
  <c r="FV28" i="17" l="1"/>
  <c r="GI6" i="17"/>
  <c r="KT29" i="16"/>
  <c r="LQ29" i="16" s="1"/>
  <c r="DG5" i="4"/>
  <c r="DE5" i="4"/>
  <c r="FY50" i="15"/>
  <c r="FY5" i="15"/>
  <c r="FY49" i="15" s="1"/>
  <c r="FV22" i="17"/>
  <c r="FV41" i="17"/>
  <c r="JL13" i="21"/>
  <c r="KU13" i="16"/>
  <c r="FV12" i="17"/>
  <c r="FV18" i="17"/>
  <c r="FV38" i="17"/>
  <c r="FV50" i="17"/>
  <c r="FV61" i="17"/>
  <c r="FV7" i="17"/>
  <c r="FU69" i="17"/>
  <c r="FV31" i="17"/>
  <c r="FV67" i="17"/>
  <c r="FV65" i="17"/>
  <c r="FV63" i="17"/>
  <c r="FV59" i="17"/>
  <c r="FV49" i="17"/>
  <c r="FV47" i="17"/>
  <c r="FV45" i="17"/>
  <c r="FV43" i="17"/>
  <c r="FV40" i="17"/>
  <c r="FV36" i="17"/>
  <c r="FV34" i="17"/>
  <c r="FV27" i="17"/>
  <c r="FV17" i="17"/>
  <c r="FV15" i="17"/>
  <c r="FV13" i="17"/>
  <c r="FV6" i="17"/>
  <c r="FV58" i="17"/>
  <c r="FV55" i="17"/>
  <c r="FV52" i="17"/>
  <c r="FV24" i="17"/>
  <c r="FV20" i="17"/>
  <c r="FV11" i="17"/>
  <c r="FV9" i="17"/>
  <c r="FV66" i="17"/>
  <c r="FV64" i="17"/>
  <c r="FV62" i="17"/>
  <c r="FV48" i="17"/>
  <c r="FV46" i="17"/>
  <c r="FV44" i="17"/>
  <c r="FV42" i="17"/>
  <c r="FV39" i="17"/>
  <c r="FV35" i="17"/>
  <c r="FV33" i="17"/>
  <c r="FV29" i="17"/>
  <c r="FV26" i="17"/>
  <c r="FV16" i="17"/>
  <c r="FV14" i="17"/>
  <c r="FV60" i="17"/>
  <c r="FV56" i="17"/>
  <c r="FV53" i="17"/>
  <c r="FV51" i="17"/>
  <c r="FV37" i="17"/>
  <c r="FV25" i="17"/>
  <c r="FV23" i="17"/>
  <c r="FV21" i="17"/>
  <c r="FV19" i="17"/>
  <c r="FV10" i="17"/>
  <c r="FV8" i="17"/>
  <c r="FV32" i="17"/>
  <c r="E13" i="5"/>
  <c r="F13" i="5"/>
  <c r="FZ50" i="15" l="1"/>
  <c r="FZ21" i="15"/>
  <c r="FZ17" i="15"/>
  <c r="FZ12" i="15"/>
  <c r="FZ22" i="15"/>
  <c r="FZ9" i="15"/>
  <c r="FZ23" i="15"/>
  <c r="FZ5" i="15"/>
  <c r="FZ14" i="15"/>
  <c r="FZ24" i="15"/>
  <c r="FZ11" i="15"/>
  <c r="FZ25" i="15"/>
  <c r="FZ8" i="15"/>
  <c r="FZ16" i="15"/>
  <c r="FZ27" i="15"/>
  <c r="FZ26" i="15"/>
  <c r="FZ13" i="15"/>
  <c r="FZ10" i="15"/>
  <c r="FZ18" i="15"/>
  <c r="FZ7" i="15"/>
  <c r="FZ28" i="15"/>
  <c r="FZ15" i="15"/>
  <c r="FZ20" i="15"/>
  <c r="FZ6" i="15"/>
  <c r="FZ47" i="15"/>
  <c r="KT32" i="16"/>
  <c r="LQ32" i="16" s="1"/>
  <c r="KU29" i="16"/>
  <c r="FZ49" i="15" l="1"/>
  <c r="KT35" i="16"/>
  <c r="KU32" i="16"/>
  <c r="KT36" i="16" l="1"/>
  <c r="LQ36" i="16" s="1"/>
  <c r="LQ35" i="16"/>
  <c r="KU35" i="16"/>
  <c r="KU36" i="16" l="1"/>
  <c r="CU10" i="4" l="1"/>
  <c r="JV37" i="16" l="1"/>
  <c r="FV8" i="15" l="1"/>
  <c r="GJ8" i="15" s="1"/>
  <c r="FX47" i="15" l="1"/>
  <c r="FX36" i="15"/>
  <c r="FW36" i="15"/>
  <c r="FX34" i="15"/>
  <c r="FX33" i="15"/>
  <c r="FV32" i="15"/>
  <c r="GJ32" i="15" s="1"/>
  <c r="FV31" i="15"/>
  <c r="FX28" i="15"/>
  <c r="FX27" i="15"/>
  <c r="FX26" i="15"/>
  <c r="FX25" i="15"/>
  <c r="FX24" i="15"/>
  <c r="FV23" i="15"/>
  <c r="FX22" i="15"/>
  <c r="FX18" i="15"/>
  <c r="FX17" i="15"/>
  <c r="FX16" i="15"/>
  <c r="FX15" i="15"/>
  <c r="FX14" i="15"/>
  <c r="FX13" i="15"/>
  <c r="FX12" i="15"/>
  <c r="FX11" i="15"/>
  <c r="FX10" i="15"/>
  <c r="FX9" i="15"/>
  <c r="FV6" i="15"/>
  <c r="FX7" i="15"/>
  <c r="JB29" i="21"/>
  <c r="JY29" i="21" s="1"/>
  <c r="JH29" i="21"/>
  <c r="KE29" i="21" s="1"/>
  <c r="JH27" i="21"/>
  <c r="KE27" i="21" s="1"/>
  <c r="JH26" i="21"/>
  <c r="KE26" i="21" s="1"/>
  <c r="FW31" i="15" l="1"/>
  <c r="GJ31" i="15"/>
  <c r="FV21" i="15"/>
  <c r="GJ23" i="15"/>
  <c r="FV20" i="15"/>
  <c r="FW34" i="15"/>
  <c r="FW33" i="15"/>
  <c r="FV5" i="15"/>
  <c r="FW32" i="15"/>
  <c r="FV50" i="15" l="1"/>
  <c r="FW47" i="15" s="1"/>
  <c r="FW8" i="15"/>
  <c r="FW6" i="15"/>
  <c r="FW17" i="15"/>
  <c r="FW15" i="15"/>
  <c r="FW13" i="15"/>
  <c r="FW11" i="15"/>
  <c r="FW9" i="15"/>
  <c r="FW18" i="15"/>
  <c r="FW16" i="15"/>
  <c r="FW14" i="15"/>
  <c r="FW12" i="15"/>
  <c r="FW27" i="15"/>
  <c r="FW25" i="15"/>
  <c r="FW20" i="15"/>
  <c r="FV49" i="15"/>
  <c r="FW28" i="15"/>
  <c r="FW26" i="15"/>
  <c r="FW24" i="15"/>
  <c r="FW7" i="15"/>
  <c r="FW22" i="15"/>
  <c r="FW10" i="15"/>
  <c r="FW5" i="15"/>
  <c r="FW23" i="15"/>
  <c r="FW21" i="15"/>
  <c r="FW50" i="15" l="1"/>
  <c r="FW49" i="15"/>
  <c r="JH22" i="21" l="1"/>
  <c r="KE22" i="21" s="1"/>
  <c r="JH21" i="21"/>
  <c r="JH20" i="21"/>
  <c r="JH19" i="21"/>
  <c r="JH25" i="21" s="1"/>
  <c r="JH31" i="21" s="1"/>
  <c r="JE19" i="21"/>
  <c r="JE25" i="21" s="1"/>
  <c r="JE31" i="21" s="1"/>
  <c r="KQ37" i="16"/>
  <c r="FT26" i="17" l="1"/>
  <c r="KP30" i="16"/>
  <c r="KP24" i="16"/>
  <c r="KP20" i="16"/>
  <c r="KP18" i="16"/>
  <c r="KP6" i="16"/>
  <c r="KP5" i="16"/>
  <c r="KN4" i="16"/>
  <c r="LK4" i="16" s="1"/>
  <c r="FT40" i="17"/>
  <c r="FT39" i="17"/>
  <c r="FT13" i="17"/>
  <c r="JE33" i="21"/>
  <c r="JE32" i="21"/>
  <c r="JJ29" i="21"/>
  <c r="JG29" i="21"/>
  <c r="JJ27" i="21"/>
  <c r="JG27" i="21"/>
  <c r="JJ26" i="21"/>
  <c r="JG26" i="21"/>
  <c r="JH23" i="21"/>
  <c r="JE23" i="21"/>
  <c r="JJ22" i="21"/>
  <c r="JG22" i="21"/>
  <c r="JJ21" i="21"/>
  <c r="JG21" i="21"/>
  <c r="JJ20" i="21"/>
  <c r="JG20" i="21"/>
  <c r="JG12" i="21"/>
  <c r="JG10" i="21"/>
  <c r="JG9" i="21"/>
  <c r="JE8" i="21"/>
  <c r="JG6" i="21"/>
  <c r="JG5" i="21"/>
  <c r="JE4" i="21"/>
  <c r="DB44" i="4"/>
  <c r="DB8" i="4" s="1"/>
  <c r="DC32" i="4"/>
  <c r="JE13" i="21" l="1"/>
  <c r="DA45" i="4"/>
  <c r="JE35" i="21"/>
  <c r="DB17" i="4" l="1"/>
  <c r="FT21" i="17" l="1"/>
  <c r="FT17" i="17"/>
  <c r="FT19" i="17" l="1"/>
  <c r="DB58" i="4" l="1"/>
  <c r="DA58" i="4"/>
  <c r="DA56" i="4"/>
  <c r="DB51" i="4"/>
  <c r="DB50" i="4"/>
  <c r="DA50" i="4"/>
  <c r="DB47" i="4"/>
  <c r="DA47" i="4"/>
  <c r="DB39" i="4"/>
  <c r="DA39" i="4"/>
  <c r="DB36" i="4"/>
  <c r="DA36" i="4"/>
  <c r="DA34" i="4"/>
  <c r="DB34" i="4" s="1"/>
  <c r="DB30" i="4"/>
  <c r="DA30" i="4"/>
  <c r="DB19" i="4"/>
  <c r="DA19" i="4"/>
  <c r="DA4" i="4"/>
  <c r="DB56" i="4" l="1"/>
  <c r="DC52" i="4"/>
  <c r="DB45" i="4"/>
  <c r="DC41" i="4"/>
  <c r="DB4" i="4"/>
  <c r="DC5" i="4" l="1"/>
  <c r="KK19" i="16"/>
  <c r="LH19" i="16" s="1"/>
  <c r="KQ19" i="16" l="1"/>
  <c r="LN19" i="16" s="1"/>
  <c r="KM19" i="16"/>
  <c r="FS31" i="15"/>
  <c r="GG31" i="15" s="1"/>
  <c r="KW19" i="16" l="1"/>
  <c r="LT19" i="16" s="1"/>
  <c r="FS13" i="15"/>
  <c r="FS7" i="15"/>
  <c r="GG7" i="15" s="1"/>
  <c r="FS8" i="15" l="1"/>
  <c r="GG8" i="15" s="1"/>
  <c r="GG13" i="15"/>
  <c r="FS6" i="15" l="1"/>
  <c r="GG6" i="15" s="1"/>
  <c r="FS22" i="15"/>
  <c r="GG22" i="15" s="1"/>
  <c r="JB27" i="21" l="1"/>
  <c r="JY27" i="21" s="1"/>
  <c r="JB26" i="21"/>
  <c r="JY26" i="21" s="1"/>
  <c r="FU47" i="15" l="1"/>
  <c r="FU36" i="15"/>
  <c r="FT36" i="15"/>
  <c r="FU34" i="15"/>
  <c r="FU28" i="15"/>
  <c r="FU27" i="15"/>
  <c r="FU26" i="15"/>
  <c r="FU24" i="15"/>
  <c r="FU22" i="15"/>
  <c r="FU18" i="15"/>
  <c r="FU17" i="15"/>
  <c r="FU16" i="15"/>
  <c r="FU15" i="15"/>
  <c r="FU14" i="15"/>
  <c r="FU12" i="15"/>
  <c r="FU11" i="15"/>
  <c r="FU10" i="15"/>
  <c r="FU9" i="15"/>
  <c r="FU7" i="15"/>
  <c r="JB12" i="21"/>
  <c r="JA12" i="21"/>
  <c r="JB5" i="21"/>
  <c r="JY5" i="21" s="1"/>
  <c r="JB6" i="21"/>
  <c r="JB9" i="21"/>
  <c r="JB10" i="21"/>
  <c r="JY10" i="21" s="1"/>
  <c r="IY19" i="21"/>
  <c r="JB19" i="21"/>
  <c r="JB25" i="21"/>
  <c r="JB31" i="21" s="1"/>
  <c r="IY25" i="21"/>
  <c r="IY31" i="21" s="1"/>
  <c r="JD29" i="21"/>
  <c r="JA29" i="21"/>
  <c r="JD27" i="21"/>
  <c r="JA27" i="21"/>
  <c r="JD26" i="21"/>
  <c r="JA26" i="21"/>
  <c r="IY16" i="21"/>
  <c r="JA10" i="21"/>
  <c r="JA9" i="21"/>
  <c r="IY8" i="21"/>
  <c r="JV8" i="21" s="1"/>
  <c r="JA6" i="21"/>
  <c r="JA5" i="21"/>
  <c r="IY4" i="21"/>
  <c r="JV4" i="21" s="1"/>
  <c r="JH9" i="21" l="1"/>
  <c r="JY9" i="21"/>
  <c r="JH6" i="21"/>
  <c r="JY6" i="21"/>
  <c r="JH12" i="21"/>
  <c r="JY12" i="21"/>
  <c r="JD9" i="21"/>
  <c r="IZ8" i="21"/>
  <c r="JD12" i="21"/>
  <c r="JD10" i="21"/>
  <c r="JH10" i="21"/>
  <c r="JD5" i="21"/>
  <c r="JH5" i="21"/>
  <c r="IZ9" i="21"/>
  <c r="IZ10" i="21"/>
  <c r="JB8" i="21"/>
  <c r="IZ12" i="21"/>
  <c r="JD6" i="21"/>
  <c r="JB4" i="21"/>
  <c r="IY13" i="21"/>
  <c r="JV13" i="21" s="1"/>
  <c r="IZ4" i="21"/>
  <c r="IZ5" i="21"/>
  <c r="IZ6" i="21"/>
  <c r="JN10" i="21" l="1"/>
  <c r="JN33" i="21" s="1"/>
  <c r="JP33" i="21" s="1"/>
  <c r="JN6" i="21"/>
  <c r="JN5" i="21"/>
  <c r="JN12" i="21"/>
  <c r="JN9" i="21"/>
  <c r="JN32" i="21" s="1"/>
  <c r="JP32" i="21" s="1"/>
  <c r="JH32" i="21"/>
  <c r="JH8" i="21"/>
  <c r="JY8" i="21"/>
  <c r="JH4" i="21"/>
  <c r="JY4" i="21"/>
  <c r="JH33" i="21"/>
  <c r="JB13" i="21"/>
  <c r="IZ13" i="21"/>
  <c r="JN8" i="21" l="1"/>
  <c r="JN35" i="21" s="1"/>
  <c r="JP35" i="21" s="1"/>
  <c r="JN4" i="21"/>
  <c r="JH35" i="21"/>
  <c r="JH13" i="21"/>
  <c r="JY13" i="21"/>
  <c r="JN13" i="21" l="1"/>
  <c r="KK34" i="16"/>
  <c r="KQ34" i="16" s="1"/>
  <c r="KW34" i="16" s="1"/>
  <c r="KI34" i="16"/>
  <c r="KK33" i="16"/>
  <c r="LH33" i="16" s="1"/>
  <c r="KJ33" i="16"/>
  <c r="KI33" i="16"/>
  <c r="KK31" i="16"/>
  <c r="KQ31" i="16" s="1"/>
  <c r="KW31" i="16" s="1"/>
  <c r="KI31" i="16"/>
  <c r="KK30" i="16"/>
  <c r="KJ30" i="16"/>
  <c r="KI30" i="16"/>
  <c r="KI28" i="16"/>
  <c r="KK27" i="16"/>
  <c r="LH27" i="16" s="1"/>
  <c r="KJ27" i="16"/>
  <c r="KI27" i="16"/>
  <c r="KI26" i="16"/>
  <c r="KK25" i="16"/>
  <c r="KI25" i="16"/>
  <c r="KK24" i="16"/>
  <c r="KJ24" i="16"/>
  <c r="KI24" i="16"/>
  <c r="KK23" i="16"/>
  <c r="LH23" i="16" s="1"/>
  <c r="KJ23" i="16"/>
  <c r="KI23" i="16"/>
  <c r="KK22" i="16"/>
  <c r="LH22" i="16" s="1"/>
  <c r="KJ22" i="16"/>
  <c r="KI22" i="16"/>
  <c r="KK21" i="16"/>
  <c r="LH21" i="16" s="1"/>
  <c r="KJ21" i="16"/>
  <c r="KI21" i="16"/>
  <c r="KK20" i="16"/>
  <c r="KJ20" i="16"/>
  <c r="KI20" i="16"/>
  <c r="KI19" i="16"/>
  <c r="KK18" i="16"/>
  <c r="KJ18" i="16"/>
  <c r="KI18" i="16"/>
  <c r="KI17" i="16"/>
  <c r="KH14" i="16"/>
  <c r="LE14" i="16" s="1"/>
  <c r="KK12" i="16"/>
  <c r="LH12" i="16" s="1"/>
  <c r="KJ12" i="16"/>
  <c r="KI12" i="16"/>
  <c r="KK11" i="16"/>
  <c r="LH11" i="16" s="1"/>
  <c r="KJ11" i="16"/>
  <c r="KI11" i="16"/>
  <c r="KK9" i="16"/>
  <c r="LH9" i="16" s="1"/>
  <c r="KJ9" i="16"/>
  <c r="KI9" i="16"/>
  <c r="KK8" i="16"/>
  <c r="LH8" i="16" s="1"/>
  <c r="KJ8" i="16"/>
  <c r="KI8" i="16"/>
  <c r="KK6" i="16"/>
  <c r="KJ6" i="16"/>
  <c r="KI6" i="16"/>
  <c r="KK5" i="16"/>
  <c r="KJ5" i="16"/>
  <c r="KI5" i="16"/>
  <c r="KH4" i="16"/>
  <c r="FQ66" i="17"/>
  <c r="FQ65" i="17"/>
  <c r="FQ64" i="17"/>
  <c r="FQ63" i="17"/>
  <c r="FQ62" i="17"/>
  <c r="GC61" i="17"/>
  <c r="FQ60" i="17"/>
  <c r="FQ56" i="17"/>
  <c r="FQ53" i="17"/>
  <c r="FQ52" i="17"/>
  <c r="FQ51" i="17"/>
  <c r="GC50" i="17"/>
  <c r="FQ49" i="17"/>
  <c r="FQ48" i="17"/>
  <c r="FQ47" i="17"/>
  <c r="FQ46" i="17"/>
  <c r="FQ45" i="17"/>
  <c r="FQ44" i="17"/>
  <c r="FQ43" i="17"/>
  <c r="FQ42" i="17"/>
  <c r="FQ40" i="17"/>
  <c r="FQ39" i="17"/>
  <c r="GC38" i="17"/>
  <c r="FQ34" i="17"/>
  <c r="FQ35" i="17"/>
  <c r="FQ33" i="17"/>
  <c r="GC32" i="17"/>
  <c r="FQ29" i="17"/>
  <c r="FQ27" i="17"/>
  <c r="FQ26" i="17"/>
  <c r="FQ24" i="17"/>
  <c r="FQ23" i="17"/>
  <c r="FQ20" i="17"/>
  <c r="GC19" i="17"/>
  <c r="FQ16" i="17"/>
  <c r="FQ15" i="17"/>
  <c r="FQ14" i="17"/>
  <c r="FQ13" i="17"/>
  <c r="GC12" i="17"/>
  <c r="FQ10" i="17"/>
  <c r="FQ9" i="17"/>
  <c r="FQ8" i="17"/>
  <c r="GC7" i="17"/>
  <c r="KQ30" i="16" l="1"/>
  <c r="LN30" i="16" s="1"/>
  <c r="LH30" i="16"/>
  <c r="KQ6" i="16"/>
  <c r="LH6" i="16"/>
  <c r="KQ25" i="16"/>
  <c r="LH25" i="16"/>
  <c r="KQ5" i="16"/>
  <c r="LH5" i="16"/>
  <c r="KQ18" i="16"/>
  <c r="LH18" i="16"/>
  <c r="KQ20" i="16"/>
  <c r="LH20" i="16"/>
  <c r="KQ24" i="16"/>
  <c r="LH24" i="16"/>
  <c r="KI10" i="16"/>
  <c r="LE10" i="16"/>
  <c r="KI7" i="16"/>
  <c r="LE7" i="16"/>
  <c r="KI4" i="16"/>
  <c r="LE4" i="16"/>
  <c r="KS30" i="16"/>
  <c r="FQ12" i="17"/>
  <c r="KL8" i="16"/>
  <c r="JB16" i="21"/>
  <c r="KL5" i="16"/>
  <c r="KL11" i="16"/>
  <c r="KL12" i="16"/>
  <c r="KL25" i="16"/>
  <c r="KL34" i="16"/>
  <c r="KL22" i="16"/>
  <c r="KL33" i="16"/>
  <c r="KL9" i="16"/>
  <c r="KL23" i="16"/>
  <c r="KL27" i="16"/>
  <c r="KL31" i="16"/>
  <c r="KL6" i="16"/>
  <c r="KI14" i="16"/>
  <c r="KL19" i="16"/>
  <c r="KL20" i="16"/>
  <c r="KL24" i="16"/>
  <c r="KL30" i="16"/>
  <c r="KL18" i="16"/>
  <c r="KL21" i="16"/>
  <c r="KH13" i="16"/>
  <c r="GC18" i="17"/>
  <c r="GC31" i="17"/>
  <c r="KW30" i="16" l="1"/>
  <c r="LT30" i="16" s="1"/>
  <c r="KW20" i="16"/>
  <c r="LT20" i="16" s="1"/>
  <c r="LN20" i="16"/>
  <c r="KW5" i="16"/>
  <c r="LT5" i="16" s="1"/>
  <c r="LN5" i="16"/>
  <c r="KW6" i="16"/>
  <c r="LT6" i="16" s="1"/>
  <c r="LN6" i="16"/>
  <c r="KW24" i="16"/>
  <c r="LT24" i="16" s="1"/>
  <c r="LN24" i="16"/>
  <c r="KW18" i="16"/>
  <c r="LT18" i="16" s="1"/>
  <c r="LN18" i="16"/>
  <c r="KW25" i="16"/>
  <c r="LT25" i="16" s="1"/>
  <c r="LN25" i="16"/>
  <c r="LE13" i="16"/>
  <c r="KH29" i="16"/>
  <c r="JC12" i="21"/>
  <c r="JC9" i="21"/>
  <c r="JC10" i="21"/>
  <c r="JC6" i="21"/>
  <c r="JC5" i="21"/>
  <c r="JC8" i="21"/>
  <c r="JC4" i="21"/>
  <c r="JC13" i="21"/>
  <c r="KI13" i="16"/>
  <c r="KH39" i="16" l="1"/>
  <c r="LE40" i="16"/>
  <c r="IY17" i="21"/>
  <c r="IY14" i="21" s="1"/>
  <c r="KJ40" i="16"/>
  <c r="KI40" i="16"/>
  <c r="GC6" i="17"/>
  <c r="FP28" i="17"/>
  <c r="FP18" i="17"/>
  <c r="FP41" i="17"/>
  <c r="FO69" i="17"/>
  <c r="FP65" i="17"/>
  <c r="FP55" i="17"/>
  <c r="FP46" i="17"/>
  <c r="FP42" i="17"/>
  <c r="FP37" i="17"/>
  <c r="FP33" i="17"/>
  <c r="FP24" i="17"/>
  <c r="FP20" i="17"/>
  <c r="FP16" i="17"/>
  <c r="FP8" i="17"/>
  <c r="FP56" i="17"/>
  <c r="FP25" i="17"/>
  <c r="FP13" i="17"/>
  <c r="FP64" i="17"/>
  <c r="FP60" i="17"/>
  <c r="FP53" i="17"/>
  <c r="FP49" i="17"/>
  <c r="FP45" i="17"/>
  <c r="FP40" i="17"/>
  <c r="FP36" i="17"/>
  <c r="FP27" i="17"/>
  <c r="FP23" i="17"/>
  <c r="FP15" i="17"/>
  <c r="FP11" i="17"/>
  <c r="FP62" i="17"/>
  <c r="FP47" i="17"/>
  <c r="FP29" i="17"/>
  <c r="FP17" i="17"/>
  <c r="FP67" i="17"/>
  <c r="FP63" i="17"/>
  <c r="FP58" i="17"/>
  <c r="FP52" i="17"/>
  <c r="FP48" i="17"/>
  <c r="FP44" i="17"/>
  <c r="FP39" i="17"/>
  <c r="FP34" i="17"/>
  <c r="FP26" i="17"/>
  <c r="FP22" i="17"/>
  <c r="FP14" i="17"/>
  <c r="FP10" i="17"/>
  <c r="FP6" i="17"/>
  <c r="FP66" i="17"/>
  <c r="FP51" i="17"/>
  <c r="FP43" i="17"/>
  <c r="FP35" i="17"/>
  <c r="FP21" i="17"/>
  <c r="FP9" i="17"/>
  <c r="FP19" i="17"/>
  <c r="FP7" i="17"/>
  <c r="FP38" i="17"/>
  <c r="FP61" i="17"/>
  <c r="FP12" i="17"/>
  <c r="FP50" i="17"/>
  <c r="FP32" i="17"/>
  <c r="FP31" i="17"/>
  <c r="CY19" i="4"/>
  <c r="LE39" i="16" l="1"/>
  <c r="KJ39" i="16"/>
  <c r="KI39" i="16"/>
  <c r="CY11" i="4"/>
  <c r="CZ10" i="4"/>
  <c r="CY36" i="4"/>
  <c r="CZ35" i="4"/>
  <c r="CZ46" i="4"/>
  <c r="DG47" i="4" s="1"/>
  <c r="CX47" i="4"/>
  <c r="CY47" i="4"/>
  <c r="CY58" i="4"/>
  <c r="CX58" i="4"/>
  <c r="CZ57" i="4"/>
  <c r="CZ55" i="4"/>
  <c r="CZ50" i="4"/>
  <c r="CZ47" i="4"/>
  <c r="CZ44" i="4"/>
  <c r="CZ39" i="4"/>
  <c r="CZ33" i="4"/>
  <c r="CZ30" i="4"/>
  <c r="CZ19" i="4"/>
  <c r="CZ18" i="4"/>
  <c r="DB18" i="4" s="1"/>
  <c r="DD18" i="4" s="1"/>
  <c r="CZ17" i="4"/>
  <c r="CZ16" i="4"/>
  <c r="CZ15" i="4"/>
  <c r="CZ14" i="4"/>
  <c r="CZ13" i="4"/>
  <c r="CZ12" i="4"/>
  <c r="CZ36" i="4" l="1"/>
  <c r="DG36" i="4"/>
  <c r="CZ58" i="4"/>
  <c r="DG58" i="4"/>
  <c r="CZ8" i="4"/>
  <c r="CZ11" i="4"/>
  <c r="FN40" i="17" l="1"/>
  <c r="FN39" i="17"/>
  <c r="FN13" i="17"/>
  <c r="F19" i="5" l="1"/>
  <c r="G19" i="5" s="1"/>
  <c r="E19" i="5"/>
  <c r="FR10" i="15" l="1"/>
  <c r="FR11" i="15"/>
  <c r="FR12" i="15"/>
  <c r="FR17" i="15"/>
  <c r="FR18" i="15"/>
  <c r="KG5" i="16"/>
  <c r="KG6" i="16"/>
  <c r="KG18" i="16"/>
  <c r="KE37" i="16" l="1"/>
  <c r="KG30" i="16" l="1"/>
  <c r="KG23" i="16" l="1"/>
  <c r="KG20" i="16"/>
  <c r="KG22" i="16"/>
  <c r="KG24" i="16"/>
  <c r="KG21" i="16"/>
  <c r="KE4" i="16"/>
  <c r="KK4" i="16" l="1"/>
  <c r="LB4" i="16"/>
  <c r="CX19" i="4"/>
  <c r="CX36" i="4"/>
  <c r="KQ4" i="16" l="1"/>
  <c r="LH4" i="16"/>
  <c r="KL4" i="16"/>
  <c r="KF27" i="16"/>
  <c r="KG11" i="16"/>
  <c r="KF11" i="16"/>
  <c r="KF16" i="16"/>
  <c r="KG16" i="16"/>
  <c r="KF12" i="16"/>
  <c r="KG12" i="16"/>
  <c r="KF6" i="16"/>
  <c r="KF8" i="16"/>
  <c r="KF18" i="16"/>
  <c r="KF31" i="16"/>
  <c r="KG8" i="16"/>
  <c r="KF34" i="16"/>
  <c r="KF5" i="16"/>
  <c r="KF25" i="16"/>
  <c r="KF30" i="16"/>
  <c r="KF23" i="16"/>
  <c r="KF21" i="16"/>
  <c r="KF22" i="16"/>
  <c r="KF20" i="16"/>
  <c r="KF24" i="16"/>
  <c r="KF4" i="16"/>
  <c r="KF33" i="16"/>
  <c r="KG33" i="16"/>
  <c r="KG9" i="16"/>
  <c r="KF9" i="16"/>
  <c r="KE14" i="16"/>
  <c r="KW4" i="16" l="1"/>
  <c r="LT4" i="16" s="1"/>
  <c r="LN4" i="16"/>
  <c r="KK10" i="16"/>
  <c r="LB10" i="16"/>
  <c r="KK14" i="16"/>
  <c r="LB14" i="16"/>
  <c r="KF10" i="16"/>
  <c r="KF14" i="16"/>
  <c r="KL10" i="16" l="1"/>
  <c r="LH10" i="16"/>
  <c r="KL14" i="16"/>
  <c r="LH14" i="16"/>
  <c r="KK7" i="16"/>
  <c r="LB7" i="16"/>
  <c r="KE13" i="16"/>
  <c r="KF7" i="16"/>
  <c r="FL19" i="17"/>
  <c r="FZ19" i="17" s="1"/>
  <c r="KL7" i="16" l="1"/>
  <c r="LH7" i="16"/>
  <c r="KE29" i="16"/>
  <c r="KK13" i="16"/>
  <c r="LH13" i="16" s="1"/>
  <c r="LB13" i="16"/>
  <c r="FN10" i="17"/>
  <c r="FN16" i="17"/>
  <c r="FN24" i="17"/>
  <c r="FN29" i="17"/>
  <c r="FZ38" i="17"/>
  <c r="FN37" i="17"/>
  <c r="FN45" i="17"/>
  <c r="FN49" i="17"/>
  <c r="FN56" i="17"/>
  <c r="FN63" i="17"/>
  <c r="FN26" i="17"/>
  <c r="FN33" i="17"/>
  <c r="FN42" i="17"/>
  <c r="FN46" i="17"/>
  <c r="FN51" i="17"/>
  <c r="FN64" i="17"/>
  <c r="FN8" i="17"/>
  <c r="FN20" i="17"/>
  <c r="FN27" i="17"/>
  <c r="FN35" i="17"/>
  <c r="FN43" i="17"/>
  <c r="FN47" i="17"/>
  <c r="FN52" i="17"/>
  <c r="FN60" i="17"/>
  <c r="FN65" i="17"/>
  <c r="FL12" i="17"/>
  <c r="FZ12" i="17" s="1"/>
  <c r="FN11" i="17"/>
  <c r="FN14" i="17"/>
  <c r="FN9" i="17"/>
  <c r="FN15" i="17"/>
  <c r="FN23" i="17"/>
  <c r="FN34" i="17"/>
  <c r="FN44" i="17"/>
  <c r="FN48" i="17"/>
  <c r="FN53" i="17"/>
  <c r="FN62" i="17"/>
  <c r="FN66" i="17"/>
  <c r="KF13" i="16"/>
  <c r="FL50" i="17"/>
  <c r="FZ50" i="17" s="1"/>
  <c r="FL32" i="17"/>
  <c r="FZ32" i="17" s="1"/>
  <c r="FL7" i="17"/>
  <c r="FZ7" i="17" s="1"/>
  <c r="FL61" i="17"/>
  <c r="FZ61" i="17" s="1"/>
  <c r="FL18" i="17"/>
  <c r="FZ18" i="17" s="1"/>
  <c r="KL13" i="16" l="1"/>
  <c r="LB40" i="16"/>
  <c r="KK40" i="16"/>
  <c r="IV17" i="21"/>
  <c r="KF40" i="16"/>
  <c r="FN12" i="17"/>
  <c r="FN38" i="17"/>
  <c r="FR14" i="15"/>
  <c r="FR25" i="15"/>
  <c r="FR34" i="15"/>
  <c r="FR26" i="15"/>
  <c r="FR36" i="15"/>
  <c r="FQ36" i="15"/>
  <c r="FR27" i="15"/>
  <c r="FR15" i="15"/>
  <c r="FR47" i="15"/>
  <c r="FR24" i="15"/>
  <c r="FR28" i="15"/>
  <c r="FJ23" i="15"/>
  <c r="FX23" i="15" s="1"/>
  <c r="FL31" i="17"/>
  <c r="FZ31" i="17" s="1"/>
  <c r="FP23" i="15"/>
  <c r="GD23" i="15" s="1"/>
  <c r="FG23" i="15"/>
  <c r="FM23" i="15"/>
  <c r="GA23" i="15" s="1"/>
  <c r="FL6" i="17"/>
  <c r="KQ40" i="16" l="1"/>
  <c r="LH40" i="16"/>
  <c r="JB17" i="21"/>
  <c r="JB14" i="21" s="1"/>
  <c r="KM40" i="16"/>
  <c r="KL40" i="16"/>
  <c r="FM28" i="17"/>
  <c r="FZ6" i="17"/>
  <c r="FM32" i="17"/>
  <c r="FM41" i="17"/>
  <c r="FM18" i="17"/>
  <c r="FM31" i="17"/>
  <c r="FM61" i="17"/>
  <c r="FM12" i="17"/>
  <c r="FP21" i="15"/>
  <c r="GD21" i="15" s="1"/>
  <c r="FM50" i="17"/>
  <c r="FL69" i="17"/>
  <c r="FM6" i="17"/>
  <c r="FM55" i="17"/>
  <c r="FM19" i="17"/>
  <c r="FM59" i="17"/>
  <c r="FM40" i="17"/>
  <c r="FM36" i="17"/>
  <c r="FM22" i="17"/>
  <c r="FM39" i="17"/>
  <c r="FM25" i="17"/>
  <c r="FM21" i="17"/>
  <c r="FM17" i="17"/>
  <c r="FM13" i="17"/>
  <c r="FM10" i="17"/>
  <c r="FM24" i="17"/>
  <c r="FM45" i="17"/>
  <c r="FM56" i="17"/>
  <c r="FM51" i="17"/>
  <c r="FM11" i="17"/>
  <c r="FM23" i="17"/>
  <c r="FM26" i="17"/>
  <c r="FM42" i="17"/>
  <c r="FM8" i="17"/>
  <c r="FM27" i="17"/>
  <c r="FM43" i="17"/>
  <c r="FM65" i="17"/>
  <c r="FM9" i="17"/>
  <c r="FM44" i="17"/>
  <c r="FM53" i="17"/>
  <c r="FM66" i="17"/>
  <c r="FM16" i="17"/>
  <c r="FM29" i="17"/>
  <c r="FM37" i="17"/>
  <c r="FM49" i="17"/>
  <c r="FM63" i="17"/>
  <c r="FM33" i="17"/>
  <c r="FM58" i="17"/>
  <c r="FM52" i="17"/>
  <c r="FM14" i="17"/>
  <c r="FM15" i="17"/>
  <c r="FM67" i="17"/>
  <c r="FM46" i="17"/>
  <c r="FM64" i="17"/>
  <c r="FM20" i="17"/>
  <c r="FM35" i="17"/>
  <c r="FM47" i="17"/>
  <c r="FM60" i="17"/>
  <c r="FM34" i="17"/>
  <c r="FM48" i="17"/>
  <c r="FM62" i="17"/>
  <c r="FM38" i="17"/>
  <c r="FM7" i="17"/>
  <c r="FP20" i="15"/>
  <c r="GD20" i="15" s="1"/>
  <c r="FR23" i="15"/>
  <c r="FR7" i="15"/>
  <c r="FR22" i="15"/>
  <c r="FR13" i="15"/>
  <c r="FP8" i="15"/>
  <c r="GD8" i="15" s="1"/>
  <c r="KS40" i="16" l="1"/>
  <c r="JH17" i="21"/>
  <c r="JH14" i="21" s="1"/>
  <c r="IX27" i="21"/>
  <c r="IX29" i="21"/>
  <c r="FP6" i="15"/>
  <c r="GD6" i="15" s="1"/>
  <c r="FP5" i="15"/>
  <c r="IV16" i="21"/>
  <c r="FQ20" i="15" l="1"/>
  <c r="GD5" i="15"/>
  <c r="IX5" i="21"/>
  <c r="IW5" i="21"/>
  <c r="FQ8" i="15"/>
  <c r="FQ6" i="15"/>
  <c r="IW10" i="21"/>
  <c r="IX10" i="21"/>
  <c r="IW6" i="21"/>
  <c r="IX6" i="21"/>
  <c r="IW12" i="21"/>
  <c r="IX12" i="21"/>
  <c r="FQ11" i="15"/>
  <c r="FQ17" i="15"/>
  <c r="FQ10" i="15"/>
  <c r="FQ12" i="15"/>
  <c r="FQ18" i="15"/>
  <c r="FQ5" i="15"/>
  <c r="FQ16" i="15"/>
  <c r="FQ15" i="15"/>
  <c r="FQ24" i="15"/>
  <c r="FQ25" i="15"/>
  <c r="FQ26" i="15"/>
  <c r="FQ27" i="15"/>
  <c r="FQ28" i="15"/>
  <c r="FQ14" i="15"/>
  <c r="FQ23" i="15"/>
  <c r="FQ7" i="15"/>
  <c r="FQ22" i="15"/>
  <c r="FQ21" i="15"/>
  <c r="FQ9" i="15"/>
  <c r="FQ13" i="15"/>
  <c r="IX9" i="21"/>
  <c r="IW9" i="21"/>
  <c r="IV4" i="21"/>
  <c r="JS4" i="21" s="1"/>
  <c r="IV8" i="21"/>
  <c r="JS8" i="21" s="1"/>
  <c r="IW8" i="21" l="1"/>
  <c r="IW4" i="21"/>
  <c r="IV13" i="21"/>
  <c r="JJ25" i="16"/>
  <c r="KG25" i="16" s="1"/>
  <c r="JJ27" i="16"/>
  <c r="KG27" i="16" s="1"/>
  <c r="JY17" i="16"/>
  <c r="JS25" i="16"/>
  <c r="KP25" i="16" s="1"/>
  <c r="JS17" i="16"/>
  <c r="JJ17" i="16"/>
  <c r="JM17" i="16"/>
  <c r="KJ17" i="16" s="1"/>
  <c r="JM25" i="16"/>
  <c r="KJ25" i="16" s="1"/>
  <c r="KV17" i="16" l="1"/>
  <c r="JS13" i="21"/>
  <c r="KE39" i="16"/>
  <c r="IV14" i="21"/>
  <c r="IW13" i="21"/>
  <c r="IO17" i="16"/>
  <c r="IR17" i="16"/>
  <c r="IX17" i="16"/>
  <c r="LB39" i="16" l="1"/>
  <c r="KK39" i="16"/>
  <c r="LH39" i="16" s="1"/>
  <c r="KF39" i="16"/>
  <c r="JD17" i="16"/>
  <c r="KM39" i="16" l="1"/>
  <c r="KL39" i="16"/>
  <c r="CV19" i="4"/>
  <c r="JP27" i="16" l="1"/>
  <c r="KM27" i="16" s="1"/>
  <c r="JP26" i="16"/>
  <c r="JV26" i="16" s="1"/>
  <c r="KB26" i="16" s="1"/>
  <c r="JP25" i="16"/>
  <c r="KM25" i="16" s="1"/>
  <c r="JP24" i="16"/>
  <c r="KM24" i="16" s="1"/>
  <c r="JP23" i="16"/>
  <c r="KM23" i="16" s="1"/>
  <c r="JP22" i="16"/>
  <c r="KM22" i="16" s="1"/>
  <c r="JP21" i="16"/>
  <c r="KM21" i="16" s="1"/>
  <c r="JP20" i="16"/>
  <c r="JP18" i="16"/>
  <c r="KM18" i="16" s="1"/>
  <c r="JP16" i="16"/>
  <c r="JV16" i="16" s="1"/>
  <c r="KB16" i="16" s="1"/>
  <c r="JV20" i="16" l="1"/>
  <c r="KM20" i="16"/>
  <c r="JV24" i="16"/>
  <c r="JV25" i="16"/>
  <c r="JV22" i="16"/>
  <c r="JV18" i="16"/>
  <c r="JV23" i="16"/>
  <c r="JV27" i="16"/>
  <c r="JP17" i="16"/>
  <c r="KB25" i="16" l="1"/>
  <c r="KY25" i="16" s="1"/>
  <c r="KS25" i="16"/>
  <c r="KB23" i="16"/>
  <c r="KB24" i="16"/>
  <c r="KY24" i="16" s="1"/>
  <c r="KS24" i="16"/>
  <c r="KB18" i="16"/>
  <c r="KY18" i="16" s="1"/>
  <c r="KS18" i="16"/>
  <c r="KB27" i="16"/>
  <c r="KB22" i="16"/>
  <c r="KB20" i="16"/>
  <c r="KY20" i="16" s="1"/>
  <c r="KS20" i="16"/>
  <c r="JV17" i="16"/>
  <c r="EW60" i="17"/>
  <c r="FK13" i="17"/>
  <c r="EW23" i="17"/>
  <c r="EW16" i="17"/>
  <c r="KB17" i="16" l="1"/>
  <c r="CW58" i="4"/>
  <c r="CW47" i="4"/>
  <c r="CW36" i="4"/>
  <c r="CW51" i="4"/>
  <c r="CV58" i="4"/>
  <c r="CV47" i="4"/>
  <c r="CV36" i="4"/>
  <c r="DB52" i="4" l="1"/>
  <c r="DD52" i="4"/>
  <c r="DB41" i="4"/>
  <c r="DD41" i="4"/>
  <c r="CW55" i="4"/>
  <c r="CW56" i="4" s="1"/>
  <c r="CW44" i="4"/>
  <c r="CW45" i="4" s="1"/>
  <c r="CW33" i="4"/>
  <c r="CW8" i="4" l="1"/>
  <c r="CV45" i="4"/>
  <c r="CV56" i="4"/>
  <c r="CW19" i="4"/>
  <c r="CW17" i="4"/>
  <c r="IR29" i="21" l="1"/>
  <c r="IR28" i="21"/>
  <c r="IR27" i="21"/>
  <c r="IR26" i="21"/>
  <c r="FO18" i="15" l="1"/>
  <c r="FO17" i="15"/>
  <c r="FO12" i="15"/>
  <c r="FO11" i="15"/>
  <c r="FO10" i="15"/>
  <c r="FO26" i="15"/>
  <c r="FO25" i="15"/>
  <c r="FO24" i="15"/>
  <c r="IR6" i="21" l="1"/>
  <c r="IR11" i="21"/>
  <c r="IP4" i="21"/>
  <c r="JM4" i="21" s="1"/>
  <c r="IR7" i="21"/>
  <c r="IR12" i="21"/>
  <c r="IP8" i="21"/>
  <c r="JM8" i="21" s="1"/>
  <c r="IR9" i="21"/>
  <c r="IR5" i="21"/>
  <c r="IR10" i="21"/>
  <c r="IP13" i="21" l="1"/>
  <c r="JM13" i="21" s="1"/>
  <c r="FO13" i="15"/>
  <c r="FK40" i="17" l="1"/>
  <c r="FK39" i="17"/>
  <c r="FK66" i="17"/>
  <c r="FK65" i="17"/>
  <c r="FK64" i="17"/>
  <c r="FK63" i="17"/>
  <c r="FK62" i="17"/>
  <c r="FK56" i="17"/>
  <c r="FK60" i="17"/>
  <c r="FK53" i="17"/>
  <c r="FK52" i="17"/>
  <c r="FK51" i="17"/>
  <c r="FK49" i="17"/>
  <c r="FK48" i="17"/>
  <c r="FK47" i="17"/>
  <c r="FK45" i="17"/>
  <c r="FK44" i="17"/>
  <c r="FK43" i="17"/>
  <c r="FK34" i="17"/>
  <c r="FK35" i="17"/>
  <c r="FK33" i="17"/>
  <c r="FK16" i="17"/>
  <c r="FK15" i="17"/>
  <c r="FK14" i="17"/>
  <c r="FK10" i="17"/>
  <c r="FK9" i="17"/>
  <c r="FK8" i="17"/>
  <c r="FI12" i="17" l="1"/>
  <c r="FW12" i="17" s="1"/>
  <c r="FK11" i="17"/>
  <c r="IP17" i="21"/>
  <c r="IP14" i="21" s="1"/>
  <c r="IS17" i="21"/>
  <c r="FW38" i="17"/>
  <c r="FK37" i="17"/>
  <c r="FK46" i="17"/>
  <c r="FK20" i="17"/>
  <c r="JY4" i="16"/>
  <c r="KV4" i="16" s="1"/>
  <c r="KA5" i="16" l="1"/>
  <c r="FK38" i="17"/>
  <c r="KA6" i="16"/>
  <c r="JZ4" i="16"/>
  <c r="JZ34" i="16" l="1"/>
  <c r="JZ11" i="16"/>
  <c r="KA11" i="16"/>
  <c r="JZ6" i="16"/>
  <c r="KA12" i="16"/>
  <c r="JZ12" i="16"/>
  <c r="JZ5" i="16"/>
  <c r="JZ9" i="16"/>
  <c r="KA9" i="16"/>
  <c r="JZ25" i="16"/>
  <c r="KA25" i="16"/>
  <c r="KA27" i="16"/>
  <c r="JZ27" i="16"/>
  <c r="JZ33" i="16"/>
  <c r="KA33" i="16"/>
  <c r="IP16" i="21"/>
  <c r="JZ19" i="16"/>
  <c r="KA8" i="16"/>
  <c r="JZ31" i="16"/>
  <c r="JZ26" i="16"/>
  <c r="JZ8" i="16"/>
  <c r="JZ28" i="16"/>
  <c r="JZ40" i="16"/>
  <c r="JZ39" i="16"/>
  <c r="JY10" i="16"/>
  <c r="KV10" i="16" s="1"/>
  <c r="JY7" i="16"/>
  <c r="KV7" i="16" s="1"/>
  <c r="JY14" i="16"/>
  <c r="KV14" i="16" s="1"/>
  <c r="JZ10" i="16" l="1"/>
  <c r="JZ14" i="16"/>
  <c r="IQ11" i="21"/>
  <c r="IQ9" i="21"/>
  <c r="IQ12" i="21"/>
  <c r="IQ5" i="21"/>
  <c r="IQ6" i="21"/>
  <c r="IQ7" i="21"/>
  <c r="IQ10" i="21"/>
  <c r="IQ4" i="21"/>
  <c r="IQ13" i="21"/>
  <c r="IQ8" i="21"/>
  <c r="JY13" i="16"/>
  <c r="JZ7" i="16"/>
  <c r="KV13" i="16" l="1"/>
  <c r="JZ13" i="16"/>
  <c r="JZ21" i="16" l="1"/>
  <c r="KA21" i="16"/>
  <c r="JZ30" i="16"/>
  <c r="KB30" i="16"/>
  <c r="KY30" i="16" s="1"/>
  <c r="KA30" i="16"/>
  <c r="KA22" i="16" l="1"/>
  <c r="JZ22" i="16"/>
  <c r="JZ23" i="16"/>
  <c r="KA23" i="16"/>
  <c r="KA24" i="16"/>
  <c r="JZ24" i="16"/>
  <c r="KA16" i="16"/>
  <c r="JZ16" i="16"/>
  <c r="FI7" i="17" l="1"/>
  <c r="FW7" i="17" s="1"/>
  <c r="FK26" i="17" l="1"/>
  <c r="FK24" i="17"/>
  <c r="FK29" i="17"/>
  <c r="FK23" i="17"/>
  <c r="FI32" i="17"/>
  <c r="FW32" i="17" s="1"/>
  <c r="FK42" i="17"/>
  <c r="FK27" i="17"/>
  <c r="KA20" i="16"/>
  <c r="JZ20" i="16"/>
  <c r="FI61" i="17"/>
  <c r="FW61" i="17" s="1"/>
  <c r="FI18" i="17"/>
  <c r="FW18" i="17" s="1"/>
  <c r="FI50" i="17"/>
  <c r="FW50" i="17" s="1"/>
  <c r="FI6" i="17" l="1"/>
  <c r="FJ28" i="17" s="1"/>
  <c r="FI31" i="17"/>
  <c r="FW31" i="17" s="1"/>
  <c r="FW6" i="17" l="1"/>
  <c r="FJ41" i="17"/>
  <c r="FJ8" i="17"/>
  <c r="FJ6" i="17"/>
  <c r="FJ7" i="17"/>
  <c r="FJ66" i="17"/>
  <c r="FJ62" i="17"/>
  <c r="FJ58" i="17"/>
  <c r="FJ52" i="17"/>
  <c r="FJ48" i="17"/>
  <c r="FJ44" i="17"/>
  <c r="FJ39" i="17"/>
  <c r="FJ34" i="17"/>
  <c r="FJ31" i="17"/>
  <c r="FJ25" i="17"/>
  <c r="FJ21" i="17"/>
  <c r="FJ17" i="17"/>
  <c r="FJ13" i="17"/>
  <c r="FJ9" i="17"/>
  <c r="FJ10" i="17"/>
  <c r="FJ65" i="17"/>
  <c r="FJ61" i="17"/>
  <c r="FJ56" i="17"/>
  <c r="FJ51" i="17"/>
  <c r="FJ47" i="17"/>
  <c r="FJ43" i="17"/>
  <c r="FJ38" i="17"/>
  <c r="FJ35" i="17"/>
  <c r="FJ29" i="17"/>
  <c r="FJ24" i="17"/>
  <c r="FJ20" i="17"/>
  <c r="FJ16" i="17"/>
  <c r="FJ12" i="17"/>
  <c r="FJ64" i="17"/>
  <c r="FJ60" i="17"/>
  <c r="FJ55" i="17"/>
  <c r="FJ50" i="17"/>
  <c r="FJ46" i="17"/>
  <c r="FJ42" i="17"/>
  <c r="FJ37" i="17"/>
  <c r="FJ33" i="17"/>
  <c r="FJ27" i="17"/>
  <c r="FJ23" i="17"/>
  <c r="FJ19" i="17"/>
  <c r="FJ15" i="17"/>
  <c r="FJ11" i="17"/>
  <c r="FJ67" i="17"/>
  <c r="FJ63" i="17"/>
  <c r="FJ59" i="17"/>
  <c r="FJ53" i="17"/>
  <c r="FJ49" i="17"/>
  <c r="FJ45" i="17"/>
  <c r="FJ40" i="17"/>
  <c r="FJ36" i="17"/>
  <c r="FJ32" i="17"/>
  <c r="FJ26" i="17"/>
  <c r="FJ22" i="17"/>
  <c r="FJ14" i="17"/>
  <c r="FJ18" i="17"/>
  <c r="FI69" i="17"/>
  <c r="IJ32" i="21" l="1"/>
  <c r="JG32" i="21" s="1"/>
  <c r="CU58" i="4" l="1"/>
  <c r="FF27" i="15"/>
  <c r="FI27" i="15"/>
  <c r="EZ25" i="15"/>
  <c r="EZ24" i="15"/>
  <c r="FC25" i="15"/>
  <c r="FC24" i="15"/>
  <c r="FF25" i="15"/>
  <c r="FF24" i="15"/>
  <c r="FI25" i="15"/>
  <c r="FI24" i="15"/>
  <c r="FL10" i="15"/>
  <c r="FL11" i="15"/>
  <c r="FL12" i="15"/>
  <c r="FL17" i="15"/>
  <c r="FL18" i="15"/>
  <c r="IM23" i="21"/>
  <c r="JJ23" i="21" s="1"/>
  <c r="FH13" i="17"/>
  <c r="FH39" i="17"/>
  <c r="FH40" i="17"/>
  <c r="JU5" i="16" l="1"/>
  <c r="JU6" i="16"/>
  <c r="JU33" i="16"/>
  <c r="JU30" i="16"/>
  <c r="CU51" i="4" l="1"/>
  <c r="CU56" i="4" s="1"/>
  <c r="CV41" i="4"/>
  <c r="CU19" i="4"/>
  <c r="CU4" i="4" l="1"/>
  <c r="FL25" i="15" l="1"/>
  <c r="FL24" i="15"/>
  <c r="FL26" i="15"/>
  <c r="CT58" i="4"/>
  <c r="CT47" i="4"/>
  <c r="CT36" i="4"/>
  <c r="CT56" i="4" l="1"/>
  <c r="CT45" i="4"/>
  <c r="CT34" i="4" l="1"/>
  <c r="CU33" i="4"/>
  <c r="CU17" i="4"/>
  <c r="CU34" i="4" l="1"/>
  <c r="CU8" i="4"/>
  <c r="CT19" i="4"/>
  <c r="IL29" i="21"/>
  <c r="IL28" i="21"/>
  <c r="IL27" i="21"/>
  <c r="IL26" i="21"/>
  <c r="IJ8" i="21" l="1"/>
  <c r="JG8" i="21" s="1"/>
  <c r="IL9" i="21"/>
  <c r="IL10" i="21"/>
  <c r="IL6" i="21"/>
  <c r="IL11" i="21"/>
  <c r="IJ4" i="21"/>
  <c r="JG4" i="21" s="1"/>
  <c r="IL5" i="21"/>
  <c r="IL7" i="21"/>
  <c r="IL12" i="21"/>
  <c r="JS4" i="16"/>
  <c r="KP4" i="16" s="1"/>
  <c r="IJ17" i="21" l="1"/>
  <c r="IJ13" i="21"/>
  <c r="JG13" i="21" s="1"/>
  <c r="JU17" i="16"/>
  <c r="JU25" i="16"/>
  <c r="JT39" i="16" l="1"/>
  <c r="JT40" i="16"/>
  <c r="IJ14" i="21"/>
  <c r="JT27" i="16"/>
  <c r="JU27" i="16"/>
  <c r="JT31" i="16"/>
  <c r="JT5" i="16"/>
  <c r="JT6" i="16"/>
  <c r="JT26" i="16"/>
  <c r="JT34" i="16"/>
  <c r="JU8" i="16"/>
  <c r="JT8" i="16"/>
  <c r="JT28" i="16"/>
  <c r="JT33" i="16"/>
  <c r="JT30" i="16"/>
  <c r="JU16" i="16"/>
  <c r="JT16" i="16"/>
  <c r="JU22" i="16"/>
  <c r="JT22" i="16"/>
  <c r="JU21" i="16"/>
  <c r="JT21" i="16"/>
  <c r="JT25" i="16"/>
  <c r="JU12" i="16"/>
  <c r="JT12" i="16"/>
  <c r="JU9" i="16"/>
  <c r="JT9" i="16"/>
  <c r="JU18" i="16"/>
  <c r="JT18" i="16"/>
  <c r="JU23" i="16"/>
  <c r="JT23" i="16"/>
  <c r="JT4" i="16"/>
  <c r="JU20" i="16"/>
  <c r="JT20" i="16"/>
  <c r="JU11" i="16"/>
  <c r="JT11" i="16"/>
  <c r="JT19" i="16"/>
  <c r="JU24" i="16"/>
  <c r="JT24" i="16"/>
  <c r="JT17" i="16"/>
  <c r="JS10" i="16"/>
  <c r="IJ16" i="21"/>
  <c r="JS15" i="16"/>
  <c r="JS14" i="16"/>
  <c r="JS7" i="16"/>
  <c r="FH26" i="17" l="1"/>
  <c r="FH34" i="17"/>
  <c r="FH33" i="17"/>
  <c r="FH42" i="17"/>
  <c r="FH46" i="17"/>
  <c r="FH51" i="17"/>
  <c r="FH60" i="17"/>
  <c r="FH63" i="17"/>
  <c r="FH35" i="17"/>
  <c r="FH43" i="17"/>
  <c r="FH47" i="17"/>
  <c r="FH52" i="17"/>
  <c r="FH55" i="17"/>
  <c r="FH64" i="17"/>
  <c r="FH44" i="17"/>
  <c r="FH48" i="17"/>
  <c r="FH53" i="17"/>
  <c r="FH67" i="17"/>
  <c r="FH65" i="17"/>
  <c r="FH27" i="17"/>
  <c r="FH29" i="17"/>
  <c r="FH37" i="17"/>
  <c r="FF38" i="17"/>
  <c r="FH45" i="17"/>
  <c r="FH49" i="17"/>
  <c r="FH56" i="17"/>
  <c r="FH62" i="17"/>
  <c r="FH66" i="17"/>
  <c r="IK6" i="21"/>
  <c r="IK11" i="21"/>
  <c r="IK5" i="21"/>
  <c r="IK12" i="21"/>
  <c r="IK10" i="21"/>
  <c r="IK9" i="21"/>
  <c r="IK7" i="21"/>
  <c r="IK8" i="21"/>
  <c r="IK4" i="21"/>
  <c r="IK13" i="21"/>
  <c r="JT15" i="16"/>
  <c r="JT7" i="16"/>
  <c r="JT10" i="16"/>
  <c r="JT14" i="16"/>
  <c r="JS13" i="16"/>
  <c r="FF32" i="17"/>
  <c r="FF50" i="17"/>
  <c r="FF61" i="17"/>
  <c r="FF22" i="17"/>
  <c r="FH10" i="17" l="1"/>
  <c r="FH16" i="17"/>
  <c r="FH21" i="17"/>
  <c r="FH38" i="17"/>
  <c r="FF12" i="17"/>
  <c r="FH11" i="17"/>
  <c r="FH17" i="17"/>
  <c r="FH8" i="17"/>
  <c r="FH23" i="17"/>
  <c r="FH14" i="17"/>
  <c r="FH19" i="17"/>
  <c r="FH9" i="17"/>
  <c r="FH15" i="17"/>
  <c r="FH20" i="17"/>
  <c r="FH24" i="17"/>
  <c r="JT13" i="16"/>
  <c r="JS29" i="16"/>
  <c r="FF31" i="17"/>
  <c r="FF7" i="17"/>
  <c r="FF18" i="17"/>
  <c r="FH12" i="17" l="1"/>
  <c r="JT29" i="16"/>
  <c r="JS32" i="16"/>
  <c r="FF6" i="17"/>
  <c r="FG28" i="17" s="1"/>
  <c r="FJ8" i="15" l="1"/>
  <c r="FX8" i="15" s="1"/>
  <c r="FG22" i="17"/>
  <c r="FG59" i="17"/>
  <c r="FG25" i="17"/>
  <c r="FG40" i="17"/>
  <c r="FG13" i="17"/>
  <c r="FG36" i="17"/>
  <c r="FG6" i="17"/>
  <c r="FG39" i="17"/>
  <c r="FG58" i="17"/>
  <c r="FG26" i="17"/>
  <c r="FG33" i="17"/>
  <c r="FG60" i="17"/>
  <c r="FG35" i="17"/>
  <c r="FG47" i="17"/>
  <c r="FG53" i="17"/>
  <c r="FG45" i="17"/>
  <c r="FG56" i="17"/>
  <c r="FG66" i="17"/>
  <c r="FG46" i="17"/>
  <c r="FG55" i="17"/>
  <c r="FG44" i="17"/>
  <c r="FG65" i="17"/>
  <c r="FG27" i="17"/>
  <c r="FG34" i="17"/>
  <c r="FG51" i="17"/>
  <c r="FG43" i="17"/>
  <c r="FG64" i="17"/>
  <c r="FG37" i="17"/>
  <c r="FG49" i="17"/>
  <c r="FG62" i="17"/>
  <c r="FG42" i="17"/>
  <c r="FG63" i="17"/>
  <c r="FG52" i="17"/>
  <c r="FG48" i="17"/>
  <c r="FG67" i="17"/>
  <c r="FG29" i="17"/>
  <c r="FG10" i="17"/>
  <c r="FG21" i="17"/>
  <c r="FG38" i="17"/>
  <c r="FG50" i="17"/>
  <c r="FG17" i="17"/>
  <c r="FG8" i="17"/>
  <c r="FG32" i="17"/>
  <c r="FG19" i="17"/>
  <c r="FG15" i="17"/>
  <c r="FG16" i="17"/>
  <c r="FG24" i="17"/>
  <c r="FG61" i="17"/>
  <c r="FG11" i="17"/>
  <c r="FG23" i="17"/>
  <c r="FG14" i="17"/>
  <c r="FG9" i="17"/>
  <c r="FG20" i="17"/>
  <c r="FF69" i="17"/>
  <c r="FG31" i="17"/>
  <c r="FG12" i="17"/>
  <c r="FL13" i="15"/>
  <c r="FL14" i="15"/>
  <c r="FL15" i="15"/>
  <c r="FG7" i="17"/>
  <c r="FG18" i="17"/>
  <c r="JT32" i="16"/>
  <c r="JS35" i="16"/>
  <c r="JT35" i="16" l="1"/>
  <c r="JS36" i="16"/>
  <c r="DQ21" i="15"/>
  <c r="DQ20" i="15"/>
  <c r="DT21" i="15"/>
  <c r="DT20" i="15"/>
  <c r="DW20" i="15"/>
  <c r="DZ21" i="15"/>
  <c r="DZ20" i="15"/>
  <c r="EC21" i="15"/>
  <c r="EC20" i="15"/>
  <c r="EI21" i="15"/>
  <c r="EI20" i="15"/>
  <c r="EL21" i="15"/>
  <c r="EL20" i="15"/>
  <c r="EO21" i="15"/>
  <c r="EO20" i="15"/>
  <c r="ER21" i="15"/>
  <c r="ER20" i="15"/>
  <c r="EU21" i="15"/>
  <c r="EU20" i="15"/>
  <c r="EX20" i="15"/>
  <c r="EX21" i="15"/>
  <c r="FD21" i="15"/>
  <c r="FR21" i="15" s="1"/>
  <c r="FA21" i="15"/>
  <c r="FA20" i="15"/>
  <c r="FD20" i="15"/>
  <c r="FR20" i="15" s="1"/>
  <c r="CM19" i="15"/>
  <c r="CG19" i="15"/>
  <c r="FD9" i="15"/>
  <c r="FR9" i="15" s="1"/>
  <c r="FA9" i="15"/>
  <c r="FO9" i="15" s="1"/>
  <c r="EX9" i="15"/>
  <c r="FL9" i="15" s="1"/>
  <c r="EU9" i="15"/>
  <c r="FI9" i="15" s="1"/>
  <c r="ER9" i="15"/>
  <c r="EO9" i="15"/>
  <c r="EL9" i="15"/>
  <c r="EI9" i="15"/>
  <c r="EF9" i="15"/>
  <c r="EC9" i="15"/>
  <c r="DZ9" i="15"/>
  <c r="DW9" i="15"/>
  <c r="DT9" i="15"/>
  <c r="DQ9" i="15"/>
  <c r="DN9" i="15"/>
  <c r="DK9" i="15"/>
  <c r="DH9" i="15"/>
  <c r="DE9" i="15"/>
  <c r="DB9" i="15"/>
  <c r="CY9" i="15"/>
  <c r="CV9" i="15"/>
  <c r="CS9" i="15"/>
  <c r="CP9" i="15"/>
  <c r="CM9" i="15"/>
  <c r="CJ9" i="15"/>
  <c r="CG9" i="15"/>
  <c r="CD9" i="15"/>
  <c r="CA9" i="15"/>
  <c r="BX9" i="15"/>
  <c r="BU9" i="15"/>
  <c r="BR9" i="15"/>
  <c r="BO9" i="15"/>
  <c r="BL9" i="15"/>
  <c r="BI9" i="15"/>
  <c r="DM9" i="15" l="1"/>
  <c r="DY9" i="15"/>
  <c r="EK9" i="15"/>
  <c r="JT36" i="16"/>
  <c r="EW9" i="15"/>
  <c r="CX9" i="15"/>
  <c r="DJ9" i="15"/>
  <c r="DV9" i="15"/>
  <c r="EH9" i="15"/>
  <c r="ET9" i="15"/>
  <c r="FF9" i="15"/>
  <c r="DA9" i="15"/>
  <c r="CR9" i="15"/>
  <c r="DD9" i="15"/>
  <c r="DP9" i="15"/>
  <c r="EB9" i="15"/>
  <c r="EN9" i="15"/>
  <c r="EZ9" i="15"/>
  <c r="DW21" i="15"/>
  <c r="CP19" i="15"/>
  <c r="EQ9" i="15"/>
  <c r="FC9" i="15"/>
  <c r="CU9" i="15"/>
  <c r="DG9" i="15"/>
  <c r="DS9" i="15"/>
  <c r="EE9" i="15"/>
  <c r="CV52" i="4"/>
  <c r="CX56" i="4" l="1"/>
  <c r="CX52" i="4"/>
  <c r="CX41" i="4"/>
  <c r="CX45" i="4"/>
  <c r="CY52" i="4" l="1"/>
  <c r="CY56" i="4" l="1"/>
  <c r="CZ51" i="4"/>
  <c r="CZ56" i="4" l="1"/>
  <c r="DA52" i="4"/>
  <c r="CZ52" i="4"/>
  <c r="JV19" i="16" l="1"/>
  <c r="KB19" i="16" l="1"/>
  <c r="KS19" i="16"/>
  <c r="FE40" i="17"/>
  <c r="FE39" i="17"/>
  <c r="FE13" i="17"/>
  <c r="FE12" i="17"/>
  <c r="FC38" i="17"/>
  <c r="FC11" i="17"/>
  <c r="KY19" i="16" l="1"/>
  <c r="FE11" i="17"/>
  <c r="FQ11" i="17"/>
  <c r="FC37" i="17"/>
  <c r="FQ38" i="17"/>
  <c r="FE38" i="17"/>
  <c r="FE37" i="17" l="1"/>
  <c r="FQ37" i="17"/>
  <c r="FI45" i="15"/>
  <c r="FI44" i="15"/>
  <c r="FI43" i="15"/>
  <c r="FI41" i="15"/>
  <c r="FI40" i="15"/>
  <c r="FI39" i="15"/>
  <c r="FI38" i="15"/>
  <c r="FI17" i="15"/>
  <c r="FI13" i="15"/>
  <c r="FI12" i="15"/>
  <c r="FI11" i="15"/>
  <c r="FI10" i="15"/>
  <c r="FI47" i="15"/>
  <c r="FH45" i="15"/>
  <c r="FI34" i="15"/>
  <c r="FI33" i="15"/>
  <c r="FI22" i="15"/>
  <c r="FI15" i="15"/>
  <c r="FI14" i="15"/>
  <c r="FI7" i="15"/>
  <c r="FG20" i="15" l="1"/>
  <c r="FH28" i="15" s="1"/>
  <c r="FG21" i="15"/>
  <c r="FG6" i="15"/>
  <c r="FI28" i="15"/>
  <c r="FI23" i="15"/>
  <c r="FH36" i="15"/>
  <c r="FH42" i="15"/>
  <c r="FH40" i="15"/>
  <c r="FH38" i="15"/>
  <c r="FH44" i="15"/>
  <c r="FG31" i="15"/>
  <c r="FH33" i="15" s="1"/>
  <c r="FG32" i="15"/>
  <c r="FG5" i="15"/>
  <c r="IG23" i="21"/>
  <c r="FH37" i="15"/>
  <c r="FH39" i="15"/>
  <c r="FH41" i="15"/>
  <c r="FH43" i="15"/>
  <c r="FH25" i="15" l="1"/>
  <c r="FH27" i="15"/>
  <c r="FH26" i="15"/>
  <c r="FH24" i="15"/>
  <c r="FH15" i="15"/>
  <c r="FH9" i="15"/>
  <c r="FH8" i="15"/>
  <c r="FH21" i="15"/>
  <c r="FG50" i="15"/>
  <c r="FH6" i="15"/>
  <c r="FH34" i="15"/>
  <c r="FH18" i="15"/>
  <c r="FH12" i="15"/>
  <c r="FH5" i="15"/>
  <c r="FH17" i="15"/>
  <c r="FH13" i="15"/>
  <c r="FH11" i="15"/>
  <c r="FG49" i="15"/>
  <c r="FH14" i="15"/>
  <c r="FH7" i="15"/>
  <c r="FH16" i="15"/>
  <c r="FH10" i="15"/>
  <c r="FH20" i="15"/>
  <c r="FH23" i="15"/>
  <c r="FH31" i="15"/>
  <c r="FH22" i="15"/>
  <c r="FH32" i="15"/>
  <c r="FH47" i="15" l="1"/>
  <c r="FH50" i="15"/>
  <c r="FH49" i="15"/>
  <c r="IM12" i="21" l="1"/>
  <c r="IM11" i="21"/>
  <c r="IM10" i="21"/>
  <c r="IM9" i="21"/>
  <c r="IM7" i="21"/>
  <c r="IM6" i="21"/>
  <c r="JJ6" i="21" s="1"/>
  <c r="IM5" i="21"/>
  <c r="IS9" i="21" l="1"/>
  <c r="JP9" i="21" s="1"/>
  <c r="JJ9" i="21"/>
  <c r="IS5" i="21"/>
  <c r="JP5" i="21" s="1"/>
  <c r="JJ5" i="21"/>
  <c r="IS10" i="21"/>
  <c r="JP10" i="21" s="1"/>
  <c r="JJ10" i="21"/>
  <c r="IS11" i="21"/>
  <c r="IS12" i="21"/>
  <c r="JP12" i="21" s="1"/>
  <c r="JJ12" i="21"/>
  <c r="IN6" i="21"/>
  <c r="IS6" i="21"/>
  <c r="JP6" i="21" s="1"/>
  <c r="IN7" i="21"/>
  <c r="IS7" i="21"/>
  <c r="IM33" i="21"/>
  <c r="JJ33" i="21" s="1"/>
  <c r="IN10" i="21"/>
  <c r="IM34" i="21"/>
  <c r="IN11" i="21"/>
  <c r="IM32" i="21"/>
  <c r="JJ32" i="21" s="1"/>
  <c r="IN9" i="21"/>
  <c r="IN5" i="21"/>
  <c r="IN12" i="21"/>
  <c r="IG4" i="21"/>
  <c r="JD4" i="21" s="1"/>
  <c r="IH7" i="21"/>
  <c r="IH9" i="21"/>
  <c r="IG32" i="21"/>
  <c r="IH6" i="21"/>
  <c r="IH11" i="21"/>
  <c r="IG34" i="21"/>
  <c r="IG8" i="21"/>
  <c r="IH5" i="21"/>
  <c r="IH10" i="21"/>
  <c r="IG33" i="21"/>
  <c r="IH12" i="21"/>
  <c r="IM8" i="21" l="1"/>
  <c r="IM35" i="21" s="1"/>
  <c r="JJ35" i="21" s="1"/>
  <c r="JD8" i="21"/>
  <c r="IH4" i="21"/>
  <c r="IM4" i="21"/>
  <c r="JJ4" i="21" s="1"/>
  <c r="IF28" i="21"/>
  <c r="IF29" i="21"/>
  <c r="IF27" i="21"/>
  <c r="IF26" i="21"/>
  <c r="IH8" i="21"/>
  <c r="IG35" i="21"/>
  <c r="IG13" i="21"/>
  <c r="IS8" i="21" l="1"/>
  <c r="JP8" i="21" s="1"/>
  <c r="JJ8" i="21"/>
  <c r="IN8" i="21"/>
  <c r="IM13" i="21"/>
  <c r="IN13" i="21" s="1"/>
  <c r="JD13" i="21"/>
  <c r="IN4" i="21"/>
  <c r="IS4" i="21"/>
  <c r="JP4" i="21" s="1"/>
  <c r="IH13" i="21"/>
  <c r="IG14" i="21"/>
  <c r="IF21" i="21"/>
  <c r="IF20" i="21"/>
  <c r="IS13" i="21" l="1"/>
  <c r="JJ13" i="21"/>
  <c r="IM14" i="21"/>
  <c r="IF22" i="21"/>
  <c r="ID23" i="21"/>
  <c r="JP28" i="16"/>
  <c r="JV28" i="16" s="1"/>
  <c r="KB28" i="16" s="1"/>
  <c r="JP31" i="16"/>
  <c r="JV31" i="16" s="1"/>
  <c r="KB31" i="16" s="1"/>
  <c r="JP34" i="16"/>
  <c r="JV34" i="16" s="1"/>
  <c r="KB34" i="16" s="1"/>
  <c r="IX4" i="16"/>
  <c r="JD4" i="16"/>
  <c r="JJ4" i="16"/>
  <c r="JP5" i="16"/>
  <c r="JO18" i="16"/>
  <c r="JP33" i="16"/>
  <c r="KM33" i="16" s="1"/>
  <c r="JP30" i="16"/>
  <c r="KM30" i="16" s="1"/>
  <c r="JV21" i="16"/>
  <c r="IS14" i="21" l="1"/>
  <c r="JP13" i="21"/>
  <c r="KB21" i="16"/>
  <c r="JV33" i="16"/>
  <c r="JV5" i="16"/>
  <c r="KM5" i="16"/>
  <c r="JK4" i="16"/>
  <c r="KG4" i="16"/>
  <c r="JE4" i="16"/>
  <c r="KA4" i="16"/>
  <c r="IY4" i="16"/>
  <c r="JU4" i="16"/>
  <c r="ID17" i="21"/>
  <c r="IF11" i="21"/>
  <c r="IF7" i="21"/>
  <c r="IF12" i="21"/>
  <c r="ID8" i="21"/>
  <c r="IF9" i="21"/>
  <c r="ID32" i="21"/>
  <c r="ID34" i="21"/>
  <c r="IF6" i="21"/>
  <c r="ID4" i="21"/>
  <c r="JA4" i="21" s="1"/>
  <c r="IF5" i="21"/>
  <c r="IF10" i="21"/>
  <c r="ID33" i="21"/>
  <c r="JO5" i="16"/>
  <c r="JO27" i="16"/>
  <c r="JO30" i="16"/>
  <c r="JO33" i="16"/>
  <c r="JO25" i="16"/>
  <c r="JO6" i="16"/>
  <c r="JM4" i="16"/>
  <c r="KJ4" i="16" s="1"/>
  <c r="JO21" i="16"/>
  <c r="JP6" i="16"/>
  <c r="KB5" i="16" l="1"/>
  <c r="KY5" i="16" s="1"/>
  <c r="KS5" i="16"/>
  <c r="KB33" i="16"/>
  <c r="ID35" i="21"/>
  <c r="JA8" i="21"/>
  <c r="JV6" i="16"/>
  <c r="KM6" i="16"/>
  <c r="ID13" i="21"/>
  <c r="JO17" i="16"/>
  <c r="JO16" i="16"/>
  <c r="JO23" i="16"/>
  <c r="JO22" i="16"/>
  <c r="JM15" i="16"/>
  <c r="JO24" i="16"/>
  <c r="JO20" i="16"/>
  <c r="JP4" i="16"/>
  <c r="FC36" i="17"/>
  <c r="KB6" i="16" l="1"/>
  <c r="KY6" i="16" s="1"/>
  <c r="KS6" i="16"/>
  <c r="JV4" i="16"/>
  <c r="KM4" i="16"/>
  <c r="ID14" i="21"/>
  <c r="JA13" i="21"/>
  <c r="KA18" i="16"/>
  <c r="JZ18" i="16"/>
  <c r="FE42" i="17"/>
  <c r="FE46" i="17"/>
  <c r="FE51" i="17"/>
  <c r="FE56" i="17"/>
  <c r="FE62" i="17"/>
  <c r="FE45" i="17"/>
  <c r="FE55" i="17"/>
  <c r="FE66" i="17"/>
  <c r="FE43" i="17"/>
  <c r="FE60" i="17"/>
  <c r="FE49" i="17"/>
  <c r="FE35" i="17"/>
  <c r="FE47" i="17"/>
  <c r="FE52" i="17"/>
  <c r="FC61" i="17"/>
  <c r="FQ61" i="17" s="1"/>
  <c r="FE34" i="17"/>
  <c r="FE44" i="17"/>
  <c r="FE48" i="17"/>
  <c r="FE53" i="17"/>
  <c r="FE65" i="17"/>
  <c r="JM7" i="16"/>
  <c r="KJ7" i="16" s="1"/>
  <c r="JN31" i="16"/>
  <c r="JN26" i="16"/>
  <c r="JN24" i="16"/>
  <c r="JN22" i="16"/>
  <c r="JN20" i="16"/>
  <c r="JN18" i="16"/>
  <c r="JN16" i="16"/>
  <c r="JN8" i="16"/>
  <c r="ID16" i="21"/>
  <c r="JN33" i="16"/>
  <c r="JN28" i="16"/>
  <c r="JN40" i="16"/>
  <c r="JN30" i="16"/>
  <c r="JN25" i="16"/>
  <c r="JN23" i="16"/>
  <c r="JN19" i="16"/>
  <c r="JN17" i="16"/>
  <c r="JN5" i="16"/>
  <c r="JM14" i="16"/>
  <c r="KJ14" i="16" s="1"/>
  <c r="JN39" i="16"/>
  <c r="JP8" i="16"/>
  <c r="JN34" i="16"/>
  <c r="JN27" i="16"/>
  <c r="JO8" i="16"/>
  <c r="JN6" i="16"/>
  <c r="JN21" i="16"/>
  <c r="JN4" i="16"/>
  <c r="JP9" i="16"/>
  <c r="JO9" i="16"/>
  <c r="JN9" i="16"/>
  <c r="JN15" i="16"/>
  <c r="JM10" i="16"/>
  <c r="KJ10" i="16" s="1"/>
  <c r="JO11" i="16"/>
  <c r="JP11" i="16"/>
  <c r="KM11" i="16" s="1"/>
  <c r="JN11" i="16"/>
  <c r="JN12" i="16"/>
  <c r="JP12" i="16"/>
  <c r="KM12" i="16" s="1"/>
  <c r="JO12" i="16"/>
  <c r="FC50" i="17"/>
  <c r="FQ50" i="17" s="1"/>
  <c r="KB4" i="16" l="1"/>
  <c r="KY4" i="16" s="1"/>
  <c r="KS4" i="16"/>
  <c r="JV12" i="16"/>
  <c r="JV8" i="16"/>
  <c r="JW39" i="16" s="1"/>
  <c r="KM8" i="16"/>
  <c r="JV9" i="16"/>
  <c r="KM9" i="16"/>
  <c r="JV11" i="16"/>
  <c r="JZ17" i="16"/>
  <c r="KA17" i="16"/>
  <c r="JY15" i="16"/>
  <c r="KV15" i="16" s="1"/>
  <c r="JQ4" i="16"/>
  <c r="FE64" i="17"/>
  <c r="IE12" i="21"/>
  <c r="IE9" i="21"/>
  <c r="IE10" i="21"/>
  <c r="IE7" i="21"/>
  <c r="IE6" i="21"/>
  <c r="IE11" i="21"/>
  <c r="IE5" i="21"/>
  <c r="IE13" i="21"/>
  <c r="IE8" i="21"/>
  <c r="IE4" i="21"/>
  <c r="FC32" i="17"/>
  <c r="FQ32" i="17" s="1"/>
  <c r="FE33" i="17"/>
  <c r="JQ12" i="16"/>
  <c r="JN14" i="16"/>
  <c r="JQ11" i="16"/>
  <c r="JQ31" i="16"/>
  <c r="JQ26" i="16"/>
  <c r="JQ24" i="16"/>
  <c r="JQ22" i="16"/>
  <c r="JQ20" i="16"/>
  <c r="JQ18" i="16"/>
  <c r="JQ16" i="16"/>
  <c r="JQ8" i="16"/>
  <c r="JQ33" i="16"/>
  <c r="JQ28" i="16"/>
  <c r="JQ30" i="16"/>
  <c r="JQ23" i="16"/>
  <c r="JQ19" i="16"/>
  <c r="JQ17" i="16"/>
  <c r="JQ5" i="16"/>
  <c r="JQ34" i="16"/>
  <c r="JQ27" i="16"/>
  <c r="JQ40" i="16"/>
  <c r="JQ39" i="16"/>
  <c r="JQ21" i="16"/>
  <c r="JQ6" i="16"/>
  <c r="JN10" i="16"/>
  <c r="JQ9" i="16"/>
  <c r="JM13" i="16"/>
  <c r="KJ13" i="16" s="1"/>
  <c r="JN7" i="16"/>
  <c r="JW22" i="16" l="1"/>
  <c r="JW11" i="16"/>
  <c r="JW27" i="16"/>
  <c r="JW5" i="16"/>
  <c r="JW20" i="16"/>
  <c r="JW17" i="16"/>
  <c r="JW12" i="16"/>
  <c r="JW23" i="16"/>
  <c r="JW26" i="16"/>
  <c r="JW34" i="16"/>
  <c r="JW19" i="16"/>
  <c r="JW9" i="16"/>
  <c r="JW6" i="16"/>
  <c r="JW30" i="16"/>
  <c r="JW21" i="16"/>
  <c r="JW16" i="16"/>
  <c r="JW40" i="16"/>
  <c r="JW18" i="16"/>
  <c r="JW24" i="16"/>
  <c r="JW4" i="16"/>
  <c r="JW31" i="16"/>
  <c r="JW28" i="16"/>
  <c r="JW33" i="16"/>
  <c r="JW8" i="16"/>
  <c r="KB11" i="16"/>
  <c r="KB8" i="16"/>
  <c r="KC39" i="16" s="1"/>
  <c r="KB12" i="16"/>
  <c r="KB9" i="16"/>
  <c r="JZ15" i="16"/>
  <c r="JY29" i="16"/>
  <c r="FC31" i="17"/>
  <c r="FQ31" i="17" s="1"/>
  <c r="FE10" i="17"/>
  <c r="FE27" i="17"/>
  <c r="FE24" i="17"/>
  <c r="FE14" i="17"/>
  <c r="FE15" i="17"/>
  <c r="FE19" i="17"/>
  <c r="FE29" i="17"/>
  <c r="FE8" i="17"/>
  <c r="FE16" i="17"/>
  <c r="FE20" i="17"/>
  <c r="FE17" i="17"/>
  <c r="FE23" i="17"/>
  <c r="FE26" i="17"/>
  <c r="JN13" i="16"/>
  <c r="JM29" i="16"/>
  <c r="FC18" i="17"/>
  <c r="FQ18" i="17" s="1"/>
  <c r="FC7" i="17"/>
  <c r="FQ7" i="17" s="1"/>
  <c r="KC9" i="16" l="1"/>
  <c r="JY32" i="16"/>
  <c r="JZ32" i="16" s="1"/>
  <c r="KV29" i="16"/>
  <c r="KC17" i="16"/>
  <c r="KC22" i="16"/>
  <c r="KC23" i="16"/>
  <c r="KC20" i="16"/>
  <c r="KC21" i="16"/>
  <c r="KC31" i="16"/>
  <c r="KC18" i="16"/>
  <c r="KC4" i="16"/>
  <c r="IS16" i="21"/>
  <c r="KC19" i="16"/>
  <c r="KC27" i="16"/>
  <c r="KC28" i="16"/>
  <c r="KC40" i="16"/>
  <c r="KC16" i="16"/>
  <c r="KC26" i="16"/>
  <c r="KC5" i="16"/>
  <c r="KC30" i="16"/>
  <c r="KC33" i="16"/>
  <c r="KC34" i="16"/>
  <c r="KC6" i="16"/>
  <c r="KC24" i="16"/>
  <c r="KC8" i="16"/>
  <c r="KC12" i="16"/>
  <c r="KC11" i="16"/>
  <c r="JZ29" i="16"/>
  <c r="FC6" i="17"/>
  <c r="JM32" i="16"/>
  <c r="JN29" i="16"/>
  <c r="E31" i="5"/>
  <c r="E25" i="5"/>
  <c r="F25" i="5"/>
  <c r="G25" i="5" s="1"/>
  <c r="JY35" i="16" l="1"/>
  <c r="KV32" i="16"/>
  <c r="IT12" i="21"/>
  <c r="IT6" i="21"/>
  <c r="IT9" i="21"/>
  <c r="IT5" i="21"/>
  <c r="IT13" i="21"/>
  <c r="IT11" i="21"/>
  <c r="IT7" i="21"/>
  <c r="IT4" i="21"/>
  <c r="IT10" i="21"/>
  <c r="IT8" i="21"/>
  <c r="FD7" i="17"/>
  <c r="FQ6" i="17"/>
  <c r="FD31" i="17"/>
  <c r="FD18" i="17"/>
  <c r="FC69" i="17"/>
  <c r="FD40" i="17"/>
  <c r="FD38" i="17"/>
  <c r="FD6" i="17"/>
  <c r="FD39" i="17"/>
  <c r="FD11" i="17"/>
  <c r="FD12" i="17"/>
  <c r="FD59" i="17"/>
  <c r="FD37" i="17"/>
  <c r="FD13" i="17"/>
  <c r="FD35" i="17"/>
  <c r="FD52" i="17"/>
  <c r="FD48" i="17"/>
  <c r="FD56" i="17"/>
  <c r="FD63" i="17"/>
  <c r="FD42" i="17"/>
  <c r="FD51" i="17"/>
  <c r="FD62" i="17"/>
  <c r="FD45" i="17"/>
  <c r="FD66" i="17"/>
  <c r="FD60" i="17"/>
  <c r="FD34" i="17"/>
  <c r="FD65" i="17"/>
  <c r="FD49" i="17"/>
  <c r="FD53" i="17"/>
  <c r="FD67" i="17"/>
  <c r="FD55" i="17"/>
  <c r="FD44" i="17"/>
  <c r="FD46" i="17"/>
  <c r="FD43" i="17"/>
  <c r="FD47" i="17"/>
  <c r="FD33" i="17"/>
  <c r="FD50" i="17"/>
  <c r="FD61" i="17"/>
  <c r="FD64" i="17"/>
  <c r="FD10" i="17"/>
  <c r="FD24" i="17"/>
  <c r="FD29" i="17"/>
  <c r="FD9" i="17"/>
  <c r="FD14" i="17"/>
  <c r="FD26" i="17"/>
  <c r="FD20" i="17"/>
  <c r="FD15" i="17"/>
  <c r="FD16" i="17"/>
  <c r="FD17" i="17"/>
  <c r="FD32" i="17"/>
  <c r="FD27" i="17"/>
  <c r="FD19" i="17"/>
  <c r="FD8" i="17"/>
  <c r="FD21" i="17"/>
  <c r="FD23" i="17"/>
  <c r="JM35" i="16"/>
  <c r="JN32" i="16"/>
  <c r="KV35" i="16" l="1"/>
  <c r="JZ35" i="16"/>
  <c r="JY36" i="16"/>
  <c r="KV36" i="16" s="1"/>
  <c r="JM36" i="16"/>
  <c r="JN35" i="16"/>
  <c r="JZ36" i="16" l="1"/>
  <c r="JN36" i="16"/>
  <c r="CG10" i="4" l="1"/>
  <c r="BZ10" i="4"/>
  <c r="BS10" i="4"/>
  <c r="BE10" i="4"/>
  <c r="BX10" i="4"/>
  <c r="BJ10" i="4"/>
  <c r="CN10" i="4"/>
  <c r="CL10" i="4"/>
  <c r="CH10" i="4"/>
  <c r="CE10" i="4"/>
  <c r="CA10" i="4"/>
  <c r="BT10" i="4"/>
  <c r="BQ10" i="4"/>
  <c r="BM10" i="4"/>
  <c r="BL10" i="4"/>
  <c r="BF10" i="4"/>
  <c r="BC10" i="4"/>
  <c r="AY10" i="4"/>
  <c r="AX10" i="4"/>
  <c r="AV10" i="4"/>
  <c r="HH26" i="21" l="1"/>
  <c r="CS58" i="4" l="1"/>
  <c r="CR58" i="4"/>
  <c r="CR56" i="4"/>
  <c r="CS55" i="4"/>
  <c r="CR52" i="4"/>
  <c r="CS51" i="4"/>
  <c r="CT52" i="4" s="1"/>
  <c r="CS50" i="4"/>
  <c r="CR50" i="4"/>
  <c r="CS47" i="4"/>
  <c r="CR47" i="4"/>
  <c r="CR45" i="4"/>
  <c r="CS44" i="4"/>
  <c r="CR41" i="4"/>
  <c r="CT41" i="4"/>
  <c r="CS39" i="4"/>
  <c r="CR39" i="4"/>
  <c r="CS36" i="4"/>
  <c r="CR36" i="4"/>
  <c r="CR34" i="4"/>
  <c r="CS34" i="4" s="1"/>
  <c r="CS33" i="4"/>
  <c r="CS8" i="4" s="1"/>
  <c r="CR32" i="4"/>
  <c r="CR5" i="4" s="1"/>
  <c r="CT32" i="4"/>
  <c r="CS30" i="4"/>
  <c r="CR30" i="4"/>
  <c r="CS19" i="4"/>
  <c r="CR19" i="4"/>
  <c r="CS18" i="4"/>
  <c r="CU18" i="4" s="1"/>
  <c r="CW18" i="4" s="1"/>
  <c r="CS17" i="4"/>
  <c r="CS16" i="4"/>
  <c r="CS15" i="4"/>
  <c r="CS14" i="4"/>
  <c r="CS13" i="4"/>
  <c r="CS12" i="4"/>
  <c r="CR11" i="4"/>
  <c r="CR4" i="4"/>
  <c r="CT5" i="4" l="1"/>
  <c r="CS4" i="4"/>
  <c r="CT4" i="4"/>
  <c r="CS11" i="4"/>
  <c r="CS45" i="4"/>
  <c r="CS56" i="4"/>
  <c r="CQ19" i="4"/>
  <c r="FD16" i="15"/>
  <c r="FR16" i="15" s="1"/>
  <c r="FF47" i="15" l="1"/>
  <c r="FF45" i="15"/>
  <c r="FF44" i="15"/>
  <c r="FF43" i="15"/>
  <c r="FD42" i="15"/>
  <c r="FF41" i="15"/>
  <c r="FF40" i="15"/>
  <c r="FF39" i="15"/>
  <c r="FF38" i="15"/>
  <c r="FD37" i="15"/>
  <c r="FF34" i="15"/>
  <c r="FF33" i="15"/>
  <c r="FD32" i="15"/>
  <c r="FD31" i="15"/>
  <c r="FE34" i="15" s="1"/>
  <c r="FF28" i="15"/>
  <c r="FF23" i="15"/>
  <c r="FF22" i="15"/>
  <c r="FE23" i="15"/>
  <c r="FF17" i="15"/>
  <c r="FF15" i="15"/>
  <c r="FF14" i="15"/>
  <c r="FF13" i="15"/>
  <c r="FF12" i="15"/>
  <c r="FF11" i="15"/>
  <c r="FF10" i="15"/>
  <c r="FD8" i="15"/>
  <c r="FD6" i="15" l="1"/>
  <c r="FR6" i="15" s="1"/>
  <c r="FR8" i="15"/>
  <c r="FE31" i="15"/>
  <c r="FE32" i="15"/>
  <c r="FE33" i="15"/>
  <c r="FE21" i="15"/>
  <c r="FE28" i="15"/>
  <c r="FE20" i="15"/>
  <c r="FE22" i="15"/>
  <c r="FD5" i="15"/>
  <c r="FR5" i="15" s="1"/>
  <c r="FE27" i="15" l="1"/>
  <c r="FE26" i="15"/>
  <c r="FE24" i="15"/>
  <c r="FE25" i="15"/>
  <c r="FE17" i="15"/>
  <c r="FE9" i="15"/>
  <c r="FE12" i="15"/>
  <c r="FE11" i="15"/>
  <c r="FE15" i="15"/>
  <c r="FE13" i="15"/>
  <c r="FE8" i="15"/>
  <c r="FE10" i="15"/>
  <c r="FD49" i="15"/>
  <c r="FE49" i="15" s="1"/>
  <c r="FE7" i="15"/>
  <c r="FE14" i="15"/>
  <c r="FE18" i="15"/>
  <c r="FE5" i="15"/>
  <c r="FE16" i="15"/>
  <c r="FD50" i="15"/>
  <c r="FE6" i="15"/>
  <c r="FE40" i="15"/>
  <c r="FE38" i="15"/>
  <c r="FE45" i="15"/>
  <c r="FE43" i="15"/>
  <c r="FE36" i="15"/>
  <c r="FE41" i="15"/>
  <c r="FE39" i="15"/>
  <c r="FE42" i="15"/>
  <c r="FE44" i="15"/>
  <c r="FE37" i="15"/>
  <c r="FE50" i="15" l="1"/>
  <c r="FE47" i="15"/>
  <c r="IA8" i="21" l="1"/>
  <c r="IB9" i="21"/>
  <c r="IA31" i="21"/>
  <c r="IC29" i="21"/>
  <c r="IC28" i="21"/>
  <c r="IC27" i="21"/>
  <c r="IC26" i="21"/>
  <c r="IA25" i="21"/>
  <c r="IA19" i="21"/>
  <c r="IC12" i="21"/>
  <c r="IB12" i="21"/>
  <c r="IC11" i="21"/>
  <c r="IB11" i="21"/>
  <c r="IC10" i="21"/>
  <c r="IB10" i="21"/>
  <c r="IC7" i="21"/>
  <c r="IB7" i="21"/>
  <c r="IC6" i="21"/>
  <c r="IB6" i="21"/>
  <c r="IB8" i="21" l="1"/>
  <c r="IX8" i="21"/>
  <c r="JL25" i="16"/>
  <c r="IC9" i="21"/>
  <c r="IA32" i="21"/>
  <c r="JL5" i="16"/>
  <c r="JK34" i="16"/>
  <c r="JL33" i="16"/>
  <c r="JK33" i="16"/>
  <c r="JK31" i="16"/>
  <c r="JL30" i="16"/>
  <c r="JK30" i="16"/>
  <c r="JK28" i="16"/>
  <c r="JL27" i="16"/>
  <c r="JK27" i="16"/>
  <c r="JK26" i="16"/>
  <c r="JK25" i="16"/>
  <c r="JL24" i="16"/>
  <c r="JK24" i="16"/>
  <c r="JL23" i="16"/>
  <c r="JK23" i="16"/>
  <c r="JL22" i="16"/>
  <c r="JK22" i="16"/>
  <c r="JL21" i="16"/>
  <c r="JK21" i="16"/>
  <c r="JL20" i="16"/>
  <c r="JK20" i="16"/>
  <c r="JL18" i="16"/>
  <c r="JK18" i="16"/>
  <c r="JL17" i="16"/>
  <c r="JK17" i="16"/>
  <c r="JL16" i="16"/>
  <c r="JK16" i="16"/>
  <c r="JJ15" i="16"/>
  <c r="JJ14" i="16"/>
  <c r="KG14" i="16" s="1"/>
  <c r="JL12" i="16"/>
  <c r="JK12" i="16"/>
  <c r="JL11" i="16"/>
  <c r="JK11" i="16"/>
  <c r="JJ10" i="16"/>
  <c r="JL9" i="16"/>
  <c r="JK9" i="16"/>
  <c r="JL8" i="16"/>
  <c r="JK8" i="16"/>
  <c r="JJ7" i="16"/>
  <c r="JL6" i="16"/>
  <c r="JK6" i="16"/>
  <c r="JK5" i="16"/>
  <c r="FB23" i="17"/>
  <c r="IX32" i="21" l="1"/>
  <c r="JP15" i="16"/>
  <c r="JV15" i="16" s="1"/>
  <c r="KB15" i="16" s="1"/>
  <c r="KC15" i="16" s="1"/>
  <c r="JP7" i="16"/>
  <c r="KM7" i="16" s="1"/>
  <c r="KG7" i="16"/>
  <c r="JP10" i="16"/>
  <c r="JQ10" i="16" s="1"/>
  <c r="KG10" i="16"/>
  <c r="KC25" i="16"/>
  <c r="JW25" i="16"/>
  <c r="JK14" i="16"/>
  <c r="JP14" i="16"/>
  <c r="KM14" i="16" s="1"/>
  <c r="JQ25" i="16"/>
  <c r="JJ13" i="16"/>
  <c r="KG13" i="16" s="1"/>
  <c r="JK10" i="16"/>
  <c r="JK7" i="16"/>
  <c r="JK15" i="16"/>
  <c r="JV14" i="16" l="1"/>
  <c r="JW14" i="16" s="1"/>
  <c r="JV7" i="16"/>
  <c r="JV10" i="16"/>
  <c r="KM10" i="16"/>
  <c r="JQ15" i="16"/>
  <c r="JW15" i="16"/>
  <c r="JQ7" i="16"/>
  <c r="JJ40" i="16"/>
  <c r="JP13" i="16"/>
  <c r="KM13" i="16" s="1"/>
  <c r="JQ14" i="16"/>
  <c r="JK13" i="16"/>
  <c r="JJ29" i="16"/>
  <c r="KB7" i="16" l="1"/>
  <c r="KC7" i="16" s="1"/>
  <c r="KB10" i="16"/>
  <c r="KC10" i="16" s="1"/>
  <c r="JW10" i="16"/>
  <c r="KB14" i="16"/>
  <c r="KC14" i="16" s="1"/>
  <c r="JW7" i="16"/>
  <c r="JV13" i="16"/>
  <c r="JW13" i="16" s="1"/>
  <c r="JK40" i="16"/>
  <c r="KG40" i="16"/>
  <c r="JJ32" i="16"/>
  <c r="JP29" i="16"/>
  <c r="JV29" i="16" s="1"/>
  <c r="KB29" i="16" s="1"/>
  <c r="JQ13" i="16"/>
  <c r="JK29" i="16"/>
  <c r="KB13" i="16" l="1"/>
  <c r="JP32" i="16"/>
  <c r="JV32" i="16" s="1"/>
  <c r="KB32" i="16" s="1"/>
  <c r="KC32" i="16" s="1"/>
  <c r="KC29" i="16"/>
  <c r="JW29" i="16"/>
  <c r="JJ35" i="16"/>
  <c r="JK32" i="16"/>
  <c r="JQ29" i="16"/>
  <c r="KC13" i="16" l="1"/>
  <c r="JQ32" i="16"/>
  <c r="JW32" i="16"/>
  <c r="JK35" i="16"/>
  <c r="JJ36" i="16"/>
  <c r="JP35" i="16"/>
  <c r="JV35" i="16" s="1"/>
  <c r="KB35" i="16" s="1"/>
  <c r="JK36" i="16" l="1"/>
  <c r="KC35" i="16"/>
  <c r="JW35" i="16"/>
  <c r="JP36" i="16"/>
  <c r="JV36" i="16" s="1"/>
  <c r="KB36" i="16" s="1"/>
  <c r="JQ35" i="16"/>
  <c r="FB66" i="17"/>
  <c r="FB65" i="17"/>
  <c r="FB64" i="17"/>
  <c r="FB62" i="17"/>
  <c r="EZ61" i="17"/>
  <c r="FN61" i="17" s="1"/>
  <c r="FB60" i="17"/>
  <c r="FB56" i="17"/>
  <c r="FB55" i="17"/>
  <c r="FB53" i="17"/>
  <c r="FB52" i="17"/>
  <c r="FB51" i="17"/>
  <c r="EZ50" i="17"/>
  <c r="FN50" i="17" s="1"/>
  <c r="FB49" i="17"/>
  <c r="FB48" i="17"/>
  <c r="FB47" i="17"/>
  <c r="FB46" i="17"/>
  <c r="FB45" i="17"/>
  <c r="FB44" i="17"/>
  <c r="FB43" i="17"/>
  <c r="FB42" i="17"/>
  <c r="FB40" i="17"/>
  <c r="FB39" i="17"/>
  <c r="FB38" i="17"/>
  <c r="FB37" i="17"/>
  <c r="FB34" i="17"/>
  <c r="FB35" i="17"/>
  <c r="FB33" i="17"/>
  <c r="EZ32" i="17"/>
  <c r="FN32" i="17" s="1"/>
  <c r="FB29" i="17"/>
  <c r="FB27" i="17"/>
  <c r="FB26" i="17"/>
  <c r="FB24" i="17"/>
  <c r="FB20" i="17"/>
  <c r="FB19" i="17"/>
  <c r="EZ18" i="17"/>
  <c r="FN18" i="17" s="1"/>
  <c r="FB17" i="17"/>
  <c r="FB16" i="17"/>
  <c r="FB15" i="17"/>
  <c r="FB14" i="17"/>
  <c r="FB13" i="17"/>
  <c r="FB12" i="17"/>
  <c r="FB11" i="17"/>
  <c r="FB10" i="17"/>
  <c r="FB8" i="17"/>
  <c r="EZ7" i="17"/>
  <c r="FN7" i="17" s="1"/>
  <c r="KC36" i="16" l="1"/>
  <c r="JW36" i="16"/>
  <c r="JQ36" i="16"/>
  <c r="EZ6" i="17"/>
  <c r="FN6" i="17" s="1"/>
  <c r="EZ31" i="17"/>
  <c r="FN31" i="17" s="1"/>
  <c r="EZ69" i="17" l="1"/>
  <c r="FA18" i="17"/>
  <c r="FA23" i="17"/>
  <c r="FA9" i="17"/>
  <c r="FA7" i="17"/>
  <c r="FA6" i="17"/>
  <c r="FA12" i="17"/>
  <c r="FA31" i="17"/>
  <c r="FA67" i="17"/>
  <c r="FA65" i="17"/>
  <c r="FA48" i="17"/>
  <c r="FA46" i="17"/>
  <c r="FA44" i="17"/>
  <c r="FA42" i="17"/>
  <c r="FA39" i="17"/>
  <c r="FA37" i="17"/>
  <c r="FA35" i="17"/>
  <c r="FA27" i="17"/>
  <c r="FA24" i="17"/>
  <c r="FA17" i="17"/>
  <c r="FA15" i="17"/>
  <c r="FA13" i="17"/>
  <c r="FA11" i="17"/>
  <c r="FA64" i="17"/>
  <c r="FA60" i="17"/>
  <c r="FA49" i="17"/>
  <c r="FA47" i="17"/>
  <c r="FA45" i="17"/>
  <c r="FA40" i="17"/>
  <c r="FA38" i="17"/>
  <c r="FA33" i="17"/>
  <c r="FA29" i="17"/>
  <c r="FA26" i="17"/>
  <c r="FA8" i="17"/>
  <c r="FA62" i="17"/>
  <c r="FA56" i="17"/>
  <c r="FA53" i="17"/>
  <c r="FA51" i="17"/>
  <c r="FA20" i="17"/>
  <c r="FA66" i="17"/>
  <c r="FA43" i="17"/>
  <c r="FA34" i="17"/>
  <c r="FA16" i="17"/>
  <c r="FA14" i="17"/>
  <c r="FA63" i="17"/>
  <c r="FA61" i="17"/>
  <c r="FA59" i="17"/>
  <c r="FA55" i="17"/>
  <c r="FA52" i="17"/>
  <c r="FA50" i="17"/>
  <c r="FA21" i="17"/>
  <c r="FA19" i="17"/>
  <c r="FA10" i="17"/>
  <c r="FA32" i="17"/>
  <c r="CQ58" i="4" l="1"/>
  <c r="CQ56" i="4"/>
  <c r="CQ50" i="4"/>
  <c r="CQ47" i="4"/>
  <c r="CQ45" i="4"/>
  <c r="CQ39" i="4"/>
  <c r="CQ36" i="4"/>
  <c r="CQ34" i="4"/>
  <c r="CQ30" i="4"/>
  <c r="CQ11" i="4"/>
  <c r="CQ4" i="4"/>
  <c r="FI20" i="15" l="1"/>
  <c r="FA16" i="15" l="1"/>
  <c r="CP55" i="4" l="1"/>
  <c r="CP44" i="4"/>
  <c r="CP33" i="4"/>
  <c r="CP8" i="4" l="1"/>
  <c r="HU16" i="21"/>
  <c r="HU8" i="21"/>
  <c r="IR8" i="21" s="1"/>
  <c r="EW12" i="17"/>
  <c r="FK12" i="17" s="1"/>
  <c r="FC47" i="15" l="1"/>
  <c r="FC45" i="15"/>
  <c r="FC44" i="15"/>
  <c r="FC43" i="15"/>
  <c r="FA42" i="15"/>
  <c r="FC41" i="15"/>
  <c r="FC40" i="15"/>
  <c r="FC39" i="15"/>
  <c r="FC38" i="15"/>
  <c r="FA37" i="15"/>
  <c r="FB40" i="15"/>
  <c r="FC34" i="15"/>
  <c r="FC33" i="15"/>
  <c r="FC28" i="15"/>
  <c r="FC23" i="15"/>
  <c r="FC22" i="15"/>
  <c r="FB28" i="15"/>
  <c r="FC17" i="15"/>
  <c r="FC15" i="15"/>
  <c r="FC14" i="15"/>
  <c r="FC12" i="15"/>
  <c r="FC11" i="15"/>
  <c r="FC10" i="15"/>
  <c r="HU32" i="21"/>
  <c r="IR32" i="21" s="1"/>
  <c r="HX31" i="21"/>
  <c r="HU31" i="21"/>
  <c r="HX29" i="21"/>
  <c r="IU29" i="21" s="1"/>
  <c r="HW29" i="21"/>
  <c r="HX28" i="21"/>
  <c r="IU28" i="21" s="1"/>
  <c r="HW28" i="21"/>
  <c r="HX27" i="21"/>
  <c r="IU27" i="21" s="1"/>
  <c r="HW27" i="21"/>
  <c r="HX26" i="21"/>
  <c r="IU26" i="21" s="1"/>
  <c r="HW26" i="21"/>
  <c r="HX25" i="21"/>
  <c r="HU25" i="21"/>
  <c r="HX20" i="21"/>
  <c r="IU20" i="21" s="1"/>
  <c r="HX19" i="21"/>
  <c r="HU19" i="21"/>
  <c r="HW12" i="21"/>
  <c r="HV12" i="21"/>
  <c r="HW11" i="21"/>
  <c r="HV11" i="21"/>
  <c r="HW10" i="21"/>
  <c r="HV10" i="21"/>
  <c r="HW9" i="21"/>
  <c r="HV9" i="21"/>
  <c r="HV8" i="21"/>
  <c r="HW7" i="21"/>
  <c r="HV7" i="21"/>
  <c r="HW6" i="21"/>
  <c r="HV6" i="21"/>
  <c r="HW5" i="21"/>
  <c r="HV5" i="21"/>
  <c r="HU4" i="21"/>
  <c r="IR4" i="21" s="1"/>
  <c r="FA32" i="15" l="1"/>
  <c r="HU13" i="21"/>
  <c r="IR13" i="21" s="1"/>
  <c r="FB42" i="15"/>
  <c r="FA31" i="15"/>
  <c r="FB27" i="15"/>
  <c r="FB20" i="15"/>
  <c r="FB22" i="15"/>
  <c r="FB21" i="15"/>
  <c r="FB39" i="15"/>
  <c r="FB43" i="15"/>
  <c r="FB45" i="15"/>
  <c r="FB23" i="15"/>
  <c r="FB44" i="15"/>
  <c r="FB37" i="15"/>
  <c r="FB41" i="15"/>
  <c r="FB36" i="15"/>
  <c r="FB38" i="15"/>
  <c r="HV4" i="21"/>
  <c r="JG37" i="16"/>
  <c r="JE34" i="16"/>
  <c r="JF33" i="16"/>
  <c r="JE33" i="16"/>
  <c r="JE31" i="16"/>
  <c r="JF30" i="16"/>
  <c r="JE30" i="16"/>
  <c r="JH28" i="16"/>
  <c r="JE28" i="16"/>
  <c r="JF27" i="16"/>
  <c r="JE27" i="16"/>
  <c r="JH26" i="16"/>
  <c r="JE26" i="16"/>
  <c r="JF25" i="16"/>
  <c r="JE25" i="16"/>
  <c r="JF24" i="16"/>
  <c r="JE24" i="16"/>
  <c r="JF23" i="16"/>
  <c r="JE23" i="16"/>
  <c r="JF22" i="16"/>
  <c r="JE22" i="16"/>
  <c r="JF21" i="16"/>
  <c r="JE21" i="16"/>
  <c r="JF20" i="16"/>
  <c r="JE20" i="16"/>
  <c r="JF19" i="16"/>
  <c r="JF18" i="16"/>
  <c r="JE18" i="16"/>
  <c r="JF17" i="16"/>
  <c r="JE17" i="16"/>
  <c r="JF16" i="16"/>
  <c r="JE16" i="16"/>
  <c r="JD15" i="16"/>
  <c r="JD14" i="16"/>
  <c r="KA14" i="16" s="1"/>
  <c r="JF12" i="16"/>
  <c r="JE12" i="16"/>
  <c r="JF11" i="16"/>
  <c r="JE11" i="16"/>
  <c r="JD10" i="16"/>
  <c r="JF9" i="16"/>
  <c r="JE9" i="16"/>
  <c r="JF8" i="16"/>
  <c r="JE8" i="16"/>
  <c r="JD7" i="16"/>
  <c r="JF6" i="16"/>
  <c r="JE6" i="16"/>
  <c r="JF5" i="16"/>
  <c r="JE5" i="16"/>
  <c r="EY66" i="17"/>
  <c r="EY65" i="17"/>
  <c r="EY64" i="17"/>
  <c r="EY62" i="17"/>
  <c r="EW61" i="17"/>
  <c r="FK61" i="17" s="1"/>
  <c r="EY60" i="17"/>
  <c r="EY56" i="17"/>
  <c r="EY55" i="17"/>
  <c r="EY53" i="17"/>
  <c r="EY52" i="17"/>
  <c r="EY51" i="17"/>
  <c r="EW50" i="17"/>
  <c r="FK50" i="17" s="1"/>
  <c r="EY49" i="17"/>
  <c r="EY48" i="17"/>
  <c r="EY47" i="17"/>
  <c r="EY46" i="17"/>
  <c r="EY45" i="17"/>
  <c r="EY44" i="17"/>
  <c r="EY43" i="17"/>
  <c r="EY42" i="17"/>
  <c r="EY40" i="17"/>
  <c r="EY39" i="17"/>
  <c r="EY38" i="17"/>
  <c r="EY37" i="17"/>
  <c r="EY34" i="17"/>
  <c r="EY35" i="17"/>
  <c r="EY33" i="17"/>
  <c r="EW32" i="17"/>
  <c r="FK32" i="17" s="1"/>
  <c r="EY29" i="17"/>
  <c r="EY27" i="17"/>
  <c r="EY26" i="17"/>
  <c r="EY24" i="17"/>
  <c r="EY23" i="17"/>
  <c r="EY20" i="17"/>
  <c r="EY19" i="17"/>
  <c r="EW18" i="17"/>
  <c r="FK18" i="17" s="1"/>
  <c r="EY17" i="17"/>
  <c r="EY16" i="17"/>
  <c r="EY15" i="17"/>
  <c r="EY14" i="17"/>
  <c r="EY13" i="17"/>
  <c r="EY12" i="17"/>
  <c r="EY11" i="17"/>
  <c r="EY10" i="17"/>
  <c r="EY8" i="17"/>
  <c r="EW7" i="17"/>
  <c r="FK7" i="17" s="1"/>
  <c r="JE10" i="16" l="1"/>
  <c r="KA10" i="16"/>
  <c r="JE15" i="16"/>
  <c r="KA15" i="16"/>
  <c r="JE7" i="16"/>
  <c r="KA7" i="16"/>
  <c r="FB32" i="15"/>
  <c r="EW31" i="17"/>
  <c r="FK31" i="17" s="1"/>
  <c r="FB34" i="15"/>
  <c r="FB31" i="15"/>
  <c r="FB33" i="15"/>
  <c r="HV13" i="21"/>
  <c r="JE14" i="16"/>
  <c r="JD13" i="16"/>
  <c r="KA13" i="16" s="1"/>
  <c r="EW6" i="17"/>
  <c r="FK6" i="17" s="1"/>
  <c r="EX50" i="17" l="1"/>
  <c r="EX59" i="17"/>
  <c r="EX14" i="17"/>
  <c r="EX47" i="17"/>
  <c r="EX62" i="17"/>
  <c r="EX66" i="17"/>
  <c r="EX46" i="17"/>
  <c r="EX38" i="17"/>
  <c r="EX37" i="17"/>
  <c r="EX21" i="17"/>
  <c r="EX13" i="17"/>
  <c r="EX44" i="17"/>
  <c r="EX12" i="17"/>
  <c r="EX56" i="17"/>
  <c r="EX35" i="17"/>
  <c r="EX19" i="17"/>
  <c r="EX64" i="17"/>
  <c r="EX45" i="17"/>
  <c r="EX24" i="17"/>
  <c r="EX11" i="17"/>
  <c r="EX55" i="17"/>
  <c r="EX31" i="17"/>
  <c r="EX65" i="17"/>
  <c r="EX42" i="17"/>
  <c r="EX23" i="17"/>
  <c r="EX10" i="17"/>
  <c r="EX53" i="17"/>
  <c r="EX32" i="17"/>
  <c r="EX9" i="17"/>
  <c r="EX60" i="17"/>
  <c r="EX43" i="17"/>
  <c r="EX17" i="17"/>
  <c r="EX63" i="17"/>
  <c r="EX52" i="17"/>
  <c r="EX48" i="17"/>
  <c r="EX39" i="17"/>
  <c r="EX16" i="17"/>
  <c r="EX6" i="17"/>
  <c r="EX51" i="17"/>
  <c r="EX27" i="17"/>
  <c r="EX7" i="17"/>
  <c r="EX49" i="17"/>
  <c r="EX40" i="17"/>
  <c r="EX15" i="17"/>
  <c r="EX61" i="17"/>
  <c r="JD29" i="16"/>
  <c r="KA29" i="16" s="1"/>
  <c r="JE13" i="16"/>
  <c r="JD40" i="16"/>
  <c r="KA40" i="16" s="1"/>
  <c r="EX67" i="17"/>
  <c r="EX34" i="17"/>
  <c r="EX26" i="17"/>
  <c r="EX20" i="17"/>
  <c r="EX29" i="17"/>
  <c r="EX8" i="17"/>
  <c r="EX33" i="17"/>
  <c r="EX18" i="17"/>
  <c r="JD39" i="16" l="1"/>
  <c r="KA39" i="16" s="1"/>
  <c r="HU17" i="21"/>
  <c r="JE40" i="16"/>
  <c r="JD32" i="16"/>
  <c r="KA32" i="16" s="1"/>
  <c r="JE29" i="16"/>
  <c r="HU14" i="21" l="1"/>
  <c r="JD35" i="16"/>
  <c r="JE32" i="16"/>
  <c r="JE39" i="16"/>
  <c r="KA35" i="16" l="1"/>
  <c r="JD36" i="16"/>
  <c r="KA36" i="16" s="1"/>
  <c r="JE35" i="16"/>
  <c r="JF36" i="16" l="1"/>
  <c r="JE36" i="16"/>
  <c r="EX8" i="15" l="1"/>
  <c r="FL8" i="15" s="1"/>
  <c r="CM34" i="4" l="1"/>
  <c r="JB28" i="16" l="1"/>
  <c r="JB26" i="16"/>
  <c r="ET7" i="17" l="1"/>
  <c r="FH7" i="17" s="1"/>
  <c r="CN36" i="4" l="1"/>
  <c r="EZ47" i="15" l="1"/>
  <c r="EZ45" i="15"/>
  <c r="EZ44" i="15"/>
  <c r="EZ43" i="15"/>
  <c r="EX42" i="15"/>
  <c r="EZ41" i="15"/>
  <c r="EZ40" i="15"/>
  <c r="EZ39" i="15"/>
  <c r="EZ38" i="15"/>
  <c r="EX37" i="15"/>
  <c r="EZ34" i="15"/>
  <c r="EX32" i="15"/>
  <c r="EZ28" i="15"/>
  <c r="EZ23" i="15"/>
  <c r="EZ22" i="15"/>
  <c r="EZ18" i="15"/>
  <c r="EZ17" i="15"/>
  <c r="EX16" i="15"/>
  <c r="EZ15" i="15"/>
  <c r="EZ14" i="15"/>
  <c r="EZ13" i="15"/>
  <c r="EZ12" i="15"/>
  <c r="EZ11" i="15"/>
  <c r="EZ10" i="15"/>
  <c r="HO34" i="21"/>
  <c r="HO32" i="21"/>
  <c r="HR31" i="21"/>
  <c r="HO31" i="21"/>
  <c r="HR29" i="21"/>
  <c r="IO29" i="21" s="1"/>
  <c r="HQ29" i="21"/>
  <c r="HR28" i="21"/>
  <c r="IO28" i="21" s="1"/>
  <c r="HQ28" i="21"/>
  <c r="HR27" i="21"/>
  <c r="IO27" i="21" s="1"/>
  <c r="HQ27" i="21"/>
  <c r="HR26" i="21"/>
  <c r="IO26" i="21" s="1"/>
  <c r="HQ26" i="21"/>
  <c r="HR25" i="21"/>
  <c r="HO25" i="21"/>
  <c r="HR22" i="21"/>
  <c r="IO22" i="21" s="1"/>
  <c r="HR20" i="21"/>
  <c r="IO20" i="21" s="1"/>
  <c r="HR19" i="21"/>
  <c r="HO19" i="21"/>
  <c r="HQ12" i="21"/>
  <c r="HP12" i="21"/>
  <c r="HQ11" i="21"/>
  <c r="HP11" i="21"/>
  <c r="HQ10" i="21"/>
  <c r="HP10" i="21"/>
  <c r="HQ9" i="21"/>
  <c r="HP9" i="21"/>
  <c r="HO8" i="21"/>
  <c r="IL8" i="21" s="1"/>
  <c r="HQ7" i="21"/>
  <c r="HP7" i="21"/>
  <c r="HQ6" i="21"/>
  <c r="HP6" i="21"/>
  <c r="HQ5" i="21"/>
  <c r="HP5" i="21"/>
  <c r="HO4" i="21"/>
  <c r="IL4" i="21" s="1"/>
  <c r="JA31" i="16"/>
  <c r="JA37" i="16"/>
  <c r="IY34" i="16"/>
  <c r="IZ33" i="16"/>
  <c r="IY33" i="16"/>
  <c r="IY31" i="16"/>
  <c r="IZ30" i="16"/>
  <c r="IY30" i="16"/>
  <c r="IY28" i="16"/>
  <c r="IZ27" i="16"/>
  <c r="IY27" i="16"/>
  <c r="IY26" i="16"/>
  <c r="IZ25" i="16"/>
  <c r="IY25" i="16"/>
  <c r="IZ24" i="16"/>
  <c r="IY24" i="16"/>
  <c r="IZ23" i="16"/>
  <c r="IY23" i="16"/>
  <c r="IZ22" i="16"/>
  <c r="IY22" i="16"/>
  <c r="IZ21" i="16"/>
  <c r="IY21" i="16"/>
  <c r="IZ20" i="16"/>
  <c r="IY20" i="16"/>
  <c r="IZ19" i="16"/>
  <c r="IY19" i="16"/>
  <c r="IZ18" i="16"/>
  <c r="IY18" i="16"/>
  <c r="IZ17" i="16"/>
  <c r="IY17" i="16"/>
  <c r="IZ16" i="16"/>
  <c r="IY16" i="16"/>
  <c r="IX15" i="16"/>
  <c r="JU15" i="16" s="1"/>
  <c r="IX14" i="16"/>
  <c r="JU14" i="16" s="1"/>
  <c r="IZ12" i="16"/>
  <c r="IY12" i="16"/>
  <c r="IZ11" i="16"/>
  <c r="IY11" i="16"/>
  <c r="IX10" i="16"/>
  <c r="JU10" i="16" s="1"/>
  <c r="IZ9" i="16"/>
  <c r="IY9" i="16"/>
  <c r="IZ8" i="16"/>
  <c r="IY8" i="16"/>
  <c r="IX7" i="16"/>
  <c r="JU7" i="16" s="1"/>
  <c r="IZ6" i="16"/>
  <c r="IY6" i="16"/>
  <c r="IZ5" i="16"/>
  <c r="IY5" i="16"/>
  <c r="EV66" i="17"/>
  <c r="EV65" i="17"/>
  <c r="EV64" i="17"/>
  <c r="EV62" i="17"/>
  <c r="ET61" i="17"/>
  <c r="FH61" i="17" s="1"/>
  <c r="EV60" i="17"/>
  <c r="EV56" i="17"/>
  <c r="EV55" i="17"/>
  <c r="EV53" i="17"/>
  <c r="EV52" i="17"/>
  <c r="EV51" i="17"/>
  <c r="ET50" i="17"/>
  <c r="FH50" i="17" s="1"/>
  <c r="EV49" i="17"/>
  <c r="EV48" i="17"/>
  <c r="EV47" i="17"/>
  <c r="EV46" i="17"/>
  <c r="EV45" i="17"/>
  <c r="EV44" i="17"/>
  <c r="EV43" i="17"/>
  <c r="EV42" i="17"/>
  <c r="EV40" i="17"/>
  <c r="EV39" i="17"/>
  <c r="EV38" i="17"/>
  <c r="EV34" i="17"/>
  <c r="EV35" i="17"/>
  <c r="EV33" i="17"/>
  <c r="ET32" i="17"/>
  <c r="FH32" i="17" s="1"/>
  <c r="EV29" i="17"/>
  <c r="EV27" i="17"/>
  <c r="EV26" i="17"/>
  <c r="EV24" i="17"/>
  <c r="EV23" i="17"/>
  <c r="EV20" i="17"/>
  <c r="EV19" i="17"/>
  <c r="ET18" i="17"/>
  <c r="FH18" i="17" s="1"/>
  <c r="EV17" i="17"/>
  <c r="EV16" i="17"/>
  <c r="EV15" i="17"/>
  <c r="EV14" i="17"/>
  <c r="EV13" i="17"/>
  <c r="EV12" i="17"/>
  <c r="EV11" i="17"/>
  <c r="EV10" i="17"/>
  <c r="EV8" i="17"/>
  <c r="JB31" i="16" l="1"/>
  <c r="JG31" i="16"/>
  <c r="JH31" i="16" s="1"/>
  <c r="EY20" i="15"/>
  <c r="EY27" i="15"/>
  <c r="EX36" i="15"/>
  <c r="EY40" i="15" s="1"/>
  <c r="IX13" i="16"/>
  <c r="IY13" i="16" s="1"/>
  <c r="IY7" i="16"/>
  <c r="ET6" i="17"/>
  <c r="EZ33" i="15"/>
  <c r="EX31" i="15"/>
  <c r="EY34" i="15" s="1"/>
  <c r="EX5" i="15"/>
  <c r="EX6" i="15"/>
  <c r="EY22" i="15"/>
  <c r="EY28" i="15"/>
  <c r="EY21" i="15"/>
  <c r="EY23" i="15"/>
  <c r="HP4" i="21"/>
  <c r="HP8" i="21"/>
  <c r="HO13" i="21"/>
  <c r="IL13" i="21" s="1"/>
  <c r="IY15" i="16"/>
  <c r="IY10" i="16"/>
  <c r="IY14" i="16"/>
  <c r="ET31" i="17"/>
  <c r="FH31" i="17" s="1"/>
  <c r="CP58" i="4"/>
  <c r="CO58" i="4"/>
  <c r="CO56" i="4"/>
  <c r="CP51" i="4"/>
  <c r="CP50" i="4"/>
  <c r="CO50" i="4"/>
  <c r="CP47" i="4"/>
  <c r="CO47" i="4"/>
  <c r="CO45" i="4"/>
  <c r="CP39" i="4"/>
  <c r="CO39" i="4"/>
  <c r="CP36" i="4"/>
  <c r="CO36" i="4"/>
  <c r="CO34" i="4"/>
  <c r="CP34" i="4" s="1"/>
  <c r="CP30" i="4"/>
  <c r="CO30" i="4"/>
  <c r="CP19" i="4"/>
  <c r="CO19" i="4"/>
  <c r="CP11" i="4"/>
  <c r="CO11" i="4"/>
  <c r="CO4" i="4"/>
  <c r="CN58" i="4"/>
  <c r="CN51" i="4"/>
  <c r="CN50" i="4"/>
  <c r="CN47" i="4"/>
  <c r="CN39" i="4"/>
  <c r="CN30" i="4"/>
  <c r="CN19" i="4"/>
  <c r="EU21" i="17" l="1"/>
  <c r="FH6" i="17"/>
  <c r="EY25" i="15"/>
  <c r="EY26" i="15"/>
  <c r="EY24" i="15"/>
  <c r="IX40" i="16"/>
  <c r="JU40" i="16" s="1"/>
  <c r="JU13" i="16"/>
  <c r="EY5" i="15"/>
  <c r="EY9" i="15"/>
  <c r="EU39" i="17"/>
  <c r="EU32" i="17"/>
  <c r="CN4" i="4"/>
  <c r="EY32" i="15"/>
  <c r="CS32" i="4"/>
  <c r="CU32" i="4" s="1"/>
  <c r="CQ32" i="4"/>
  <c r="CS52" i="4"/>
  <c r="CU52" i="4" s="1"/>
  <c r="CW52" i="4" s="1"/>
  <c r="CQ52" i="4"/>
  <c r="CS41" i="4"/>
  <c r="CU41" i="4" s="1"/>
  <c r="CW41" i="4" s="1"/>
  <c r="CQ41" i="4"/>
  <c r="CO52" i="4"/>
  <c r="CN45" i="4"/>
  <c r="CN56" i="4"/>
  <c r="CO41" i="4"/>
  <c r="EY8" i="15"/>
  <c r="EY12" i="15"/>
  <c r="EY18" i="15"/>
  <c r="EY10" i="15"/>
  <c r="EY11" i="15"/>
  <c r="CP45" i="4"/>
  <c r="EU66" i="17"/>
  <c r="EU6" i="17"/>
  <c r="EU16" i="17"/>
  <c r="EU23" i="17"/>
  <c r="EU47" i="17"/>
  <c r="EU14" i="17"/>
  <c r="EU42" i="17"/>
  <c r="EU51" i="17"/>
  <c r="EU13" i="17"/>
  <c r="EU38" i="17"/>
  <c r="EU33" i="17"/>
  <c r="EU9" i="17"/>
  <c r="EU59" i="17"/>
  <c r="EU65" i="17"/>
  <c r="EU53" i="17"/>
  <c r="EU15" i="17"/>
  <c r="EU40" i="17"/>
  <c r="EU55" i="17"/>
  <c r="EU48" i="17"/>
  <c r="EU19" i="17"/>
  <c r="EU49" i="17"/>
  <c r="EU18" i="17"/>
  <c r="EU34" i="17"/>
  <c r="EU7" i="17"/>
  <c r="CP56" i="4"/>
  <c r="EY42" i="15"/>
  <c r="EY41" i="15"/>
  <c r="EY36" i="15"/>
  <c r="EY43" i="15"/>
  <c r="EY38" i="15"/>
  <c r="EY39" i="15"/>
  <c r="EY45" i="15"/>
  <c r="EY37" i="15"/>
  <c r="EY44" i="15"/>
  <c r="EY31" i="15"/>
  <c r="EY15" i="15"/>
  <c r="EY7" i="15"/>
  <c r="EY13" i="15"/>
  <c r="EY17" i="15"/>
  <c r="IX29" i="16"/>
  <c r="EU46" i="17"/>
  <c r="EU37" i="17"/>
  <c r="EU62" i="17"/>
  <c r="EU36" i="17"/>
  <c r="EU27" i="17"/>
  <c r="EU11" i="17"/>
  <c r="EU64" i="17"/>
  <c r="EU45" i="17"/>
  <c r="EU24" i="17"/>
  <c r="EU63" i="17"/>
  <c r="EU52" i="17"/>
  <c r="EU29" i="17"/>
  <c r="EU12" i="17"/>
  <c r="EU44" i="17"/>
  <c r="EU25" i="17"/>
  <c r="EU56" i="17"/>
  <c r="EU35" i="17"/>
  <c r="EU17" i="17"/>
  <c r="EU8" i="17"/>
  <c r="EU60" i="17"/>
  <c r="EU43" i="17"/>
  <c r="EU20" i="17"/>
  <c r="EU61" i="17"/>
  <c r="EU50" i="17"/>
  <c r="EU26" i="17"/>
  <c r="EU10" i="17"/>
  <c r="EU67" i="17"/>
  <c r="EY33" i="15"/>
  <c r="EX49" i="15"/>
  <c r="EY49" i="15" s="1"/>
  <c r="EY14" i="15"/>
  <c r="EY16" i="15"/>
  <c r="EX50" i="15"/>
  <c r="EY6" i="15"/>
  <c r="HP13" i="21"/>
  <c r="HO14" i="21"/>
  <c r="EU31" i="17"/>
  <c r="CP4" i="4"/>
  <c r="IY40" i="16" l="1"/>
  <c r="CU5" i="4"/>
  <c r="CO5" i="4"/>
  <c r="IX39" i="16"/>
  <c r="JU39" i="16" s="1"/>
  <c r="IX32" i="16"/>
  <c r="JU32" i="16" s="1"/>
  <c r="JU29" i="16"/>
  <c r="CQ5" i="4"/>
  <c r="CS5" i="4"/>
  <c r="IY29" i="16"/>
  <c r="EY50" i="15"/>
  <c r="EY47" i="15"/>
  <c r="IY32" i="16" l="1"/>
  <c r="IX35" i="16"/>
  <c r="JU35" i="16" s="1"/>
  <c r="IY39" i="16"/>
  <c r="IX36" i="16" l="1"/>
  <c r="JU36" i="16" s="1"/>
  <c r="IY35" i="16"/>
  <c r="IY36" i="16" l="1"/>
  <c r="ES11" i="17"/>
  <c r="HI33" i="21" l="1"/>
  <c r="IF33" i="21" s="1"/>
  <c r="HI23" i="21"/>
  <c r="HL23" i="21" l="1"/>
  <c r="II23" i="21" s="1"/>
  <c r="IF23" i="21"/>
  <c r="CM19" i="4"/>
  <c r="CL19" i="4"/>
  <c r="CK19" i="4"/>
  <c r="CL12" i="4" l="1"/>
  <c r="CN12" i="4" s="1"/>
  <c r="CL13" i="4"/>
  <c r="CN13" i="4" s="1"/>
  <c r="CL14" i="4"/>
  <c r="CN14" i="4" s="1"/>
  <c r="CL15" i="4"/>
  <c r="CN15" i="4" s="1"/>
  <c r="CL16" i="4"/>
  <c r="CN16" i="4" s="1"/>
  <c r="CN11" i="4" l="1"/>
  <c r="CM58" i="4"/>
  <c r="CL58" i="4"/>
  <c r="CM56" i="4"/>
  <c r="CL55" i="4"/>
  <c r="CL51" i="4"/>
  <c r="CM52" i="4" s="1"/>
  <c r="CM50" i="4"/>
  <c r="CL50" i="4"/>
  <c r="CM47" i="4"/>
  <c r="CL47" i="4"/>
  <c r="CM45" i="4"/>
  <c r="CL44" i="4"/>
  <c r="CM41" i="4"/>
  <c r="CM39" i="4"/>
  <c r="CL39" i="4"/>
  <c r="CM36" i="4"/>
  <c r="CL36" i="4"/>
  <c r="CN34" i="4"/>
  <c r="CL33" i="4"/>
  <c r="CM32" i="4"/>
  <c r="CM30" i="4"/>
  <c r="CL30" i="4"/>
  <c r="CL18" i="4"/>
  <c r="CN18" i="4" s="1"/>
  <c r="CP18" i="4" s="1"/>
  <c r="CL17" i="4"/>
  <c r="CM11" i="4"/>
  <c r="CM4" i="4"/>
  <c r="EW47" i="15"/>
  <c r="EW45" i="15"/>
  <c r="EW44" i="15"/>
  <c r="EW43" i="15"/>
  <c r="EU42" i="15"/>
  <c r="FI42" i="15" s="1"/>
  <c r="EW41" i="15"/>
  <c r="EW40" i="15"/>
  <c r="EW39" i="15"/>
  <c r="EW38" i="15"/>
  <c r="EU37" i="15"/>
  <c r="FI37" i="15" s="1"/>
  <c r="EW34" i="15"/>
  <c r="EW28" i="15"/>
  <c r="EW23" i="15"/>
  <c r="EW22" i="15"/>
  <c r="FI21" i="15"/>
  <c r="EV20" i="15"/>
  <c r="EW18" i="15"/>
  <c r="EW17" i="15"/>
  <c r="EU16" i="15"/>
  <c r="FI16" i="15" s="1"/>
  <c r="EW15" i="15"/>
  <c r="EW14" i="15"/>
  <c r="EW13" i="15"/>
  <c r="EW12" i="15"/>
  <c r="EW11" i="15"/>
  <c r="EW10" i="15"/>
  <c r="EU8" i="15"/>
  <c r="FI8" i="15" s="1"/>
  <c r="HL31" i="21"/>
  <c r="HI31" i="21"/>
  <c r="HL25" i="21"/>
  <c r="HI25" i="21"/>
  <c r="HL19" i="21"/>
  <c r="HI19" i="21"/>
  <c r="HI34" i="21"/>
  <c r="IF34" i="21" s="1"/>
  <c r="HI32" i="21"/>
  <c r="IF32" i="21" s="1"/>
  <c r="HL29" i="21"/>
  <c r="II29" i="21" s="1"/>
  <c r="HK29" i="21"/>
  <c r="HL28" i="21"/>
  <c r="II28" i="21" s="1"/>
  <c r="HK28" i="21"/>
  <c r="HL27" i="21"/>
  <c r="II27" i="21" s="1"/>
  <c r="HK27" i="21"/>
  <c r="HL26" i="21"/>
  <c r="II26" i="21" s="1"/>
  <c r="HK26" i="21"/>
  <c r="HL22" i="21"/>
  <c r="II22" i="21" s="1"/>
  <c r="HL21" i="21"/>
  <c r="II21" i="21" s="1"/>
  <c r="HL20" i="21"/>
  <c r="II20" i="21" s="1"/>
  <c r="HL16" i="21"/>
  <c r="HR16" i="21" s="1"/>
  <c r="HX16" i="21" s="1"/>
  <c r="HL12" i="21"/>
  <c r="HK12" i="21"/>
  <c r="HJ12" i="21"/>
  <c r="HL11" i="21"/>
  <c r="HK11" i="21"/>
  <c r="HJ11" i="21"/>
  <c r="HL10" i="21"/>
  <c r="HK10" i="21"/>
  <c r="HJ10" i="21"/>
  <c r="HL9" i="21"/>
  <c r="HK9" i="21"/>
  <c r="HJ9" i="21"/>
  <c r="HI8" i="21"/>
  <c r="IF8" i="21" s="1"/>
  <c r="HL7" i="21"/>
  <c r="HK7" i="21"/>
  <c r="HJ7" i="21"/>
  <c r="HL6" i="21"/>
  <c r="HK6" i="21"/>
  <c r="HJ6" i="21"/>
  <c r="HL5" i="21"/>
  <c r="HK5" i="21"/>
  <c r="HJ5" i="21"/>
  <c r="HI4" i="21"/>
  <c r="IF4" i="21" s="1"/>
  <c r="IU37" i="16"/>
  <c r="IU34" i="16"/>
  <c r="JA34" i="16" s="1"/>
  <c r="IS34" i="16"/>
  <c r="IU33" i="16"/>
  <c r="IT33" i="16"/>
  <c r="IS33" i="16"/>
  <c r="IV31" i="16"/>
  <c r="IS31" i="16"/>
  <c r="IU30" i="16"/>
  <c r="IT30" i="16"/>
  <c r="IS30" i="16"/>
  <c r="IV28" i="16"/>
  <c r="IS28" i="16"/>
  <c r="IU27" i="16"/>
  <c r="JA27" i="16" s="1"/>
  <c r="JG27" i="16" s="1"/>
  <c r="IT27" i="16"/>
  <c r="IS27" i="16"/>
  <c r="IV26" i="16"/>
  <c r="IS26" i="16"/>
  <c r="IU25" i="16"/>
  <c r="JA25" i="16" s="1"/>
  <c r="JG25" i="16" s="1"/>
  <c r="IT25" i="16"/>
  <c r="IS25" i="16"/>
  <c r="IU24" i="16"/>
  <c r="JA24" i="16" s="1"/>
  <c r="JG24" i="16" s="1"/>
  <c r="IT24" i="16"/>
  <c r="IS24" i="16"/>
  <c r="IU23" i="16"/>
  <c r="JA23" i="16" s="1"/>
  <c r="JG23" i="16" s="1"/>
  <c r="IT23" i="16"/>
  <c r="IS23" i="16"/>
  <c r="IU22" i="16"/>
  <c r="JA22" i="16" s="1"/>
  <c r="JG22" i="16" s="1"/>
  <c r="IT22" i="16"/>
  <c r="IS22" i="16"/>
  <c r="IU21" i="16"/>
  <c r="JA21" i="16" s="1"/>
  <c r="JG21" i="16" s="1"/>
  <c r="IT21" i="16"/>
  <c r="IS21" i="16"/>
  <c r="IU20" i="16"/>
  <c r="JA20" i="16" s="1"/>
  <c r="JG20" i="16" s="1"/>
  <c r="IT20" i="16"/>
  <c r="IS20" i="16"/>
  <c r="IU19" i="16"/>
  <c r="IT19" i="16"/>
  <c r="IS19" i="16"/>
  <c r="IU18" i="16"/>
  <c r="JA18" i="16" s="1"/>
  <c r="JG18" i="16" s="1"/>
  <c r="IT18" i="16"/>
  <c r="IS18" i="16"/>
  <c r="IU17" i="16"/>
  <c r="JA17" i="16" s="1"/>
  <c r="JG17" i="16" s="1"/>
  <c r="IT17" i="16"/>
  <c r="IS17" i="16"/>
  <c r="IU16" i="16"/>
  <c r="JA16" i="16" s="1"/>
  <c r="JG16" i="16" s="1"/>
  <c r="IT16" i="16"/>
  <c r="IS16" i="16"/>
  <c r="IR15" i="16"/>
  <c r="JO15" i="16" s="1"/>
  <c r="IR14" i="16"/>
  <c r="JO14" i="16" s="1"/>
  <c r="IU12" i="16"/>
  <c r="IT12" i="16"/>
  <c r="IS12" i="16"/>
  <c r="IU11" i="16"/>
  <c r="IT11" i="16"/>
  <c r="IS11" i="16"/>
  <c r="IR10" i="16"/>
  <c r="JO10" i="16" s="1"/>
  <c r="IU9" i="16"/>
  <c r="IT9" i="16"/>
  <c r="IS9" i="16"/>
  <c r="IU8" i="16"/>
  <c r="IT8" i="16"/>
  <c r="IS8" i="16"/>
  <c r="IR7" i="16"/>
  <c r="JO7" i="16" s="1"/>
  <c r="IU6" i="16"/>
  <c r="IT6" i="16"/>
  <c r="IS6" i="16"/>
  <c r="IU5" i="16"/>
  <c r="IT5" i="16"/>
  <c r="IS5" i="16"/>
  <c r="IR4" i="16"/>
  <c r="ES66" i="17"/>
  <c r="ES65" i="17"/>
  <c r="ES64" i="17"/>
  <c r="ES62" i="17"/>
  <c r="EQ61" i="17"/>
  <c r="FE61" i="17" s="1"/>
  <c r="ES60" i="17"/>
  <c r="ES56" i="17"/>
  <c r="ES55" i="17"/>
  <c r="ES53" i="17"/>
  <c r="ES52" i="17"/>
  <c r="ES51" i="17"/>
  <c r="EQ50" i="17"/>
  <c r="FE50" i="17" s="1"/>
  <c r="ES49" i="17"/>
  <c r="ES48" i="17"/>
  <c r="ES47" i="17"/>
  <c r="ES46" i="17"/>
  <c r="ES45" i="17"/>
  <c r="ES44" i="17"/>
  <c r="ES43" i="17"/>
  <c r="ES42" i="17"/>
  <c r="ES40" i="17"/>
  <c r="ES39" i="17"/>
  <c r="ES38" i="17"/>
  <c r="ES37" i="17"/>
  <c r="ES34" i="17"/>
  <c r="ES35" i="17"/>
  <c r="ES33" i="17"/>
  <c r="EQ32" i="17"/>
  <c r="FE32" i="17" s="1"/>
  <c r="ES29" i="17"/>
  <c r="ES27" i="17"/>
  <c r="ES26" i="17"/>
  <c r="ES24" i="17"/>
  <c r="ES23" i="17"/>
  <c r="ES20" i="17"/>
  <c r="ES19" i="17"/>
  <c r="EQ18" i="17"/>
  <c r="FE18" i="17" s="1"/>
  <c r="ES17" i="17"/>
  <c r="ES16" i="17"/>
  <c r="ES14" i="17"/>
  <c r="ES13" i="17"/>
  <c r="ES12" i="17"/>
  <c r="ES10" i="17"/>
  <c r="ES8" i="17"/>
  <c r="EQ7" i="17"/>
  <c r="FE7" i="17" s="1"/>
  <c r="JA19" i="16" l="1"/>
  <c r="JR19" i="16"/>
  <c r="CL8" i="4"/>
  <c r="JX22" i="16"/>
  <c r="JR22" i="16"/>
  <c r="IS4" i="16"/>
  <c r="JO4" i="16"/>
  <c r="JA12" i="16"/>
  <c r="JR12" i="16"/>
  <c r="JR17" i="16"/>
  <c r="JR21" i="16"/>
  <c r="JR25" i="16"/>
  <c r="HR9" i="21"/>
  <c r="HR32" i="21" s="1"/>
  <c r="IO32" i="21" s="1"/>
  <c r="II9" i="21"/>
  <c r="JR18" i="16"/>
  <c r="JA33" i="16"/>
  <c r="JR33" i="16"/>
  <c r="JA9" i="16"/>
  <c r="JR9" i="16"/>
  <c r="JA11" i="16"/>
  <c r="JR11" i="16"/>
  <c r="JR16" i="16"/>
  <c r="JR20" i="16"/>
  <c r="JR24" i="16"/>
  <c r="JR27" i="16"/>
  <c r="HR12" i="21"/>
  <c r="II12" i="21"/>
  <c r="JA5" i="16"/>
  <c r="IU4" i="16"/>
  <c r="JR5" i="16"/>
  <c r="JA6" i="16"/>
  <c r="JX6" i="16" s="1"/>
  <c r="JR6" i="16"/>
  <c r="JA8" i="16"/>
  <c r="JX8" i="16" s="1"/>
  <c r="JR8" i="16"/>
  <c r="JX23" i="16"/>
  <c r="JR23" i="16"/>
  <c r="JA30" i="16"/>
  <c r="JX30" i="16" s="1"/>
  <c r="JR30" i="16"/>
  <c r="HR5" i="21"/>
  <c r="IO5" i="21" s="1"/>
  <c r="II5" i="21"/>
  <c r="HR11" i="21"/>
  <c r="IO11" i="21" s="1"/>
  <c r="II11" i="21"/>
  <c r="HR10" i="21"/>
  <c r="IO10" i="21" s="1"/>
  <c r="II10" i="21"/>
  <c r="HR7" i="21"/>
  <c r="HX7" i="21" s="1"/>
  <c r="IU7" i="21" s="1"/>
  <c r="II7" i="21"/>
  <c r="HR6" i="21"/>
  <c r="II6" i="21"/>
  <c r="EU6" i="15"/>
  <c r="FI6" i="15" s="1"/>
  <c r="CL56" i="4"/>
  <c r="JG34" i="16"/>
  <c r="KD23" i="16"/>
  <c r="CL4" i="4"/>
  <c r="KD22" i="16"/>
  <c r="CM5" i="4"/>
  <c r="HL34" i="21"/>
  <c r="II34" i="21" s="1"/>
  <c r="HL33" i="21"/>
  <c r="II33" i="21" s="1"/>
  <c r="CL45" i="4"/>
  <c r="EV22" i="15"/>
  <c r="HM7" i="21"/>
  <c r="HM11" i="21"/>
  <c r="HI13" i="21"/>
  <c r="HL4" i="21"/>
  <c r="IV11" i="16"/>
  <c r="IV19" i="16"/>
  <c r="EQ6" i="17"/>
  <c r="CL11" i="4"/>
  <c r="EV28" i="15"/>
  <c r="EU5" i="15"/>
  <c r="EU32" i="15"/>
  <c r="FI32" i="15" s="1"/>
  <c r="EU36" i="15"/>
  <c r="EV21" i="15"/>
  <c r="EV23" i="15"/>
  <c r="EU31" i="15"/>
  <c r="HM10" i="21"/>
  <c r="HL8" i="21"/>
  <c r="II8" i="21" s="1"/>
  <c r="HI35" i="21"/>
  <c r="IF35" i="21" s="1"/>
  <c r="HJ4" i="21"/>
  <c r="HM5" i="21"/>
  <c r="HM12" i="21"/>
  <c r="HM6" i="21"/>
  <c r="HJ8" i="21"/>
  <c r="HM9" i="21"/>
  <c r="HL32" i="21"/>
  <c r="II32" i="21" s="1"/>
  <c r="IV24" i="16"/>
  <c r="IS15" i="16"/>
  <c r="IS10" i="16"/>
  <c r="IR13" i="16"/>
  <c r="JO13" i="16" s="1"/>
  <c r="IV20" i="16"/>
  <c r="IV8" i="16"/>
  <c r="IV16" i="16"/>
  <c r="IV27" i="16"/>
  <c r="IS7" i="16"/>
  <c r="IV23" i="16"/>
  <c r="IV34" i="16"/>
  <c r="IV5" i="16"/>
  <c r="IV6" i="16"/>
  <c r="IV9" i="16"/>
  <c r="IV12" i="16"/>
  <c r="IV17" i="16"/>
  <c r="IV21" i="16"/>
  <c r="IV25" i="16"/>
  <c r="IV30" i="16"/>
  <c r="IS14" i="16"/>
  <c r="IV18" i="16"/>
  <c r="IV22" i="16"/>
  <c r="IV33" i="16"/>
  <c r="EQ31" i="17"/>
  <c r="FE31" i="17" s="1"/>
  <c r="JG19" i="16" l="1"/>
  <c r="JB19" i="16"/>
  <c r="JX19" i="16"/>
  <c r="HX9" i="21"/>
  <c r="IU9" i="21" s="1"/>
  <c r="JB21" i="16"/>
  <c r="JB11" i="16"/>
  <c r="JB33" i="16"/>
  <c r="JB23" i="16"/>
  <c r="JB8" i="16"/>
  <c r="JB25" i="16"/>
  <c r="JB22" i="16"/>
  <c r="HR34" i="21"/>
  <c r="IO34" i="21" s="1"/>
  <c r="JB34" i="16"/>
  <c r="JB12" i="16"/>
  <c r="JB5" i="16"/>
  <c r="JB27" i="16"/>
  <c r="HS5" i="21"/>
  <c r="HS10" i="21"/>
  <c r="HX10" i="21"/>
  <c r="IU10" i="21" s="1"/>
  <c r="HX5" i="21"/>
  <c r="IU5" i="21" s="1"/>
  <c r="JG8" i="16"/>
  <c r="KD8" i="16" s="1"/>
  <c r="JB20" i="16"/>
  <c r="JB16" i="16"/>
  <c r="JB24" i="16"/>
  <c r="JB9" i="16"/>
  <c r="JB17" i="16"/>
  <c r="JB30" i="16"/>
  <c r="JB6" i="16"/>
  <c r="HX11" i="21"/>
  <c r="IU11" i="21" s="1"/>
  <c r="JG30" i="16"/>
  <c r="KD30" i="16" s="1"/>
  <c r="JG6" i="16"/>
  <c r="KD6" i="16" s="1"/>
  <c r="HS11" i="21"/>
  <c r="HX12" i="21"/>
  <c r="IU12" i="21" s="1"/>
  <c r="IO12" i="21"/>
  <c r="HR8" i="21"/>
  <c r="IO9" i="21"/>
  <c r="HS7" i="21"/>
  <c r="IO7" i="21"/>
  <c r="HX6" i="21"/>
  <c r="IU6" i="21" s="1"/>
  <c r="IO6" i="21"/>
  <c r="KD24" i="16"/>
  <c r="JX24" i="16"/>
  <c r="KD16" i="16"/>
  <c r="JX16" i="16"/>
  <c r="JG9" i="16"/>
  <c r="KD9" i="16" s="1"/>
  <c r="JX9" i="16"/>
  <c r="KD18" i="16"/>
  <c r="JX18" i="16"/>
  <c r="KD25" i="16"/>
  <c r="JX25" i="16"/>
  <c r="KD17" i="16"/>
  <c r="JX17" i="16"/>
  <c r="JA4" i="16"/>
  <c r="JX4" i="16" s="1"/>
  <c r="JX5" i="16"/>
  <c r="KD27" i="16"/>
  <c r="JX27" i="16"/>
  <c r="KD20" i="16"/>
  <c r="JX20" i="16"/>
  <c r="JG11" i="16"/>
  <c r="KD11" i="16" s="1"/>
  <c r="JX11" i="16"/>
  <c r="JG33" i="16"/>
  <c r="KD33" i="16" s="1"/>
  <c r="JX33" i="16"/>
  <c r="KD21" i="16"/>
  <c r="JX21" i="16"/>
  <c r="JG12" i="16"/>
  <c r="KD12" i="16" s="1"/>
  <c r="JX12" i="16"/>
  <c r="FI5" i="15"/>
  <c r="EV9" i="15"/>
  <c r="HS9" i="21"/>
  <c r="JG5" i="16"/>
  <c r="JI5" i="16" s="1"/>
  <c r="IV4" i="16"/>
  <c r="JR4" i="16"/>
  <c r="JB18" i="16"/>
  <c r="HS12" i="21"/>
  <c r="EV37" i="15"/>
  <c r="FI36" i="15"/>
  <c r="EV33" i="15"/>
  <c r="FI31" i="15"/>
  <c r="ER67" i="17"/>
  <c r="FE6" i="17"/>
  <c r="HR4" i="21"/>
  <c r="HS6" i="21"/>
  <c r="HM4" i="21"/>
  <c r="II4" i="21"/>
  <c r="HJ13" i="21"/>
  <c r="IF13" i="21"/>
  <c r="JI17" i="16"/>
  <c r="JI22" i="16"/>
  <c r="JI21" i="16"/>
  <c r="HY7" i="21"/>
  <c r="HM8" i="21"/>
  <c r="HL35" i="21"/>
  <c r="II35" i="21" s="1"/>
  <c r="HI14" i="21"/>
  <c r="IS13" i="16"/>
  <c r="IR29" i="16"/>
  <c r="JO29" i="16" s="1"/>
  <c r="IR40" i="16"/>
  <c r="ER13" i="17"/>
  <c r="ER39" i="17"/>
  <c r="ER47" i="17"/>
  <c r="ER51" i="17"/>
  <c r="ER6" i="17"/>
  <c r="ER33" i="17"/>
  <c r="ER25" i="17"/>
  <c r="ER35" i="17"/>
  <c r="ER8" i="17"/>
  <c r="ER43" i="17"/>
  <c r="ER61" i="17"/>
  <c r="ER26" i="17"/>
  <c r="ER48" i="17"/>
  <c r="ER19" i="17"/>
  <c r="ER66" i="17"/>
  <c r="ER38" i="17"/>
  <c r="ER55" i="17"/>
  <c r="ER14" i="17"/>
  <c r="ER44" i="17"/>
  <c r="ER56" i="17"/>
  <c r="ER17" i="17"/>
  <c r="ER60" i="17"/>
  <c r="ER20" i="17"/>
  <c r="ER50" i="17"/>
  <c r="ER10" i="17"/>
  <c r="ER46" i="17"/>
  <c r="ER37" i="17"/>
  <c r="ER62" i="17"/>
  <c r="ER36" i="17"/>
  <c r="ER27" i="17"/>
  <c r="ER11" i="17"/>
  <c r="ER64" i="17"/>
  <c r="ER45" i="17"/>
  <c r="ER24" i="17"/>
  <c r="ER63" i="17"/>
  <c r="ER52" i="17"/>
  <c r="ER29" i="17"/>
  <c r="ER12" i="17"/>
  <c r="ER65" i="17"/>
  <c r="ER42" i="17"/>
  <c r="ER23" i="17"/>
  <c r="ER53" i="17"/>
  <c r="ER32" i="17"/>
  <c r="ER15" i="17"/>
  <c r="ER49" i="17"/>
  <c r="ER40" i="17"/>
  <c r="ER18" i="17"/>
  <c r="ER59" i="17"/>
  <c r="ER34" i="17"/>
  <c r="ER16" i="17"/>
  <c r="ER7" i="17"/>
  <c r="EU50" i="15"/>
  <c r="FI50" i="15" s="1"/>
  <c r="EV14" i="15"/>
  <c r="EV12" i="15"/>
  <c r="EV10" i="15"/>
  <c r="EU49" i="15"/>
  <c r="FI49" i="15" s="1"/>
  <c r="EV17" i="15"/>
  <c r="EV5" i="15"/>
  <c r="EV15" i="15"/>
  <c r="EV13" i="15"/>
  <c r="EV11" i="15"/>
  <c r="EV18" i="15"/>
  <c r="EV16" i="15"/>
  <c r="EV7" i="15"/>
  <c r="EV32" i="15"/>
  <c r="EV34" i="15"/>
  <c r="EV31" i="15"/>
  <c r="EV8" i="15"/>
  <c r="EV40" i="15"/>
  <c r="EV38" i="15"/>
  <c r="EV45" i="15"/>
  <c r="EV43" i="15"/>
  <c r="EV36" i="15"/>
  <c r="EV41" i="15"/>
  <c r="EV39" i="15"/>
  <c r="EV44" i="15"/>
  <c r="EV42" i="15"/>
  <c r="EV6" i="15"/>
  <c r="ER31" i="17"/>
  <c r="JI8" i="16" l="1"/>
  <c r="JH19" i="16"/>
  <c r="JI19" i="16"/>
  <c r="KD19" i="16"/>
  <c r="HY9" i="21"/>
  <c r="HX32" i="21"/>
  <c r="IU32" i="21" s="1"/>
  <c r="JI30" i="16"/>
  <c r="HY5" i="21"/>
  <c r="JH9" i="16"/>
  <c r="JH8" i="16"/>
  <c r="JH21" i="16"/>
  <c r="JH11" i="16"/>
  <c r="JH23" i="16"/>
  <c r="JH20" i="16"/>
  <c r="JH34" i="16"/>
  <c r="JH22" i="16"/>
  <c r="JI6" i="16"/>
  <c r="JH5" i="16"/>
  <c r="HY10" i="21"/>
  <c r="HZ5" i="21"/>
  <c r="HX4" i="21"/>
  <c r="IU4" i="21" s="1"/>
  <c r="JH6" i="16"/>
  <c r="HX8" i="21"/>
  <c r="IU8" i="21" s="1"/>
  <c r="JI9" i="16"/>
  <c r="JH12" i="16"/>
  <c r="JH33" i="16"/>
  <c r="HY12" i="21"/>
  <c r="JI33" i="16"/>
  <c r="JH24" i="16"/>
  <c r="JH25" i="16"/>
  <c r="JI25" i="16"/>
  <c r="JB4" i="16"/>
  <c r="JH18" i="16"/>
  <c r="HY6" i="21"/>
  <c r="JI16" i="16"/>
  <c r="JH27" i="16"/>
  <c r="JG4" i="16"/>
  <c r="KD4" i="16" s="1"/>
  <c r="KD5" i="16"/>
  <c r="HY11" i="21"/>
  <c r="JH16" i="16"/>
  <c r="JH30" i="16"/>
  <c r="JI27" i="16"/>
  <c r="JH17" i="16"/>
  <c r="HS8" i="21"/>
  <c r="IO8" i="21"/>
  <c r="HS4" i="21"/>
  <c r="IO4" i="21"/>
  <c r="IR39" i="16"/>
  <c r="JO39" i="16" s="1"/>
  <c r="JO40" i="16"/>
  <c r="IS29" i="16"/>
  <c r="IR32" i="16"/>
  <c r="IS40" i="16"/>
  <c r="EV47" i="15"/>
  <c r="EV50" i="15"/>
  <c r="EV49" i="15"/>
  <c r="HY4" i="21" l="1"/>
  <c r="HY8" i="21"/>
  <c r="JH4" i="16"/>
  <c r="IS39" i="16"/>
  <c r="IS32" i="16"/>
  <c r="JO32" i="16"/>
  <c r="IR35" i="16"/>
  <c r="JO35" i="16" s="1"/>
  <c r="IS35" i="16" l="1"/>
  <c r="IR36" i="16"/>
  <c r="JO36" i="16" s="1"/>
  <c r="IS36" i="16" l="1"/>
  <c r="CK32" i="4" l="1"/>
  <c r="FF20" i="15" l="1"/>
  <c r="GK8" i="21"/>
  <c r="ES21" i="15" l="1"/>
  <c r="FF21" i="15"/>
  <c r="IP34" i="16"/>
  <c r="IP33" i="16"/>
  <c r="IP31" i="16"/>
  <c r="IP30" i="16"/>
  <c r="IP27" i="16"/>
  <c r="IP25" i="16"/>
  <c r="IP24" i="16"/>
  <c r="IP23" i="16"/>
  <c r="IP22" i="16"/>
  <c r="IP21" i="16"/>
  <c r="IP20" i="16"/>
  <c r="IP19" i="16"/>
  <c r="IP18" i="16"/>
  <c r="IP17" i="16"/>
  <c r="IP16" i="16"/>
  <c r="IP12" i="16"/>
  <c r="IP11" i="16"/>
  <c r="IP9" i="16"/>
  <c r="IP8" i="16"/>
  <c r="IP6" i="16"/>
  <c r="IP5" i="16"/>
  <c r="IQ33" i="16"/>
  <c r="IQ30" i="16"/>
  <c r="IQ27" i="16"/>
  <c r="IQ25" i="16"/>
  <c r="IQ24" i="16"/>
  <c r="IQ23" i="16"/>
  <c r="IQ22" i="16"/>
  <c r="IQ21" i="16"/>
  <c r="IQ20" i="16"/>
  <c r="IQ19" i="16"/>
  <c r="IQ18" i="16"/>
  <c r="IQ17" i="16"/>
  <c r="IQ16" i="16"/>
  <c r="IQ12" i="16"/>
  <c r="IQ11" i="16"/>
  <c r="IQ9" i="16"/>
  <c r="IQ8" i="16"/>
  <c r="IQ6" i="16"/>
  <c r="IQ5" i="16"/>
  <c r="EP66" i="17"/>
  <c r="EP65" i="17"/>
  <c r="EP64" i="17"/>
  <c r="EP62" i="17"/>
  <c r="EP60" i="17"/>
  <c r="EP56" i="17"/>
  <c r="EP55" i="17"/>
  <c r="EP53" i="17"/>
  <c r="EP52" i="17"/>
  <c r="EP51" i="17"/>
  <c r="EP49" i="17"/>
  <c r="EP48" i="17"/>
  <c r="EP47" i="17"/>
  <c r="EP46" i="17"/>
  <c r="EP45" i="17"/>
  <c r="EP44" i="17"/>
  <c r="EP43" i="17"/>
  <c r="EP42" i="17"/>
  <c r="EP40" i="17"/>
  <c r="EP39" i="17"/>
  <c r="EP38" i="17"/>
  <c r="EP37" i="17"/>
  <c r="EP34" i="17"/>
  <c r="EP35" i="17"/>
  <c r="EP33" i="17"/>
  <c r="EP29" i="17"/>
  <c r="EP27" i="17"/>
  <c r="EP26" i="17"/>
  <c r="EP24" i="17"/>
  <c r="EP23" i="17"/>
  <c r="EP20" i="17"/>
  <c r="EP19" i="17"/>
  <c r="EP17" i="17"/>
  <c r="EP16" i="17"/>
  <c r="EP15" i="17"/>
  <c r="EP14" i="17"/>
  <c r="EP13" i="17"/>
  <c r="EP12" i="17"/>
  <c r="EP11" i="17"/>
  <c r="EP10" i="17"/>
  <c r="EP8" i="17"/>
  <c r="CJ19" i="4" l="1"/>
  <c r="HF21" i="21" l="1"/>
  <c r="F31" i="5" l="1"/>
  <c r="ET47" i="15"/>
  <c r="ET45" i="15"/>
  <c r="ET44" i="15"/>
  <c r="ET43" i="15"/>
  <c r="ER42" i="15"/>
  <c r="FF42" i="15" s="1"/>
  <c r="ET41" i="15"/>
  <c r="ET40" i="15"/>
  <c r="ET39" i="15"/>
  <c r="ET38" i="15"/>
  <c r="ER37" i="15"/>
  <c r="FF37" i="15" s="1"/>
  <c r="ET34" i="15"/>
  <c r="ET28" i="15"/>
  <c r="ET23" i="15"/>
  <c r="ET22" i="15"/>
  <c r="ES20" i="15"/>
  <c r="ET18" i="15"/>
  <c r="ET17" i="15"/>
  <c r="ER16" i="15"/>
  <c r="FF16" i="15" s="1"/>
  <c r="ET15" i="15"/>
  <c r="ET14" i="15"/>
  <c r="ET13" i="15"/>
  <c r="ET12" i="15"/>
  <c r="ET11" i="15"/>
  <c r="ET10" i="15"/>
  <c r="ER8" i="15"/>
  <c r="FF8" i="15" s="1"/>
  <c r="FF7" i="15"/>
  <c r="HF31" i="21"/>
  <c r="HF25" i="21"/>
  <c r="HF19" i="21"/>
  <c r="HH29" i="21"/>
  <c r="HH28" i="21"/>
  <c r="HH27" i="21"/>
  <c r="HF33" i="21"/>
  <c r="HH12" i="21"/>
  <c r="HG12" i="21"/>
  <c r="HH11" i="21"/>
  <c r="HG11" i="21"/>
  <c r="HH10" i="21"/>
  <c r="HG10" i="21"/>
  <c r="HH9" i="21"/>
  <c r="HG9" i="21"/>
  <c r="HF8" i="21"/>
  <c r="IC8" i="21" s="1"/>
  <c r="HH7" i="21"/>
  <c r="HG7" i="21"/>
  <c r="HH6" i="21"/>
  <c r="HG6" i="21"/>
  <c r="HH5" i="21"/>
  <c r="HG5" i="21"/>
  <c r="HF4" i="21"/>
  <c r="HG4" i="21" s="1"/>
  <c r="IO15" i="16"/>
  <c r="JL15" i="16" s="1"/>
  <c r="IO14" i="16"/>
  <c r="JL14" i="16" s="1"/>
  <c r="IO10" i="16"/>
  <c r="JL10" i="16" s="1"/>
  <c r="IO7" i="16"/>
  <c r="JL7" i="16" s="1"/>
  <c r="IO4" i="16"/>
  <c r="JL4" i="16" s="1"/>
  <c r="EN61" i="17"/>
  <c r="FB61" i="17" s="1"/>
  <c r="EN50" i="17"/>
  <c r="FB50" i="17" s="1"/>
  <c r="EN32" i="17"/>
  <c r="FB32" i="17" s="1"/>
  <c r="EN18" i="17"/>
  <c r="FB18" i="17" s="1"/>
  <c r="EN7" i="17"/>
  <c r="FB7" i="17" s="1"/>
  <c r="IU14" i="16" l="1"/>
  <c r="JR14" i="16" s="1"/>
  <c r="IP14" i="16"/>
  <c r="IP4" i="16"/>
  <c r="IU15" i="16"/>
  <c r="IP15" i="16"/>
  <c r="IU7" i="16"/>
  <c r="JR7" i="16" s="1"/>
  <c r="IP7" i="16"/>
  <c r="HH8" i="21"/>
  <c r="IU10" i="16"/>
  <c r="IP10" i="16"/>
  <c r="ES22" i="15"/>
  <c r="EN6" i="17"/>
  <c r="EO18" i="17" s="1"/>
  <c r="ES28" i="15"/>
  <c r="ER6" i="15"/>
  <c r="FF6" i="15" s="1"/>
  <c r="ER5" i="15"/>
  <c r="ER32" i="15"/>
  <c r="FF32" i="15" s="1"/>
  <c r="ER36" i="15"/>
  <c r="ES23" i="15"/>
  <c r="ER31" i="15"/>
  <c r="HG8" i="21"/>
  <c r="HF13" i="21"/>
  <c r="IO13" i="16"/>
  <c r="JL13" i="16" s="1"/>
  <c r="EN31" i="17"/>
  <c r="FB31" i="17" s="1"/>
  <c r="HL13" i="21" l="1"/>
  <c r="HR13" i="21" s="1"/>
  <c r="IO13" i="21" s="1"/>
  <c r="JR15" i="16"/>
  <c r="JA15" i="16"/>
  <c r="JG15" i="16" s="1"/>
  <c r="FF5" i="15"/>
  <c r="ES9" i="15"/>
  <c r="JA10" i="16"/>
  <c r="JX10" i="16" s="1"/>
  <c r="JR10" i="16"/>
  <c r="EO32" i="17"/>
  <c r="IV15" i="16"/>
  <c r="HF22" i="21"/>
  <c r="FF31" i="15"/>
  <c r="EO7" i="17"/>
  <c r="IV7" i="16"/>
  <c r="JA7" i="16"/>
  <c r="JX7" i="16" s="1"/>
  <c r="EO61" i="17"/>
  <c r="FB6" i="17"/>
  <c r="ES37" i="15"/>
  <c r="FF36" i="15"/>
  <c r="IV14" i="16"/>
  <c r="JA14" i="16"/>
  <c r="JX14" i="16" s="1"/>
  <c r="EO50" i="17"/>
  <c r="EO6" i="17"/>
  <c r="IU13" i="16"/>
  <c r="IP13" i="16"/>
  <c r="IO29" i="16"/>
  <c r="JL29" i="16" s="1"/>
  <c r="IV10" i="16"/>
  <c r="ES6" i="15"/>
  <c r="ER49" i="15"/>
  <c r="FF49" i="15" s="1"/>
  <c r="HF20" i="21"/>
  <c r="EO67" i="17"/>
  <c r="EO63" i="17"/>
  <c r="EO59" i="17"/>
  <c r="EO52" i="17"/>
  <c r="EO48" i="17"/>
  <c r="EO44" i="17"/>
  <c r="EO39" i="17"/>
  <c r="EO34" i="17"/>
  <c r="EO27" i="17"/>
  <c r="EO23" i="17"/>
  <c r="EO17" i="17"/>
  <c r="EO13" i="17"/>
  <c r="EO8" i="17"/>
  <c r="EO66" i="17"/>
  <c r="EO62" i="17"/>
  <c r="EO56" i="17"/>
  <c r="EO51" i="17"/>
  <c r="EO47" i="17"/>
  <c r="EO43" i="17"/>
  <c r="EO38" i="17"/>
  <c r="EO35" i="17"/>
  <c r="EO26" i="17"/>
  <c r="EO20" i="17"/>
  <c r="EO16" i="17"/>
  <c r="EO12" i="17"/>
  <c r="EO65" i="17"/>
  <c r="EO55" i="17"/>
  <c r="EO46" i="17"/>
  <c r="EO42" i="17"/>
  <c r="EO37" i="17"/>
  <c r="EO33" i="17"/>
  <c r="EO25" i="17"/>
  <c r="EO19" i="17"/>
  <c r="EO15" i="17"/>
  <c r="EO11" i="17"/>
  <c r="EO64" i="17"/>
  <c r="EO60" i="17"/>
  <c r="EO53" i="17"/>
  <c r="EO49" i="17"/>
  <c r="EO45" i="17"/>
  <c r="EO40" i="17"/>
  <c r="EO36" i="17"/>
  <c r="EO29" i="17"/>
  <c r="EO24" i="17"/>
  <c r="EO14" i="17"/>
  <c r="EO10" i="17"/>
  <c r="ER50" i="15"/>
  <c r="FF50" i="15" s="1"/>
  <c r="ES8" i="15"/>
  <c r="ES32" i="15"/>
  <c r="ES34" i="15"/>
  <c r="ES31" i="15"/>
  <c r="ES40" i="15"/>
  <c r="ES38" i="15"/>
  <c r="ES45" i="15"/>
  <c r="ES43" i="15"/>
  <c r="ES36" i="15"/>
  <c r="ES41" i="15"/>
  <c r="ES39" i="15"/>
  <c r="ES44" i="15"/>
  <c r="ES42" i="15"/>
  <c r="ES33" i="15"/>
  <c r="ES14" i="15"/>
  <c r="ES12" i="15"/>
  <c r="ES10" i="15"/>
  <c r="ES17" i="15"/>
  <c r="ES5" i="15"/>
  <c r="ES15" i="15"/>
  <c r="ES13" i="15"/>
  <c r="ES11" i="15"/>
  <c r="ES18" i="15"/>
  <c r="ES16" i="15"/>
  <c r="ES7" i="15"/>
  <c r="HG13" i="21"/>
  <c r="IO40" i="16"/>
  <c r="EO31" i="17"/>
  <c r="CK58" i="4"/>
  <c r="CK56" i="4"/>
  <c r="CK52" i="4"/>
  <c r="CK50" i="4"/>
  <c r="CK47" i="4"/>
  <c r="CK45" i="4"/>
  <c r="CK41" i="4"/>
  <c r="CK39" i="4"/>
  <c r="CK36" i="4"/>
  <c r="CK34" i="4"/>
  <c r="CL34" i="4" s="1"/>
  <c r="CK30" i="4"/>
  <c r="CK11" i="4"/>
  <c r="CK4" i="4"/>
  <c r="IO32" i="16" l="1"/>
  <c r="JL32" i="16" s="1"/>
  <c r="HM13" i="21"/>
  <c r="II13" i="21"/>
  <c r="CK5" i="4"/>
  <c r="HF34" i="21"/>
  <c r="HX13" i="21"/>
  <c r="IU13" i="21" s="1"/>
  <c r="JX15" i="16"/>
  <c r="JG10" i="16"/>
  <c r="KD10" i="16" s="1"/>
  <c r="JB10" i="16"/>
  <c r="HS13" i="21"/>
  <c r="JA13" i="16"/>
  <c r="JX13" i="16" s="1"/>
  <c r="JR13" i="16"/>
  <c r="JL40" i="16"/>
  <c r="IO39" i="16"/>
  <c r="JG14" i="16"/>
  <c r="KD14" i="16" s="1"/>
  <c r="JB14" i="16"/>
  <c r="JG7" i="16"/>
  <c r="KD7" i="16" s="1"/>
  <c r="JB7" i="16"/>
  <c r="KD15" i="16"/>
  <c r="JB15" i="16"/>
  <c r="HF32" i="21"/>
  <c r="IC20" i="21"/>
  <c r="HF23" i="21"/>
  <c r="HF35" i="21" s="1"/>
  <c r="IP32" i="16"/>
  <c r="IU29" i="16"/>
  <c r="JR29" i="16" s="1"/>
  <c r="IP29" i="16"/>
  <c r="IV13" i="16"/>
  <c r="IU40" i="16"/>
  <c r="IO35" i="16"/>
  <c r="HF17" i="21"/>
  <c r="ES47" i="15"/>
  <c r="ES50" i="15"/>
  <c r="ES49" i="15"/>
  <c r="IP40" i="16"/>
  <c r="IU32" i="16" l="1"/>
  <c r="JR32" i="16" s="1"/>
  <c r="HY13" i="21"/>
  <c r="JH10" i="16"/>
  <c r="IP39" i="16"/>
  <c r="JL35" i="16"/>
  <c r="IC32" i="21"/>
  <c r="JA40" i="16"/>
  <c r="JX40" i="16" s="1"/>
  <c r="JB13" i="16"/>
  <c r="JG13" i="16"/>
  <c r="KD13" i="16" s="1"/>
  <c r="IU39" i="16"/>
  <c r="JR39" i="16" s="1"/>
  <c r="JR40" i="16"/>
  <c r="IV29" i="16"/>
  <c r="JA29" i="16"/>
  <c r="JX29" i="16" s="1"/>
  <c r="JH15" i="16"/>
  <c r="JH7" i="16"/>
  <c r="JH14" i="16"/>
  <c r="IU35" i="16"/>
  <c r="JR35" i="16" s="1"/>
  <c r="IP35" i="16"/>
  <c r="IV40" i="16"/>
  <c r="HF14" i="21"/>
  <c r="HL17" i="21"/>
  <c r="JA32" i="16" l="1"/>
  <c r="JX32" i="16" s="1"/>
  <c r="IV32" i="16"/>
  <c r="JH13" i="16"/>
  <c r="JB40" i="16"/>
  <c r="JA39" i="16"/>
  <c r="JX39" i="16" s="1"/>
  <c r="JG40" i="16"/>
  <c r="KD40" i="16" s="1"/>
  <c r="IV39" i="16"/>
  <c r="HL14" i="21"/>
  <c r="HR17" i="21"/>
  <c r="JG32" i="16"/>
  <c r="KD32" i="16" s="1"/>
  <c r="JG29" i="16"/>
  <c r="KD29" i="16" s="1"/>
  <c r="JB29" i="16"/>
  <c r="IV35" i="16"/>
  <c r="JA35" i="16"/>
  <c r="JX35" i="16" s="1"/>
  <c r="CJ47" i="4"/>
  <c r="CJ58" i="4"/>
  <c r="CJ56" i="4"/>
  <c r="CJ50" i="4"/>
  <c r="CJ45" i="4"/>
  <c r="CJ39" i="4"/>
  <c r="CJ36" i="4"/>
  <c r="CJ34" i="4"/>
  <c r="CJ30" i="4"/>
  <c r="CJ11" i="4"/>
  <c r="CJ4" i="4"/>
  <c r="JB32" i="16" l="1"/>
  <c r="JB39" i="16"/>
  <c r="JH40" i="16"/>
  <c r="JG39" i="16"/>
  <c r="KD39" i="16" s="1"/>
  <c r="JH32" i="16"/>
  <c r="HX17" i="21"/>
  <c r="HX14" i="21" s="1"/>
  <c r="HR14" i="21"/>
  <c r="JG35" i="16"/>
  <c r="KD35" i="16" s="1"/>
  <c r="JB35" i="16"/>
  <c r="JH29" i="16"/>
  <c r="IK36" i="16"/>
  <c r="IK33" i="16"/>
  <c r="IK30" i="16"/>
  <c r="IK27" i="16"/>
  <c r="IK25" i="16"/>
  <c r="IK24" i="16"/>
  <c r="IK23" i="16"/>
  <c r="IK22" i="16"/>
  <c r="IK21" i="16"/>
  <c r="IK20" i="16"/>
  <c r="IK19" i="16"/>
  <c r="IK18" i="16"/>
  <c r="IK17" i="16"/>
  <c r="IK16" i="16"/>
  <c r="IK12" i="16"/>
  <c r="IK11" i="16"/>
  <c r="IK9" i="16"/>
  <c r="IK8" i="16"/>
  <c r="IJ36" i="16"/>
  <c r="IJ34" i="16"/>
  <c r="IJ33" i="16"/>
  <c r="IJ31" i="16"/>
  <c r="IJ30" i="16"/>
  <c r="IJ28" i="16"/>
  <c r="IJ27" i="16"/>
  <c r="IJ26" i="16"/>
  <c r="IJ25" i="16"/>
  <c r="IJ24" i="16"/>
  <c r="IJ23" i="16"/>
  <c r="IJ22" i="16"/>
  <c r="IJ21" i="16"/>
  <c r="IJ20" i="16"/>
  <c r="IJ19" i="16"/>
  <c r="IJ18" i="16"/>
  <c r="IJ17" i="16"/>
  <c r="IJ16" i="16"/>
  <c r="IJ12" i="16"/>
  <c r="IJ11" i="16"/>
  <c r="IJ9" i="16"/>
  <c r="IJ8" i="16"/>
  <c r="IJ6" i="16"/>
  <c r="IJ5" i="16"/>
  <c r="IN36" i="16"/>
  <c r="IN25" i="16"/>
  <c r="IN22" i="16"/>
  <c r="IN6" i="16"/>
  <c r="IN5" i="16"/>
  <c r="IM36" i="16"/>
  <c r="IM34" i="16"/>
  <c r="IM33" i="16"/>
  <c r="IM30" i="16"/>
  <c r="IM27" i="16"/>
  <c r="IM25" i="16"/>
  <c r="IM22" i="16"/>
  <c r="IM21" i="16"/>
  <c r="IM19" i="16"/>
  <c r="IM17" i="16"/>
  <c r="IM16" i="16"/>
  <c r="IM9" i="16"/>
  <c r="IM8" i="16"/>
  <c r="IM6" i="16"/>
  <c r="IM5" i="16"/>
  <c r="HB28" i="21"/>
  <c r="HB27" i="21"/>
  <c r="HB26" i="21"/>
  <c r="HB12" i="21"/>
  <c r="HB11" i="21"/>
  <c r="HB10" i="21"/>
  <c r="HB9" i="21"/>
  <c r="HB7" i="21"/>
  <c r="HB6" i="21"/>
  <c r="HB5" i="21"/>
  <c r="JH39" i="16" l="1"/>
  <c r="JH35" i="16"/>
  <c r="EQ47" i="15"/>
  <c r="EQ45" i="15"/>
  <c r="EQ44" i="15"/>
  <c r="EQ43" i="15"/>
  <c r="EQ41" i="15"/>
  <c r="EQ40" i="15"/>
  <c r="EQ39" i="15"/>
  <c r="EQ38" i="15"/>
  <c r="EQ34" i="15"/>
  <c r="EQ28" i="15"/>
  <c r="EQ23" i="15"/>
  <c r="EQ22" i="15"/>
  <c r="EQ18" i="15"/>
  <c r="EQ17" i="15"/>
  <c r="EQ15" i="15"/>
  <c r="EQ14" i="15"/>
  <c r="EQ13" i="15"/>
  <c r="EQ12" i="15"/>
  <c r="EQ11" i="15"/>
  <c r="EQ10" i="15"/>
  <c r="EM66" i="17"/>
  <c r="EM65" i="17"/>
  <c r="EM64" i="17"/>
  <c r="EM62" i="17"/>
  <c r="EM60" i="17"/>
  <c r="EM56" i="17"/>
  <c r="EM55" i="17"/>
  <c r="EM53" i="17"/>
  <c r="EM52" i="17"/>
  <c r="EM51" i="17"/>
  <c r="EM49" i="17"/>
  <c r="EM48" i="17"/>
  <c r="EM47" i="17"/>
  <c r="EM46" i="17"/>
  <c r="EM45" i="17"/>
  <c r="EM44" i="17"/>
  <c r="EM43" i="17"/>
  <c r="EM42" i="17"/>
  <c r="EM40" i="17"/>
  <c r="EM39" i="17"/>
  <c r="EM38" i="17"/>
  <c r="EM37" i="17"/>
  <c r="EM34" i="17"/>
  <c r="EM35" i="17"/>
  <c r="EM33" i="17"/>
  <c r="EM29" i="17"/>
  <c r="EM27" i="17"/>
  <c r="EM26" i="17"/>
  <c r="EM24" i="17"/>
  <c r="EM23" i="17"/>
  <c r="EM20" i="17"/>
  <c r="EM19" i="17"/>
  <c r="EM17" i="17"/>
  <c r="EM16" i="17"/>
  <c r="EM15" i="17"/>
  <c r="EM14" i="17"/>
  <c r="EM13" i="17"/>
  <c r="EM12" i="17"/>
  <c r="EM11" i="17"/>
  <c r="EM10" i="17"/>
  <c r="EM8" i="17"/>
  <c r="CI19" i="4" l="1"/>
  <c r="CH19" i="4"/>
  <c r="GZ8" i="21" l="1"/>
  <c r="HW8" i="21" s="1"/>
  <c r="HQ4" i="16" l="1"/>
  <c r="II14" i="16"/>
  <c r="JF14" i="16" s="1"/>
  <c r="IL4" i="16"/>
  <c r="JI4" i="16" s="1"/>
  <c r="IL7" i="16"/>
  <c r="JI7" i="16" s="1"/>
  <c r="IJ14" i="16" l="1"/>
  <c r="IM4" i="16"/>
  <c r="IN4" i="16"/>
  <c r="IM7" i="16"/>
  <c r="CI55" i="4" l="1"/>
  <c r="CH56" i="4"/>
  <c r="CI58" i="4"/>
  <c r="CH58" i="4"/>
  <c r="CI47" i="4"/>
  <c r="CH47" i="4"/>
  <c r="CH45" i="4"/>
  <c r="CI44" i="4"/>
  <c r="CI36" i="4"/>
  <c r="CH36" i="4"/>
  <c r="CH34" i="4"/>
  <c r="CI34" i="4" s="1"/>
  <c r="CI33" i="4"/>
  <c r="CH11" i="4"/>
  <c r="CI17" i="4"/>
  <c r="EO42" i="15"/>
  <c r="FC42" i="15" s="1"/>
  <c r="EO37" i="15"/>
  <c r="FC37" i="15" s="1"/>
  <c r="FC21" i="15"/>
  <c r="FC20" i="15"/>
  <c r="EO16" i="15"/>
  <c r="FC16" i="15" s="1"/>
  <c r="EO8" i="15"/>
  <c r="FC7" i="15"/>
  <c r="HC31" i="21"/>
  <c r="GZ31" i="21"/>
  <c r="HC29" i="21"/>
  <c r="HZ29" i="21" s="1"/>
  <c r="HB29" i="21"/>
  <c r="HC28" i="21"/>
  <c r="HC27" i="21"/>
  <c r="HZ27" i="21" s="1"/>
  <c r="HC26" i="21"/>
  <c r="HZ26" i="21" s="1"/>
  <c r="HC25" i="21"/>
  <c r="GZ25" i="21"/>
  <c r="HC19" i="21"/>
  <c r="GZ19" i="21"/>
  <c r="GZ16" i="21"/>
  <c r="GZ4" i="21"/>
  <c r="IL31" i="16"/>
  <c r="IM31" i="16" s="1"/>
  <c r="IL28" i="16"/>
  <c r="IM28" i="16" s="1"/>
  <c r="IL26" i="16"/>
  <c r="IM26" i="16" s="1"/>
  <c r="IL37" i="16"/>
  <c r="IO37" i="16" s="1"/>
  <c r="IO36" i="16" s="1"/>
  <c r="JL36" i="16" s="1"/>
  <c r="II15" i="16"/>
  <c r="JF15" i="16" s="1"/>
  <c r="II10" i="16"/>
  <c r="JF10" i="16" s="1"/>
  <c r="II7" i="16"/>
  <c r="JF7" i="16" s="1"/>
  <c r="II4" i="16"/>
  <c r="JF4" i="16" s="1"/>
  <c r="EK61" i="17"/>
  <c r="EY61" i="17" s="1"/>
  <c r="EK50" i="17"/>
  <c r="EY50" i="17" s="1"/>
  <c r="EK32" i="17"/>
  <c r="EY32" i="17" s="1"/>
  <c r="EK18" i="17"/>
  <c r="EY18" i="17" s="1"/>
  <c r="EK7" i="17"/>
  <c r="EY7" i="17" s="1"/>
  <c r="CI8" i="4" l="1"/>
  <c r="HA4" i="21"/>
  <c r="HW4" i="21"/>
  <c r="HE28" i="21"/>
  <c r="HZ28" i="21"/>
  <c r="IJ7" i="16"/>
  <c r="IJ10" i="16"/>
  <c r="IU36" i="16"/>
  <c r="JR36" i="16" s="1"/>
  <c r="IP36" i="16"/>
  <c r="HA10" i="21"/>
  <c r="HA6" i="21"/>
  <c r="HA9" i="21"/>
  <c r="HA5" i="21"/>
  <c r="HA12" i="21"/>
  <c r="HA11" i="21"/>
  <c r="HA7" i="21"/>
  <c r="HA8" i="21"/>
  <c r="EP28" i="15"/>
  <c r="EP20" i="15"/>
  <c r="EP23" i="15"/>
  <c r="EP22" i="15"/>
  <c r="GZ21" i="21"/>
  <c r="GZ33" i="21" s="1"/>
  <c r="IJ4" i="16"/>
  <c r="EP21" i="15"/>
  <c r="IJ15" i="16"/>
  <c r="GZ13" i="21"/>
  <c r="EO31" i="15"/>
  <c r="FC31" i="15" s="1"/>
  <c r="EO6" i="15"/>
  <c r="EO5" i="15"/>
  <c r="EP9" i="15" s="1"/>
  <c r="EO32" i="15"/>
  <c r="FC32" i="15" s="1"/>
  <c r="EO36" i="15"/>
  <c r="FC36" i="15" s="1"/>
  <c r="II13" i="16"/>
  <c r="JF13" i="16" s="1"/>
  <c r="EK6" i="17"/>
  <c r="EY6" i="17" s="1"/>
  <c r="EK31" i="17"/>
  <c r="EY31" i="17" s="1"/>
  <c r="HA13" i="21" l="1"/>
  <c r="HW13" i="21"/>
  <c r="HC21" i="21"/>
  <c r="EP31" i="15"/>
  <c r="IV36" i="16"/>
  <c r="JA36" i="16"/>
  <c r="JX36" i="16" s="1"/>
  <c r="EP33" i="15"/>
  <c r="EP7" i="15"/>
  <c r="EP16" i="15"/>
  <c r="EP38" i="15"/>
  <c r="EP45" i="15"/>
  <c r="EP41" i="15"/>
  <c r="EP44" i="15"/>
  <c r="EP40" i="15"/>
  <c r="EP36" i="15"/>
  <c r="EP43" i="15"/>
  <c r="EP39" i="15"/>
  <c r="EP32" i="15"/>
  <c r="EP34" i="15"/>
  <c r="GZ22" i="21"/>
  <c r="EP42" i="15"/>
  <c r="IJ13" i="16"/>
  <c r="EP14" i="15"/>
  <c r="EP10" i="15"/>
  <c r="EP18" i="15"/>
  <c r="EP13" i="15"/>
  <c r="EP17" i="15"/>
  <c r="EP12" i="15"/>
  <c r="EP5" i="15"/>
  <c r="EP15" i="15"/>
  <c r="EP11" i="15"/>
  <c r="GZ20" i="21"/>
  <c r="HW20" i="21" s="1"/>
  <c r="EP8" i="15"/>
  <c r="EP37" i="15"/>
  <c r="EP6" i="15"/>
  <c r="EL65" i="17"/>
  <c r="EL61" i="17"/>
  <c r="EL55" i="17"/>
  <c r="EL50" i="17"/>
  <c r="EL46" i="17"/>
  <c r="EL42" i="17"/>
  <c r="EL37" i="17"/>
  <c r="EL33" i="17"/>
  <c r="EL27" i="17"/>
  <c r="EL23" i="17"/>
  <c r="EL17" i="17"/>
  <c r="EL13" i="17"/>
  <c r="EL8" i="17"/>
  <c r="EL64" i="17"/>
  <c r="EL60" i="17"/>
  <c r="EL53" i="17"/>
  <c r="EL49" i="17"/>
  <c r="EL45" i="17"/>
  <c r="EL40" i="17"/>
  <c r="EL36" i="17"/>
  <c r="EL32" i="17"/>
  <c r="EL26" i="17"/>
  <c r="EL20" i="17"/>
  <c r="EL16" i="17"/>
  <c r="EL12" i="17"/>
  <c r="EL67" i="17"/>
  <c r="EL63" i="17"/>
  <c r="EL59" i="17"/>
  <c r="EL52" i="17"/>
  <c r="EL48" i="17"/>
  <c r="EL44" i="17"/>
  <c r="EL39" i="17"/>
  <c r="EL34" i="17"/>
  <c r="EL31" i="17"/>
  <c r="EL25" i="17"/>
  <c r="EL19" i="17"/>
  <c r="EL15" i="17"/>
  <c r="EL11" i="17"/>
  <c r="EL6" i="17"/>
  <c r="EL66" i="17"/>
  <c r="EL62" i="17"/>
  <c r="EL56" i="17"/>
  <c r="EL51" i="17"/>
  <c r="EL47" i="17"/>
  <c r="EL43" i="17"/>
  <c r="EL38" i="17"/>
  <c r="EL35" i="17"/>
  <c r="EL29" i="17"/>
  <c r="EL24" i="17"/>
  <c r="EL18" i="17"/>
  <c r="EL14" i="17"/>
  <c r="EL10" i="17"/>
  <c r="EL7" i="17"/>
  <c r="EO50" i="15"/>
  <c r="EO49" i="15"/>
  <c r="II29" i="16"/>
  <c r="JF29" i="16" s="1"/>
  <c r="II40" i="16"/>
  <c r="JF40" i="16" l="1"/>
  <c r="JG36" i="16"/>
  <c r="KD36" i="16" s="1"/>
  <c r="JB36" i="16"/>
  <c r="HC20" i="21"/>
  <c r="HZ20" i="21" s="1"/>
  <c r="GZ23" i="21"/>
  <c r="GZ32" i="21"/>
  <c r="HW32" i="21" s="1"/>
  <c r="HC22" i="21"/>
  <c r="GZ34" i="21"/>
  <c r="GZ17" i="21"/>
  <c r="GZ14" i="21" s="1"/>
  <c r="IJ29" i="16"/>
  <c r="EP47" i="15"/>
  <c r="EP50" i="15"/>
  <c r="EP49" i="15"/>
  <c r="II32" i="16"/>
  <c r="JF32" i="16" s="1"/>
  <c r="II39" i="16"/>
  <c r="JF39" i="16" s="1"/>
  <c r="IJ40" i="16"/>
  <c r="JI36" i="16" l="1"/>
  <c r="JH36" i="16"/>
  <c r="GZ35" i="21"/>
  <c r="HC23" i="21"/>
  <c r="IJ32" i="16"/>
  <c r="IJ39" i="16"/>
  <c r="II35" i="16"/>
  <c r="JF35" i="16" l="1"/>
  <c r="IJ35" i="16"/>
  <c r="GK4" i="21" l="1"/>
  <c r="GL4" i="21" s="1"/>
  <c r="GN4" i="21"/>
  <c r="GO4" i="21" s="1"/>
  <c r="GT4" i="21"/>
  <c r="GL5" i="21"/>
  <c r="GM5" i="21"/>
  <c r="GO5" i="21"/>
  <c r="GP5" i="21"/>
  <c r="GQ5" i="21"/>
  <c r="HN5" i="21" s="1"/>
  <c r="GV5" i="21"/>
  <c r="GL6" i="21"/>
  <c r="GM6" i="21"/>
  <c r="GO6" i="21"/>
  <c r="GP6" i="21"/>
  <c r="GQ6" i="21"/>
  <c r="GV6" i="21"/>
  <c r="GL7" i="21"/>
  <c r="GM7" i="21"/>
  <c r="GO7" i="21"/>
  <c r="GP7" i="21"/>
  <c r="GQ7" i="21"/>
  <c r="HN7" i="21" s="1"/>
  <c r="GV7" i="21"/>
  <c r="GL8" i="21"/>
  <c r="GN8" i="21"/>
  <c r="HK8" i="21" s="1"/>
  <c r="GT8" i="21"/>
  <c r="HQ8" i="21" s="1"/>
  <c r="GL9" i="21"/>
  <c r="GM9" i="21"/>
  <c r="GO9" i="21"/>
  <c r="GP9" i="21"/>
  <c r="GQ9" i="21"/>
  <c r="GV9" i="21"/>
  <c r="GL10" i="21"/>
  <c r="GM10" i="21"/>
  <c r="GO10" i="21"/>
  <c r="GP10" i="21"/>
  <c r="GQ10" i="21"/>
  <c r="GV10" i="21"/>
  <c r="GL11" i="21"/>
  <c r="GM11" i="21"/>
  <c r="GO11" i="21"/>
  <c r="GP11" i="21"/>
  <c r="GQ11" i="21"/>
  <c r="HN11" i="21" s="1"/>
  <c r="GV11" i="21"/>
  <c r="GL12" i="21"/>
  <c r="GM12" i="21"/>
  <c r="GO12" i="21"/>
  <c r="GP12" i="21"/>
  <c r="GQ12" i="21"/>
  <c r="HN12" i="21" s="1"/>
  <c r="GV12" i="21"/>
  <c r="GQ16" i="21"/>
  <c r="GT16" i="21"/>
  <c r="GU9" i="21" s="1"/>
  <c r="GT19" i="21"/>
  <c r="GT25" i="21"/>
  <c r="GM26" i="21"/>
  <c r="GP26" i="21"/>
  <c r="GQ26" i="21"/>
  <c r="HN26" i="21" s="1"/>
  <c r="GV26" i="21"/>
  <c r="GM27" i="21"/>
  <c r="GP27" i="21"/>
  <c r="GQ27" i="21"/>
  <c r="HN27" i="21" s="1"/>
  <c r="GV27" i="21"/>
  <c r="GM28" i="21"/>
  <c r="GP28" i="21"/>
  <c r="GQ28" i="21"/>
  <c r="HN28" i="21" s="1"/>
  <c r="GV28" i="21"/>
  <c r="GM29" i="21"/>
  <c r="GP29" i="21"/>
  <c r="GQ29" i="21"/>
  <c r="HN29" i="21" s="1"/>
  <c r="GV29" i="21"/>
  <c r="GT31" i="21"/>
  <c r="GU12" i="21" l="1"/>
  <c r="GO8" i="21"/>
  <c r="GU8" i="21"/>
  <c r="GU4" i="21"/>
  <c r="HQ4" i="21"/>
  <c r="GR10" i="21"/>
  <c r="HN10" i="21"/>
  <c r="GR6" i="21"/>
  <c r="HN6" i="21"/>
  <c r="GU7" i="21"/>
  <c r="GN13" i="21"/>
  <c r="HK13" i="21" s="1"/>
  <c r="HK4" i="21"/>
  <c r="GR9" i="21"/>
  <c r="HN9" i="21"/>
  <c r="GR7" i="21"/>
  <c r="GQ4" i="21"/>
  <c r="HN4" i="21" s="1"/>
  <c r="HH4" i="21"/>
  <c r="GK13" i="21"/>
  <c r="GR5" i="21"/>
  <c r="GR11" i="21"/>
  <c r="GQ8" i="21"/>
  <c r="HN8" i="21" s="1"/>
  <c r="GT13" i="21"/>
  <c r="HQ13" i="21" s="1"/>
  <c r="GU11" i="21"/>
  <c r="GU6" i="21"/>
  <c r="GR12" i="21"/>
  <c r="GU10" i="21"/>
  <c r="GU5" i="21"/>
  <c r="HH13" i="21" l="1"/>
  <c r="GR4" i="21"/>
  <c r="GO13" i="21"/>
  <c r="GN14" i="21"/>
  <c r="GU13" i="21"/>
  <c r="GR8" i="21"/>
  <c r="GL13" i="21"/>
  <c r="GQ13" i="21"/>
  <c r="HN13" i="21" s="1"/>
  <c r="GR13" i="21" l="1"/>
  <c r="EH37" i="17"/>
  <c r="EV37" i="17" s="1"/>
  <c r="CF56" i="4" l="1"/>
  <c r="CF45" i="4"/>
  <c r="CF58" i="4"/>
  <c r="CF47" i="4" l="1"/>
  <c r="CF36" i="4"/>
  <c r="CF34" i="4"/>
  <c r="CI51" i="4" l="1"/>
  <c r="CI50" i="4"/>
  <c r="CH50" i="4"/>
  <c r="CI39" i="4"/>
  <c r="CH39" i="4"/>
  <c r="CI30" i="4"/>
  <c r="CH30" i="4"/>
  <c r="CH4" i="4"/>
  <c r="CF11" i="4"/>
  <c r="CG58" i="4"/>
  <c r="CG55" i="4"/>
  <c r="CG47" i="4"/>
  <c r="CG44" i="4"/>
  <c r="CG36" i="4"/>
  <c r="CG34" i="4"/>
  <c r="CG33" i="4"/>
  <c r="CG17" i="4"/>
  <c r="EN47" i="15"/>
  <c r="EN45" i="15"/>
  <c r="EN44" i="15"/>
  <c r="EN43" i="15"/>
  <c r="EL42" i="15"/>
  <c r="EZ42" i="15" s="1"/>
  <c r="EN41" i="15"/>
  <c r="EN40" i="15"/>
  <c r="EN39" i="15"/>
  <c r="EN38" i="15"/>
  <c r="EL37" i="15"/>
  <c r="EZ37" i="15" s="1"/>
  <c r="EN34" i="15"/>
  <c r="EN28" i="15"/>
  <c r="EN23" i="15"/>
  <c r="EN22" i="15"/>
  <c r="EZ21" i="15"/>
  <c r="EZ20" i="15"/>
  <c r="EN18" i="15"/>
  <c r="EN17" i="15"/>
  <c r="EL16" i="15"/>
  <c r="EZ16" i="15" s="1"/>
  <c r="EN15" i="15"/>
  <c r="EN14" i="15"/>
  <c r="EN13" i="15"/>
  <c r="EN12" i="15"/>
  <c r="EN11" i="15"/>
  <c r="EN10" i="15"/>
  <c r="EL8" i="15"/>
  <c r="EZ8" i="15" s="1"/>
  <c r="EZ7" i="15"/>
  <c r="CG8" i="4" l="1"/>
  <c r="CN41" i="4"/>
  <c r="CP41" i="4"/>
  <c r="CP32" i="4"/>
  <c r="CN32" i="4"/>
  <c r="CN52" i="4"/>
  <c r="CP52" i="4"/>
  <c r="EM20" i="15"/>
  <c r="GT21" i="21"/>
  <c r="GT33" i="21" s="1"/>
  <c r="CI4" i="4"/>
  <c r="CL32" i="4"/>
  <c r="CJ32" i="4"/>
  <c r="CL41" i="4"/>
  <c r="CJ41" i="4"/>
  <c r="CI45" i="4"/>
  <c r="CL52" i="4"/>
  <c r="CJ52" i="4"/>
  <c r="CI56" i="4"/>
  <c r="EM28" i="15"/>
  <c r="EM22" i="15"/>
  <c r="EL6" i="15"/>
  <c r="EZ6" i="15" s="1"/>
  <c r="EL5" i="15"/>
  <c r="EM9" i="15" s="1"/>
  <c r="EL32" i="15"/>
  <c r="EZ32" i="15" s="1"/>
  <c r="EL36" i="15"/>
  <c r="EM21" i="15"/>
  <c r="EM23" i="15"/>
  <c r="EL31" i="15"/>
  <c r="GW31" i="21"/>
  <c r="GW25" i="21"/>
  <c r="GW19" i="21"/>
  <c r="GW29" i="21"/>
  <c r="HT29" i="21" s="1"/>
  <c r="GW28" i="21"/>
  <c r="HT28" i="21" s="1"/>
  <c r="GW27" i="21"/>
  <c r="HT27" i="21" s="1"/>
  <c r="GW26" i="21"/>
  <c r="HT26" i="21" s="1"/>
  <c r="GW16" i="21"/>
  <c r="HC16" i="21" s="1"/>
  <c r="HD5" i="21" s="1"/>
  <c r="GW12" i="21"/>
  <c r="GW11" i="21"/>
  <c r="GW10" i="21"/>
  <c r="GW9" i="21"/>
  <c r="HT9" i="21" s="1"/>
  <c r="GW7" i="21"/>
  <c r="GW6" i="21"/>
  <c r="GW5" i="21"/>
  <c r="HT5" i="21" s="1"/>
  <c r="IF37" i="16"/>
  <c r="ID34" i="16"/>
  <c r="IE33" i="16"/>
  <c r="ID33" i="16"/>
  <c r="IG31" i="16"/>
  <c r="ID31" i="16"/>
  <c r="IE30" i="16"/>
  <c r="ID30" i="16"/>
  <c r="IG28" i="16"/>
  <c r="ID28" i="16"/>
  <c r="IE27" i="16"/>
  <c r="ID27" i="16"/>
  <c r="IG26" i="16"/>
  <c r="ID26" i="16"/>
  <c r="IE25" i="16"/>
  <c r="ID25" i="16"/>
  <c r="IE24" i="16"/>
  <c r="ID24" i="16"/>
  <c r="IE23" i="16"/>
  <c r="ID23" i="16"/>
  <c r="IE22" i="16"/>
  <c r="ID22" i="16"/>
  <c r="IE21" i="16"/>
  <c r="ID21" i="16"/>
  <c r="IE20" i="16"/>
  <c r="ID20" i="16"/>
  <c r="IE19" i="16"/>
  <c r="ID19" i="16"/>
  <c r="IE18" i="16"/>
  <c r="ID18" i="16"/>
  <c r="IE17" i="16"/>
  <c r="ID17" i="16"/>
  <c r="IE16" i="16"/>
  <c r="ID16" i="16"/>
  <c r="IC15" i="16"/>
  <c r="IZ15" i="16" s="1"/>
  <c r="IC14" i="16"/>
  <c r="IE12" i="16"/>
  <c r="ID12" i="16"/>
  <c r="IE11" i="16"/>
  <c r="ID11" i="16"/>
  <c r="IC10" i="16"/>
  <c r="IZ10" i="16" s="1"/>
  <c r="IE9" i="16"/>
  <c r="ID9" i="16"/>
  <c r="IE8" i="16"/>
  <c r="ID8" i="16"/>
  <c r="IC7" i="16"/>
  <c r="IZ7" i="16" s="1"/>
  <c r="IE6" i="16"/>
  <c r="ID6" i="16"/>
  <c r="IE5" i="16"/>
  <c r="ID5" i="16"/>
  <c r="IC4" i="16"/>
  <c r="IZ4" i="16" s="1"/>
  <c r="CN5" i="4" l="1"/>
  <c r="HC12" i="21"/>
  <c r="HT12" i="21"/>
  <c r="CJ5" i="4"/>
  <c r="ID14" i="16"/>
  <c r="IZ14" i="16"/>
  <c r="HC10" i="21"/>
  <c r="HZ10" i="21" s="1"/>
  <c r="HT10" i="21"/>
  <c r="CP5" i="4"/>
  <c r="HC6" i="21"/>
  <c r="HZ6" i="21" s="1"/>
  <c r="HT6" i="21"/>
  <c r="GW21" i="21"/>
  <c r="GW33" i="21" s="1"/>
  <c r="GT22" i="21"/>
  <c r="EZ31" i="15"/>
  <c r="EM37" i="15"/>
  <c r="EZ36" i="15"/>
  <c r="GT20" i="21"/>
  <c r="GT32" i="21" s="1"/>
  <c r="HQ32" i="21" s="1"/>
  <c r="EZ5" i="15"/>
  <c r="HC11" i="21"/>
  <c r="HT11" i="21"/>
  <c r="HC7" i="21"/>
  <c r="HD7" i="21" s="1"/>
  <c r="HT7" i="21"/>
  <c r="CL5" i="4"/>
  <c r="HC9" i="21"/>
  <c r="HZ9" i="21" s="1"/>
  <c r="EM6" i="15"/>
  <c r="EL50" i="15"/>
  <c r="EZ50" i="15" s="1"/>
  <c r="EM8" i="15"/>
  <c r="EM32" i="15"/>
  <c r="EM34" i="15"/>
  <c r="EM31" i="15"/>
  <c r="EM40" i="15"/>
  <c r="EM38" i="15"/>
  <c r="EM45" i="15"/>
  <c r="EM43" i="15"/>
  <c r="EM36" i="15"/>
  <c r="EM41" i="15"/>
  <c r="EM39" i="15"/>
  <c r="EM44" i="15"/>
  <c r="EM42" i="15"/>
  <c r="EM33" i="15"/>
  <c r="EM14" i="15"/>
  <c r="EM12" i="15"/>
  <c r="EM10" i="15"/>
  <c r="EL49" i="15"/>
  <c r="EZ49" i="15" s="1"/>
  <c r="EM17" i="15"/>
  <c r="EM5" i="15"/>
  <c r="EM15" i="15"/>
  <c r="EM13" i="15"/>
  <c r="EM11" i="15"/>
  <c r="EM18" i="15"/>
  <c r="EM16" i="15"/>
  <c r="EM7" i="15"/>
  <c r="GX6" i="21"/>
  <c r="GX9" i="21"/>
  <c r="GX5" i="21"/>
  <c r="GX12" i="21"/>
  <c r="GW4" i="21"/>
  <c r="HT4" i="21" s="1"/>
  <c r="GX7" i="21"/>
  <c r="GX10" i="21"/>
  <c r="GW8" i="21"/>
  <c r="HT8" i="21" s="1"/>
  <c r="GX11" i="21"/>
  <c r="ID4" i="16"/>
  <c r="ID7" i="16"/>
  <c r="ID10" i="16"/>
  <c r="IC13" i="16"/>
  <c r="IZ13" i="16" s="1"/>
  <c r="ID15" i="16"/>
  <c r="EJ67" i="17"/>
  <c r="EJ66" i="17"/>
  <c r="EJ65" i="17"/>
  <c r="EJ64" i="17"/>
  <c r="EJ62" i="17"/>
  <c r="EH61" i="17"/>
  <c r="EV61" i="17" s="1"/>
  <c r="EJ60" i="17"/>
  <c r="EJ56" i="17"/>
  <c r="EJ55" i="17"/>
  <c r="EJ53" i="17"/>
  <c r="EJ52" i="17"/>
  <c r="EJ51" i="17"/>
  <c r="EH50" i="17"/>
  <c r="EV50" i="17" s="1"/>
  <c r="EJ49" i="17"/>
  <c r="EJ48" i="17"/>
  <c r="EJ47" i="17"/>
  <c r="EJ46" i="17"/>
  <c r="EJ45" i="17"/>
  <c r="EJ44" i="17"/>
  <c r="EJ43" i="17"/>
  <c r="EJ42" i="17"/>
  <c r="EJ40" i="17"/>
  <c r="EJ39" i="17"/>
  <c r="EJ38" i="17"/>
  <c r="EJ37" i="17"/>
  <c r="EJ36" i="17"/>
  <c r="EJ34" i="17"/>
  <c r="EJ35" i="17"/>
  <c r="EJ33" i="17"/>
  <c r="EH32" i="17"/>
  <c r="EV32" i="17" s="1"/>
  <c r="EJ29" i="17"/>
  <c r="EJ27" i="17"/>
  <c r="EJ26" i="17"/>
  <c r="EJ24" i="17"/>
  <c r="EJ23" i="17"/>
  <c r="EJ20" i="17"/>
  <c r="EJ19" i="17"/>
  <c r="EH18" i="17"/>
  <c r="EV18" i="17" s="1"/>
  <c r="EJ17" i="17"/>
  <c r="EJ16" i="17"/>
  <c r="EJ15" i="17"/>
  <c r="EJ14" i="17"/>
  <c r="EJ13" i="17"/>
  <c r="EJ12" i="17"/>
  <c r="EJ11" i="17"/>
  <c r="EJ10" i="17"/>
  <c r="EJ8" i="17"/>
  <c r="EH7" i="17"/>
  <c r="EV7" i="17" s="1"/>
  <c r="HD6" i="21" l="1"/>
  <c r="HC33" i="21"/>
  <c r="HD10" i="21"/>
  <c r="HE7" i="21"/>
  <c r="HZ7" i="21"/>
  <c r="GT23" i="21"/>
  <c r="GT35" i="21" s="1"/>
  <c r="HD11" i="21"/>
  <c r="HZ11" i="21"/>
  <c r="HC4" i="21"/>
  <c r="HD12" i="21"/>
  <c r="HZ12" i="21"/>
  <c r="GT34" i="21"/>
  <c r="HQ34" i="21" s="1"/>
  <c r="HQ22" i="21"/>
  <c r="GW22" i="21"/>
  <c r="HQ20" i="21"/>
  <c r="GW20" i="21"/>
  <c r="HC34" i="21"/>
  <c r="HD9" i="21"/>
  <c r="HE9" i="21"/>
  <c r="HC8" i="21"/>
  <c r="HZ8" i="21" s="1"/>
  <c r="HC32" i="21"/>
  <c r="HZ32" i="21" s="1"/>
  <c r="EM47" i="15"/>
  <c r="EM50" i="15"/>
  <c r="EM49" i="15"/>
  <c r="GW13" i="21"/>
  <c r="GX8" i="21"/>
  <c r="GX4" i="21"/>
  <c r="IC40" i="16"/>
  <c r="IC29" i="16"/>
  <c r="IZ29" i="16" s="1"/>
  <c r="ID13" i="16"/>
  <c r="EH31" i="17"/>
  <c r="EV31" i="17" s="1"/>
  <c r="EH6" i="17"/>
  <c r="GW23" i="21" l="1"/>
  <c r="GW35" i="21" s="1"/>
  <c r="HD4" i="21"/>
  <c r="HZ4" i="21"/>
  <c r="HT22" i="21"/>
  <c r="GW34" i="21"/>
  <c r="HT34" i="21" s="1"/>
  <c r="HT20" i="21"/>
  <c r="GW32" i="21"/>
  <c r="HT32" i="21" s="1"/>
  <c r="HC13" i="21"/>
  <c r="HD13" i="21" s="1"/>
  <c r="HT13" i="21"/>
  <c r="GT17" i="21"/>
  <c r="GT14" i="21" s="1"/>
  <c r="IZ40" i="16"/>
  <c r="EI50" i="17"/>
  <c r="EV6" i="17"/>
  <c r="HD8" i="21"/>
  <c r="HC35" i="21"/>
  <c r="GX13" i="21"/>
  <c r="IC39" i="16"/>
  <c r="IZ39" i="16" s="1"/>
  <c r="ID40" i="16"/>
  <c r="IC32" i="16"/>
  <c r="IZ32" i="16" s="1"/>
  <c r="ID29" i="16"/>
  <c r="EI31" i="17"/>
  <c r="EI61" i="17"/>
  <c r="EI7" i="17"/>
  <c r="EI63" i="17"/>
  <c r="EI59" i="17"/>
  <c r="EI55" i="17"/>
  <c r="EI52" i="17"/>
  <c r="EI24" i="17"/>
  <c r="EI20" i="17"/>
  <c r="EI6" i="17"/>
  <c r="EI67" i="17"/>
  <c r="EI65" i="17"/>
  <c r="EI48" i="17"/>
  <c r="EI46" i="17"/>
  <c r="EI44" i="17"/>
  <c r="EI42" i="17"/>
  <c r="EI39" i="17"/>
  <c r="EI37" i="17"/>
  <c r="EI34" i="17"/>
  <c r="EI33" i="17"/>
  <c r="EI29" i="17"/>
  <c r="EI26" i="17"/>
  <c r="EI16" i="17"/>
  <c r="EI14" i="17"/>
  <c r="EI12" i="17"/>
  <c r="EI10" i="17"/>
  <c r="EI62" i="17"/>
  <c r="EI56" i="17"/>
  <c r="EI53" i="17"/>
  <c r="EI51" i="17"/>
  <c r="EI25" i="17"/>
  <c r="EI23" i="17"/>
  <c r="EI19" i="17"/>
  <c r="EI66" i="17"/>
  <c r="EI64" i="17"/>
  <c r="EI60" i="17"/>
  <c r="EI49" i="17"/>
  <c r="EI47" i="17"/>
  <c r="EI45" i="17"/>
  <c r="EI43" i="17"/>
  <c r="EI40" i="17"/>
  <c r="EI38" i="17"/>
  <c r="EI36" i="17"/>
  <c r="EI35" i="17"/>
  <c r="EI32" i="17"/>
  <c r="EI27" i="17"/>
  <c r="EI17" i="17"/>
  <c r="EI15" i="17"/>
  <c r="EI13" i="17"/>
  <c r="EI11" i="17"/>
  <c r="EI8" i="17"/>
  <c r="EI18" i="17"/>
  <c r="F38" i="5"/>
  <c r="HE13" i="21" l="1"/>
  <c r="HZ13" i="21"/>
  <c r="ID39" i="16"/>
  <c r="ID32" i="16"/>
  <c r="IC35" i="16"/>
  <c r="IZ35" i="16" s="1"/>
  <c r="IC36" i="16" l="1"/>
  <c r="IZ36" i="16" s="1"/>
  <c r="ID35" i="16"/>
  <c r="ID36" i="16" l="1"/>
  <c r="DK47" i="15" l="1"/>
  <c r="DN47" i="15"/>
  <c r="DQ8" i="15" l="1"/>
  <c r="EQ21" i="15" l="1"/>
  <c r="EC8" i="15"/>
  <c r="EQ8" i="15" s="1"/>
  <c r="ET7" i="15"/>
  <c r="EK47" i="15"/>
  <c r="EK34" i="15"/>
  <c r="EK28" i="15"/>
  <c r="EK23" i="15"/>
  <c r="EK22" i="15"/>
  <c r="EK15" i="15"/>
  <c r="EK14" i="15"/>
  <c r="EG67" i="17" l="1"/>
  <c r="EG66" i="17"/>
  <c r="EG65" i="17"/>
  <c r="EG64" i="17"/>
  <c r="EG62" i="17"/>
  <c r="EG60" i="17"/>
  <c r="EG56" i="17"/>
  <c r="EG55" i="17"/>
  <c r="EG53" i="17"/>
  <c r="EG52" i="17"/>
  <c r="EG51" i="17"/>
  <c r="EG49" i="17"/>
  <c r="EG48" i="17"/>
  <c r="EG47" i="17"/>
  <c r="EG46" i="17"/>
  <c r="EG45" i="17"/>
  <c r="EG44" i="17"/>
  <c r="EG43" i="17"/>
  <c r="EG42" i="17"/>
  <c r="EG40" i="17"/>
  <c r="EG39" i="17"/>
  <c r="EG38" i="17"/>
  <c r="EG36" i="17"/>
  <c r="EG34" i="17"/>
  <c r="EG33" i="17"/>
  <c r="EG29" i="17"/>
  <c r="EG27" i="17"/>
  <c r="EG26" i="17"/>
  <c r="EG24" i="17"/>
  <c r="EG23" i="17"/>
  <c r="EG20" i="17"/>
  <c r="EG19" i="17"/>
  <c r="EG17" i="17"/>
  <c r="EG16" i="17"/>
  <c r="EG15" i="17"/>
  <c r="EG14" i="17"/>
  <c r="EG13" i="17"/>
  <c r="EG12" i="17"/>
  <c r="EG10" i="17"/>
  <c r="EG8" i="17"/>
  <c r="HB14" i="16"/>
  <c r="GY37" i="16"/>
  <c r="GV37" i="16"/>
  <c r="HH37" i="16"/>
  <c r="FT12" i="21" l="1"/>
  <c r="FT11" i="21"/>
  <c r="FT10" i="21"/>
  <c r="FT9" i="21"/>
  <c r="FT7" i="21"/>
  <c r="FT6" i="21"/>
  <c r="FT5" i="21"/>
  <c r="CD11" i="4" l="1"/>
  <c r="HW14" i="16" l="1"/>
  <c r="IT14" i="16" s="1"/>
  <c r="N48" i="17" l="1"/>
  <c r="Q48" i="17"/>
  <c r="T48" i="17"/>
  <c r="W48" i="17"/>
  <c r="Z48" i="17"/>
  <c r="AC48" i="17"/>
  <c r="AF48" i="17"/>
  <c r="AI48" i="17"/>
  <c r="AL48" i="17"/>
  <c r="AO48" i="17"/>
  <c r="AR48" i="17"/>
  <c r="AU48" i="17"/>
  <c r="AX48" i="17"/>
  <c r="BA48" i="17"/>
  <c r="BD48" i="17"/>
  <c r="BG48" i="17"/>
  <c r="BJ48" i="17"/>
  <c r="BM48" i="17"/>
  <c r="BP48" i="17"/>
  <c r="BS48" i="17"/>
  <c r="BV48" i="17"/>
  <c r="BY48" i="17"/>
  <c r="CB48" i="17"/>
  <c r="CE48" i="17"/>
  <c r="CH48" i="17"/>
  <c r="CK48" i="17"/>
  <c r="CN48" i="17"/>
  <c r="CQ48" i="17"/>
  <c r="CT48" i="17"/>
  <c r="CZ48" i="17"/>
  <c r="DC48" i="17"/>
  <c r="DD48" i="17"/>
  <c r="DF48" i="17" s="1"/>
  <c r="DL48" i="17"/>
  <c r="DO48" i="17"/>
  <c r="DU48" i="17"/>
  <c r="ED48" i="17"/>
  <c r="DR48" i="17" l="1"/>
  <c r="CG47" i="15" l="1"/>
  <c r="CM47" i="15"/>
  <c r="CP47" i="15"/>
  <c r="CS47" i="15"/>
  <c r="CV47" i="15"/>
  <c r="CY47" i="15"/>
  <c r="DB47" i="15"/>
  <c r="CG51" i="4" l="1"/>
  <c r="CG50" i="4"/>
  <c r="CF50" i="4"/>
  <c r="CG39" i="4"/>
  <c r="CF39" i="4"/>
  <c r="CH32" i="4"/>
  <c r="CG30" i="4"/>
  <c r="CF30" i="4"/>
  <c r="CF4" i="4"/>
  <c r="CH41" i="4" l="1"/>
  <c r="CG45" i="4"/>
  <c r="CH52" i="4"/>
  <c r="CG56" i="4"/>
  <c r="CG4" i="4"/>
  <c r="CH5" i="4" l="1"/>
  <c r="CD52" i="4"/>
  <c r="BW52" i="4"/>
  <c r="BV52" i="4"/>
  <c r="BP52" i="4"/>
  <c r="BK52" i="4"/>
  <c r="BJ52" i="4"/>
  <c r="BI52" i="4"/>
  <c r="BH52" i="4"/>
  <c r="BG52" i="4"/>
  <c r="BF52" i="4"/>
  <c r="BE52" i="4"/>
  <c r="BD52" i="4"/>
  <c r="BC52" i="4"/>
  <c r="BB52" i="4"/>
  <c r="BA52" i="4"/>
  <c r="AZ52" i="4"/>
  <c r="AY52" i="4"/>
  <c r="AX52" i="4"/>
  <c r="AW52" i="4"/>
  <c r="AV52" i="4"/>
  <c r="AU52" i="4"/>
  <c r="AT52" i="4"/>
  <c r="AS52" i="4"/>
  <c r="AR52" i="4"/>
  <c r="AQ52" i="4"/>
  <c r="AP52" i="4"/>
  <c r="AO52" i="4"/>
  <c r="AN52" i="4"/>
  <c r="AM52" i="4"/>
  <c r="AL52" i="4"/>
  <c r="AK52" i="4"/>
  <c r="AJ52" i="4"/>
  <c r="AI52" i="4"/>
  <c r="AH52" i="4"/>
  <c r="AG52" i="4"/>
  <c r="AF52" i="4"/>
  <c r="AE52" i="4"/>
  <c r="AD52" i="4"/>
  <c r="AC52" i="4"/>
  <c r="AB52" i="4"/>
  <c r="AA52" i="4"/>
  <c r="Z52" i="4"/>
  <c r="Y52" i="4"/>
  <c r="X52" i="4"/>
  <c r="W52" i="4"/>
  <c r="V52" i="4"/>
  <c r="U52" i="4"/>
  <c r="T52" i="4"/>
  <c r="S52" i="4"/>
  <c r="R52" i="4"/>
  <c r="Q52" i="4"/>
  <c r="P52" i="4"/>
  <c r="O52" i="4"/>
  <c r="N52" i="4"/>
  <c r="M52" i="4"/>
  <c r="L52" i="4"/>
  <c r="K52" i="4"/>
  <c r="CD41" i="4"/>
  <c r="BW41" i="4"/>
  <c r="BP41" i="4"/>
  <c r="BI41" i="4"/>
  <c r="BB41" i="4"/>
  <c r="AT41" i="4"/>
  <c r="AS41" i="4"/>
  <c r="AR41" i="4"/>
  <c r="AQ41" i="4"/>
  <c r="AP41" i="4"/>
  <c r="AO41" i="4"/>
  <c r="AN41" i="4"/>
  <c r="AM41" i="4"/>
  <c r="AL41" i="4"/>
  <c r="AK41" i="4"/>
  <c r="AJ41" i="4"/>
  <c r="AI41" i="4"/>
  <c r="AH41" i="4"/>
  <c r="AG41" i="4"/>
  <c r="AF41" i="4"/>
  <c r="AE41" i="4"/>
  <c r="AD41" i="4"/>
  <c r="AC41" i="4"/>
  <c r="AB41" i="4"/>
  <c r="AA41" i="4"/>
  <c r="Z41" i="4"/>
  <c r="Y41" i="4"/>
  <c r="X41" i="4"/>
  <c r="W41" i="4"/>
  <c r="V41" i="4"/>
  <c r="U41" i="4"/>
  <c r="T41" i="4"/>
  <c r="S41" i="4"/>
  <c r="R41" i="4"/>
  <c r="Q41" i="4"/>
  <c r="P41" i="4"/>
  <c r="O41" i="4"/>
  <c r="N41" i="4"/>
  <c r="M41" i="4"/>
  <c r="L41" i="4"/>
  <c r="K41" i="4"/>
  <c r="Q32" i="4"/>
  <c r="P32" i="4"/>
  <c r="O32" i="4"/>
  <c r="N32" i="4"/>
  <c r="M32" i="4"/>
  <c r="L32" i="4"/>
  <c r="K32" i="4"/>
  <c r="X32" i="4"/>
  <c r="W32" i="4"/>
  <c r="V32" i="4"/>
  <c r="U32" i="4"/>
  <c r="T32" i="4"/>
  <c r="S32" i="4"/>
  <c r="R32" i="4"/>
  <c r="AE32" i="4"/>
  <c r="AD32" i="4"/>
  <c r="AC32" i="4"/>
  <c r="AB32" i="4"/>
  <c r="AA32" i="4"/>
  <c r="Z32" i="4"/>
  <c r="Y32" i="4"/>
  <c r="AL32" i="4"/>
  <c r="AK32" i="4"/>
  <c r="AJ32" i="4"/>
  <c r="AI32" i="4"/>
  <c r="AH32" i="4"/>
  <c r="AG32" i="4"/>
  <c r="AF32" i="4"/>
  <c r="AS32" i="4"/>
  <c r="AR32" i="4"/>
  <c r="AQ32" i="4"/>
  <c r="AP32" i="4"/>
  <c r="AO32" i="4"/>
  <c r="AN32" i="4"/>
  <c r="AM32" i="4"/>
  <c r="AZ32" i="4"/>
  <c r="AY32" i="4"/>
  <c r="AX32" i="4"/>
  <c r="AW32" i="4"/>
  <c r="AV32" i="4"/>
  <c r="AU32" i="4"/>
  <c r="AT32" i="4"/>
  <c r="BG32" i="4"/>
  <c r="BF32" i="4"/>
  <c r="BE32" i="4"/>
  <c r="BD32" i="4"/>
  <c r="BC32" i="4"/>
  <c r="BB32" i="4"/>
  <c r="BA32" i="4"/>
  <c r="BN32" i="4"/>
  <c r="BM32" i="4"/>
  <c r="BL32" i="4"/>
  <c r="BK32" i="4"/>
  <c r="BJ32" i="4"/>
  <c r="BI32" i="4"/>
  <c r="BH32" i="4"/>
  <c r="BU32" i="4"/>
  <c r="BR32" i="4"/>
  <c r="BQ32" i="4"/>
  <c r="BP32" i="4"/>
  <c r="BO32" i="4"/>
  <c r="BW32" i="4"/>
  <c r="BV32" i="4"/>
  <c r="CD32" i="4"/>
  <c r="CE58" i="4"/>
  <c r="CE55" i="4"/>
  <c r="CE51" i="4"/>
  <c r="CF52" i="4" s="1"/>
  <c r="CE50" i="4"/>
  <c r="CE47" i="4"/>
  <c r="CE44" i="4"/>
  <c r="CF41" i="4"/>
  <c r="CE39" i="4"/>
  <c r="CE36" i="4"/>
  <c r="CE33" i="4"/>
  <c r="CE8" i="4" s="1"/>
  <c r="CE30" i="4"/>
  <c r="CE18" i="4"/>
  <c r="CG18" i="4" s="1"/>
  <c r="CI18" i="4" s="1"/>
  <c r="CE17" i="4"/>
  <c r="CE16" i="4"/>
  <c r="CE15" i="4"/>
  <c r="CI15" i="4" s="1"/>
  <c r="CE14" i="4"/>
  <c r="CI14" i="4" s="1"/>
  <c r="CE13" i="4"/>
  <c r="CI13" i="4" s="1"/>
  <c r="CE12" i="4"/>
  <c r="CI12" i="4" s="1"/>
  <c r="CE56" i="4" l="1"/>
  <c r="CE4" i="4"/>
  <c r="CF32" i="4"/>
  <c r="CF5" i="4" s="1"/>
  <c r="CI16" i="4"/>
  <c r="CI11" i="4" s="1"/>
  <c r="CG11" i="4"/>
  <c r="CE45" i="4"/>
  <c r="CE11" i="4"/>
  <c r="CD5" i="4"/>
  <c r="BW5" i="4"/>
  <c r="BP5" i="4"/>
  <c r="BI5" i="4"/>
  <c r="BB5" i="4"/>
  <c r="AT5" i="4"/>
  <c r="AS5" i="4"/>
  <c r="AR5" i="4"/>
  <c r="AQ5" i="4"/>
  <c r="AP5" i="4"/>
  <c r="AO5" i="4"/>
  <c r="AN5" i="4"/>
  <c r="AM5" i="4"/>
  <c r="AL5" i="4"/>
  <c r="AK5" i="4"/>
  <c r="AJ5" i="4"/>
  <c r="AI5" i="4"/>
  <c r="AH5" i="4"/>
  <c r="AG5" i="4"/>
  <c r="AF5" i="4"/>
  <c r="AE5" i="4"/>
  <c r="AD5" i="4"/>
  <c r="AC5" i="4"/>
  <c r="AB5" i="4"/>
  <c r="AA5" i="4"/>
  <c r="Z5" i="4"/>
  <c r="Y5" i="4"/>
  <c r="X5" i="4"/>
  <c r="W5" i="4"/>
  <c r="V5" i="4"/>
  <c r="U5" i="4"/>
  <c r="T5" i="4"/>
  <c r="S5" i="4"/>
  <c r="R5" i="4"/>
  <c r="Q5" i="4"/>
  <c r="P5" i="4"/>
  <c r="O5" i="4"/>
  <c r="N5" i="4"/>
  <c r="M5" i="4"/>
  <c r="L5" i="4"/>
  <c r="K5" i="4"/>
  <c r="J5" i="4"/>
  <c r="I5" i="4"/>
  <c r="H5" i="4"/>
  <c r="G5" i="4"/>
  <c r="F5" i="4"/>
  <c r="E5" i="4"/>
  <c r="D5" i="4"/>
  <c r="DE21" i="21" l="1"/>
  <c r="DG21" i="21" s="1"/>
  <c r="CS34" i="21"/>
  <c r="CM34" i="21"/>
  <c r="CJ34" i="21"/>
  <c r="CD34" i="21"/>
  <c r="BX34" i="21"/>
  <c r="BR34" i="21"/>
  <c r="BO34" i="21"/>
  <c r="BI34" i="21"/>
  <c r="BC34" i="21"/>
  <c r="AW34" i="21"/>
  <c r="AT34" i="21"/>
  <c r="AP34" i="21"/>
  <c r="BK34" i="21" s="1"/>
  <c r="AL34" i="21"/>
  <c r="AH34" i="21"/>
  <c r="AF34" i="21"/>
  <c r="CS33" i="21"/>
  <c r="GH29" i="21"/>
  <c r="HE29" i="21" s="1"/>
  <c r="GG29" i="21"/>
  <c r="GB29" i="21"/>
  <c r="GY29" i="21" s="1"/>
  <c r="GA29" i="21"/>
  <c r="FV29" i="21"/>
  <c r="GS29" i="21" s="1"/>
  <c r="FU29" i="21"/>
  <c r="FR29" i="21"/>
  <c r="FM29" i="21"/>
  <c r="FL29" i="21"/>
  <c r="FG29" i="21"/>
  <c r="FF29" i="21"/>
  <c r="FA29" i="21"/>
  <c r="EZ29" i="21"/>
  <c r="EW29" i="21"/>
  <c r="ER29" i="21"/>
  <c r="EQ29" i="21"/>
  <c r="EL29" i="21"/>
  <c r="EK29" i="21"/>
  <c r="EF29" i="21"/>
  <c r="EE29" i="21"/>
  <c r="EB29" i="21"/>
  <c r="DW29" i="21"/>
  <c r="DV29" i="21"/>
  <c r="DQ29" i="21"/>
  <c r="DP29" i="21"/>
  <c r="DK29" i="21"/>
  <c r="DJ29" i="21"/>
  <c r="DG29" i="21"/>
  <c r="DB29" i="21"/>
  <c r="DA29" i="21"/>
  <c r="CV29" i="21"/>
  <c r="CU29" i="21"/>
  <c r="CP29" i="21"/>
  <c r="CO29" i="21"/>
  <c r="CL29" i="21"/>
  <c r="CG29" i="21"/>
  <c r="CF29" i="21"/>
  <c r="CA29" i="21"/>
  <c r="BZ29" i="21"/>
  <c r="BU29" i="21"/>
  <c r="BT29" i="21"/>
  <c r="BQ29" i="21"/>
  <c r="BL29" i="21"/>
  <c r="BK29" i="21"/>
  <c r="BF29" i="21"/>
  <c r="BE29" i="21"/>
  <c r="AZ29" i="21"/>
  <c r="AY29" i="21"/>
  <c r="AV29" i="21"/>
  <c r="AR29" i="21"/>
  <c r="AN29" i="21"/>
  <c r="AJ29" i="21"/>
  <c r="AD29" i="21"/>
  <c r="Z29" i="21"/>
  <c r="V29" i="21"/>
  <c r="GJ28" i="21"/>
  <c r="GG28" i="21"/>
  <c r="GB28" i="21"/>
  <c r="GY28" i="21" s="1"/>
  <c r="GA28" i="21"/>
  <c r="FV28" i="21"/>
  <c r="GS28" i="21" s="1"/>
  <c r="FU28" i="21"/>
  <c r="FR28" i="21"/>
  <c r="FL28" i="21"/>
  <c r="FG28" i="21"/>
  <c r="FF28" i="21"/>
  <c r="FA28" i="21"/>
  <c r="EZ28" i="21"/>
  <c r="EW28" i="21"/>
  <c r="ER28" i="21"/>
  <c r="FO28" i="21" s="1"/>
  <c r="EQ28" i="21"/>
  <c r="EL28" i="21"/>
  <c r="EK28" i="21"/>
  <c r="EF28" i="21"/>
  <c r="EE28" i="21"/>
  <c r="EB28" i="21"/>
  <c r="DW28" i="21"/>
  <c r="DV28" i="21"/>
  <c r="DQ28" i="21"/>
  <c r="DP28" i="21"/>
  <c r="DK28" i="21"/>
  <c r="DJ28" i="21"/>
  <c r="DG28" i="21"/>
  <c r="DB28" i="21"/>
  <c r="DA28" i="21"/>
  <c r="CV28" i="21"/>
  <c r="CU28" i="21"/>
  <c r="CP28" i="21"/>
  <c r="CO28" i="21"/>
  <c r="CL28" i="21"/>
  <c r="CG28" i="21"/>
  <c r="CF28" i="21"/>
  <c r="CA28" i="21"/>
  <c r="BZ28" i="21"/>
  <c r="BU28" i="21"/>
  <c r="BT28" i="21"/>
  <c r="BQ28" i="21"/>
  <c r="BL28" i="21"/>
  <c r="BK28" i="21"/>
  <c r="BF28" i="21"/>
  <c r="BE28" i="21"/>
  <c r="AZ28" i="21"/>
  <c r="AY28" i="21"/>
  <c r="AV28" i="21"/>
  <c r="AR28" i="21"/>
  <c r="AN28" i="21"/>
  <c r="AJ28" i="21"/>
  <c r="AD28" i="21"/>
  <c r="Z28" i="21"/>
  <c r="V28" i="21"/>
  <c r="GH27" i="21"/>
  <c r="HE27" i="21" s="1"/>
  <c r="GG27" i="21"/>
  <c r="GB27" i="21"/>
  <c r="GY27" i="21" s="1"/>
  <c r="GA27" i="21"/>
  <c r="FV27" i="21"/>
  <c r="GS27" i="21" s="1"/>
  <c r="FU27" i="21"/>
  <c r="FR27" i="21"/>
  <c r="FM27" i="21"/>
  <c r="FL27" i="21"/>
  <c r="FG27" i="21"/>
  <c r="FF27" i="21"/>
  <c r="FA27" i="21"/>
  <c r="EZ27" i="21"/>
  <c r="EW27" i="21"/>
  <c r="ER27" i="21"/>
  <c r="EQ27" i="21"/>
  <c r="EL27" i="21"/>
  <c r="EK27" i="21"/>
  <c r="EF27" i="21"/>
  <c r="EE27" i="21"/>
  <c r="EB27" i="21"/>
  <c r="DW27" i="21"/>
  <c r="DV27" i="21"/>
  <c r="DQ27" i="21"/>
  <c r="DP27" i="21"/>
  <c r="DK27" i="21"/>
  <c r="DJ27" i="21"/>
  <c r="DG27" i="21"/>
  <c r="DB27" i="21"/>
  <c r="CV27" i="21"/>
  <c r="CP27" i="21"/>
  <c r="CG27" i="21"/>
  <c r="CA27" i="21"/>
  <c r="BU27" i="21"/>
  <c r="BL27" i="21"/>
  <c r="BF27" i="21"/>
  <c r="AZ27" i="21"/>
  <c r="AR27" i="21"/>
  <c r="AN27" i="21"/>
  <c r="AJ27" i="21"/>
  <c r="AD27" i="21"/>
  <c r="Z27" i="21"/>
  <c r="V27" i="21"/>
  <c r="GH26" i="21"/>
  <c r="HE26" i="21" s="1"/>
  <c r="GG26" i="21"/>
  <c r="GB26" i="21"/>
  <c r="GA26" i="21"/>
  <c r="FV26" i="21"/>
  <c r="GS26" i="21" s="1"/>
  <c r="FU26" i="21"/>
  <c r="FR26" i="21"/>
  <c r="FM26" i="21"/>
  <c r="FL26" i="21"/>
  <c r="FG26" i="21"/>
  <c r="FF26" i="21"/>
  <c r="FA26" i="21"/>
  <c r="EZ26" i="21"/>
  <c r="EW26" i="21"/>
  <c r="ER26" i="21"/>
  <c r="EQ26" i="21"/>
  <c r="EL26" i="21"/>
  <c r="EK26" i="21"/>
  <c r="EF26" i="21"/>
  <c r="EE26" i="21"/>
  <c r="EB26" i="21"/>
  <c r="DW26" i="21"/>
  <c r="DV26" i="21"/>
  <c r="DQ26" i="21"/>
  <c r="DP26" i="21"/>
  <c r="DK26" i="21"/>
  <c r="DJ26" i="21"/>
  <c r="DG26" i="21"/>
  <c r="DB26" i="21"/>
  <c r="DA26" i="21"/>
  <c r="CV26" i="21"/>
  <c r="CU26" i="21"/>
  <c r="CP26" i="21"/>
  <c r="CO26" i="21"/>
  <c r="CL26" i="21"/>
  <c r="CG26" i="21"/>
  <c r="CF26" i="21"/>
  <c r="CA26" i="21"/>
  <c r="BZ26" i="21"/>
  <c r="BU26" i="21"/>
  <c r="BT26" i="21"/>
  <c r="BQ26" i="21"/>
  <c r="BL26" i="21"/>
  <c r="BK26" i="21"/>
  <c r="BF26" i="21"/>
  <c r="BE26" i="21"/>
  <c r="AZ26" i="21"/>
  <c r="AY26" i="21"/>
  <c r="AV26" i="21"/>
  <c r="AR26" i="21"/>
  <c r="AN26" i="21"/>
  <c r="AJ26" i="21"/>
  <c r="AD26" i="21"/>
  <c r="Z26" i="21"/>
  <c r="V26" i="21"/>
  <c r="CV22" i="21"/>
  <c r="CU22" i="21"/>
  <c r="CP22" i="21"/>
  <c r="CP34" i="21" s="1"/>
  <c r="CO22" i="21"/>
  <c r="CL22" i="21"/>
  <c r="CG22" i="21"/>
  <c r="CG34" i="21" s="1"/>
  <c r="CF22" i="21"/>
  <c r="CA22" i="21"/>
  <c r="BZ22" i="21"/>
  <c r="BU22" i="21"/>
  <c r="BT22" i="21"/>
  <c r="BQ22" i="21"/>
  <c r="BL22" i="21"/>
  <c r="BK22" i="21"/>
  <c r="BF22" i="21"/>
  <c r="BE22" i="21"/>
  <c r="AZ22" i="21"/>
  <c r="AY22" i="21"/>
  <c r="AV22" i="21"/>
  <c r="AR22" i="21"/>
  <c r="AN22" i="21"/>
  <c r="AJ22" i="21"/>
  <c r="AD22" i="21"/>
  <c r="Z22" i="21"/>
  <c r="V22" i="21"/>
  <c r="P22" i="21"/>
  <c r="L22" i="21"/>
  <c r="CV21" i="21"/>
  <c r="CV33" i="21" s="1"/>
  <c r="CU21" i="21"/>
  <c r="CP21" i="21"/>
  <c r="CO21" i="21"/>
  <c r="CL21" i="21"/>
  <c r="CG21" i="21"/>
  <c r="CA21" i="21"/>
  <c r="BU21" i="21"/>
  <c r="BL21" i="21"/>
  <c r="BF21" i="21"/>
  <c r="AZ21" i="21"/>
  <c r="AR21" i="21"/>
  <c r="AN21" i="21"/>
  <c r="AJ21" i="21"/>
  <c r="Z21" i="21"/>
  <c r="AB21" i="21" s="1"/>
  <c r="V21" i="21"/>
  <c r="P21" i="21"/>
  <c r="L21" i="21"/>
  <c r="FK13" i="21"/>
  <c r="GG12" i="21"/>
  <c r="GA12" i="21"/>
  <c r="FZ12" i="21"/>
  <c r="FV12" i="21"/>
  <c r="GS12" i="21" s="1"/>
  <c r="FU12" i="21"/>
  <c r="FR12" i="21"/>
  <c r="FQ12" i="21"/>
  <c r="FL12" i="21"/>
  <c r="FK12" i="21"/>
  <c r="FF12" i="21"/>
  <c r="FE12" i="21"/>
  <c r="FA12" i="21"/>
  <c r="EZ12" i="21"/>
  <c r="EY12" i="21"/>
  <c r="EW12" i="21"/>
  <c r="EV12" i="21"/>
  <c r="ES12" i="21"/>
  <c r="EQ12" i="21"/>
  <c r="EP12" i="21"/>
  <c r="EK12" i="21"/>
  <c r="EJ12" i="21"/>
  <c r="EF12" i="21"/>
  <c r="EL12" i="21" s="1"/>
  <c r="EE12" i="21"/>
  <c r="ED12" i="21"/>
  <c r="EB12" i="21"/>
  <c r="EA12" i="21"/>
  <c r="DV12" i="21"/>
  <c r="DU12" i="21"/>
  <c r="DQ12" i="21"/>
  <c r="DW12" i="21" s="1"/>
  <c r="DP12" i="21"/>
  <c r="DO12" i="21"/>
  <c r="DK12" i="21"/>
  <c r="DL12" i="21" s="1"/>
  <c r="DJ12" i="21"/>
  <c r="DI12" i="21"/>
  <c r="DG12" i="21"/>
  <c r="DF12" i="21"/>
  <c r="DA12" i="21"/>
  <c r="CZ12" i="21"/>
  <c r="CV12" i="21"/>
  <c r="CU12" i="21"/>
  <c r="CT12" i="21"/>
  <c r="CR12" i="21"/>
  <c r="CQ12" i="21"/>
  <c r="CO12" i="21"/>
  <c r="CN12" i="21"/>
  <c r="CL12" i="21"/>
  <c r="CK12" i="21"/>
  <c r="CF12" i="21"/>
  <c r="CE12" i="21"/>
  <c r="CA12" i="21"/>
  <c r="BZ12" i="21"/>
  <c r="BY12" i="21"/>
  <c r="BT12" i="21"/>
  <c r="BS12" i="21"/>
  <c r="BQ12" i="21"/>
  <c r="BP12" i="21"/>
  <c r="BK12" i="21"/>
  <c r="BJ12" i="21"/>
  <c r="BE12" i="21"/>
  <c r="BD12" i="21"/>
  <c r="AZ12" i="21"/>
  <c r="AY12" i="21"/>
  <c r="AX12" i="21"/>
  <c r="AV12" i="21"/>
  <c r="AU12" i="21"/>
  <c r="AQ12" i="21"/>
  <c r="AM12" i="21"/>
  <c r="AJ12" i="21"/>
  <c r="AN12" i="21" s="1"/>
  <c r="AR12" i="21" s="1"/>
  <c r="AS12" i="21" s="1"/>
  <c r="AI12" i="21"/>
  <c r="AG12" i="21"/>
  <c r="GG11" i="21"/>
  <c r="GA11" i="21"/>
  <c r="FZ11" i="21"/>
  <c r="FV11" i="21"/>
  <c r="GS11" i="21" s="1"/>
  <c r="FU11" i="21"/>
  <c r="FR11" i="21"/>
  <c r="FQ11" i="21"/>
  <c r="FL11" i="21"/>
  <c r="FK11" i="21"/>
  <c r="FF11" i="21"/>
  <c r="FE11" i="21"/>
  <c r="FA11" i="21"/>
  <c r="EZ11" i="21"/>
  <c r="EY11" i="21"/>
  <c r="EW11" i="21"/>
  <c r="EV11" i="21"/>
  <c r="ES11" i="21"/>
  <c r="EQ11" i="21"/>
  <c r="EP11" i="21"/>
  <c r="EK11" i="21"/>
  <c r="EJ11" i="21"/>
  <c r="EF11" i="21"/>
  <c r="EE11" i="21"/>
  <c r="ED11" i="21"/>
  <c r="EB11" i="21"/>
  <c r="EA11" i="21"/>
  <c r="DV11" i="21"/>
  <c r="DU11" i="21"/>
  <c r="DQ11" i="21"/>
  <c r="DW11" i="21" s="1"/>
  <c r="DP11" i="21"/>
  <c r="DO11" i="21"/>
  <c r="DK11" i="21"/>
  <c r="DJ11" i="21"/>
  <c r="DI11" i="21"/>
  <c r="DG11" i="21"/>
  <c r="DF11" i="21"/>
  <c r="DB11" i="21"/>
  <c r="DD11" i="21" s="1"/>
  <c r="DA11" i="21"/>
  <c r="CZ11" i="21"/>
  <c r="CW11" i="21"/>
  <c r="CU11" i="21"/>
  <c r="CT11" i="21"/>
  <c r="CR11" i="21"/>
  <c r="CQ11" i="21"/>
  <c r="CO11" i="21"/>
  <c r="CN11" i="21"/>
  <c r="CL11" i="21"/>
  <c r="CK11" i="21"/>
  <c r="CH11" i="21"/>
  <c r="CF11" i="21"/>
  <c r="CE11" i="21"/>
  <c r="CA11" i="21"/>
  <c r="CA8" i="21" s="1"/>
  <c r="BZ11" i="21"/>
  <c r="BY11" i="21"/>
  <c r="BT11" i="21"/>
  <c r="BS11" i="21"/>
  <c r="BQ11" i="21"/>
  <c r="BP11" i="21"/>
  <c r="BK11" i="21"/>
  <c r="BJ11" i="21"/>
  <c r="BE11" i="21"/>
  <c r="BD11" i="21"/>
  <c r="AZ11" i="21"/>
  <c r="BF11" i="21" s="1"/>
  <c r="AY11" i="21"/>
  <c r="AX11" i="21"/>
  <c r="AV11" i="21"/>
  <c r="AU11" i="21"/>
  <c r="AQ11" i="21"/>
  <c r="AM11" i="21"/>
  <c r="AJ11" i="21"/>
  <c r="AI11" i="21"/>
  <c r="AG11" i="21"/>
  <c r="GG10" i="21"/>
  <c r="GA10" i="21"/>
  <c r="FZ10" i="21"/>
  <c r="FV10" i="21"/>
  <c r="GS10" i="21" s="1"/>
  <c r="FU10" i="21"/>
  <c r="FR10" i="21"/>
  <c r="FQ10" i="21"/>
  <c r="FL10" i="21"/>
  <c r="FK10" i="21"/>
  <c r="FF10" i="21"/>
  <c r="FE10" i="21"/>
  <c r="FA10" i="21"/>
  <c r="EZ10" i="21"/>
  <c r="EY10" i="21"/>
  <c r="EW10" i="21"/>
  <c r="EV10" i="21"/>
  <c r="ES10" i="21"/>
  <c r="EQ10" i="21"/>
  <c r="EP10" i="21"/>
  <c r="EK10" i="21"/>
  <c r="EJ10" i="21"/>
  <c r="EF10" i="21"/>
  <c r="EE10" i="21"/>
  <c r="ED10" i="21"/>
  <c r="EB10" i="21"/>
  <c r="EA10" i="21"/>
  <c r="DV10" i="21"/>
  <c r="DU10" i="21"/>
  <c r="DQ10" i="21"/>
  <c r="DP10" i="21"/>
  <c r="DO10" i="21"/>
  <c r="DK10" i="21"/>
  <c r="DI10" i="21"/>
  <c r="DF10" i="21"/>
  <c r="DB10" i="21"/>
  <c r="CZ10" i="21"/>
  <c r="CW10" i="21"/>
  <c r="CT10" i="21"/>
  <c r="GG9" i="21"/>
  <c r="GA9" i="21"/>
  <c r="FZ9" i="21"/>
  <c r="FV9" i="21"/>
  <c r="GS9" i="21" s="1"/>
  <c r="FU9" i="21"/>
  <c r="FR9" i="21"/>
  <c r="FQ9" i="21"/>
  <c r="FO9" i="21"/>
  <c r="FL9" i="21"/>
  <c r="FK9" i="21"/>
  <c r="FI9" i="21"/>
  <c r="FF9" i="21"/>
  <c r="FE9" i="21"/>
  <c r="FC9" i="21"/>
  <c r="EZ9" i="21"/>
  <c r="EY9" i="21"/>
  <c r="EW9" i="21"/>
  <c r="EV9" i="21"/>
  <c r="ET9" i="21"/>
  <c r="ES9" i="21"/>
  <c r="EQ9" i="21"/>
  <c r="EP9" i="21"/>
  <c r="EN9" i="21"/>
  <c r="EK9" i="21"/>
  <c r="EJ9" i="21"/>
  <c r="EH9" i="21"/>
  <c r="EE9" i="21"/>
  <c r="ED9" i="21"/>
  <c r="EB9" i="21"/>
  <c r="EA9" i="21"/>
  <c r="DY9" i="21"/>
  <c r="DV9" i="21"/>
  <c r="DU9" i="21"/>
  <c r="DS9" i="21"/>
  <c r="DR9" i="21"/>
  <c r="DP9" i="21"/>
  <c r="DO9" i="21"/>
  <c r="DM9" i="21"/>
  <c r="DL9" i="21"/>
  <c r="DJ9" i="21"/>
  <c r="DI9" i="21"/>
  <c r="DG9" i="21"/>
  <c r="DF9" i="21"/>
  <c r="DD9" i="21"/>
  <c r="DC9" i="21"/>
  <c r="DA9" i="21"/>
  <c r="CZ9" i="21"/>
  <c r="CX9" i="21"/>
  <c r="CW9" i="21"/>
  <c r="CU9" i="21"/>
  <c r="CT9" i="21"/>
  <c r="CR9" i="21"/>
  <c r="CQ9" i="21"/>
  <c r="CO9" i="21"/>
  <c r="CN9" i="21"/>
  <c r="CL9" i="21"/>
  <c r="CK9" i="21"/>
  <c r="CI9" i="21"/>
  <c r="CH9" i="21"/>
  <c r="CF9" i="21"/>
  <c r="CE9" i="21"/>
  <c r="CC9" i="21"/>
  <c r="BZ9" i="21"/>
  <c r="BY9" i="21"/>
  <c r="BW9" i="21"/>
  <c r="BT9" i="21"/>
  <c r="BS9" i="21"/>
  <c r="BQ9" i="21"/>
  <c r="BP9" i="21"/>
  <c r="BN9" i="21"/>
  <c r="BM9" i="21"/>
  <c r="BK9" i="21"/>
  <c r="BJ9" i="21"/>
  <c r="BH9" i="21"/>
  <c r="BE9" i="21"/>
  <c r="BD9" i="21"/>
  <c r="BB9" i="21"/>
  <c r="AY9" i="21"/>
  <c r="AX9" i="21"/>
  <c r="AV9" i="21"/>
  <c r="AU9" i="21"/>
  <c r="AS9" i="21"/>
  <c r="AQ9" i="21"/>
  <c r="AM9" i="21"/>
  <c r="AI9" i="21"/>
  <c r="AG9" i="21"/>
  <c r="GE8" i="21"/>
  <c r="FY8" i="21"/>
  <c r="GV8" i="21" s="1"/>
  <c r="FS8" i="21"/>
  <c r="FP8" i="21"/>
  <c r="GM8" i="21" s="1"/>
  <c r="FJ8" i="21"/>
  <c r="FD8" i="21"/>
  <c r="EX8" i="21"/>
  <c r="EU8" i="21"/>
  <c r="ER8" i="21"/>
  <c r="ES8" i="21" s="1"/>
  <c r="EO8" i="21"/>
  <c r="EI8" i="21"/>
  <c r="EC8" i="21"/>
  <c r="DZ8" i="21"/>
  <c r="DT8" i="21"/>
  <c r="DN8" i="21"/>
  <c r="DH8" i="21"/>
  <c r="DE8" i="21"/>
  <c r="CY8" i="21"/>
  <c r="CV8" i="21"/>
  <c r="CS8" i="21"/>
  <c r="CP8" i="21"/>
  <c r="CM8" i="21"/>
  <c r="CJ8" i="21"/>
  <c r="CK8" i="21" s="1"/>
  <c r="CG8" i="21"/>
  <c r="CD8" i="21"/>
  <c r="BX8" i="21"/>
  <c r="BU8" i="21"/>
  <c r="BR8" i="21"/>
  <c r="BO8" i="21"/>
  <c r="BI8" i="21"/>
  <c r="BC8" i="21"/>
  <c r="AW8" i="21"/>
  <c r="AT8" i="21"/>
  <c r="AP8" i="21"/>
  <c r="AL8" i="21"/>
  <c r="AH8" i="21"/>
  <c r="AI8" i="21" s="1"/>
  <c r="AF8" i="21"/>
  <c r="GG7" i="21"/>
  <c r="GA7" i="21"/>
  <c r="FZ7" i="21"/>
  <c r="FV7" i="21"/>
  <c r="GS7" i="21" s="1"/>
  <c r="FU7" i="21"/>
  <c r="FR7" i="21"/>
  <c r="FQ7" i="21"/>
  <c r="FL7" i="21"/>
  <c r="FK7" i="21"/>
  <c r="FF7" i="21"/>
  <c r="FE7" i="21"/>
  <c r="FA7" i="21"/>
  <c r="EZ7" i="21"/>
  <c r="EY7" i="21"/>
  <c r="EW7" i="21"/>
  <c r="EV7" i="21"/>
  <c r="ES7" i="21"/>
  <c r="EQ7" i="21"/>
  <c r="EP7" i="21"/>
  <c r="EK7" i="21"/>
  <c r="EJ7" i="21"/>
  <c r="EF7" i="21"/>
  <c r="EE7" i="21"/>
  <c r="ED7" i="21"/>
  <c r="EB7" i="21"/>
  <c r="EA7" i="21"/>
  <c r="DV7" i="21"/>
  <c r="DU7" i="21"/>
  <c r="DP7" i="21"/>
  <c r="DO7" i="21"/>
  <c r="DK7" i="21"/>
  <c r="DM7" i="21" s="1"/>
  <c r="DJ7" i="21"/>
  <c r="DI7" i="21"/>
  <c r="DG7" i="21"/>
  <c r="DF7" i="21"/>
  <c r="DA7" i="21"/>
  <c r="CZ7" i="21"/>
  <c r="CV7" i="21"/>
  <c r="CU7" i="21"/>
  <c r="CT7" i="21"/>
  <c r="CR7" i="21"/>
  <c r="CQ7" i="21"/>
  <c r="CO7" i="21"/>
  <c r="CN7" i="21"/>
  <c r="CL7" i="21"/>
  <c r="CK7" i="21"/>
  <c r="CH7" i="21"/>
  <c r="CF7" i="21"/>
  <c r="CE7" i="21"/>
  <c r="CA7" i="21"/>
  <c r="BZ7" i="21"/>
  <c r="BY7" i="21"/>
  <c r="BT7" i="21"/>
  <c r="BS7" i="21"/>
  <c r="BQ7" i="21"/>
  <c r="BP7" i="21"/>
  <c r="BK7" i="21"/>
  <c r="BJ7" i="21"/>
  <c r="BE7" i="21"/>
  <c r="BD7" i="21"/>
  <c r="AZ7" i="21"/>
  <c r="AY7" i="21"/>
  <c r="AX7" i="21"/>
  <c r="AV7" i="21"/>
  <c r="AU7" i="21"/>
  <c r="AQ7" i="21"/>
  <c r="AM7" i="21"/>
  <c r="AJ7" i="21"/>
  <c r="AI7" i="21"/>
  <c r="AG7" i="21"/>
  <c r="GG6" i="21"/>
  <c r="GA6" i="21"/>
  <c r="FZ6" i="21"/>
  <c r="FV6" i="21"/>
  <c r="GS6" i="21" s="1"/>
  <c r="FU6" i="21"/>
  <c r="FR6" i="21"/>
  <c r="FQ6" i="21"/>
  <c r="FO6" i="21"/>
  <c r="FL6" i="21"/>
  <c r="FK6" i="21"/>
  <c r="FF6" i="21"/>
  <c r="FE6" i="21"/>
  <c r="FA6" i="21"/>
  <c r="EZ6" i="21"/>
  <c r="EY6" i="21"/>
  <c r="EW6" i="21"/>
  <c r="EV6" i="21"/>
  <c r="ES6" i="21"/>
  <c r="EQ6" i="21"/>
  <c r="EP6" i="21"/>
  <c r="EK6" i="21"/>
  <c r="EJ6" i="21"/>
  <c r="EF6" i="21"/>
  <c r="EE6" i="21"/>
  <c r="ED6" i="21"/>
  <c r="EB6" i="21"/>
  <c r="EA6" i="21"/>
  <c r="DV6" i="21"/>
  <c r="DU6" i="21"/>
  <c r="DP6" i="21"/>
  <c r="DO6" i="21"/>
  <c r="DK6" i="21"/>
  <c r="DJ6" i="21"/>
  <c r="DI6" i="21"/>
  <c r="DG6" i="21"/>
  <c r="DF6" i="21"/>
  <c r="CZ6" i="21"/>
  <c r="CV6" i="21"/>
  <c r="CT6" i="21"/>
  <c r="CP6" i="21"/>
  <c r="CP4" i="21" s="1"/>
  <c r="CN6" i="21"/>
  <c r="CK6" i="21"/>
  <c r="GG5" i="21"/>
  <c r="GA5" i="21"/>
  <c r="FZ5" i="21"/>
  <c r="FV5" i="21"/>
  <c r="GS5" i="21" s="1"/>
  <c r="FU5" i="21"/>
  <c r="FR5" i="21"/>
  <c r="FQ5" i="21"/>
  <c r="FO5" i="21"/>
  <c r="FL5" i="21"/>
  <c r="FK5" i="21"/>
  <c r="FI5" i="21"/>
  <c r="FF5" i="21"/>
  <c r="FE5" i="21"/>
  <c r="FC5" i="21"/>
  <c r="EZ5" i="21"/>
  <c r="EY5" i="21"/>
  <c r="EW5" i="21"/>
  <c r="EV5" i="21"/>
  <c r="ET5" i="21"/>
  <c r="ES5" i="21"/>
  <c r="EQ5" i="21"/>
  <c r="EP5" i="21"/>
  <c r="EN5" i="21"/>
  <c r="EK5" i="21"/>
  <c r="EJ5" i="21"/>
  <c r="EH5" i="21"/>
  <c r="EE5" i="21"/>
  <c r="ED5" i="21"/>
  <c r="EB5" i="21"/>
  <c r="EA5" i="21"/>
  <c r="DY5" i="21"/>
  <c r="DV5" i="21"/>
  <c r="DU5" i="21"/>
  <c r="DS5" i="21"/>
  <c r="DR5" i="21"/>
  <c r="DP5" i="21"/>
  <c r="DO5" i="21"/>
  <c r="DM5" i="21"/>
  <c r="DL5" i="21"/>
  <c r="DJ5" i="21"/>
  <c r="DI5" i="21"/>
  <c r="DG5" i="21"/>
  <c r="DF5" i="21"/>
  <c r="DD5" i="21"/>
  <c r="DC5" i="21"/>
  <c r="DA5" i="21"/>
  <c r="CZ5" i="21"/>
  <c r="CX5" i="21"/>
  <c r="CW5" i="21"/>
  <c r="CU5" i="21"/>
  <c r="CT5" i="21"/>
  <c r="CR5" i="21"/>
  <c r="CQ5" i="21"/>
  <c r="CO5" i="21"/>
  <c r="CN5" i="21"/>
  <c r="CL5" i="21"/>
  <c r="CK5" i="21"/>
  <c r="CI5" i="21"/>
  <c r="CH5" i="21"/>
  <c r="CF5" i="21"/>
  <c r="CE5" i="21"/>
  <c r="CC5" i="21"/>
  <c r="BZ5" i="21"/>
  <c r="BY5" i="21"/>
  <c r="BW5" i="21"/>
  <c r="BT5" i="21"/>
  <c r="BS5" i="21"/>
  <c r="BQ5" i="21"/>
  <c r="BP5" i="21"/>
  <c r="BN5" i="21"/>
  <c r="BM5" i="21"/>
  <c r="BK5" i="21"/>
  <c r="BJ5" i="21"/>
  <c r="BH5" i="21"/>
  <c r="BE5" i="21"/>
  <c r="BD5" i="21"/>
  <c r="BB5" i="21"/>
  <c r="AY5" i="21"/>
  <c r="AX5" i="21"/>
  <c r="AV5" i="21"/>
  <c r="AU5" i="21"/>
  <c r="AS5" i="21"/>
  <c r="AQ5" i="21"/>
  <c r="AM5" i="21"/>
  <c r="AI5" i="21"/>
  <c r="AG5" i="21"/>
  <c r="GE4" i="21"/>
  <c r="FY4" i="21"/>
  <c r="FS4" i="21"/>
  <c r="GP4" i="21" s="1"/>
  <c r="FP4" i="21"/>
  <c r="GM4" i="21" s="1"/>
  <c r="FJ4" i="21"/>
  <c r="FD4" i="21"/>
  <c r="FE4" i="21" s="1"/>
  <c r="EX4" i="21"/>
  <c r="EY4" i="21" s="1"/>
  <c r="EU4" i="21"/>
  <c r="ER4" i="21"/>
  <c r="EO4" i="21"/>
  <c r="EI4" i="21"/>
  <c r="EJ4" i="21" s="1"/>
  <c r="EC4" i="21"/>
  <c r="DZ4" i="21"/>
  <c r="EA4" i="21" s="1"/>
  <c r="DT4" i="21"/>
  <c r="DN4" i="21"/>
  <c r="DO4" i="21" s="1"/>
  <c r="DH4" i="21"/>
  <c r="DE4" i="21"/>
  <c r="CY4" i="21"/>
  <c r="CS4" i="21"/>
  <c r="CT4" i="21" s="1"/>
  <c r="CM4" i="21"/>
  <c r="CJ4" i="21"/>
  <c r="CG4" i="21"/>
  <c r="CH4" i="21" s="1"/>
  <c r="CD4" i="21"/>
  <c r="CE4" i="21" s="1"/>
  <c r="BX4" i="21"/>
  <c r="BU4" i="21"/>
  <c r="BR4" i="21"/>
  <c r="BS4" i="21" s="1"/>
  <c r="BO4" i="21"/>
  <c r="BI4" i="21"/>
  <c r="BC4" i="21"/>
  <c r="AW4" i="21"/>
  <c r="AX4" i="21" s="1"/>
  <c r="AT4" i="21"/>
  <c r="AU4" i="21" s="1"/>
  <c r="AP4" i="21"/>
  <c r="AQ4" i="21" s="1"/>
  <c r="AL4" i="21"/>
  <c r="AH4" i="21"/>
  <c r="AF4" i="21"/>
  <c r="GE16" i="21"/>
  <c r="FV16" i="21"/>
  <c r="FA16" i="21"/>
  <c r="EF16" i="21"/>
  <c r="EG9" i="21" s="1"/>
  <c r="DW16" i="21"/>
  <c r="DX9" i="21" s="1"/>
  <c r="BU16" i="21"/>
  <c r="AZ16" i="21"/>
  <c r="AJ16" i="21"/>
  <c r="AK9" i="21" s="1"/>
  <c r="EH28" i="15"/>
  <c r="EE28" i="15"/>
  <c r="EB28" i="15"/>
  <c r="DY28" i="15"/>
  <c r="DV28" i="15"/>
  <c r="DS28" i="15"/>
  <c r="DP28" i="15"/>
  <c r="DM28" i="15"/>
  <c r="DJ28" i="15"/>
  <c r="DG28" i="15"/>
  <c r="DD28" i="15"/>
  <c r="DA28" i="15"/>
  <c r="CX28" i="15"/>
  <c r="CU28" i="15"/>
  <c r="CK28" i="15"/>
  <c r="EB4" i="21" l="1"/>
  <c r="CR28" i="21"/>
  <c r="BN28" i="21"/>
  <c r="GF11" i="21"/>
  <c r="GF7" i="21"/>
  <c r="GF10" i="21"/>
  <c r="GF6" i="21"/>
  <c r="GF9" i="21"/>
  <c r="GF5" i="21"/>
  <c r="GF12" i="21"/>
  <c r="GF8" i="21"/>
  <c r="HB8" i="21"/>
  <c r="HB4" i="21"/>
  <c r="GF4" i="21"/>
  <c r="FT8" i="21"/>
  <c r="GP8" i="21"/>
  <c r="FZ4" i="21"/>
  <c r="GV4" i="21"/>
  <c r="GB11" i="21"/>
  <c r="GY11" i="21" s="1"/>
  <c r="CC26" i="21"/>
  <c r="FI26" i="21"/>
  <c r="GD26" i="21"/>
  <c r="GY26" i="21"/>
  <c r="DB8" i="21"/>
  <c r="DD8" i="21" s="1"/>
  <c r="BW29" i="21"/>
  <c r="FU4" i="21"/>
  <c r="FT4" i="21"/>
  <c r="DE33" i="21"/>
  <c r="AH13" i="21"/>
  <c r="AK7" i="21"/>
  <c r="EL16" i="21"/>
  <c r="EM5" i="21" s="1"/>
  <c r="EG5" i="21"/>
  <c r="BZ8" i="21"/>
  <c r="EH11" i="21"/>
  <c r="FB12" i="21"/>
  <c r="CX11" i="21"/>
  <c r="DC11" i="21"/>
  <c r="DS11" i="21"/>
  <c r="CO4" i="21"/>
  <c r="BY8" i="21"/>
  <c r="EK8" i="21"/>
  <c r="ET29" i="21"/>
  <c r="BO13" i="21"/>
  <c r="FD13" i="21"/>
  <c r="FC12" i="21"/>
  <c r="AD21" i="21"/>
  <c r="CX21" i="21"/>
  <c r="BB22" i="21"/>
  <c r="DM27" i="21"/>
  <c r="FI27" i="21"/>
  <c r="BB28" i="21"/>
  <c r="BW28" i="21"/>
  <c r="CI28" i="21"/>
  <c r="DS28" i="21"/>
  <c r="FC28" i="21"/>
  <c r="CR29" i="21"/>
  <c r="EN29" i="21"/>
  <c r="FX29" i="21"/>
  <c r="BW7" i="21"/>
  <c r="AZ4" i="21"/>
  <c r="EX13" i="21"/>
  <c r="DM6" i="21"/>
  <c r="AY8" i="21"/>
  <c r="EY8" i="21"/>
  <c r="BE34" i="21"/>
  <c r="DY27" i="21"/>
  <c r="FW6" i="21"/>
  <c r="EL10" i="21"/>
  <c r="EN10" i="21" s="1"/>
  <c r="EN12" i="21"/>
  <c r="CR22" i="21"/>
  <c r="FX27" i="21"/>
  <c r="GJ27" i="21"/>
  <c r="GJ29" i="21"/>
  <c r="AN16" i="21"/>
  <c r="AO5" i="21" s="1"/>
  <c r="BC13" i="21"/>
  <c r="DA4" i="21"/>
  <c r="EW4" i="21"/>
  <c r="AK5" i="21"/>
  <c r="EG10" i="21"/>
  <c r="DR11" i="21"/>
  <c r="DR12" i="21"/>
  <c r="BH26" i="21"/>
  <c r="BB26" i="21"/>
  <c r="CX26" i="21"/>
  <c r="EH26" i="21"/>
  <c r="CC28" i="21"/>
  <c r="FI28" i="21"/>
  <c r="BN29" i="21"/>
  <c r="FC29" i="21"/>
  <c r="FO29" i="21"/>
  <c r="AG4" i="21"/>
  <c r="AF13" i="21"/>
  <c r="ED4" i="21"/>
  <c r="EZ4" i="21"/>
  <c r="DB6" i="21"/>
  <c r="DC6" i="21" s="1"/>
  <c r="CW6" i="21"/>
  <c r="FW7" i="21"/>
  <c r="GB7" i="21"/>
  <c r="DI8" i="21"/>
  <c r="BL11" i="21"/>
  <c r="CI11" i="21" s="1"/>
  <c r="BF34" i="21"/>
  <c r="BF16" i="21"/>
  <c r="BG11" i="21" s="1"/>
  <c r="BA9" i="21"/>
  <c r="CW8" i="21"/>
  <c r="CX8" i="21"/>
  <c r="DU8" i="21"/>
  <c r="DV8" i="21"/>
  <c r="DT13" i="21"/>
  <c r="FW11" i="21"/>
  <c r="EC13" i="21"/>
  <c r="FL4" i="21"/>
  <c r="FK4" i="21"/>
  <c r="BF8" i="21"/>
  <c r="AJ34" i="21"/>
  <c r="AN11" i="21"/>
  <c r="AR11" i="21" s="1"/>
  <c r="AR8" i="21" s="1"/>
  <c r="AL13" i="21"/>
  <c r="AM4" i="21"/>
  <c r="EH6" i="21"/>
  <c r="EF4" i="21"/>
  <c r="EG4" i="21" s="1"/>
  <c r="DM29" i="21"/>
  <c r="CA16" i="21"/>
  <c r="CB5" i="21" s="1"/>
  <c r="BV12" i="21"/>
  <c r="BZ4" i="21"/>
  <c r="BV5" i="21"/>
  <c r="BJ8" i="21"/>
  <c r="EO13" i="21"/>
  <c r="EP8" i="21"/>
  <c r="EQ8" i="21"/>
  <c r="FQ8" i="21"/>
  <c r="FR8" i="21"/>
  <c r="DW10" i="21"/>
  <c r="ET10" i="21" s="1"/>
  <c r="DR10" i="21"/>
  <c r="DS10" i="21"/>
  <c r="FC10" i="21"/>
  <c r="FG10" i="21"/>
  <c r="FM10" i="21" s="1"/>
  <c r="FG12" i="21"/>
  <c r="FM12" i="21" s="1"/>
  <c r="DM28" i="21"/>
  <c r="FG16" i="21"/>
  <c r="FM16" i="21" s="1"/>
  <c r="FN6" i="21" s="1"/>
  <c r="AI4" i="21"/>
  <c r="BD4" i="21"/>
  <c r="BT4" i="21"/>
  <c r="EK4" i="21"/>
  <c r="EV4" i="21"/>
  <c r="GG4" i="21"/>
  <c r="FB5" i="21"/>
  <c r="CQ4" i="21"/>
  <c r="CR4" i="21"/>
  <c r="BV7" i="21"/>
  <c r="BE8" i="21"/>
  <c r="DN13" i="21"/>
  <c r="EE8" i="21"/>
  <c r="FS13" i="21"/>
  <c r="GP13" i="21" s="1"/>
  <c r="FB9" i="21"/>
  <c r="DL10" i="21"/>
  <c r="DK8" i="21"/>
  <c r="EH10" i="21"/>
  <c r="FB10" i="21"/>
  <c r="EG12" i="21"/>
  <c r="DD26" i="21"/>
  <c r="FO27" i="21"/>
  <c r="GD27" i="21"/>
  <c r="DD28" i="21"/>
  <c r="AV34" i="21"/>
  <c r="AJ4" i="21"/>
  <c r="AK4" i="21" s="1"/>
  <c r="AY4" i="21"/>
  <c r="BE4" i="21"/>
  <c r="EP4" i="21"/>
  <c r="EQ4" i="21"/>
  <c r="AN7" i="21"/>
  <c r="AG8" i="21"/>
  <c r="DG8" i="21"/>
  <c r="DQ8" i="21"/>
  <c r="FE8" i="21"/>
  <c r="FF8" i="21"/>
  <c r="DC10" i="21"/>
  <c r="DL11" i="21"/>
  <c r="DM11" i="21"/>
  <c r="CI26" i="21"/>
  <c r="DS26" i="21"/>
  <c r="EN26" i="21"/>
  <c r="FX12" i="21"/>
  <c r="BH22" i="21"/>
  <c r="DY26" i="21"/>
  <c r="FO26" i="21"/>
  <c r="GJ26" i="21"/>
  <c r="BH28" i="21"/>
  <c r="GD28" i="21"/>
  <c r="BH29" i="21"/>
  <c r="CX29" i="21"/>
  <c r="CF8" i="21"/>
  <c r="CC22" i="21"/>
  <c r="DS27" i="21"/>
  <c r="CI29" i="21"/>
  <c r="FI29" i="21"/>
  <c r="AY34" i="21"/>
  <c r="CF34" i="21"/>
  <c r="CU34" i="21"/>
  <c r="BI13" i="21"/>
  <c r="BJ4" i="21"/>
  <c r="DJ4" i="21"/>
  <c r="DX5" i="21"/>
  <c r="EL6" i="21"/>
  <c r="DQ7" i="21"/>
  <c r="FG7" i="21"/>
  <c r="FB7" i="21"/>
  <c r="AV8" i="21"/>
  <c r="BP8" i="21"/>
  <c r="CM13" i="21"/>
  <c r="CN8" i="21"/>
  <c r="EB8" i="21"/>
  <c r="ET11" i="21"/>
  <c r="DY11" i="21"/>
  <c r="FG11" i="21"/>
  <c r="AT13" i="21"/>
  <c r="BN22" i="21"/>
  <c r="BK4" i="21"/>
  <c r="BP4" i="21"/>
  <c r="BY4" i="21"/>
  <c r="CD13" i="21"/>
  <c r="CN4" i="21"/>
  <c r="DI4" i="21"/>
  <c r="FA4" i="21"/>
  <c r="FP13" i="21"/>
  <c r="FR4" i="21"/>
  <c r="GA4" i="21"/>
  <c r="EG6" i="21"/>
  <c r="BA7" i="21"/>
  <c r="DL7" i="21"/>
  <c r="FC7" i="21"/>
  <c r="FX7" i="21"/>
  <c r="AU8" i="21"/>
  <c r="BK8" i="21"/>
  <c r="BQ8" i="21"/>
  <c r="BV8" i="21"/>
  <c r="CE8" i="21"/>
  <c r="CO8" i="21"/>
  <c r="CT8" i="21"/>
  <c r="EA8" i="21"/>
  <c r="EV8" i="21"/>
  <c r="FA8" i="21"/>
  <c r="FL8" i="21"/>
  <c r="FW9" i="21"/>
  <c r="GB9" i="21"/>
  <c r="GY9" i="21" s="1"/>
  <c r="FW10" i="21"/>
  <c r="GB10" i="21"/>
  <c r="GY10" i="21" s="1"/>
  <c r="DX11" i="21"/>
  <c r="FB11" i="21"/>
  <c r="FX11" i="21"/>
  <c r="BA12" i="21"/>
  <c r="DB12" i="21"/>
  <c r="DY12" i="21" s="1"/>
  <c r="CW12" i="21"/>
  <c r="CX12" i="21"/>
  <c r="FW12" i="21"/>
  <c r="GB12" i="21"/>
  <c r="GY12" i="21" s="1"/>
  <c r="BX13" i="21"/>
  <c r="CS13" i="21"/>
  <c r="DH13" i="21"/>
  <c r="ER13" i="21"/>
  <c r="CI22" i="21"/>
  <c r="BW26" i="21"/>
  <c r="CR26" i="21"/>
  <c r="DD29" i="21"/>
  <c r="GD29" i="21"/>
  <c r="AV4" i="21"/>
  <c r="BQ4" i="21"/>
  <c r="BV4" i="21"/>
  <c r="CA4" i="21"/>
  <c r="CJ13" i="21"/>
  <c r="CL4" i="21"/>
  <c r="CU4" i="21"/>
  <c r="CZ4" i="21"/>
  <c r="DE13" i="21"/>
  <c r="DF4" i="21"/>
  <c r="DK4" i="21"/>
  <c r="DV4" i="21"/>
  <c r="ES4" i="21"/>
  <c r="FQ4" i="21"/>
  <c r="BA5" i="21"/>
  <c r="GB5" i="21"/>
  <c r="GY5" i="21" s="1"/>
  <c r="FW5" i="21"/>
  <c r="FV4" i="21"/>
  <c r="GS4" i="21" s="1"/>
  <c r="DL6" i="21"/>
  <c r="DQ6" i="21"/>
  <c r="FC6" i="21"/>
  <c r="FG6" i="21"/>
  <c r="CX7" i="21"/>
  <c r="DB7" i="21"/>
  <c r="EL7" i="21"/>
  <c r="EG7" i="21"/>
  <c r="AQ8" i="21"/>
  <c r="BT8" i="21"/>
  <c r="CR8" i="21"/>
  <c r="CU8" i="21"/>
  <c r="CY13" i="21"/>
  <c r="CZ8" i="21"/>
  <c r="DP8" i="21"/>
  <c r="EW8" i="21"/>
  <c r="FK8" i="21"/>
  <c r="FU8" i="21"/>
  <c r="FZ8" i="21"/>
  <c r="BV9" i="21"/>
  <c r="FX9" i="21"/>
  <c r="FX10" i="21"/>
  <c r="AZ34" i="21"/>
  <c r="BA11" i="21"/>
  <c r="AZ8" i="21"/>
  <c r="BW8" i="21" s="1"/>
  <c r="BV11" i="21"/>
  <c r="CC11" i="21"/>
  <c r="CA34" i="21"/>
  <c r="EF8" i="21"/>
  <c r="FC11" i="21"/>
  <c r="DM12" i="21"/>
  <c r="ET12" i="21"/>
  <c r="EH12" i="21"/>
  <c r="AP13" i="21"/>
  <c r="AW13" i="21"/>
  <c r="BR13" i="21"/>
  <c r="CR21" i="21"/>
  <c r="FC26" i="21"/>
  <c r="FX26" i="21"/>
  <c r="EH27" i="21"/>
  <c r="DY28" i="21"/>
  <c r="EH28" i="21"/>
  <c r="FX28" i="21"/>
  <c r="DY29" i="21"/>
  <c r="EH29" i="21"/>
  <c r="CF4" i="21"/>
  <c r="CK4" i="21"/>
  <c r="CV4" i="21"/>
  <c r="DG4" i="21"/>
  <c r="DP4" i="21"/>
  <c r="DU4" i="21"/>
  <c r="DZ13" i="21"/>
  <c r="EE4" i="21"/>
  <c r="EU13" i="21"/>
  <c r="FF4" i="21"/>
  <c r="FX5" i="21"/>
  <c r="CQ6" i="21"/>
  <c r="FB6" i="21"/>
  <c r="FX6" i="21"/>
  <c r="GB6" i="21"/>
  <c r="GY6" i="21" s="1"/>
  <c r="CW7" i="21"/>
  <c r="EH7" i="21"/>
  <c r="AM8" i="21"/>
  <c r="AX8" i="21"/>
  <c r="BD8" i="21"/>
  <c r="BS8" i="21"/>
  <c r="CH8" i="21"/>
  <c r="CL8" i="21"/>
  <c r="CQ8" i="21"/>
  <c r="DA8" i="21"/>
  <c r="DF8" i="21"/>
  <c r="DJ8" i="21"/>
  <c r="DO8" i="21"/>
  <c r="ED8" i="21"/>
  <c r="EI13" i="21"/>
  <c r="EJ8" i="21"/>
  <c r="EZ8" i="21"/>
  <c r="FV8" i="21"/>
  <c r="GS8" i="21" s="1"/>
  <c r="GA8" i="21"/>
  <c r="GG8" i="21"/>
  <c r="AK11" i="21"/>
  <c r="AJ8" i="21"/>
  <c r="BW11" i="21"/>
  <c r="EG11" i="21"/>
  <c r="EL11" i="21"/>
  <c r="AK12" i="21"/>
  <c r="CG12" i="21"/>
  <c r="DS12" i="21"/>
  <c r="DX12" i="21"/>
  <c r="BU13" i="21"/>
  <c r="CP13" i="21"/>
  <c r="FY13" i="21"/>
  <c r="GV13" i="21" s="1"/>
  <c r="BU34" i="21"/>
  <c r="BW22" i="21"/>
  <c r="ET27" i="21"/>
  <c r="FC27" i="21"/>
  <c r="ET28" i="21"/>
  <c r="BB29" i="21"/>
  <c r="BQ34" i="21"/>
  <c r="CV34" i="21"/>
  <c r="CX22" i="21"/>
  <c r="BN26" i="21"/>
  <c r="ET26" i="21"/>
  <c r="EN27" i="21"/>
  <c r="EN28" i="21"/>
  <c r="DS29" i="21"/>
  <c r="BT34" i="21"/>
  <c r="CL34" i="21"/>
  <c r="BF7" i="21"/>
  <c r="BW12" i="21"/>
  <c r="BB12" i="21"/>
  <c r="BF12" i="21"/>
  <c r="DM26" i="21"/>
  <c r="CX28" i="21"/>
  <c r="CC29" i="21"/>
  <c r="CO34" i="21"/>
  <c r="BZ34" i="21"/>
  <c r="FH9" i="21" l="1"/>
  <c r="FN9" i="21"/>
  <c r="FH5" i="21"/>
  <c r="BW34" i="21"/>
  <c r="AO7" i="21"/>
  <c r="AN8" i="21"/>
  <c r="AO8" i="21" s="1"/>
  <c r="AR34" i="21"/>
  <c r="GD11" i="21"/>
  <c r="HB13" i="21"/>
  <c r="GF13" i="21"/>
  <c r="GH11" i="21"/>
  <c r="HE11" i="21" s="1"/>
  <c r="GC11" i="21"/>
  <c r="DC8" i="21"/>
  <c r="GM13" i="21"/>
  <c r="GC7" i="21"/>
  <c r="GY7" i="21"/>
  <c r="BP13" i="21"/>
  <c r="AI13" i="21"/>
  <c r="AM13" i="21"/>
  <c r="DU13" i="21"/>
  <c r="AJ13" i="21"/>
  <c r="BD13" i="21"/>
  <c r="EY13" i="21"/>
  <c r="AQ13" i="21"/>
  <c r="AS11" i="21"/>
  <c r="DO13" i="21"/>
  <c r="EP13" i="21"/>
  <c r="EE13" i="21"/>
  <c r="BB4" i="21"/>
  <c r="FE13" i="21"/>
  <c r="FT13" i="21"/>
  <c r="EM12" i="21"/>
  <c r="EM9" i="21"/>
  <c r="AO11" i="21"/>
  <c r="AO9" i="21"/>
  <c r="CB12" i="21"/>
  <c r="FI12" i="21"/>
  <c r="BE13" i="21"/>
  <c r="AN4" i="21"/>
  <c r="AO4" i="21" s="1"/>
  <c r="EQ13" i="21"/>
  <c r="DB4" i="21"/>
  <c r="DB13" i="21" s="1"/>
  <c r="CB11" i="21"/>
  <c r="ED13" i="21"/>
  <c r="CC34" i="21"/>
  <c r="CB8" i="21"/>
  <c r="CB7" i="21"/>
  <c r="CB9" i="21"/>
  <c r="BW4" i="21"/>
  <c r="EM10" i="21"/>
  <c r="AR7" i="21"/>
  <c r="AS7" i="21" s="1"/>
  <c r="AG13" i="21"/>
  <c r="DL8" i="21"/>
  <c r="FU13" i="21"/>
  <c r="CR34" i="21"/>
  <c r="CC8" i="21"/>
  <c r="DX10" i="21"/>
  <c r="DW8" i="21"/>
  <c r="DX8" i="21" s="1"/>
  <c r="BA4" i="21"/>
  <c r="DY10" i="21"/>
  <c r="DS8" i="21"/>
  <c r="AO12" i="21"/>
  <c r="AN34" i="21"/>
  <c r="BH34" i="21" s="1"/>
  <c r="DM8" i="21"/>
  <c r="FH12" i="21"/>
  <c r="BL8" i="21"/>
  <c r="CI8" i="21" s="1"/>
  <c r="FN5" i="21"/>
  <c r="EZ13" i="21"/>
  <c r="DP13" i="21"/>
  <c r="FL13" i="21"/>
  <c r="BM11" i="21"/>
  <c r="FG8" i="21"/>
  <c r="BL34" i="21"/>
  <c r="BB34" i="21"/>
  <c r="FH10" i="21"/>
  <c r="BN11" i="21"/>
  <c r="DR8" i="21"/>
  <c r="BG5" i="21"/>
  <c r="BG9" i="21"/>
  <c r="FI10" i="21"/>
  <c r="BG8" i="21"/>
  <c r="CQ13" i="21"/>
  <c r="CR13" i="21"/>
  <c r="FX8" i="21"/>
  <c r="FW8" i="21"/>
  <c r="EA13" i="21"/>
  <c r="EF13" i="21"/>
  <c r="EB13" i="21"/>
  <c r="CX4" i="21"/>
  <c r="CW4" i="21"/>
  <c r="BS13" i="21"/>
  <c r="BT13" i="21"/>
  <c r="FO10" i="21"/>
  <c r="FN10" i="21"/>
  <c r="CZ13" i="21"/>
  <c r="DA13" i="21"/>
  <c r="DL4" i="21"/>
  <c r="DM4" i="21"/>
  <c r="BY13" i="21"/>
  <c r="BZ13" i="21"/>
  <c r="FR13" i="21"/>
  <c r="FQ13" i="21"/>
  <c r="FV13" i="21"/>
  <c r="GS13" i="21" s="1"/>
  <c r="CO13" i="21"/>
  <c r="CN13" i="21"/>
  <c r="FI7" i="21"/>
  <c r="FM7" i="21"/>
  <c r="FH7" i="21"/>
  <c r="EM6" i="21"/>
  <c r="EL4" i="21"/>
  <c r="EN6" i="21"/>
  <c r="BL12" i="21"/>
  <c r="BG12" i="21"/>
  <c r="CC12" i="21"/>
  <c r="BH12" i="21"/>
  <c r="BL7" i="21"/>
  <c r="BF4" i="21"/>
  <c r="BG7" i="21"/>
  <c r="CA13" i="21"/>
  <c r="BV13" i="21"/>
  <c r="EK13" i="21"/>
  <c r="EJ13" i="21"/>
  <c r="DS6" i="21"/>
  <c r="DR6" i="21"/>
  <c r="DW6" i="21"/>
  <c r="DQ4" i="21"/>
  <c r="GD5" i="21"/>
  <c r="GH5" i="21"/>
  <c r="HE5" i="21" s="1"/>
  <c r="GC5" i="21"/>
  <c r="GB4" i="21"/>
  <c r="GY4" i="21" s="1"/>
  <c r="ES13" i="21"/>
  <c r="GD9" i="21"/>
  <c r="GB8" i="21"/>
  <c r="GY8" i="21" s="1"/>
  <c r="GC9" i="21"/>
  <c r="FB4" i="21"/>
  <c r="FC4" i="21"/>
  <c r="FF13" i="21"/>
  <c r="DW7" i="21"/>
  <c r="DR7" i="21"/>
  <c r="DS7" i="21"/>
  <c r="BK13" i="21"/>
  <c r="BJ13" i="21"/>
  <c r="GD7" i="21"/>
  <c r="CX34" i="21"/>
  <c r="GG13" i="21"/>
  <c r="FO12" i="21"/>
  <c r="FN12" i="21"/>
  <c r="EN11" i="21"/>
  <c r="EL8" i="21"/>
  <c r="EM11" i="21"/>
  <c r="AK8" i="21"/>
  <c r="GH6" i="21"/>
  <c r="HE6" i="21" s="1"/>
  <c r="GC6" i="21"/>
  <c r="GD6" i="21"/>
  <c r="FA13" i="21"/>
  <c r="EV13" i="21"/>
  <c r="EW13" i="21"/>
  <c r="AY13" i="21"/>
  <c r="AX13" i="21"/>
  <c r="EH8" i="21"/>
  <c r="EG8" i="21"/>
  <c r="EN7" i="21"/>
  <c r="EM7" i="21"/>
  <c r="DG13" i="21"/>
  <c r="DF13" i="21"/>
  <c r="CL13" i="21"/>
  <c r="CK13" i="21"/>
  <c r="DK13" i="21"/>
  <c r="DJ13" i="21"/>
  <c r="DI13" i="21"/>
  <c r="GD12" i="21"/>
  <c r="GC12" i="21"/>
  <c r="GH12" i="21"/>
  <c r="HE12" i="21" s="1"/>
  <c r="DD12" i="21"/>
  <c r="DC12" i="21"/>
  <c r="GD10" i="21"/>
  <c r="GC10" i="21"/>
  <c r="GH10" i="21"/>
  <c r="HE10" i="21" s="1"/>
  <c r="FC8" i="21"/>
  <c r="FB8" i="21"/>
  <c r="CC7" i="21"/>
  <c r="AU13" i="21"/>
  <c r="AZ13" i="21"/>
  <c r="AV13" i="21"/>
  <c r="FI11" i="21"/>
  <c r="FM11" i="21"/>
  <c r="FH11" i="21"/>
  <c r="AS8" i="21"/>
  <c r="EH4" i="21"/>
  <c r="BQ13" i="21"/>
  <c r="GA13" i="21"/>
  <c r="FZ13" i="21"/>
  <c r="CH12" i="21"/>
  <c r="CV13" i="21"/>
  <c r="BB8" i="21"/>
  <c r="BA8" i="21"/>
  <c r="DC7" i="21"/>
  <c r="DD7" i="21"/>
  <c r="FH6" i="21"/>
  <c r="FI6" i="21"/>
  <c r="FG4" i="21"/>
  <c r="FX4" i="21"/>
  <c r="FW4" i="21"/>
  <c r="CB4" i="21"/>
  <c r="DV13" i="21"/>
  <c r="CU13" i="21"/>
  <c r="CT13" i="21"/>
  <c r="CE13" i="21"/>
  <c r="CF13" i="21"/>
  <c r="CJ21" i="15"/>
  <c r="CJ47" i="15"/>
  <c r="DC4" i="21" l="1"/>
  <c r="BH8" i="21"/>
  <c r="BN34" i="21"/>
  <c r="BM8" i="21"/>
  <c r="DD4" i="21"/>
  <c r="AR4" i="21"/>
  <c r="AR13" i="21" s="1"/>
  <c r="AN13" i="21"/>
  <c r="AK13" i="21"/>
  <c r="GJ7" i="21"/>
  <c r="ET8" i="21"/>
  <c r="FI8" i="21"/>
  <c r="BN8" i="21"/>
  <c r="DY8" i="21"/>
  <c r="FH8" i="21"/>
  <c r="CI34" i="21"/>
  <c r="CW13" i="21"/>
  <c r="CX13" i="21"/>
  <c r="FO11" i="21"/>
  <c r="FN11" i="21"/>
  <c r="BF13" i="21"/>
  <c r="CC13" i="21" s="1"/>
  <c r="BB13" i="21"/>
  <c r="BA13" i="21"/>
  <c r="FG13" i="21"/>
  <c r="FC13" i="21"/>
  <c r="FB13" i="21"/>
  <c r="GD8" i="21"/>
  <c r="GC8" i="21"/>
  <c r="BH4" i="21"/>
  <c r="BG4" i="21"/>
  <c r="EN4" i="21"/>
  <c r="EM4" i="21"/>
  <c r="GB13" i="21"/>
  <c r="FX13" i="21"/>
  <c r="FW13" i="21"/>
  <c r="GJ12" i="21"/>
  <c r="GJ9" i="21"/>
  <c r="GH8" i="21"/>
  <c r="HE8" i="21" s="1"/>
  <c r="GD4" i="21"/>
  <c r="GC4" i="21"/>
  <c r="DR4" i="21"/>
  <c r="DS4" i="21"/>
  <c r="DQ13" i="21"/>
  <c r="BW13" i="21"/>
  <c r="BM7" i="21"/>
  <c r="BL4" i="21"/>
  <c r="CI7" i="21"/>
  <c r="BN7" i="21"/>
  <c r="BM12" i="21"/>
  <c r="BN12" i="21"/>
  <c r="CC4" i="21"/>
  <c r="FI4" i="21"/>
  <c r="FH4" i="21"/>
  <c r="CI12" i="21"/>
  <c r="GJ10" i="21"/>
  <c r="DL13" i="21"/>
  <c r="DM13" i="21"/>
  <c r="DX6" i="21"/>
  <c r="DY6" i="21"/>
  <c r="ET6" i="21"/>
  <c r="DW4" i="21"/>
  <c r="CB13" i="21"/>
  <c r="CG13" i="21"/>
  <c r="FM8" i="21"/>
  <c r="EG13" i="21"/>
  <c r="EL13" i="21"/>
  <c r="EH13" i="21"/>
  <c r="DC13" i="21"/>
  <c r="GJ6" i="21"/>
  <c r="EN8" i="21"/>
  <c r="EM8" i="21"/>
  <c r="ET7" i="21"/>
  <c r="DY7" i="21"/>
  <c r="DX7" i="21"/>
  <c r="GH4" i="21"/>
  <c r="HE4" i="21" s="1"/>
  <c r="GJ5" i="21"/>
  <c r="GJ11" i="21"/>
  <c r="FM4" i="21"/>
  <c r="FO7" i="21"/>
  <c r="FN7" i="21"/>
  <c r="AS4" i="21" l="1"/>
  <c r="AO13" i="21"/>
  <c r="DD13" i="21"/>
  <c r="AS13" i="21"/>
  <c r="GY13" i="21"/>
  <c r="FI13" i="21"/>
  <c r="FH13" i="21"/>
  <c r="FO8" i="21"/>
  <c r="FN8" i="21"/>
  <c r="BN4" i="21"/>
  <c r="BM4" i="21"/>
  <c r="BL13" i="21"/>
  <c r="CI4" i="21"/>
  <c r="GC13" i="21"/>
  <c r="GD13" i="21"/>
  <c r="FM13" i="21"/>
  <c r="FN4" i="21"/>
  <c r="FO4" i="21"/>
  <c r="GJ4" i="21"/>
  <c r="DW13" i="21"/>
  <c r="DY4" i="21"/>
  <c r="DX4" i="21"/>
  <c r="ET4" i="21"/>
  <c r="DS13" i="21"/>
  <c r="DR13" i="21"/>
  <c r="EM13" i="21"/>
  <c r="EN13" i="21"/>
  <c r="CH13" i="21"/>
  <c r="GJ8" i="21"/>
  <c r="BG13" i="21"/>
  <c r="BH13" i="21"/>
  <c r="BF5" i="15"/>
  <c r="BC5" i="15"/>
  <c r="AZ5" i="15"/>
  <c r="AT5" i="15"/>
  <c r="AQ5" i="15"/>
  <c r="AN5" i="15"/>
  <c r="AK5" i="15"/>
  <c r="AH5" i="15"/>
  <c r="AE5" i="15"/>
  <c r="AB5" i="15"/>
  <c r="Y5" i="15"/>
  <c r="V5" i="15"/>
  <c r="S5" i="15"/>
  <c r="P5" i="15"/>
  <c r="M5" i="15"/>
  <c r="J5" i="15"/>
  <c r="G5" i="15"/>
  <c r="D5" i="15"/>
  <c r="EH47" i="15"/>
  <c r="EE47" i="15"/>
  <c r="EB47" i="15"/>
  <c r="DY47" i="15"/>
  <c r="DV47" i="15"/>
  <c r="DS47" i="15"/>
  <c r="DP47" i="15"/>
  <c r="DM47" i="15"/>
  <c r="DJ47" i="15"/>
  <c r="DG47" i="15"/>
  <c r="DD47" i="15"/>
  <c r="DA47" i="15"/>
  <c r="CX47" i="15"/>
  <c r="CU47" i="15"/>
  <c r="CR47" i="15"/>
  <c r="CO47" i="15"/>
  <c r="CL47" i="15"/>
  <c r="CI47" i="15"/>
  <c r="X20" i="21" l="1"/>
  <c r="AH49" i="15"/>
  <c r="AK49" i="15"/>
  <c r="AB20" i="21"/>
  <c r="T20" i="21"/>
  <c r="AE49" i="15"/>
  <c r="AQ49" i="15"/>
  <c r="AH20" i="21"/>
  <c r="BF49" i="15"/>
  <c r="BC20" i="21"/>
  <c r="J20" i="21"/>
  <c r="V49" i="15"/>
  <c r="AL20" i="21"/>
  <c r="AT49" i="15"/>
  <c r="N20" i="21"/>
  <c r="Y49" i="15"/>
  <c r="AT20" i="21"/>
  <c r="AZ49" i="15"/>
  <c r="R20" i="21"/>
  <c r="R23" i="21" s="1"/>
  <c r="AB49" i="15"/>
  <c r="AF20" i="21"/>
  <c r="AN49" i="15"/>
  <c r="AW20" i="21"/>
  <c r="BC49" i="15"/>
  <c r="FO13" i="21"/>
  <c r="FN13" i="21"/>
  <c r="BN13" i="21"/>
  <c r="BM13" i="21"/>
  <c r="CI13" i="21"/>
  <c r="DY13" i="21"/>
  <c r="DX13" i="21"/>
  <c r="ET13" i="21"/>
  <c r="GJ13" i="21"/>
  <c r="AZ20" i="21" l="1"/>
  <c r="AZ32" i="21" s="1"/>
  <c r="AW32" i="21"/>
  <c r="AY20" i="21"/>
  <c r="AW23" i="21"/>
  <c r="P20" i="21"/>
  <c r="N23" i="21"/>
  <c r="P23" i="21" s="1"/>
  <c r="AH23" i="21"/>
  <c r="AH32" i="21"/>
  <c r="AJ20" i="21"/>
  <c r="AD20" i="21"/>
  <c r="AB23" i="21"/>
  <c r="AD23" i="21" s="1"/>
  <c r="L20" i="21"/>
  <c r="J23" i="21"/>
  <c r="L23" i="21" s="1"/>
  <c r="BC32" i="21"/>
  <c r="BC23" i="21"/>
  <c r="BF20" i="21"/>
  <c r="BE20" i="21"/>
  <c r="AF32" i="21"/>
  <c r="AF23" i="21"/>
  <c r="AF35" i="21" s="1"/>
  <c r="AT32" i="21"/>
  <c r="AV20" i="21"/>
  <c r="AT23" i="21"/>
  <c r="AL23" i="21"/>
  <c r="AN20" i="21"/>
  <c r="AN32" i="21" s="1"/>
  <c r="AL32" i="21"/>
  <c r="V20" i="21"/>
  <c r="T23" i="21"/>
  <c r="V23" i="21" s="1"/>
  <c r="X23" i="21"/>
  <c r="Z23" i="21" s="1"/>
  <c r="Z20" i="21"/>
  <c r="CG42" i="15"/>
  <c r="CG37" i="15"/>
  <c r="CJ42" i="15"/>
  <c r="CJ37" i="15"/>
  <c r="CM42" i="15"/>
  <c r="CM37" i="15"/>
  <c r="CO37" i="15" s="1"/>
  <c r="CP42" i="15"/>
  <c r="CR42" i="15" s="1"/>
  <c r="CP37" i="15"/>
  <c r="CR37" i="15" s="1"/>
  <c r="CS42" i="15"/>
  <c r="CS37" i="15"/>
  <c r="CV42" i="15"/>
  <c r="CV37" i="15"/>
  <c r="CY42" i="15"/>
  <c r="CY37" i="15"/>
  <c r="DA37" i="15" s="1"/>
  <c r="DB42" i="15"/>
  <c r="DB37" i="15"/>
  <c r="DE42" i="15"/>
  <c r="DG42" i="15" s="1"/>
  <c r="DE37" i="15"/>
  <c r="DG37" i="15" s="1"/>
  <c r="DH42" i="15"/>
  <c r="DH37" i="15"/>
  <c r="DK42" i="15"/>
  <c r="DK37" i="15"/>
  <c r="DN42" i="15"/>
  <c r="DN37" i="15"/>
  <c r="DQ42" i="15"/>
  <c r="DQ37" i="15"/>
  <c r="DT42" i="15"/>
  <c r="DT37" i="15"/>
  <c r="DW42" i="15"/>
  <c r="DW37" i="15"/>
  <c r="DZ42" i="15"/>
  <c r="EN42" i="15" s="1"/>
  <c r="DZ37" i="15"/>
  <c r="EC42" i="15"/>
  <c r="EQ42" i="15" s="1"/>
  <c r="EC37" i="15"/>
  <c r="EQ37" i="15" s="1"/>
  <c r="EF42" i="15"/>
  <c r="ET42" i="15" s="1"/>
  <c r="EF37" i="15"/>
  <c r="EI42" i="15"/>
  <c r="EI37" i="15"/>
  <c r="EW37" i="15" s="1"/>
  <c r="EK45" i="15"/>
  <c r="EH45" i="15"/>
  <c r="EE45" i="15"/>
  <c r="EB45" i="15"/>
  <c r="DY45" i="15"/>
  <c r="DV45" i="15"/>
  <c r="DS45" i="15"/>
  <c r="DP45" i="15"/>
  <c r="DM45" i="15"/>
  <c r="DJ45" i="15"/>
  <c r="DG45" i="15"/>
  <c r="DD45" i="15"/>
  <c r="DA45" i="15"/>
  <c r="CX45" i="15"/>
  <c r="CU45" i="15"/>
  <c r="CR45" i="15"/>
  <c r="CO45" i="15"/>
  <c r="CL45" i="15"/>
  <c r="CI45" i="15"/>
  <c r="EK44" i="15"/>
  <c r="EH44" i="15"/>
  <c r="EE44" i="15"/>
  <c r="EB44" i="15"/>
  <c r="DY44" i="15"/>
  <c r="DV44" i="15"/>
  <c r="DS44" i="15"/>
  <c r="DP44" i="15"/>
  <c r="DM44" i="15"/>
  <c r="DJ44" i="15"/>
  <c r="DG44" i="15"/>
  <c r="DD44" i="15"/>
  <c r="DA44" i="15"/>
  <c r="CX44" i="15"/>
  <c r="CU44" i="15"/>
  <c r="CR44" i="15"/>
  <c r="CO44" i="15"/>
  <c r="CL44" i="15"/>
  <c r="CI44" i="15"/>
  <c r="EK43" i="15"/>
  <c r="EH43" i="15"/>
  <c r="EE43" i="15"/>
  <c r="EB43" i="15"/>
  <c r="DY43" i="15"/>
  <c r="DV43" i="15"/>
  <c r="DS43" i="15"/>
  <c r="DP43" i="15"/>
  <c r="DM43" i="15"/>
  <c r="DJ43" i="15"/>
  <c r="DG43" i="15"/>
  <c r="DD43" i="15"/>
  <c r="DA43" i="15"/>
  <c r="CX43" i="15"/>
  <c r="CU43" i="15"/>
  <c r="CR43" i="15"/>
  <c r="CO43" i="15"/>
  <c r="CL43" i="15"/>
  <c r="CI43" i="15"/>
  <c r="EK41" i="15"/>
  <c r="EH41" i="15"/>
  <c r="EE41" i="15"/>
  <c r="EB41" i="15"/>
  <c r="DY41" i="15"/>
  <c r="DV41" i="15"/>
  <c r="DS41" i="15"/>
  <c r="DP41" i="15"/>
  <c r="DM41" i="15"/>
  <c r="DJ41" i="15"/>
  <c r="DG41" i="15"/>
  <c r="DD41" i="15"/>
  <c r="DA41" i="15"/>
  <c r="CX41" i="15"/>
  <c r="CU41" i="15"/>
  <c r="CR41" i="15"/>
  <c r="CO41" i="15"/>
  <c r="CL41" i="15"/>
  <c r="CI41" i="15"/>
  <c r="EK40" i="15"/>
  <c r="EH40" i="15"/>
  <c r="EE40" i="15"/>
  <c r="EB40" i="15"/>
  <c r="DY40" i="15"/>
  <c r="DV40" i="15"/>
  <c r="DS40" i="15"/>
  <c r="DP40" i="15"/>
  <c r="DM40" i="15"/>
  <c r="DJ40" i="15"/>
  <c r="DG40" i="15"/>
  <c r="DD40" i="15"/>
  <c r="DA40" i="15"/>
  <c r="CX40" i="15"/>
  <c r="CU40" i="15"/>
  <c r="CR40" i="15"/>
  <c r="CO40" i="15"/>
  <c r="CL40" i="15"/>
  <c r="CI40" i="15"/>
  <c r="EK39" i="15"/>
  <c r="EH39" i="15"/>
  <c r="EE39" i="15"/>
  <c r="EB39" i="15"/>
  <c r="DY39" i="15"/>
  <c r="DV39" i="15"/>
  <c r="DS39" i="15"/>
  <c r="DP39" i="15"/>
  <c r="DM39" i="15"/>
  <c r="DJ39" i="15"/>
  <c r="DG39" i="15"/>
  <c r="DD39" i="15"/>
  <c r="DA39" i="15"/>
  <c r="CX39" i="15"/>
  <c r="CU39" i="15"/>
  <c r="CR39" i="15"/>
  <c r="CO39" i="15"/>
  <c r="CL39" i="15"/>
  <c r="CI39" i="15"/>
  <c r="EK38" i="15"/>
  <c r="EH38" i="15"/>
  <c r="EE38" i="15"/>
  <c r="EB38" i="15"/>
  <c r="DY38" i="15"/>
  <c r="DV38" i="15"/>
  <c r="DS38" i="15"/>
  <c r="DP38" i="15"/>
  <c r="DM38" i="15"/>
  <c r="DJ38" i="15"/>
  <c r="DG38" i="15"/>
  <c r="DD38" i="15"/>
  <c r="DA38" i="15"/>
  <c r="CX38" i="15"/>
  <c r="CU38" i="15"/>
  <c r="CR38" i="15"/>
  <c r="CO38" i="15"/>
  <c r="CL38" i="15"/>
  <c r="CI38" i="15"/>
  <c r="EW33" i="15"/>
  <c r="DW32" i="15"/>
  <c r="DQ32" i="15"/>
  <c r="DH32" i="15"/>
  <c r="DE31" i="15"/>
  <c r="CY32" i="15"/>
  <c r="CS32" i="15"/>
  <c r="CP32" i="15"/>
  <c r="CM31" i="15"/>
  <c r="CJ32" i="15"/>
  <c r="CG32" i="15"/>
  <c r="AO31" i="15"/>
  <c r="EH34" i="15"/>
  <c r="EE34" i="15"/>
  <c r="EB34" i="15"/>
  <c r="DY34" i="15"/>
  <c r="DV34" i="15"/>
  <c r="DS34" i="15"/>
  <c r="DP34" i="15"/>
  <c r="DM34" i="15"/>
  <c r="DJ34" i="15"/>
  <c r="DG34" i="15"/>
  <c r="DD34" i="15"/>
  <c r="DA34" i="15"/>
  <c r="CX34" i="15"/>
  <c r="CU34" i="15"/>
  <c r="DN21" i="15"/>
  <c r="DN20" i="15"/>
  <c r="DK21" i="15"/>
  <c r="DK20" i="15"/>
  <c r="DL23" i="15" s="1"/>
  <c r="DH21" i="15"/>
  <c r="DH20" i="15"/>
  <c r="DE21" i="15"/>
  <c r="DE20" i="15"/>
  <c r="DB21" i="15"/>
  <c r="DB20" i="15"/>
  <c r="CY21" i="15"/>
  <c r="CY20" i="15"/>
  <c r="CV21" i="15"/>
  <c r="CV20" i="15"/>
  <c r="CW20" i="15" s="1"/>
  <c r="CS21" i="15"/>
  <c r="CS20" i="15"/>
  <c r="CP21" i="15"/>
  <c r="CP20" i="15"/>
  <c r="CM21" i="15"/>
  <c r="CM20" i="15"/>
  <c r="CG21" i="15"/>
  <c r="CG20" i="15"/>
  <c r="EN21" i="15"/>
  <c r="EN20" i="15"/>
  <c r="EQ20" i="15"/>
  <c r="EF21" i="15"/>
  <c r="ET21" i="15" s="1"/>
  <c r="EF20" i="15"/>
  <c r="EH23" i="15"/>
  <c r="EE23" i="15"/>
  <c r="EB23" i="15"/>
  <c r="DY23" i="15"/>
  <c r="DV23" i="15"/>
  <c r="DS23" i="15"/>
  <c r="DP23" i="15"/>
  <c r="DM23" i="15"/>
  <c r="DJ23" i="15"/>
  <c r="DG23" i="15"/>
  <c r="DD23" i="15"/>
  <c r="DA23" i="15"/>
  <c r="CX23" i="15"/>
  <c r="CU23" i="15"/>
  <c r="EH22" i="15"/>
  <c r="EE22" i="15"/>
  <c r="EB22" i="15"/>
  <c r="DY22" i="15"/>
  <c r="DV22" i="15"/>
  <c r="DS22" i="15"/>
  <c r="DP22" i="15"/>
  <c r="DM22" i="15"/>
  <c r="DJ22" i="15"/>
  <c r="DG22" i="15"/>
  <c r="DD22" i="15"/>
  <c r="DA22" i="15"/>
  <c r="CX22" i="15"/>
  <c r="CU22" i="15"/>
  <c r="E15" i="15"/>
  <c r="E8" i="15"/>
  <c r="E7" i="15"/>
  <c r="E5" i="15"/>
  <c r="H18" i="15"/>
  <c r="H17" i="15"/>
  <c r="H15" i="15"/>
  <c r="H14" i="15"/>
  <c r="H8" i="15"/>
  <c r="H7" i="15"/>
  <c r="H5" i="15"/>
  <c r="K18" i="15"/>
  <c r="K17" i="15"/>
  <c r="K15" i="15"/>
  <c r="K14" i="15"/>
  <c r="K8" i="15"/>
  <c r="K7" i="15"/>
  <c r="K5" i="15"/>
  <c r="N18" i="15"/>
  <c r="N17" i="15"/>
  <c r="N15" i="15"/>
  <c r="N14" i="15"/>
  <c r="N8" i="15"/>
  <c r="N7" i="15"/>
  <c r="N5" i="15"/>
  <c r="Q18" i="15"/>
  <c r="Q17" i="15"/>
  <c r="Q15" i="15"/>
  <c r="Q14" i="15"/>
  <c r="Q8" i="15"/>
  <c r="Q7" i="15"/>
  <c r="Q5" i="15"/>
  <c r="T18" i="15"/>
  <c r="T17" i="15"/>
  <c r="T15" i="15"/>
  <c r="T14" i="15"/>
  <c r="T8" i="15"/>
  <c r="T7" i="15"/>
  <c r="T5" i="15"/>
  <c r="W18" i="15"/>
  <c r="W17" i="15"/>
  <c r="W15" i="15"/>
  <c r="W14" i="15"/>
  <c r="W7" i="15"/>
  <c r="W5" i="15"/>
  <c r="Z18" i="15"/>
  <c r="Z17" i="15"/>
  <c r="Z15" i="15"/>
  <c r="Z14" i="15"/>
  <c r="Z8" i="15"/>
  <c r="Z7" i="15"/>
  <c r="Z5" i="15"/>
  <c r="AC18" i="15"/>
  <c r="AC17" i="15"/>
  <c r="AC15" i="15"/>
  <c r="AC14" i="15"/>
  <c r="AC8" i="15"/>
  <c r="AC7" i="15"/>
  <c r="AC5" i="15"/>
  <c r="AF18" i="15"/>
  <c r="AF17" i="15"/>
  <c r="AF15" i="15"/>
  <c r="AF14" i="15"/>
  <c r="AF8" i="15"/>
  <c r="AF7" i="15"/>
  <c r="AF5" i="15"/>
  <c r="AI18" i="15"/>
  <c r="AI17" i="15"/>
  <c r="AI15" i="15"/>
  <c r="AI14" i="15"/>
  <c r="AI8" i="15"/>
  <c r="AI7" i="15"/>
  <c r="AI5" i="15"/>
  <c r="AL18" i="15"/>
  <c r="AL17" i="15"/>
  <c r="AL15" i="15"/>
  <c r="AL14" i="15"/>
  <c r="AL8" i="15"/>
  <c r="AL7" i="15"/>
  <c r="AL5" i="15"/>
  <c r="AO18" i="15"/>
  <c r="AO17" i="15"/>
  <c r="AO15" i="15"/>
  <c r="AO14" i="15"/>
  <c r="AO8" i="15"/>
  <c r="AO7" i="15"/>
  <c r="AO5" i="15"/>
  <c r="AR18" i="15"/>
  <c r="AR17" i="15"/>
  <c r="AR15" i="15"/>
  <c r="AR14" i="15"/>
  <c r="AR8" i="15"/>
  <c r="AR7" i="15"/>
  <c r="AR5" i="15"/>
  <c r="AU18" i="15"/>
  <c r="AU17" i="15"/>
  <c r="AU15" i="15"/>
  <c r="AU14" i="15"/>
  <c r="AU8" i="15"/>
  <c r="AU7" i="15"/>
  <c r="AU5" i="15"/>
  <c r="BA18" i="15"/>
  <c r="BA17" i="15"/>
  <c r="BA15" i="15"/>
  <c r="BA14" i="15"/>
  <c r="BA8" i="15"/>
  <c r="BA7" i="15"/>
  <c r="BA5" i="15"/>
  <c r="BD18" i="15"/>
  <c r="BD17" i="15"/>
  <c r="BD15" i="15"/>
  <c r="BD14" i="15"/>
  <c r="BD8" i="15"/>
  <c r="BD7" i="15"/>
  <c r="BD5" i="15"/>
  <c r="BG18" i="15"/>
  <c r="BG17" i="15"/>
  <c r="BG15" i="15"/>
  <c r="BG14" i="15"/>
  <c r="BG8" i="15"/>
  <c r="BG7" i="15"/>
  <c r="BG5" i="15"/>
  <c r="DS37" i="15" l="1"/>
  <c r="CX42" i="15"/>
  <c r="DD21" i="15"/>
  <c r="DV21" i="15"/>
  <c r="ET20" i="15"/>
  <c r="GK21" i="21"/>
  <c r="DZ32" i="15"/>
  <c r="EN32" i="15" s="1"/>
  <c r="EN33" i="15"/>
  <c r="EC32" i="15"/>
  <c r="EQ32" i="15" s="1"/>
  <c r="EQ33" i="15"/>
  <c r="EG22" i="15"/>
  <c r="EW20" i="15"/>
  <c r="GN21" i="21"/>
  <c r="EJ28" i="15"/>
  <c r="EJ20" i="15"/>
  <c r="EK20" i="15"/>
  <c r="EJ23" i="15"/>
  <c r="EJ22" i="15"/>
  <c r="EF32" i="15"/>
  <c r="ET32" i="15" s="1"/>
  <c r="ET33" i="15"/>
  <c r="EK42" i="15"/>
  <c r="EW42" i="15"/>
  <c r="ED23" i="15"/>
  <c r="EW21" i="15"/>
  <c r="EK21" i="15"/>
  <c r="EJ21" i="15"/>
  <c r="EH37" i="15"/>
  <c r="ET37" i="15"/>
  <c r="EB37" i="15"/>
  <c r="EN37" i="15"/>
  <c r="BE32" i="21"/>
  <c r="AV32" i="21"/>
  <c r="EK37" i="15"/>
  <c r="EK33" i="15"/>
  <c r="DN21" i="21"/>
  <c r="CQ28" i="15"/>
  <c r="EU21" i="21"/>
  <c r="DI28" i="15"/>
  <c r="EG28" i="15"/>
  <c r="ED20" i="15"/>
  <c r="GE21" i="21"/>
  <c r="HB21" i="21" s="1"/>
  <c r="ED28" i="15"/>
  <c r="DX23" i="15"/>
  <c r="DX28" i="15"/>
  <c r="FS21" i="21"/>
  <c r="GP21" i="21" s="1"/>
  <c r="AV23" i="21"/>
  <c r="AT35" i="21"/>
  <c r="AV35" i="21" s="1"/>
  <c r="AY32" i="21"/>
  <c r="FY21" i="21"/>
  <c r="GV21" i="21" s="1"/>
  <c r="EA28" i="15"/>
  <c r="CY21" i="21"/>
  <c r="CH28" i="15"/>
  <c r="BF32" i="21"/>
  <c r="BH32" i="21" s="1"/>
  <c r="BH20" i="21"/>
  <c r="AY23" i="21"/>
  <c r="AW35" i="21"/>
  <c r="AZ23" i="21"/>
  <c r="CW28" i="15"/>
  <c r="DZ21" i="21"/>
  <c r="EI21" i="21"/>
  <c r="DC28" i="15"/>
  <c r="DO28" i="15"/>
  <c r="FD21" i="21"/>
  <c r="FP21" i="21"/>
  <c r="DU28" i="15"/>
  <c r="AN23" i="21"/>
  <c r="AN35" i="21" s="1"/>
  <c r="AL35" i="21"/>
  <c r="BE23" i="21"/>
  <c r="BF23" i="21"/>
  <c r="BC35" i="21"/>
  <c r="AJ23" i="21"/>
  <c r="AJ35" i="21" s="1"/>
  <c r="AH35" i="21"/>
  <c r="DC23" i="15"/>
  <c r="CN20" i="15"/>
  <c r="DH21" i="21"/>
  <c r="CN28" i="15"/>
  <c r="DT21" i="21"/>
  <c r="CT28" i="15"/>
  <c r="CZ20" i="15"/>
  <c r="CZ28" i="15"/>
  <c r="EC21" i="21"/>
  <c r="DF20" i="15"/>
  <c r="EO21" i="21"/>
  <c r="DF28" i="15"/>
  <c r="DL20" i="15"/>
  <c r="EX21" i="21"/>
  <c r="DL28" i="15"/>
  <c r="FJ21" i="21"/>
  <c r="DR28" i="15"/>
  <c r="CJ36" i="15"/>
  <c r="CK40" i="15" s="1"/>
  <c r="BB20" i="21"/>
  <c r="AJ32" i="21"/>
  <c r="BB32" i="21" s="1"/>
  <c r="DH22" i="21"/>
  <c r="AC49" i="15"/>
  <c r="AO49" i="15"/>
  <c r="EO22" i="21"/>
  <c r="BY20" i="15"/>
  <c r="BP20" i="15"/>
  <c r="CB20" i="15"/>
  <c r="BN20" i="15"/>
  <c r="W49" i="15"/>
  <c r="X49" i="15"/>
  <c r="BW20" i="15"/>
  <c r="EB21" i="15"/>
  <c r="DC21" i="15"/>
  <c r="DO21" i="15"/>
  <c r="BS20" i="15"/>
  <c r="EG23" i="15"/>
  <c r="EG21" i="15"/>
  <c r="DY21" i="15"/>
  <c r="EE20" i="15"/>
  <c r="EG20" i="15"/>
  <c r="ED22" i="15"/>
  <c r="CX21" i="15"/>
  <c r="DA20" i="15"/>
  <c r="CN23" i="15"/>
  <c r="CN21" i="15"/>
  <c r="DA21" i="15"/>
  <c r="CQ22" i="15"/>
  <c r="CZ21" i="15"/>
  <c r="DP21" i="15"/>
  <c r="DS20" i="15"/>
  <c r="DL21" i="15"/>
  <c r="DX20" i="15"/>
  <c r="CG31" i="15"/>
  <c r="ED21" i="15"/>
  <c r="DY42" i="15"/>
  <c r="DZ36" i="15"/>
  <c r="DV37" i="15"/>
  <c r="CI42" i="15"/>
  <c r="DK36" i="15"/>
  <c r="DL45" i="15" s="1"/>
  <c r="CP36" i="15"/>
  <c r="CQ45" i="15" s="1"/>
  <c r="DB36" i="15"/>
  <c r="DC41" i="15" s="1"/>
  <c r="DJ37" i="15"/>
  <c r="EC36" i="15"/>
  <c r="CU37" i="15"/>
  <c r="CI37" i="15"/>
  <c r="DP37" i="15"/>
  <c r="EE37" i="15"/>
  <c r="DE36" i="15"/>
  <c r="DF36" i="15" s="1"/>
  <c r="DW36" i="15"/>
  <c r="DX44" i="15" s="1"/>
  <c r="DY37" i="15"/>
  <c r="CV36" i="15"/>
  <c r="CW37" i="15" s="1"/>
  <c r="CL37" i="15"/>
  <c r="DD37" i="15"/>
  <c r="DN36" i="15"/>
  <c r="DO39" i="15" s="1"/>
  <c r="CG36" i="15"/>
  <c r="CH37" i="15" s="1"/>
  <c r="CY36" i="15"/>
  <c r="DV42" i="15"/>
  <c r="DJ42" i="15"/>
  <c r="CU42" i="15"/>
  <c r="DS42" i="15"/>
  <c r="DD42" i="15"/>
  <c r="CL42" i="15"/>
  <c r="DQ36" i="15"/>
  <c r="DH36" i="15"/>
  <c r="CS36" i="15"/>
  <c r="EF36" i="15"/>
  <c r="ET36" i="15" s="1"/>
  <c r="EH42" i="15"/>
  <c r="CM36" i="15"/>
  <c r="CN42" i="15" s="1"/>
  <c r="CO42" i="15"/>
  <c r="CX37" i="15"/>
  <c r="DA42" i="15"/>
  <c r="DM42" i="15"/>
  <c r="DM37" i="15"/>
  <c r="DP42" i="15"/>
  <c r="EB42" i="15"/>
  <c r="DT36" i="15"/>
  <c r="EE42" i="15"/>
  <c r="EI36" i="15"/>
  <c r="DF34" i="15"/>
  <c r="W31" i="15"/>
  <c r="CJ31" i="15"/>
  <c r="DQ31" i="15"/>
  <c r="DK32" i="15"/>
  <c r="DM32" i="15" s="1"/>
  <c r="DK31" i="15"/>
  <c r="DF33" i="15"/>
  <c r="EI32" i="15"/>
  <c r="EW32" i="15" s="1"/>
  <c r="EI31" i="15"/>
  <c r="CN34" i="15"/>
  <c r="CV32" i="15"/>
  <c r="CX32" i="15" s="1"/>
  <c r="CV31" i="15"/>
  <c r="DN32" i="15"/>
  <c r="CN33" i="15"/>
  <c r="CN31" i="15"/>
  <c r="DB32" i="15"/>
  <c r="DB31" i="15"/>
  <c r="AC31" i="15"/>
  <c r="DD33" i="15"/>
  <c r="CM32" i="15"/>
  <c r="CN32" i="15" s="1"/>
  <c r="CS31" i="15"/>
  <c r="DF31" i="15"/>
  <c r="DT32" i="15"/>
  <c r="DV32" i="15" s="1"/>
  <c r="DT31" i="15"/>
  <c r="CB31" i="15"/>
  <c r="DE32" i="15"/>
  <c r="DF32" i="15" s="1"/>
  <c r="EH33" i="15"/>
  <c r="EF31" i="15"/>
  <c r="EC31" i="15"/>
  <c r="EQ31" i="15" s="1"/>
  <c r="DZ31" i="15"/>
  <c r="EN31" i="15" s="1"/>
  <c r="DW31" i="15"/>
  <c r="DN31" i="15"/>
  <c r="DH31" i="15"/>
  <c r="CY31" i="15"/>
  <c r="CP31" i="15"/>
  <c r="AD31" i="15"/>
  <c r="CO31" i="15"/>
  <c r="DJ33" i="15"/>
  <c r="DP33" i="15"/>
  <c r="DV33" i="15"/>
  <c r="EA23" i="15"/>
  <c r="EA22" i="15"/>
  <c r="BT20" i="15"/>
  <c r="BZ20" i="15"/>
  <c r="CF20" i="15"/>
  <c r="CE20" i="15"/>
  <c r="CR20" i="15"/>
  <c r="CW23" i="15"/>
  <c r="DD20" i="15"/>
  <c r="DC20" i="15"/>
  <c r="DI23" i="15"/>
  <c r="DJ20" i="15"/>
  <c r="DP20" i="15"/>
  <c r="DU23" i="15"/>
  <c r="DU20" i="15"/>
  <c r="DA33" i="15"/>
  <c r="CL20" i="15"/>
  <c r="DV20" i="15"/>
  <c r="DM21" i="15"/>
  <c r="CK20" i="15"/>
  <c r="DI20" i="15"/>
  <c r="EA21" i="15"/>
  <c r="DC22" i="15"/>
  <c r="DO23" i="15"/>
  <c r="DJ21" i="15"/>
  <c r="EB33" i="15"/>
  <c r="CX20" i="15"/>
  <c r="EB20" i="15"/>
  <c r="BM20" i="15"/>
  <c r="CQ20" i="15"/>
  <c r="DO20" i="15"/>
  <c r="CQ21" i="15"/>
  <c r="DO22" i="15"/>
  <c r="CQ23" i="15"/>
  <c r="CX33" i="15"/>
  <c r="DM33" i="15"/>
  <c r="DX21" i="15"/>
  <c r="DY33" i="15"/>
  <c r="AP31" i="15"/>
  <c r="CU33" i="15"/>
  <c r="DG33" i="15"/>
  <c r="DS33" i="15"/>
  <c r="EE33" i="15"/>
  <c r="CU32" i="15"/>
  <c r="CH23" i="15"/>
  <c r="CH22" i="15"/>
  <c r="CT23" i="15"/>
  <c r="CT22" i="15"/>
  <c r="DF23" i="15"/>
  <c r="DF22" i="15"/>
  <c r="DR23" i="15"/>
  <c r="DR22" i="15"/>
  <c r="CO20" i="15"/>
  <c r="DG20" i="15"/>
  <c r="CT20" i="15"/>
  <c r="CH21" i="15"/>
  <c r="CN22" i="15"/>
  <c r="DL22" i="15"/>
  <c r="CT21" i="15"/>
  <c r="DF21" i="15"/>
  <c r="DR21" i="15"/>
  <c r="CC20" i="15"/>
  <c r="CU20" i="15"/>
  <c r="CU21" i="15"/>
  <c r="DG21" i="15"/>
  <c r="DS21" i="15"/>
  <c r="EE21" i="15"/>
  <c r="CH20" i="15"/>
  <c r="CZ23" i="15"/>
  <c r="BQ20" i="15"/>
  <c r="CI20" i="15"/>
  <c r="DM20" i="15"/>
  <c r="BV20" i="15"/>
  <c r="DR20" i="15"/>
  <c r="CZ22" i="15"/>
  <c r="CK21" i="15"/>
  <c r="CW21" i="15"/>
  <c r="DI21" i="15"/>
  <c r="DU21" i="15"/>
  <c r="CW22" i="15"/>
  <c r="DI22" i="15"/>
  <c r="DU22" i="15"/>
  <c r="DY20" i="15"/>
  <c r="DX22" i="15"/>
  <c r="EA20" i="15"/>
  <c r="EH21" i="15"/>
  <c r="EH20" i="15"/>
  <c r="EI16" i="15"/>
  <c r="EC16" i="15"/>
  <c r="EQ16" i="15" s="1"/>
  <c r="DZ16" i="15"/>
  <c r="EN16" i="15" s="1"/>
  <c r="DW16" i="15"/>
  <c r="DT16" i="15"/>
  <c r="DQ16" i="15"/>
  <c r="DN16" i="15"/>
  <c r="DK16" i="15"/>
  <c r="DH16" i="15"/>
  <c r="DE16" i="15"/>
  <c r="DB16" i="15"/>
  <c r="CY16" i="15"/>
  <c r="CV16" i="15"/>
  <c r="CS16" i="15"/>
  <c r="CP16" i="15"/>
  <c r="CM16" i="15"/>
  <c r="CJ16" i="15"/>
  <c r="CG16" i="15"/>
  <c r="CD16" i="15"/>
  <c r="CA16" i="15"/>
  <c r="BX16" i="15"/>
  <c r="BU16" i="15"/>
  <c r="BR16" i="15"/>
  <c r="BO16" i="15"/>
  <c r="BL16" i="15"/>
  <c r="BI16" i="15"/>
  <c r="BF16" i="15"/>
  <c r="BC16" i="15"/>
  <c r="AZ16" i="15"/>
  <c r="AW16" i="15"/>
  <c r="AT16" i="15"/>
  <c r="AQ16" i="15"/>
  <c r="AN16" i="15"/>
  <c r="AN6" i="15" s="1"/>
  <c r="AO6" i="15" s="1"/>
  <c r="AK16" i="15"/>
  <c r="AH16" i="15"/>
  <c r="AE16" i="15"/>
  <c r="AB16" i="15"/>
  <c r="Y16" i="15"/>
  <c r="Y6" i="15" s="1"/>
  <c r="Z6" i="15" s="1"/>
  <c r="V16" i="15"/>
  <c r="S16" i="15"/>
  <c r="P16" i="15"/>
  <c r="P6" i="15" s="1"/>
  <c r="Q6" i="15" s="1"/>
  <c r="M16" i="15"/>
  <c r="J16" i="15"/>
  <c r="G16" i="15"/>
  <c r="D16" i="15"/>
  <c r="EF16" i="15"/>
  <c r="ET16" i="15" s="1"/>
  <c r="EK18" i="15"/>
  <c r="EH18" i="15"/>
  <c r="EE18" i="15"/>
  <c r="EB18" i="15"/>
  <c r="DY18" i="15"/>
  <c r="DV18" i="15"/>
  <c r="DS18" i="15"/>
  <c r="DP18" i="15"/>
  <c r="DM18" i="15"/>
  <c r="DJ18" i="15"/>
  <c r="DG18" i="15"/>
  <c r="DD18" i="15"/>
  <c r="DA18" i="15"/>
  <c r="CX18" i="15"/>
  <c r="CU18" i="15"/>
  <c r="CR18" i="15"/>
  <c r="CO18" i="15"/>
  <c r="CL18" i="15"/>
  <c r="CI18" i="15"/>
  <c r="CF18" i="15"/>
  <c r="CC18" i="15"/>
  <c r="BZ18" i="15"/>
  <c r="BW18" i="15"/>
  <c r="BT18" i="15"/>
  <c r="BQ18" i="15"/>
  <c r="BN18" i="15"/>
  <c r="BK18" i="15"/>
  <c r="BH18" i="15"/>
  <c r="BE18" i="15"/>
  <c r="BB18" i="15"/>
  <c r="AY18" i="15"/>
  <c r="AV18" i="15"/>
  <c r="AS18" i="15"/>
  <c r="AP18" i="15"/>
  <c r="AM18" i="15"/>
  <c r="AJ18" i="15"/>
  <c r="AG18" i="15"/>
  <c r="AD18" i="15"/>
  <c r="AA18" i="15"/>
  <c r="X18" i="15"/>
  <c r="U18" i="15"/>
  <c r="R18" i="15"/>
  <c r="EK17" i="15"/>
  <c r="EH17" i="15"/>
  <c r="EE17" i="15"/>
  <c r="EB17" i="15"/>
  <c r="DY17" i="15"/>
  <c r="DV17" i="15"/>
  <c r="DS17" i="15"/>
  <c r="DP17" i="15"/>
  <c r="DM17" i="15"/>
  <c r="DJ17" i="15"/>
  <c r="DG17" i="15"/>
  <c r="DD17" i="15"/>
  <c r="DA17" i="15"/>
  <c r="CX17" i="15"/>
  <c r="CU17" i="15"/>
  <c r="CR17" i="15"/>
  <c r="CO17" i="15"/>
  <c r="CL17" i="15"/>
  <c r="CI17" i="15"/>
  <c r="CF17" i="15"/>
  <c r="CC17" i="15"/>
  <c r="BZ17" i="15"/>
  <c r="BW17" i="15"/>
  <c r="BT17" i="15"/>
  <c r="BQ17" i="15"/>
  <c r="BN17" i="15"/>
  <c r="BK17" i="15"/>
  <c r="BH17" i="15"/>
  <c r="BE17" i="15"/>
  <c r="BB17" i="15"/>
  <c r="AY17" i="15"/>
  <c r="AV17" i="15"/>
  <c r="AS17" i="15"/>
  <c r="AP17" i="15"/>
  <c r="AM17" i="15"/>
  <c r="AJ17" i="15"/>
  <c r="AG17" i="15"/>
  <c r="AD17" i="15"/>
  <c r="AA17" i="15"/>
  <c r="X17" i="15"/>
  <c r="U17" i="15"/>
  <c r="R17" i="15"/>
  <c r="GM21" i="21" l="1"/>
  <c r="EK16" i="15"/>
  <c r="EW16" i="15"/>
  <c r="EW31" i="15"/>
  <c r="GN22" i="21"/>
  <c r="ED37" i="15"/>
  <c r="EQ36" i="15"/>
  <c r="ET31" i="15"/>
  <c r="GK22" i="21"/>
  <c r="EJ42" i="15"/>
  <c r="EW36" i="15"/>
  <c r="HH21" i="21"/>
  <c r="GK33" i="21"/>
  <c r="EA41" i="15"/>
  <c r="EN36" i="15"/>
  <c r="GN33" i="21"/>
  <c r="HK33" i="21" s="1"/>
  <c r="HK21" i="21"/>
  <c r="GQ21" i="21"/>
  <c r="AY35" i="21"/>
  <c r="EJ37" i="15"/>
  <c r="EK31" i="15"/>
  <c r="EJ34" i="15"/>
  <c r="EJ32" i="15"/>
  <c r="EK32" i="15"/>
  <c r="EJ33" i="15"/>
  <c r="CK44" i="15"/>
  <c r="CK37" i="15"/>
  <c r="CK36" i="15"/>
  <c r="CK39" i="15"/>
  <c r="CK45" i="15"/>
  <c r="CK38" i="15"/>
  <c r="CK42" i="15"/>
  <c r="CL36" i="15"/>
  <c r="CK41" i="15"/>
  <c r="CK43" i="15"/>
  <c r="FA21" i="21"/>
  <c r="EZ21" i="21"/>
  <c r="EX33" i="21"/>
  <c r="ER21" i="21"/>
  <c r="EQ21" i="21"/>
  <c r="EO33" i="21"/>
  <c r="DW21" i="21"/>
  <c r="DT33" i="21"/>
  <c r="DV21" i="21"/>
  <c r="FU21" i="21"/>
  <c r="FV21" i="21"/>
  <c r="GS21" i="21" s="1"/>
  <c r="FS33" i="21"/>
  <c r="FM21" i="21"/>
  <c r="FL21" i="21"/>
  <c r="FJ33" i="21"/>
  <c r="EC33" i="21"/>
  <c r="EF21" i="21"/>
  <c r="EE21" i="21"/>
  <c r="DK21" i="21"/>
  <c r="DH33" i="21"/>
  <c r="DJ21" i="21"/>
  <c r="FP33" i="21"/>
  <c r="FR21" i="21"/>
  <c r="DZ33" i="21"/>
  <c r="EB33" i="21" s="1"/>
  <c r="EB21" i="21"/>
  <c r="BB23" i="21"/>
  <c r="AZ35" i="21"/>
  <c r="BB35" i="21" s="1"/>
  <c r="FY33" i="21"/>
  <c r="GV33" i="21" s="1"/>
  <c r="GA21" i="21"/>
  <c r="GB21" i="21"/>
  <c r="GY21" i="21" s="1"/>
  <c r="DN33" i="21"/>
  <c r="DP33" i="21" s="1"/>
  <c r="DP21" i="21"/>
  <c r="DQ21" i="21"/>
  <c r="EU33" i="21"/>
  <c r="EW21" i="21"/>
  <c r="BE35" i="21"/>
  <c r="FF21" i="21"/>
  <c r="FG21" i="21"/>
  <c r="FD33" i="21"/>
  <c r="EL21" i="21"/>
  <c r="EK21" i="21"/>
  <c r="EI33" i="21"/>
  <c r="CY33" i="21"/>
  <c r="DB21" i="21"/>
  <c r="DA21" i="21"/>
  <c r="GE33" i="21"/>
  <c r="HB33" i="21" s="1"/>
  <c r="GH21" i="21"/>
  <c r="HE21" i="21" s="1"/>
  <c r="GG21" i="21"/>
  <c r="BH23" i="21"/>
  <c r="BF35" i="21"/>
  <c r="BH35" i="21" s="1"/>
  <c r="BA49" i="15"/>
  <c r="BB49" i="15"/>
  <c r="AL49" i="15"/>
  <c r="EU22" i="21"/>
  <c r="CW33" i="15"/>
  <c r="DZ22" i="21"/>
  <c r="DO33" i="15"/>
  <c r="FD22" i="21"/>
  <c r="FJ22" i="21"/>
  <c r="CH32" i="15"/>
  <c r="CY22" i="21"/>
  <c r="DJ22" i="21"/>
  <c r="DH34" i="21"/>
  <c r="DJ34" i="21" s="1"/>
  <c r="DK22" i="21"/>
  <c r="DN22" i="21"/>
  <c r="FS22" i="21"/>
  <c r="FP22" i="21"/>
  <c r="DT22" i="21"/>
  <c r="EQ22" i="21" s="1"/>
  <c r="EJ31" i="15"/>
  <c r="EX22" i="21"/>
  <c r="CK33" i="15"/>
  <c r="DE22" i="21"/>
  <c r="BE49" i="15"/>
  <c r="GE22" i="21"/>
  <c r="HB22" i="21" s="1"/>
  <c r="AU49" i="15"/>
  <c r="AP49" i="15"/>
  <c r="EC22" i="21"/>
  <c r="FY22" i="21"/>
  <c r="GV22" i="21" s="1"/>
  <c r="EI22" i="21"/>
  <c r="EO34" i="21"/>
  <c r="ER22" i="21"/>
  <c r="Z49" i="15"/>
  <c r="AA49" i="15"/>
  <c r="AM49" i="15"/>
  <c r="AF49" i="15"/>
  <c r="AR49" i="15"/>
  <c r="AS49" i="15"/>
  <c r="Z31" i="15"/>
  <c r="AU31" i="15"/>
  <c r="AJ31" i="15"/>
  <c r="AS31" i="15"/>
  <c r="BM31" i="15"/>
  <c r="DC40" i="15"/>
  <c r="EH31" i="15"/>
  <c r="AI31" i="15"/>
  <c r="AA31" i="15"/>
  <c r="CH44" i="15"/>
  <c r="DL44" i="15"/>
  <c r="EA43" i="15"/>
  <c r="EA42" i="15"/>
  <c r="EA44" i="15"/>
  <c r="EA38" i="15"/>
  <c r="DR34" i="15"/>
  <c r="CH33" i="15"/>
  <c r="CH34" i="15"/>
  <c r="CH31" i="15"/>
  <c r="AY31" i="15"/>
  <c r="DR33" i="15"/>
  <c r="CU31" i="15"/>
  <c r="DR32" i="15"/>
  <c r="DR31" i="15"/>
  <c r="CQ39" i="15"/>
  <c r="EA45" i="15"/>
  <c r="EA40" i="15"/>
  <c r="EA36" i="15"/>
  <c r="EA39" i="15"/>
  <c r="EA37" i="15"/>
  <c r="DO43" i="15"/>
  <c r="DC44" i="15"/>
  <c r="EH32" i="15"/>
  <c r="AV31" i="15"/>
  <c r="BH31" i="15"/>
  <c r="W16" i="15"/>
  <c r="V6" i="15"/>
  <c r="W6" i="15" s="1"/>
  <c r="AU16" i="15"/>
  <c r="AT6" i="15"/>
  <c r="E16" i="15"/>
  <c r="D6" i="15"/>
  <c r="E6" i="15" s="1"/>
  <c r="AC16" i="15"/>
  <c r="AB6" i="15"/>
  <c r="AC6" i="15" s="1"/>
  <c r="BA16" i="15"/>
  <c r="AZ6" i="15"/>
  <c r="BA6" i="15" s="1"/>
  <c r="K16" i="15"/>
  <c r="J6" i="15"/>
  <c r="K6" i="15" s="1"/>
  <c r="AI16" i="15"/>
  <c r="AH6" i="15"/>
  <c r="AI6" i="15" s="1"/>
  <c r="BG16" i="15"/>
  <c r="BF6" i="15"/>
  <c r="BG6" i="15" s="1"/>
  <c r="N16" i="15"/>
  <c r="M6" i="15"/>
  <c r="N6" i="15" s="1"/>
  <c r="AL16" i="15"/>
  <c r="AK6" i="15"/>
  <c r="AL6" i="15" s="1"/>
  <c r="H16" i="15"/>
  <c r="G6" i="15"/>
  <c r="H6" i="15" s="1"/>
  <c r="T16" i="15"/>
  <c r="S6" i="15"/>
  <c r="T6" i="15" s="1"/>
  <c r="AF16" i="15"/>
  <c r="AE6" i="15"/>
  <c r="AF6" i="15" s="1"/>
  <c r="AR16" i="15"/>
  <c r="AQ6" i="15"/>
  <c r="AR6" i="15" s="1"/>
  <c r="BD16" i="15"/>
  <c r="BC6" i="15"/>
  <c r="DO44" i="15"/>
  <c r="DL37" i="15"/>
  <c r="DL41" i="15"/>
  <c r="ED39" i="15"/>
  <c r="DJ36" i="15"/>
  <c r="DL39" i="15"/>
  <c r="DL43" i="15"/>
  <c r="DL38" i="15"/>
  <c r="DO38" i="15"/>
  <c r="EE36" i="15"/>
  <c r="DC36" i="15"/>
  <c r="CQ43" i="15"/>
  <c r="CQ44" i="15"/>
  <c r="CQ38" i="15"/>
  <c r="CQ41" i="15"/>
  <c r="CQ40" i="15"/>
  <c r="CQ36" i="15"/>
  <c r="DL40" i="15"/>
  <c r="CQ37" i="15"/>
  <c r="DL42" i="15"/>
  <c r="DF39" i="15"/>
  <c r="CQ42" i="15"/>
  <c r="DL36" i="15"/>
  <c r="ED41" i="15"/>
  <c r="ED44" i="15"/>
  <c r="ED40" i="15"/>
  <c r="ED43" i="15"/>
  <c r="ED38" i="15"/>
  <c r="EB36" i="15"/>
  <c r="ED45" i="15"/>
  <c r="CU36" i="15"/>
  <c r="DO40" i="15"/>
  <c r="DC42" i="15"/>
  <c r="CH36" i="15"/>
  <c r="DX43" i="15"/>
  <c r="ED42" i="15"/>
  <c r="ED36" i="15"/>
  <c r="DD36" i="15"/>
  <c r="DP36" i="15"/>
  <c r="DF42" i="15"/>
  <c r="DF41" i="15"/>
  <c r="CW36" i="15"/>
  <c r="DC37" i="15"/>
  <c r="DC45" i="15"/>
  <c r="DF44" i="15"/>
  <c r="DF43" i="15"/>
  <c r="DS36" i="15"/>
  <c r="CW41" i="15"/>
  <c r="DC38" i="15"/>
  <c r="DF37" i="15"/>
  <c r="DC43" i="15"/>
  <c r="DF38" i="15"/>
  <c r="DF40" i="15"/>
  <c r="DF45" i="15"/>
  <c r="CH45" i="15"/>
  <c r="DC39" i="15"/>
  <c r="CO36" i="15"/>
  <c r="DY36" i="15"/>
  <c r="DX41" i="15"/>
  <c r="CH39" i="15"/>
  <c r="DX38" i="15"/>
  <c r="CR36" i="15"/>
  <c r="DX42" i="15"/>
  <c r="DX37" i="15"/>
  <c r="DO41" i="15"/>
  <c r="DO36" i="15"/>
  <c r="CH42" i="15"/>
  <c r="CH38" i="15"/>
  <c r="CH41" i="15"/>
  <c r="DA36" i="15"/>
  <c r="DX45" i="15"/>
  <c r="DX40" i="15"/>
  <c r="DO37" i="15"/>
  <c r="CH40" i="15"/>
  <c r="CH43" i="15"/>
  <c r="DX36" i="15"/>
  <c r="DX39" i="15"/>
  <c r="CC31" i="15"/>
  <c r="DJ32" i="15"/>
  <c r="DS32" i="15"/>
  <c r="DO32" i="15"/>
  <c r="DM36" i="15"/>
  <c r="CW38" i="15"/>
  <c r="CW45" i="15"/>
  <c r="CW43" i="15"/>
  <c r="CZ42" i="15"/>
  <c r="DO45" i="15"/>
  <c r="DO42" i="15"/>
  <c r="CW42" i="15"/>
  <c r="CW39" i="15"/>
  <c r="CX36" i="15"/>
  <c r="CW40" i="15"/>
  <c r="CW44" i="15"/>
  <c r="EH36" i="15"/>
  <c r="DU45" i="15"/>
  <c r="DU40" i="15"/>
  <c r="DU37" i="15"/>
  <c r="DU44" i="15"/>
  <c r="DU41" i="15"/>
  <c r="DU36" i="15"/>
  <c r="DU42" i="15"/>
  <c r="DU39" i="15"/>
  <c r="DU43" i="15"/>
  <c r="DU38" i="15"/>
  <c r="CI36" i="15"/>
  <c r="EG39" i="15"/>
  <c r="EG37" i="15"/>
  <c r="EG43" i="15"/>
  <c r="EG38" i="15"/>
  <c r="EG36" i="15"/>
  <c r="EG44" i="15"/>
  <c r="EG41" i="15"/>
  <c r="EG45" i="15"/>
  <c r="EG40" i="15"/>
  <c r="CT45" i="15"/>
  <c r="CT43" i="15"/>
  <c r="CT41" i="15"/>
  <c r="CT39" i="15"/>
  <c r="CT38" i="15"/>
  <c r="CT40" i="15"/>
  <c r="CT36" i="15"/>
  <c r="CT44" i="15"/>
  <c r="CT37" i="15"/>
  <c r="EG42" i="15"/>
  <c r="DG36" i="15"/>
  <c r="DI43" i="15"/>
  <c r="DI38" i="15"/>
  <c r="DI37" i="15"/>
  <c r="DI39" i="15"/>
  <c r="DI36" i="15"/>
  <c r="DI45" i="15"/>
  <c r="DI40" i="15"/>
  <c r="DI44" i="15"/>
  <c r="DI41" i="15"/>
  <c r="DI42" i="15"/>
  <c r="EK36" i="15"/>
  <c r="EJ44" i="15"/>
  <c r="EJ40" i="15"/>
  <c r="EJ38" i="15"/>
  <c r="EJ45" i="15"/>
  <c r="EJ41" i="15"/>
  <c r="EJ39" i="15"/>
  <c r="EJ43" i="15"/>
  <c r="EJ36" i="15"/>
  <c r="CZ44" i="15"/>
  <c r="CZ40" i="15"/>
  <c r="CZ38" i="15"/>
  <c r="CZ39" i="15"/>
  <c r="CZ43" i="15"/>
  <c r="CZ41" i="15"/>
  <c r="CZ37" i="15"/>
  <c r="CZ45" i="15"/>
  <c r="CZ36" i="15"/>
  <c r="CN44" i="15"/>
  <c r="CN40" i="15"/>
  <c r="CN38" i="15"/>
  <c r="CN45" i="15"/>
  <c r="CN41" i="15"/>
  <c r="CN39" i="15"/>
  <c r="CN43" i="15"/>
  <c r="CN36" i="15"/>
  <c r="CN37" i="15"/>
  <c r="DR45" i="15"/>
  <c r="DR43" i="15"/>
  <c r="DR41" i="15"/>
  <c r="DR39" i="15"/>
  <c r="DR38" i="15"/>
  <c r="DR44" i="15"/>
  <c r="DR36" i="15"/>
  <c r="DR37" i="15"/>
  <c r="DR40" i="15"/>
  <c r="CT42" i="15"/>
  <c r="DR42" i="15"/>
  <c r="DV36" i="15"/>
  <c r="CQ33" i="15"/>
  <c r="DX33" i="15"/>
  <c r="DL31" i="15"/>
  <c r="AG31" i="15"/>
  <c r="DL34" i="15"/>
  <c r="CK31" i="15"/>
  <c r="BP31" i="15"/>
  <c r="DY31" i="15"/>
  <c r="AM31" i="15"/>
  <c r="DY32" i="15"/>
  <c r="DL32" i="15"/>
  <c r="CT33" i="15"/>
  <c r="CK32" i="15"/>
  <c r="BE31" i="15"/>
  <c r="CX31" i="15"/>
  <c r="EG32" i="15"/>
  <c r="AX31" i="15"/>
  <c r="DC32" i="15"/>
  <c r="AL31" i="15"/>
  <c r="CK34" i="15"/>
  <c r="DL33" i="15"/>
  <c r="BT31" i="15"/>
  <c r="BS31" i="15"/>
  <c r="CZ34" i="15"/>
  <c r="CZ31" i="15"/>
  <c r="EA31" i="15"/>
  <c r="EA32" i="15"/>
  <c r="EA34" i="15"/>
  <c r="BJ31" i="15"/>
  <c r="BA31" i="15"/>
  <c r="CE31" i="15"/>
  <c r="X31" i="15"/>
  <c r="BN31" i="15"/>
  <c r="CL31" i="15"/>
  <c r="BY31" i="15"/>
  <c r="DJ31" i="15"/>
  <c r="DI34" i="15"/>
  <c r="DI31" i="15"/>
  <c r="DI33" i="15"/>
  <c r="ED31" i="15"/>
  <c r="ED32" i="15"/>
  <c r="ED34" i="15"/>
  <c r="ED33" i="15"/>
  <c r="EA33" i="15"/>
  <c r="CZ33" i="15"/>
  <c r="BV31" i="15"/>
  <c r="DI32" i="15"/>
  <c r="DM31" i="15"/>
  <c r="DG32" i="15"/>
  <c r="BB31" i="15"/>
  <c r="DD32" i="15"/>
  <c r="EB32" i="15"/>
  <c r="BD31" i="15"/>
  <c r="DO31" i="15"/>
  <c r="DO34" i="15"/>
  <c r="EG34" i="15"/>
  <c r="EG31" i="15"/>
  <c r="EG33" i="15"/>
  <c r="DU34" i="15"/>
  <c r="DU31" i="15"/>
  <c r="DU33" i="15"/>
  <c r="DC31" i="15"/>
  <c r="DC34" i="15"/>
  <c r="AF31" i="15"/>
  <c r="CZ32" i="15"/>
  <c r="CW34" i="15"/>
  <c r="CW31" i="15"/>
  <c r="BQ31" i="15"/>
  <c r="DA31" i="15"/>
  <c r="DP32" i="15"/>
  <c r="DD31" i="15"/>
  <c r="CQ31" i="15"/>
  <c r="CQ34" i="15"/>
  <c r="CQ32" i="15"/>
  <c r="DX34" i="15"/>
  <c r="DX31" i="15"/>
  <c r="DU32" i="15"/>
  <c r="CT31" i="15"/>
  <c r="CT34" i="15"/>
  <c r="CT32" i="15"/>
  <c r="AR31" i="15"/>
  <c r="DC33" i="15"/>
  <c r="BG31" i="15"/>
  <c r="DX32" i="15"/>
  <c r="CW32" i="15"/>
  <c r="EB31" i="15"/>
  <c r="DP31" i="15"/>
  <c r="CR31" i="15"/>
  <c r="BZ31" i="15"/>
  <c r="EE32" i="15"/>
  <c r="DV31" i="15"/>
  <c r="CF31" i="15"/>
  <c r="DA32" i="15"/>
  <c r="BK31" i="15"/>
  <c r="DG31" i="15"/>
  <c r="EE31" i="15"/>
  <c r="CI31" i="15"/>
  <c r="BW31" i="15"/>
  <c r="DS31" i="15"/>
  <c r="DA16" i="15"/>
  <c r="DG16" i="15"/>
  <c r="AM16" i="15"/>
  <c r="BK16" i="15"/>
  <c r="CI16" i="15"/>
  <c r="BE16" i="15"/>
  <c r="AG16" i="15"/>
  <c r="CC16" i="15"/>
  <c r="R16" i="15"/>
  <c r="Q16" i="15"/>
  <c r="AP16" i="15"/>
  <c r="AO16" i="15"/>
  <c r="BN16" i="15"/>
  <c r="CL16" i="15"/>
  <c r="DJ16" i="15"/>
  <c r="DV16" i="15"/>
  <c r="DY16" i="15"/>
  <c r="U16" i="15"/>
  <c r="AS16" i="15"/>
  <c r="BQ16" i="15"/>
  <c r="CO16" i="15"/>
  <c r="DM16" i="15"/>
  <c r="AD16" i="15"/>
  <c r="BB16" i="15"/>
  <c r="BZ16" i="15"/>
  <c r="CX16" i="15"/>
  <c r="AA16" i="15"/>
  <c r="Z16" i="15"/>
  <c r="AY16" i="15"/>
  <c r="BW16" i="15"/>
  <c r="CU16" i="15"/>
  <c r="DS16" i="15"/>
  <c r="EE16" i="15"/>
  <c r="EH16" i="15"/>
  <c r="X16" i="15"/>
  <c r="AJ16" i="15"/>
  <c r="BT16" i="15"/>
  <c r="CF16" i="15"/>
  <c r="CR16" i="15"/>
  <c r="DD16" i="15"/>
  <c r="DP16" i="15"/>
  <c r="EB16" i="15"/>
  <c r="AV16" i="15"/>
  <c r="BH16" i="15"/>
  <c r="GM33" i="21" l="1"/>
  <c r="HH33" i="21"/>
  <c r="HH22" i="21"/>
  <c r="GK34" i="21"/>
  <c r="GN34" i="21"/>
  <c r="HK34" i="21" s="1"/>
  <c r="HK22" i="21"/>
  <c r="GQ22" i="21"/>
  <c r="GM22" i="21"/>
  <c r="GP33" i="21"/>
  <c r="GP22" i="21"/>
  <c r="FF33" i="21"/>
  <c r="HN21" i="21"/>
  <c r="GQ33" i="21"/>
  <c r="HN33" i="21" s="1"/>
  <c r="EZ33" i="21"/>
  <c r="EW33" i="21"/>
  <c r="DV33" i="21"/>
  <c r="EK33" i="21"/>
  <c r="FI21" i="21"/>
  <c r="FG33" i="21"/>
  <c r="GD21" i="21"/>
  <c r="GB33" i="21"/>
  <c r="FR33" i="21"/>
  <c r="FV33" i="21"/>
  <c r="FX21" i="21"/>
  <c r="DY21" i="21"/>
  <c r="DW33" i="21"/>
  <c r="DS21" i="21"/>
  <c r="DQ33" i="21"/>
  <c r="DS33" i="21" s="1"/>
  <c r="EH21" i="21"/>
  <c r="EF33" i="21"/>
  <c r="FO21" i="21"/>
  <c r="FM33" i="21"/>
  <c r="EQ33" i="21"/>
  <c r="GJ21" i="21"/>
  <c r="GH33" i="21"/>
  <c r="HE33" i="21" s="1"/>
  <c r="DK33" i="21"/>
  <c r="DM21" i="21"/>
  <c r="GG33" i="21"/>
  <c r="FL33" i="21"/>
  <c r="FU33" i="21"/>
  <c r="ER33" i="21"/>
  <c r="ET21" i="21"/>
  <c r="DB33" i="21"/>
  <c r="DD21" i="21"/>
  <c r="EL33" i="21"/>
  <c r="EN21" i="21"/>
  <c r="GA33" i="21"/>
  <c r="EE33" i="21"/>
  <c r="FA33" i="21"/>
  <c r="FC21" i="21"/>
  <c r="AG49" i="15"/>
  <c r="BD49" i="15"/>
  <c r="ER34" i="21"/>
  <c r="EU34" i="21"/>
  <c r="EW22" i="21"/>
  <c r="BG49" i="15"/>
  <c r="BH49" i="15"/>
  <c r="FP34" i="21"/>
  <c r="FR22" i="21"/>
  <c r="AI49" i="15"/>
  <c r="AV49" i="15"/>
  <c r="AJ49" i="15"/>
  <c r="AD49" i="15"/>
  <c r="EX34" i="21"/>
  <c r="EZ22" i="21"/>
  <c r="FA22" i="21"/>
  <c r="DN34" i="21"/>
  <c r="DP34" i="21" s="1"/>
  <c r="DQ22" i="21"/>
  <c r="DP22" i="21"/>
  <c r="EK22" i="21"/>
  <c r="EL22" i="21"/>
  <c r="EI34" i="21"/>
  <c r="GE34" i="21"/>
  <c r="HB34" i="21" s="1"/>
  <c r="GH22" i="21"/>
  <c r="HE22" i="21" s="1"/>
  <c r="GG22" i="21"/>
  <c r="EB22" i="21"/>
  <c r="DE34" i="21"/>
  <c r="DG34" i="21" s="1"/>
  <c r="DG22" i="21"/>
  <c r="FV22" i="21"/>
  <c r="GS22" i="21" s="1"/>
  <c r="FS34" i="21"/>
  <c r="FU22" i="21"/>
  <c r="CY34" i="21"/>
  <c r="DA34" i="21" s="1"/>
  <c r="DA22" i="21"/>
  <c r="DB22" i="21"/>
  <c r="DZ34" i="21"/>
  <c r="GB22" i="21"/>
  <c r="GY22" i="21" s="1"/>
  <c r="GA22" i="21"/>
  <c r="FY34" i="21"/>
  <c r="GV34" i="21" s="1"/>
  <c r="EE22" i="21"/>
  <c r="EF22" i="21"/>
  <c r="EC34" i="21"/>
  <c r="EE34" i="21" s="1"/>
  <c r="DT34" i="21"/>
  <c r="DV22" i="21"/>
  <c r="DW22" i="21"/>
  <c r="DM22" i="21"/>
  <c r="DK34" i="21"/>
  <c r="DM34" i="21" s="1"/>
  <c r="FM22" i="21"/>
  <c r="FJ34" i="21"/>
  <c r="FL34" i="21" s="1"/>
  <c r="FL22" i="21"/>
  <c r="FD34" i="21"/>
  <c r="FG22" i="21"/>
  <c r="FF22" i="21"/>
  <c r="BD6" i="15"/>
  <c r="AU6" i="15"/>
  <c r="U5" i="15"/>
  <c r="U6" i="15"/>
  <c r="BH5" i="15"/>
  <c r="BE5" i="15"/>
  <c r="BB5" i="15"/>
  <c r="AV5" i="15"/>
  <c r="AS5" i="15"/>
  <c r="AP5" i="15"/>
  <c r="AM5" i="15"/>
  <c r="AJ5" i="15"/>
  <c r="AG5" i="15"/>
  <c r="AD5" i="15"/>
  <c r="AA5" i="15"/>
  <c r="X5" i="15"/>
  <c r="R5" i="15"/>
  <c r="BH6" i="15"/>
  <c r="BE6" i="15"/>
  <c r="BB6" i="15"/>
  <c r="AV6" i="15"/>
  <c r="AS6" i="15"/>
  <c r="AP6" i="15"/>
  <c r="AM6" i="15"/>
  <c r="AJ6" i="15"/>
  <c r="AG6" i="15"/>
  <c r="AD6" i="15"/>
  <c r="AA6" i="15"/>
  <c r="X6" i="15"/>
  <c r="R6" i="15"/>
  <c r="HH34" i="21" l="1"/>
  <c r="GP34" i="21"/>
  <c r="GS33" i="21"/>
  <c r="HN22" i="21"/>
  <c r="GQ34" i="21"/>
  <c r="HN34" i="21" s="1"/>
  <c r="FR34" i="21"/>
  <c r="GM34" i="21"/>
  <c r="FC33" i="21"/>
  <c r="GD33" i="21"/>
  <c r="GY33" i="21"/>
  <c r="FO33" i="21"/>
  <c r="ET33" i="21"/>
  <c r="GJ33" i="21"/>
  <c r="DY33" i="21"/>
  <c r="FI33" i="21"/>
  <c r="EN33" i="21"/>
  <c r="EH33" i="21"/>
  <c r="FX33" i="21"/>
  <c r="FF34" i="21"/>
  <c r="DV34" i="21"/>
  <c r="EB34" i="21"/>
  <c r="FI22" i="21"/>
  <c r="FG34" i="21"/>
  <c r="EZ34" i="21"/>
  <c r="EQ34" i="21"/>
  <c r="FO22" i="21"/>
  <c r="FM34" i="21"/>
  <c r="FO34" i="21" s="1"/>
  <c r="EF34" i="21"/>
  <c r="EH34" i="21" s="1"/>
  <c r="EH22" i="21"/>
  <c r="GA34" i="21"/>
  <c r="EK34" i="21"/>
  <c r="EW34" i="21"/>
  <c r="DW34" i="21"/>
  <c r="ET34" i="21" s="1"/>
  <c r="DY22" i="21"/>
  <c r="EN22" i="21"/>
  <c r="EL34" i="21"/>
  <c r="FC22" i="21"/>
  <c r="FA34" i="21"/>
  <c r="ET22" i="21"/>
  <c r="GD22" i="21"/>
  <c r="GB34" i="21"/>
  <c r="GY34" i="21" s="1"/>
  <c r="DB34" i="21"/>
  <c r="DD34" i="21" s="1"/>
  <c r="DD22" i="21"/>
  <c r="FU34" i="21"/>
  <c r="GJ22" i="21"/>
  <c r="GH34" i="21"/>
  <c r="HE34" i="21" s="1"/>
  <c r="FX22" i="21"/>
  <c r="FV34" i="21"/>
  <c r="GG34" i="21"/>
  <c r="DS22" i="21"/>
  <c r="DQ34" i="21"/>
  <c r="DS34" i="21" s="1"/>
  <c r="GS34" i="21" l="1"/>
  <c r="EN34" i="21"/>
  <c r="FX34" i="21"/>
  <c r="FC34" i="21"/>
  <c r="DY34" i="21"/>
  <c r="GD34" i="21"/>
  <c r="FI34" i="21"/>
  <c r="GJ34" i="21"/>
  <c r="DY6" i="16"/>
  <c r="DY5" i="16"/>
  <c r="EH6" i="16"/>
  <c r="EJ6" i="16" s="1"/>
  <c r="EH5" i="16"/>
  <c r="EJ5" i="16" s="1"/>
  <c r="EN6" i="16"/>
  <c r="EP6" i="16" s="1"/>
  <c r="EN5" i="16"/>
  <c r="EO5" i="16" s="1"/>
  <c r="FI6" i="16"/>
  <c r="FI5" i="16"/>
  <c r="FJ5" i="16" s="1"/>
  <c r="FC6" i="16"/>
  <c r="FC5" i="16"/>
  <c r="FX6" i="16"/>
  <c r="FY6" i="16" s="1"/>
  <c r="FX5" i="16"/>
  <c r="FY5" i="16" s="1"/>
  <c r="HN6" i="16"/>
  <c r="IK6" i="16" s="1"/>
  <c r="HN5" i="16"/>
  <c r="IK5" i="16" s="1"/>
  <c r="GS6" i="16"/>
  <c r="GS5" i="16"/>
  <c r="GD6" i="16"/>
  <c r="HA6" i="16" s="1"/>
  <c r="GD5" i="16"/>
  <c r="HA5" i="16" s="1"/>
  <c r="HW4" i="16"/>
  <c r="IT4" i="16" s="1"/>
  <c r="HT4" i="16"/>
  <c r="HH4" i="16"/>
  <c r="HB4" i="16"/>
  <c r="GY4" i="16"/>
  <c r="GV4" i="16"/>
  <c r="HS4" i="16" s="1"/>
  <c r="GP4" i="16"/>
  <c r="GM4" i="16"/>
  <c r="GG4" i="16"/>
  <c r="GH4" i="16" s="1"/>
  <c r="GA4" i="16"/>
  <c r="FU4" i="16"/>
  <c r="FR4" i="16"/>
  <c r="FL4" i="16"/>
  <c r="FM4" i="16" s="1"/>
  <c r="FF4" i="16"/>
  <c r="EW4" i="16"/>
  <c r="EX4" i="16" s="1"/>
  <c r="ET4" i="16"/>
  <c r="EQ4" i="16"/>
  <c r="EK4" i="16"/>
  <c r="EE4" i="16"/>
  <c r="EB4" i="16"/>
  <c r="DV4" i="16"/>
  <c r="DS4" i="16"/>
  <c r="DM4" i="16"/>
  <c r="DN4" i="16" s="1"/>
  <c r="DG4" i="16"/>
  <c r="DA4" i="16"/>
  <c r="DB4" i="16" s="1"/>
  <c r="CX4" i="16"/>
  <c r="CR4" i="16"/>
  <c r="CL4" i="16"/>
  <c r="CF4" i="16"/>
  <c r="CG4" i="16" s="1"/>
  <c r="CC4" i="16"/>
  <c r="CD4" i="16" s="1"/>
  <c r="BW4" i="16"/>
  <c r="BX4" i="16" s="1"/>
  <c r="BQ4" i="16"/>
  <c r="BR4" i="16" s="1"/>
  <c r="BK4" i="16"/>
  <c r="BB4" i="16"/>
  <c r="BC4" i="16" s="1"/>
  <c r="AV4" i="16"/>
  <c r="AW4" i="16" s="1"/>
  <c r="AP4" i="16"/>
  <c r="AM4" i="16"/>
  <c r="AN4" i="16" s="1"/>
  <c r="AG4" i="16"/>
  <c r="AA4" i="16"/>
  <c r="BH4" i="16"/>
  <c r="BI4" i="16" s="1"/>
  <c r="U4" i="16"/>
  <c r="V4" i="16" s="1"/>
  <c r="R4" i="16"/>
  <c r="N4" i="16"/>
  <c r="O4" i="16" s="1"/>
  <c r="J4" i="16"/>
  <c r="K4" i="16" s="1"/>
  <c r="F4" i="16"/>
  <c r="D4" i="16"/>
  <c r="CI6" i="16"/>
  <c r="CI5" i="16"/>
  <c r="BN6" i="16"/>
  <c r="BT6" i="16" s="1"/>
  <c r="AS6" i="16"/>
  <c r="AY6" i="16" s="1"/>
  <c r="BE6" i="16" s="1"/>
  <c r="GR6" i="16"/>
  <c r="HZ6" i="16"/>
  <c r="HY6" i="16"/>
  <c r="HX6" i="16"/>
  <c r="HV6" i="16"/>
  <c r="HU6" i="16"/>
  <c r="HJ6" i="16"/>
  <c r="HI6" i="16"/>
  <c r="HE6" i="16"/>
  <c r="HD6" i="16"/>
  <c r="HC6" i="16"/>
  <c r="GZ6" i="16"/>
  <c r="GO6" i="16"/>
  <c r="GN6" i="16"/>
  <c r="GI6" i="16"/>
  <c r="GH6" i="16"/>
  <c r="GB6" i="16"/>
  <c r="FV6" i="16"/>
  <c r="FT6" i="16"/>
  <c r="FS6" i="16"/>
  <c r="FN6" i="16"/>
  <c r="FM6" i="16"/>
  <c r="FD6" i="16"/>
  <c r="EY6" i="16"/>
  <c r="EX6" i="16"/>
  <c r="ES6" i="16"/>
  <c r="ER6" i="16"/>
  <c r="EL6" i="16"/>
  <c r="ED6" i="16"/>
  <c r="EC6" i="16"/>
  <c r="DX6" i="16"/>
  <c r="DW6" i="16"/>
  <c r="DU6" i="16"/>
  <c r="DT6" i="16"/>
  <c r="DO6" i="16"/>
  <c r="DN6" i="16"/>
  <c r="DI6" i="16"/>
  <c r="DH6" i="16"/>
  <c r="DD6" i="16"/>
  <c r="DJ6" i="16" s="1"/>
  <c r="DP6" i="16" s="1"/>
  <c r="DQ6" i="16" s="1"/>
  <c r="DC6" i="16"/>
  <c r="DB6" i="16"/>
  <c r="CZ6" i="16"/>
  <c r="CY6" i="16"/>
  <c r="CT6" i="16"/>
  <c r="CS6" i="16"/>
  <c r="CN6" i="16"/>
  <c r="CM6" i="16"/>
  <c r="CH6" i="16"/>
  <c r="CG6" i="16"/>
  <c r="CE6" i="16"/>
  <c r="CD6" i="16"/>
  <c r="BY6" i="16"/>
  <c r="BX6" i="16"/>
  <c r="BS6" i="16"/>
  <c r="BR6" i="16"/>
  <c r="BM6" i="16"/>
  <c r="BL6" i="16"/>
  <c r="BJ6" i="16"/>
  <c r="BI6" i="16"/>
  <c r="BD6" i="16"/>
  <c r="BC6" i="16"/>
  <c r="AX6" i="16"/>
  <c r="AW6" i="16"/>
  <c r="AR6" i="16"/>
  <c r="AQ6" i="16"/>
  <c r="AO6" i="16"/>
  <c r="AN6" i="16"/>
  <c r="AI6" i="16"/>
  <c r="AH6" i="16"/>
  <c r="AC6" i="16"/>
  <c r="AB6" i="16"/>
  <c r="X6" i="16"/>
  <c r="W6" i="16"/>
  <c r="V6" i="16"/>
  <c r="T6" i="16"/>
  <c r="S6" i="16"/>
  <c r="O6" i="16"/>
  <c r="K6" i="16"/>
  <c r="H6" i="16"/>
  <c r="L6" i="16" s="1"/>
  <c r="G6" i="16"/>
  <c r="E6" i="16"/>
  <c r="HZ5" i="16"/>
  <c r="HY5" i="16"/>
  <c r="HX5" i="16"/>
  <c r="HV5" i="16"/>
  <c r="HU5" i="16"/>
  <c r="HJ5" i="16"/>
  <c r="HI5" i="16"/>
  <c r="HE5" i="16"/>
  <c r="HD5" i="16"/>
  <c r="HC5" i="16"/>
  <c r="GZ5" i="16"/>
  <c r="GX5" i="16"/>
  <c r="GW5" i="16"/>
  <c r="GO5" i="16"/>
  <c r="GN5" i="16"/>
  <c r="GI5" i="16"/>
  <c r="GH5" i="16"/>
  <c r="GB5" i="16"/>
  <c r="FV5" i="16"/>
  <c r="FT5" i="16"/>
  <c r="FS5" i="16"/>
  <c r="FO4" i="16"/>
  <c r="FN5" i="16"/>
  <c r="FM5" i="16"/>
  <c r="FD5" i="16"/>
  <c r="EY5" i="16"/>
  <c r="EX5" i="16"/>
  <c r="ES5" i="16"/>
  <c r="ER5" i="16"/>
  <c r="EL5" i="16"/>
  <c r="ED5" i="16"/>
  <c r="EC5" i="16"/>
  <c r="DX5" i="16"/>
  <c r="DW5" i="16"/>
  <c r="DU5" i="16"/>
  <c r="DT5" i="16"/>
  <c r="DO5" i="16"/>
  <c r="DN5" i="16"/>
  <c r="DI5" i="16"/>
  <c r="DH5" i="16"/>
  <c r="DD5" i="16"/>
  <c r="DC5" i="16"/>
  <c r="DB5" i="16"/>
  <c r="CZ5" i="16"/>
  <c r="CY5" i="16"/>
  <c r="CT5" i="16"/>
  <c r="CS5" i="16"/>
  <c r="CN5" i="16"/>
  <c r="CM5" i="16"/>
  <c r="CH5" i="16"/>
  <c r="CG5" i="16"/>
  <c r="CE5" i="16"/>
  <c r="CD5" i="16"/>
  <c r="BY5" i="16"/>
  <c r="BX5" i="16"/>
  <c r="BS5" i="16"/>
  <c r="BR5" i="16"/>
  <c r="BN5" i="16"/>
  <c r="BM5" i="16"/>
  <c r="BL5" i="16"/>
  <c r="BJ5" i="16"/>
  <c r="BI5" i="16"/>
  <c r="BD5" i="16"/>
  <c r="BC5" i="16"/>
  <c r="AX5" i="16"/>
  <c r="AW5" i="16"/>
  <c r="AS5" i="16"/>
  <c r="AR5" i="16"/>
  <c r="AQ5" i="16"/>
  <c r="AO5" i="16"/>
  <c r="AN5" i="16"/>
  <c r="AI5" i="16"/>
  <c r="AH5" i="16"/>
  <c r="AC5" i="16"/>
  <c r="AB5" i="16"/>
  <c r="X5" i="16"/>
  <c r="W5" i="16"/>
  <c r="V5" i="16"/>
  <c r="T5" i="16"/>
  <c r="S5" i="16"/>
  <c r="O5" i="16"/>
  <c r="K5" i="16"/>
  <c r="H5" i="16"/>
  <c r="L5" i="16" s="1"/>
  <c r="G5" i="16"/>
  <c r="E5" i="16"/>
  <c r="EO6" i="16" l="1"/>
  <c r="HO6" i="16"/>
  <c r="GE6" i="16"/>
  <c r="GU5" i="16"/>
  <c r="EN4" i="16"/>
  <c r="EO4" i="16" s="1"/>
  <c r="EP5" i="16"/>
  <c r="HP6" i="16"/>
  <c r="FK6" i="16"/>
  <c r="T4" i="16"/>
  <c r="DD4" i="16"/>
  <c r="FE6" i="16"/>
  <c r="BN4" i="16"/>
  <c r="FT4" i="16"/>
  <c r="GD4" i="16"/>
  <c r="GE4" i="16" s="1"/>
  <c r="FC4" i="16"/>
  <c r="FD4" i="16" s="1"/>
  <c r="DY4" i="16"/>
  <c r="AI4" i="16"/>
  <c r="GT5" i="16"/>
  <c r="EL4" i="16"/>
  <c r="BT5" i="16"/>
  <c r="BT4" i="16" s="1"/>
  <c r="CH4" i="16"/>
  <c r="AS4" i="16"/>
  <c r="CI4" i="16"/>
  <c r="HN4" i="16"/>
  <c r="IK4" i="16" s="1"/>
  <c r="IW6" i="16"/>
  <c r="IF6" i="16"/>
  <c r="HU4" i="16"/>
  <c r="IQ4" i="16"/>
  <c r="EI5" i="16"/>
  <c r="FZ5" i="16"/>
  <c r="Z6" i="16"/>
  <c r="GS4" i="16"/>
  <c r="GT4" i="16" s="1"/>
  <c r="HI4" i="16"/>
  <c r="IE4" i="16"/>
  <c r="E4" i="16"/>
  <c r="FK5" i="16"/>
  <c r="IW5" i="16"/>
  <c r="IF5" i="16"/>
  <c r="JC5" i="16" s="1"/>
  <c r="GT6" i="16"/>
  <c r="EH4" i="16"/>
  <c r="GF5" i="16"/>
  <c r="X4" i="16"/>
  <c r="GE5" i="16"/>
  <c r="FZ6" i="16"/>
  <c r="GU6" i="16"/>
  <c r="CO5" i="16"/>
  <c r="CU5" i="16" s="1"/>
  <c r="AC4" i="16"/>
  <c r="CN4" i="16"/>
  <c r="EY4" i="16"/>
  <c r="P5" i="16"/>
  <c r="L4" i="16"/>
  <c r="FS4" i="16"/>
  <c r="DW4" i="16"/>
  <c r="EM6" i="16"/>
  <c r="ER4" i="16"/>
  <c r="EI6" i="16"/>
  <c r="H4" i="16"/>
  <c r="FX4" i="16"/>
  <c r="FY4" i="16" s="1"/>
  <c r="HP5" i="16"/>
  <c r="DU4" i="16"/>
  <c r="HO5" i="16"/>
  <c r="GF6" i="16"/>
  <c r="HZ4" i="16"/>
  <c r="IW4" i="16" s="1"/>
  <c r="FJ6" i="16"/>
  <c r="FI4" i="16"/>
  <c r="FJ4" i="16" s="1"/>
  <c r="FE5" i="16"/>
  <c r="EZ4" i="16"/>
  <c r="GJ4" i="16"/>
  <c r="HE4" i="16"/>
  <c r="EJ4" i="16"/>
  <c r="ED4" i="16"/>
  <c r="DX4" i="16"/>
  <c r="EV6" i="16"/>
  <c r="DT4" i="16"/>
  <c r="EA6" i="16"/>
  <c r="CM4" i="16"/>
  <c r="DC4" i="16"/>
  <c r="DF5" i="16"/>
  <c r="CK5" i="16"/>
  <c r="CE4" i="16"/>
  <c r="BS4" i="16"/>
  <c r="BJ4" i="16"/>
  <c r="BD4" i="16"/>
  <c r="AH4" i="16"/>
  <c r="AR4" i="16"/>
  <c r="AU6" i="16"/>
  <c r="AD6" i="16"/>
  <c r="AJ6" i="16" s="1"/>
  <c r="Z5" i="16"/>
  <c r="EP4" i="16"/>
  <c r="FQ6" i="16"/>
  <c r="FW6" i="16"/>
  <c r="FB6" i="16"/>
  <c r="GI4" i="16"/>
  <c r="FN4" i="16"/>
  <c r="HG6" i="16"/>
  <c r="GO4" i="16"/>
  <c r="GN4" i="16"/>
  <c r="AY5" i="16"/>
  <c r="AY4" i="16" s="1"/>
  <c r="BP5" i="16"/>
  <c r="AU5" i="16"/>
  <c r="HG5" i="16"/>
  <c r="CS4" i="16"/>
  <c r="DO4" i="16"/>
  <c r="CT4" i="16"/>
  <c r="HY4" i="16"/>
  <c r="HX4" i="16"/>
  <c r="EA5" i="16"/>
  <c r="CZ4" i="16"/>
  <c r="CY4" i="16"/>
  <c r="HD4" i="16"/>
  <c r="HC4" i="16"/>
  <c r="FQ5" i="16"/>
  <c r="BZ6" i="16"/>
  <c r="W4" i="16"/>
  <c r="G4" i="16"/>
  <c r="DI4" i="16"/>
  <c r="DH4" i="16"/>
  <c r="HK4" i="16"/>
  <c r="BP6" i="16"/>
  <c r="BM4" i="16"/>
  <c r="ES4" i="16"/>
  <c r="S4" i="16"/>
  <c r="AB4" i="16"/>
  <c r="AQ4" i="16"/>
  <c r="BL4" i="16"/>
  <c r="HJ4" i="16"/>
  <c r="AD5" i="16"/>
  <c r="DJ5" i="16"/>
  <c r="EC4" i="16"/>
  <c r="EV5" i="16"/>
  <c r="GL5" i="16"/>
  <c r="CO6" i="16"/>
  <c r="GL6" i="16"/>
  <c r="AO4" i="16"/>
  <c r="AX4" i="16"/>
  <c r="BY4" i="16"/>
  <c r="GB4" i="16"/>
  <c r="GZ4" i="16"/>
  <c r="HV4" i="16"/>
  <c r="IB5" i="16"/>
  <c r="P6" i="16"/>
  <c r="CK6" i="16"/>
  <c r="DF6" i="16"/>
  <c r="IB6" i="16"/>
  <c r="CK4" i="16" l="1"/>
  <c r="FE4" i="16"/>
  <c r="EI4" i="16"/>
  <c r="CO4" i="16"/>
  <c r="HA4" i="16"/>
  <c r="HO4" i="16"/>
  <c r="FZ4" i="16"/>
  <c r="IH6" i="16"/>
  <c r="JC6" i="16"/>
  <c r="HP4" i="16"/>
  <c r="IF4" i="16"/>
  <c r="JC4" i="16" s="1"/>
  <c r="IH5" i="16"/>
  <c r="AD4" i="16"/>
  <c r="AJ5" i="16"/>
  <c r="AJ4" i="16" s="1"/>
  <c r="GU4" i="16"/>
  <c r="DP5" i="16"/>
  <c r="DJ4" i="16"/>
  <c r="BV5" i="16"/>
  <c r="P4" i="16"/>
  <c r="FK4" i="16"/>
  <c r="GF4" i="16"/>
  <c r="FH6" i="16"/>
  <c r="EG6" i="16"/>
  <c r="EV4" i="16"/>
  <c r="EA4" i="16"/>
  <c r="DF4" i="16"/>
  <c r="BZ5" i="16"/>
  <c r="CQ5" i="16"/>
  <c r="AL6" i="16"/>
  <c r="AF6" i="16"/>
  <c r="GX6" i="16"/>
  <c r="GW6" i="16"/>
  <c r="GR5" i="16"/>
  <c r="AU4" i="16"/>
  <c r="CQ6" i="16"/>
  <c r="CU6" i="16"/>
  <c r="CU4" i="16" s="1"/>
  <c r="DL6" i="16"/>
  <c r="DL5" i="16"/>
  <c r="HM5" i="16"/>
  <c r="GC6" i="16"/>
  <c r="BA6" i="16"/>
  <c r="CB6" i="16"/>
  <c r="FB5" i="16"/>
  <c r="FW5" i="16"/>
  <c r="AF5" i="16"/>
  <c r="FQ4" i="16"/>
  <c r="BA5" i="16"/>
  <c r="BE5" i="16"/>
  <c r="BE4" i="16" s="1"/>
  <c r="Z4" i="16"/>
  <c r="IB4" i="16"/>
  <c r="HG4" i="16"/>
  <c r="HM6" i="16"/>
  <c r="FV4" i="16"/>
  <c r="BP4" i="16"/>
  <c r="BV6" i="16"/>
  <c r="EG5" i="16"/>
  <c r="GL4" i="16"/>
  <c r="IH4" i="16" l="1"/>
  <c r="CW5" i="16"/>
  <c r="BZ4" i="16"/>
  <c r="EM5" i="16"/>
  <c r="EM4" i="16" s="1"/>
  <c r="DP4" i="16"/>
  <c r="DQ4" i="16" s="1"/>
  <c r="DQ5" i="16"/>
  <c r="DR5" i="16"/>
  <c r="EG4" i="16"/>
  <c r="HS6" i="16"/>
  <c r="BA4" i="16"/>
  <c r="AL5" i="16"/>
  <c r="DR6" i="16"/>
  <c r="CW6" i="16"/>
  <c r="HM4" i="16"/>
  <c r="BG5" i="16"/>
  <c r="AF4" i="16"/>
  <c r="FB4" i="16"/>
  <c r="FH5" i="16"/>
  <c r="GC5" i="16"/>
  <c r="CB5" i="16"/>
  <c r="BG6" i="16"/>
  <c r="BV4" i="16"/>
  <c r="HS5" i="16"/>
  <c r="GR4" i="16"/>
  <c r="CQ4" i="16"/>
  <c r="FW4" i="16"/>
  <c r="DL4" i="16"/>
  <c r="GW4" i="16" l="1"/>
  <c r="GX4" i="16"/>
  <c r="FH4" i="16"/>
  <c r="GC4" i="16"/>
  <c r="BG4" i="16"/>
  <c r="CW4" i="16"/>
  <c r="DR4" i="16"/>
  <c r="AL4" i="16"/>
  <c r="CB4" i="16"/>
  <c r="CD58" i="4" l="1"/>
  <c r="CD56" i="4"/>
  <c r="CD47" i="4"/>
  <c r="CD45" i="4"/>
  <c r="CD36" i="4"/>
  <c r="CD34" i="4"/>
  <c r="CE34" i="4" s="1"/>
  <c r="EK13" i="15"/>
  <c r="EK12" i="15"/>
  <c r="EK11" i="15"/>
  <c r="EK10" i="15"/>
  <c r="EI8" i="15"/>
  <c r="EW8" i="15" s="1"/>
  <c r="EW7" i="15"/>
  <c r="HX34" i="16"/>
  <c r="HX33" i="16"/>
  <c r="HX31" i="16"/>
  <c r="HX30" i="16"/>
  <c r="HX28" i="16"/>
  <c r="HX27" i="16"/>
  <c r="HX26" i="16"/>
  <c r="HX25" i="16"/>
  <c r="HX24" i="16"/>
  <c r="HX23" i="16"/>
  <c r="HX22" i="16"/>
  <c r="HX21" i="16"/>
  <c r="HX20" i="16"/>
  <c r="HX19" i="16"/>
  <c r="HX18" i="16"/>
  <c r="HX17" i="16"/>
  <c r="HX16" i="16"/>
  <c r="HX12" i="16"/>
  <c r="HX11" i="16"/>
  <c r="HX9" i="16"/>
  <c r="HX8" i="16"/>
  <c r="HZ37" i="16"/>
  <c r="HZ34" i="16"/>
  <c r="IF34" i="16" s="1"/>
  <c r="HZ33" i="16"/>
  <c r="HY33" i="16"/>
  <c r="IA31" i="16"/>
  <c r="HZ30" i="16"/>
  <c r="HY30" i="16"/>
  <c r="IA28" i="16"/>
  <c r="HZ27" i="16"/>
  <c r="HY27" i="16"/>
  <c r="IA26" i="16"/>
  <c r="HZ25" i="16"/>
  <c r="HY25" i="16"/>
  <c r="HZ24" i="16"/>
  <c r="HY24" i="16"/>
  <c r="HZ23" i="16"/>
  <c r="HY23" i="16"/>
  <c r="HZ22" i="16"/>
  <c r="HY22" i="16"/>
  <c r="HZ21" i="16"/>
  <c r="HY21" i="16"/>
  <c r="HZ20" i="16"/>
  <c r="HY20" i="16"/>
  <c r="HZ19" i="16"/>
  <c r="HY19" i="16"/>
  <c r="HZ18" i="16"/>
  <c r="HY18" i="16"/>
  <c r="HZ17" i="16"/>
  <c r="HY17" i="16"/>
  <c r="HZ16" i="16"/>
  <c r="HY16" i="16"/>
  <c r="HW15" i="16"/>
  <c r="HX14" i="16"/>
  <c r="HZ12" i="16"/>
  <c r="HY12" i="16"/>
  <c r="HZ11" i="16"/>
  <c r="HY11" i="16"/>
  <c r="HW10" i="16"/>
  <c r="HZ9" i="16"/>
  <c r="HY9" i="16"/>
  <c r="HZ8" i="16"/>
  <c r="HY8" i="16"/>
  <c r="HW7" i="16"/>
  <c r="EE61" i="17"/>
  <c r="EE50" i="17"/>
  <c r="EG35" i="17"/>
  <c r="EE32" i="17"/>
  <c r="ES32" i="17" s="1"/>
  <c r="EE18" i="17"/>
  <c r="EE7" i="17"/>
  <c r="ES18" i="17" l="1"/>
  <c r="ES61" i="17"/>
  <c r="IW11" i="16"/>
  <c r="IF11" i="16"/>
  <c r="JC11" i="16" s="1"/>
  <c r="IW19" i="16"/>
  <c r="IF19" i="16"/>
  <c r="JC19" i="16" s="1"/>
  <c r="IW21" i="16"/>
  <c r="IF21" i="16"/>
  <c r="JC21" i="16" s="1"/>
  <c r="IW23" i="16"/>
  <c r="IF23" i="16"/>
  <c r="JC23" i="16" s="1"/>
  <c r="IW33" i="16"/>
  <c r="IF33" i="16"/>
  <c r="JC33" i="16" s="1"/>
  <c r="HX10" i="16"/>
  <c r="IT10" i="16"/>
  <c r="IW12" i="16"/>
  <c r="IF12" i="16"/>
  <c r="JC12" i="16" s="1"/>
  <c r="IF16" i="16"/>
  <c r="JC16" i="16" s="1"/>
  <c r="IW16" i="16"/>
  <c r="IW18" i="16"/>
  <c r="IF18" i="16"/>
  <c r="JC18" i="16" s="1"/>
  <c r="IW20" i="16"/>
  <c r="IF20" i="16"/>
  <c r="JC20" i="16" s="1"/>
  <c r="IW22" i="16"/>
  <c r="IF22" i="16"/>
  <c r="JC22" i="16" s="1"/>
  <c r="IW24" i="16"/>
  <c r="IF24" i="16"/>
  <c r="JC24" i="16" s="1"/>
  <c r="IF30" i="16"/>
  <c r="JC30" i="16" s="1"/>
  <c r="IW30" i="16"/>
  <c r="ES7" i="17"/>
  <c r="ES50" i="17"/>
  <c r="IW27" i="16"/>
  <c r="IF27" i="16"/>
  <c r="JC27" i="16" s="1"/>
  <c r="IW9" i="16"/>
  <c r="IF9" i="16"/>
  <c r="JC9" i="16" s="1"/>
  <c r="HX7" i="16"/>
  <c r="IT7" i="16"/>
  <c r="IW8" i="16"/>
  <c r="IF8" i="16"/>
  <c r="JC8" i="16" s="1"/>
  <c r="IF25" i="16"/>
  <c r="JC25" i="16" s="1"/>
  <c r="IW25" i="16"/>
  <c r="IF17" i="16"/>
  <c r="JC17" i="16" s="1"/>
  <c r="IW17" i="16"/>
  <c r="HX15" i="16"/>
  <c r="IT15" i="16"/>
  <c r="IA30" i="16"/>
  <c r="IA5" i="16"/>
  <c r="IA6" i="16"/>
  <c r="IA4" i="16"/>
  <c r="EI6" i="15"/>
  <c r="EW6" i="15" s="1"/>
  <c r="EI5" i="15"/>
  <c r="EJ9" i="15" s="1"/>
  <c r="IA9" i="16"/>
  <c r="IA17" i="16"/>
  <c r="IA21" i="16"/>
  <c r="IA25" i="16"/>
  <c r="IA18" i="16"/>
  <c r="IA22" i="16"/>
  <c r="IA27" i="16"/>
  <c r="IA33" i="16"/>
  <c r="IA11" i="16"/>
  <c r="IA19" i="16"/>
  <c r="IA23" i="16"/>
  <c r="IA34" i="16"/>
  <c r="IA8" i="16"/>
  <c r="IA12" i="16"/>
  <c r="IA16" i="16"/>
  <c r="IA20" i="16"/>
  <c r="IA24" i="16"/>
  <c r="HW13" i="16"/>
  <c r="EE6" i="17"/>
  <c r="EF32" i="17" s="1"/>
  <c r="EE31" i="17"/>
  <c r="ES31" i="17" s="1"/>
  <c r="EF7" i="17" l="1"/>
  <c r="EF18" i="17"/>
  <c r="IG17" i="16"/>
  <c r="EF50" i="17"/>
  <c r="IL18" i="16"/>
  <c r="JI18" i="16" s="1"/>
  <c r="IL12" i="16"/>
  <c r="JI12" i="16" s="1"/>
  <c r="IL11" i="16"/>
  <c r="JI11" i="16" s="1"/>
  <c r="EW5" i="15"/>
  <c r="GN20" i="21"/>
  <c r="IL24" i="16"/>
  <c r="JI24" i="16" s="1"/>
  <c r="IL20" i="16"/>
  <c r="JI20" i="16" s="1"/>
  <c r="IL23" i="16"/>
  <c r="JI23" i="16" s="1"/>
  <c r="ES6" i="17"/>
  <c r="EF67" i="17"/>
  <c r="EF63" i="17"/>
  <c r="EF59" i="17"/>
  <c r="EF52" i="17"/>
  <c r="EF48" i="17"/>
  <c r="EF44" i="17"/>
  <c r="EF39" i="17"/>
  <c r="EF34" i="17"/>
  <c r="EF26" i="17"/>
  <c r="EF20" i="17"/>
  <c r="EF16" i="17"/>
  <c r="EF12" i="17"/>
  <c r="EF66" i="17"/>
  <c r="EF62" i="17"/>
  <c r="EF56" i="17"/>
  <c r="EF51" i="17"/>
  <c r="EF47" i="17"/>
  <c r="EF43" i="17"/>
  <c r="EF38" i="17"/>
  <c r="EF33" i="17"/>
  <c r="EF25" i="17"/>
  <c r="EF19" i="17"/>
  <c r="EF15" i="17"/>
  <c r="EF11" i="17"/>
  <c r="EF65" i="17"/>
  <c r="EF55" i="17"/>
  <c r="EF46" i="17"/>
  <c r="EF42" i="17"/>
  <c r="EF37" i="17"/>
  <c r="EF29" i="17"/>
  <c r="EF24" i="17"/>
  <c r="EF14" i="17"/>
  <c r="EF10" i="17"/>
  <c r="EF64" i="17"/>
  <c r="EF60" i="17"/>
  <c r="EF53" i="17"/>
  <c r="EF49" i="17"/>
  <c r="EF45" i="17"/>
  <c r="EF40" i="17"/>
  <c r="EF36" i="17"/>
  <c r="EF27" i="17"/>
  <c r="EF23" i="17"/>
  <c r="EF17" i="17"/>
  <c r="EF13" i="17"/>
  <c r="EF8" i="17"/>
  <c r="EF61" i="17"/>
  <c r="IG16" i="16"/>
  <c r="IG30" i="16"/>
  <c r="IG5" i="16"/>
  <c r="IG19" i="16"/>
  <c r="IG23" i="16"/>
  <c r="IG27" i="16"/>
  <c r="IG12" i="16"/>
  <c r="IG11" i="16"/>
  <c r="IG34" i="16"/>
  <c r="IG18" i="16"/>
  <c r="IG9" i="16"/>
  <c r="IG8" i="16"/>
  <c r="IG22" i="16"/>
  <c r="IG33" i="16"/>
  <c r="IG21" i="16"/>
  <c r="IG20" i="16"/>
  <c r="IG24" i="16"/>
  <c r="IG6" i="16"/>
  <c r="IG4" i="16"/>
  <c r="HX13" i="16"/>
  <c r="IT13" i="16"/>
  <c r="HW40" i="16"/>
  <c r="IT40" i="16" s="1"/>
  <c r="IG25" i="16"/>
  <c r="IH25" i="16"/>
  <c r="EF31" i="17"/>
  <c r="EJ15" i="15"/>
  <c r="EJ14" i="15"/>
  <c r="EJ8" i="15"/>
  <c r="EJ16" i="15"/>
  <c r="EJ7" i="15"/>
  <c r="EI49" i="15"/>
  <c r="EW49" i="15" s="1"/>
  <c r="EJ6" i="15"/>
  <c r="EI50" i="15"/>
  <c r="EW50" i="15" s="1"/>
  <c r="EJ11" i="15"/>
  <c r="EJ18" i="15"/>
  <c r="EJ12" i="15"/>
  <c r="EJ5" i="15"/>
  <c r="EJ17" i="15"/>
  <c r="EJ10" i="15"/>
  <c r="EJ13" i="15"/>
  <c r="HW29" i="16"/>
  <c r="EF6" i="17"/>
  <c r="EF35" i="17"/>
  <c r="IM23" i="16" l="1"/>
  <c r="IM24" i="16"/>
  <c r="IM12" i="16"/>
  <c r="IM11" i="16"/>
  <c r="IL14" i="16"/>
  <c r="JI14" i="16" s="1"/>
  <c r="IL10" i="16"/>
  <c r="JI10" i="16" s="1"/>
  <c r="IM20" i="16"/>
  <c r="GN32" i="21"/>
  <c r="HK32" i="21" s="1"/>
  <c r="HK20" i="21"/>
  <c r="GN23" i="21"/>
  <c r="GQ20" i="21"/>
  <c r="IM18" i="16"/>
  <c r="IL15" i="16"/>
  <c r="JI15" i="16" s="1"/>
  <c r="HX29" i="16"/>
  <c r="IT29" i="16"/>
  <c r="HX40" i="16"/>
  <c r="HW39" i="16"/>
  <c r="IT39" i="16" s="1"/>
  <c r="EJ49" i="15"/>
  <c r="EJ50" i="15"/>
  <c r="EJ47" i="15"/>
  <c r="HW32" i="16"/>
  <c r="HW35" i="16" s="1"/>
  <c r="HN20" i="21" l="1"/>
  <c r="GQ32" i="21"/>
  <c r="HN32" i="21" s="1"/>
  <c r="IM15" i="16"/>
  <c r="GQ23" i="21"/>
  <c r="HK23" i="21"/>
  <c r="GN35" i="21"/>
  <c r="HK35" i="21" s="1"/>
  <c r="IM10" i="16"/>
  <c r="IL13" i="16"/>
  <c r="JI13" i="16" s="1"/>
  <c r="IM14" i="16"/>
  <c r="HX32" i="16"/>
  <c r="IT32" i="16"/>
  <c r="HX39" i="16"/>
  <c r="IM13" i="16" l="1"/>
  <c r="IL40" i="16"/>
  <c r="JI40" i="16" s="1"/>
  <c r="IL29" i="16"/>
  <c r="JI29" i="16" s="1"/>
  <c r="HN23" i="21"/>
  <c r="GQ35" i="21"/>
  <c r="HN35" i="21" s="1"/>
  <c r="HX35" i="16"/>
  <c r="IT35" i="16"/>
  <c r="HW36" i="16"/>
  <c r="CC34" i="4"/>
  <c r="IM29" i="16" l="1"/>
  <c r="IL32" i="16"/>
  <c r="JI32" i="16" s="1"/>
  <c r="IL39" i="16"/>
  <c r="JI39" i="16" s="1"/>
  <c r="IM40" i="16"/>
  <c r="HX36" i="16"/>
  <c r="IT36" i="16"/>
  <c r="EH15" i="15"/>
  <c r="EH14" i="15"/>
  <c r="EH13" i="15"/>
  <c r="EH12" i="15"/>
  <c r="EH11" i="15"/>
  <c r="EH10" i="15"/>
  <c r="IL35" i="16" l="1"/>
  <c r="JI35" i="16" s="1"/>
  <c r="IM32" i="16"/>
  <c r="IM39" i="16"/>
  <c r="HV33" i="16"/>
  <c r="HV30" i="16"/>
  <c r="HV27" i="16"/>
  <c r="HV25" i="16"/>
  <c r="HV24" i="16"/>
  <c r="HV23" i="16"/>
  <c r="HV22" i="16"/>
  <c r="HV21" i="16"/>
  <c r="HV20" i="16"/>
  <c r="HV19" i="16"/>
  <c r="HV18" i="16"/>
  <c r="HV17" i="16"/>
  <c r="HV16" i="16"/>
  <c r="HV12" i="16"/>
  <c r="HV11" i="16"/>
  <c r="HV9" i="16"/>
  <c r="HV8" i="16"/>
  <c r="HU34" i="16"/>
  <c r="HU33" i="16"/>
  <c r="HU31" i="16"/>
  <c r="HU30" i="16"/>
  <c r="HU27" i="16"/>
  <c r="HU25" i="16"/>
  <c r="HU24" i="16"/>
  <c r="HU23" i="16"/>
  <c r="HU22" i="16"/>
  <c r="HU21" i="16"/>
  <c r="HU20" i="16"/>
  <c r="HU19" i="16"/>
  <c r="HU18" i="16"/>
  <c r="HU17" i="16"/>
  <c r="HU16" i="16"/>
  <c r="HU12" i="16"/>
  <c r="HU11" i="16"/>
  <c r="HI9" i="16"/>
  <c r="HU9" i="16"/>
  <c r="IM35" i="16" l="1"/>
  <c r="CD50" i="4"/>
  <c r="CD39" i="4"/>
  <c r="CD30" i="4"/>
  <c r="CD4" i="4"/>
  <c r="EF8" i="15"/>
  <c r="ET8" i="15" s="1"/>
  <c r="EF6" i="15" l="1"/>
  <c r="EF5" i="15"/>
  <c r="EG9" i="15" s="1"/>
  <c r="ET5" i="15" l="1"/>
  <c r="GK20" i="21"/>
  <c r="EF50" i="15"/>
  <c r="ET50" i="15" s="1"/>
  <c r="ET6" i="15"/>
  <c r="EF49" i="15"/>
  <c r="ET49" i="15" s="1"/>
  <c r="EG8" i="15"/>
  <c r="EG7" i="15"/>
  <c r="EG18" i="15"/>
  <c r="EG14" i="15"/>
  <c r="EG10" i="15"/>
  <c r="EG17" i="15"/>
  <c r="EG13" i="15"/>
  <c r="EG12" i="15"/>
  <c r="EG15" i="15"/>
  <c r="EG11" i="15"/>
  <c r="EG5" i="15"/>
  <c r="EG16" i="15"/>
  <c r="EG6" i="15"/>
  <c r="EG50" i="15" l="1"/>
  <c r="EG47" i="15"/>
  <c r="HH20" i="21"/>
  <c r="GK23" i="21"/>
  <c r="GK32" i="21"/>
  <c r="EG49" i="15"/>
  <c r="HH32" i="21" l="1"/>
  <c r="HH23" i="21"/>
  <c r="GK35" i="21"/>
  <c r="F37" i="5"/>
  <c r="HH35" i="21" l="1"/>
  <c r="CC58" i="4"/>
  <c r="CC56" i="4"/>
  <c r="CC50" i="4"/>
  <c r="CC45" i="4"/>
  <c r="CC39" i="4"/>
  <c r="CC36" i="4"/>
  <c r="CC30" i="4"/>
  <c r="CC11" i="4"/>
  <c r="CC4" i="4"/>
  <c r="ED67" i="17" l="1"/>
  <c r="ED52" i="17"/>
  <c r="HU8" i="16"/>
  <c r="ED66" i="17"/>
  <c r="ED65" i="17"/>
  <c r="ED64" i="17"/>
  <c r="ED62" i="17"/>
  <c r="EB61" i="17"/>
  <c r="EP61" i="17" s="1"/>
  <c r="ED60" i="17"/>
  <c r="ED56" i="17"/>
  <c r="ED55" i="17"/>
  <c r="ED53" i="17"/>
  <c r="ED51" i="17"/>
  <c r="EB50" i="17"/>
  <c r="EP50" i="17" s="1"/>
  <c r="ED49" i="17"/>
  <c r="ED47" i="17"/>
  <c r="ED46" i="17"/>
  <c r="ED45" i="17"/>
  <c r="ED44" i="17"/>
  <c r="ED43" i="17"/>
  <c r="ED42" i="17"/>
  <c r="ED40" i="17"/>
  <c r="ED39" i="17"/>
  <c r="ED38" i="17"/>
  <c r="ED36" i="17"/>
  <c r="ED34" i="17"/>
  <c r="ED35" i="17"/>
  <c r="ED33" i="17"/>
  <c r="ED29" i="17"/>
  <c r="ED27" i="17"/>
  <c r="ED26" i="17"/>
  <c r="ED24" i="17"/>
  <c r="ED23" i="17"/>
  <c r="ED20" i="17"/>
  <c r="ED19" i="17"/>
  <c r="EB18" i="17"/>
  <c r="EP18" i="17" s="1"/>
  <c r="ED17" i="17"/>
  <c r="ED16" i="17"/>
  <c r="ED15" i="17"/>
  <c r="ED14" i="17"/>
  <c r="ED13" i="17"/>
  <c r="ED12" i="17"/>
  <c r="ED10" i="17"/>
  <c r="ED8" i="17"/>
  <c r="EB7" i="17" l="1"/>
  <c r="EP7" i="17" s="1"/>
  <c r="EB32" i="17"/>
  <c r="EP32" i="17" s="1"/>
  <c r="HT15" i="16"/>
  <c r="HT14" i="16"/>
  <c r="HT10" i="16"/>
  <c r="HT7" i="16"/>
  <c r="HZ14" i="16" l="1"/>
  <c r="IF14" i="16" s="1"/>
  <c r="JC14" i="16" s="1"/>
  <c r="IQ14" i="16"/>
  <c r="HZ7" i="16"/>
  <c r="IW7" i="16" s="1"/>
  <c r="IQ7" i="16"/>
  <c r="HZ10" i="16"/>
  <c r="IA10" i="16" s="1"/>
  <c r="IQ10" i="16"/>
  <c r="HZ15" i="16"/>
  <c r="IA15" i="16" s="1"/>
  <c r="IQ15" i="16"/>
  <c r="HU14" i="16"/>
  <c r="HU7" i="16"/>
  <c r="HU10" i="16"/>
  <c r="HU15" i="16"/>
  <c r="EB31" i="17"/>
  <c r="EP31" i="17" s="1"/>
  <c r="EB6" i="17"/>
  <c r="EP6" i="17" s="1"/>
  <c r="HT13" i="16"/>
  <c r="HT29" i="16" s="1"/>
  <c r="IQ29" i="16" s="1"/>
  <c r="IW14" i="16" l="1"/>
  <c r="IA14" i="16"/>
  <c r="HZ13" i="16"/>
  <c r="IW13" i="16" s="1"/>
  <c r="IQ13" i="16"/>
  <c r="IF7" i="16"/>
  <c r="JC7" i="16" s="1"/>
  <c r="IA7" i="16"/>
  <c r="IW10" i="16"/>
  <c r="IF10" i="16"/>
  <c r="JC10" i="16" s="1"/>
  <c r="IG14" i="16"/>
  <c r="IF15" i="16"/>
  <c r="JC15" i="16" s="1"/>
  <c r="IW15" i="16"/>
  <c r="EC48" i="17"/>
  <c r="HT32" i="16"/>
  <c r="IQ32" i="16" s="1"/>
  <c r="HZ29" i="16"/>
  <c r="HT40" i="16"/>
  <c r="HU13" i="16"/>
  <c r="HU29" i="16"/>
  <c r="EC67" i="17"/>
  <c r="EC63" i="17"/>
  <c r="EC59" i="17"/>
  <c r="EC52" i="17"/>
  <c r="EC45" i="17"/>
  <c r="EC40" i="17"/>
  <c r="EC36" i="17"/>
  <c r="EC32" i="17"/>
  <c r="EC26" i="17"/>
  <c r="EC22" i="17"/>
  <c r="EC17" i="17"/>
  <c r="EC13" i="17"/>
  <c r="EC8" i="17"/>
  <c r="EC66" i="17"/>
  <c r="EC62" i="17"/>
  <c r="EC58" i="17"/>
  <c r="EC53" i="17"/>
  <c r="EC49" i="17"/>
  <c r="EC44" i="17"/>
  <c r="EC39" i="17"/>
  <c r="EC34" i="17"/>
  <c r="EC31" i="17"/>
  <c r="EC25" i="17"/>
  <c r="EC20" i="17"/>
  <c r="EC16" i="17"/>
  <c r="EC12" i="17"/>
  <c r="EC65" i="17"/>
  <c r="EC61" i="17"/>
  <c r="EC56" i="17"/>
  <c r="EC51" i="17"/>
  <c r="EC47" i="17"/>
  <c r="EC43" i="17"/>
  <c r="EC38" i="17"/>
  <c r="EC35" i="17"/>
  <c r="EC29" i="17"/>
  <c r="EC24" i="17"/>
  <c r="EC19" i="17"/>
  <c r="EC15" i="17"/>
  <c r="EC11" i="17"/>
  <c r="EC6" i="17"/>
  <c r="EC64" i="17"/>
  <c r="EC60" i="17"/>
  <c r="EC55" i="17"/>
  <c r="EC50" i="17"/>
  <c r="EC46" i="17"/>
  <c r="EC42" i="17"/>
  <c r="EC37" i="17"/>
  <c r="EC33" i="17"/>
  <c r="EC27" i="17"/>
  <c r="EC23" i="17"/>
  <c r="EC18" i="17"/>
  <c r="EC14" i="17"/>
  <c r="EC10" i="17"/>
  <c r="EC7" i="17"/>
  <c r="HZ40" i="16" l="1"/>
  <c r="IW40" i="16" s="1"/>
  <c r="IF13" i="16"/>
  <c r="JC13" i="16" s="1"/>
  <c r="IA13" i="16"/>
  <c r="IG15" i="16"/>
  <c r="IG7" i="16"/>
  <c r="IG10" i="16"/>
  <c r="IF29" i="16"/>
  <c r="JC29" i="16" s="1"/>
  <c r="IW29" i="16"/>
  <c r="GK17" i="21"/>
  <c r="GQ17" i="21" s="1"/>
  <c r="IQ40" i="16"/>
  <c r="IA29" i="16"/>
  <c r="HU40" i="16"/>
  <c r="HT35" i="16"/>
  <c r="HZ32" i="16"/>
  <c r="HT39" i="16"/>
  <c r="HU32" i="16"/>
  <c r="HZ39" i="16" l="1"/>
  <c r="IW39" i="16" s="1"/>
  <c r="IA40" i="16"/>
  <c r="IF40" i="16"/>
  <c r="JC40" i="16" s="1"/>
  <c r="IG13" i="16"/>
  <c r="IG29" i="16"/>
  <c r="GK14" i="21"/>
  <c r="IF32" i="16"/>
  <c r="JC32" i="16" s="1"/>
  <c r="IW32" i="16"/>
  <c r="HU39" i="16"/>
  <c r="IQ39" i="16"/>
  <c r="HZ35" i="16"/>
  <c r="IA35" i="16" s="1"/>
  <c r="IQ35" i="16"/>
  <c r="GQ14" i="21"/>
  <c r="GW17" i="21"/>
  <c r="IA32" i="16"/>
  <c r="HU35" i="16"/>
  <c r="BK56" i="4"/>
  <c r="AW45" i="4"/>
  <c r="AT45" i="4"/>
  <c r="BD45" i="4"/>
  <c r="BO58" i="4"/>
  <c r="BQ58" i="4"/>
  <c r="BZ58" i="4"/>
  <c r="BY58" i="4"/>
  <c r="BX58" i="4"/>
  <c r="BW58" i="4"/>
  <c r="BV58" i="4"/>
  <c r="CB58" i="4"/>
  <c r="IA39" i="16" l="1"/>
  <c r="IF39" i="16"/>
  <c r="JC39" i="16" s="1"/>
  <c r="IG40" i="16"/>
  <c r="IG32" i="16"/>
  <c r="IF35" i="16"/>
  <c r="JC35" i="16" s="1"/>
  <c r="IW35" i="16"/>
  <c r="HC17" i="21"/>
  <c r="HC14" i="21" s="1"/>
  <c r="GW14" i="21"/>
  <c r="HP33" i="16"/>
  <c r="HP30" i="16"/>
  <c r="HP27" i="16"/>
  <c r="HP25" i="16"/>
  <c r="HP24" i="16"/>
  <c r="HP23" i="16"/>
  <c r="HP22" i="16"/>
  <c r="HP21" i="16"/>
  <c r="HP20" i="16"/>
  <c r="HP19" i="16"/>
  <c r="HP18" i="16"/>
  <c r="HP17" i="16"/>
  <c r="HP16" i="16"/>
  <c r="HP12" i="16"/>
  <c r="HP11" i="16"/>
  <c r="HP9" i="16"/>
  <c r="HP8" i="16"/>
  <c r="HO18" i="16"/>
  <c r="HO17" i="16"/>
  <c r="HO16" i="16"/>
  <c r="HO12" i="16"/>
  <c r="HO11" i="16"/>
  <c r="HO9" i="16"/>
  <c r="HO8" i="16"/>
  <c r="HO19" i="16"/>
  <c r="HO20" i="16"/>
  <c r="HO21" i="16"/>
  <c r="HO22" i="16"/>
  <c r="HO23" i="16"/>
  <c r="HO24" i="16"/>
  <c r="HO25" i="16"/>
  <c r="HO26" i="16"/>
  <c r="HO27" i="16"/>
  <c r="HO28" i="16"/>
  <c r="HO30" i="16"/>
  <c r="HO31" i="16"/>
  <c r="HO33" i="16"/>
  <c r="HO34" i="16"/>
  <c r="EE15" i="15"/>
  <c r="EE14" i="15"/>
  <c r="EE13" i="15"/>
  <c r="EE12" i="15"/>
  <c r="EE11" i="15"/>
  <c r="EE10" i="15"/>
  <c r="IG39" i="16" l="1"/>
  <c r="IG35" i="16"/>
  <c r="BX16" i="4"/>
  <c r="BZ16" i="4" s="1"/>
  <c r="CB16" i="4" s="1"/>
  <c r="BX15" i="4"/>
  <c r="BZ15" i="4" s="1"/>
  <c r="CB15" i="4" s="1"/>
  <c r="BX14" i="4"/>
  <c r="BZ14" i="4" s="1"/>
  <c r="CB14" i="4" s="1"/>
  <c r="BX13" i="4"/>
  <c r="BZ13" i="4" s="1"/>
  <c r="CB13" i="4" s="1"/>
  <c r="BX12" i="4"/>
  <c r="BZ12" i="4" s="1"/>
  <c r="CA11" i="4"/>
  <c r="BY11" i="4"/>
  <c r="BW11" i="4"/>
  <c r="BV11" i="4"/>
  <c r="BQ16" i="4"/>
  <c r="BS16" i="4" s="1"/>
  <c r="BU16" i="4" s="1"/>
  <c r="BQ15" i="4"/>
  <c r="BS15" i="4" s="1"/>
  <c r="BU15" i="4" s="1"/>
  <c r="BQ14" i="4"/>
  <c r="BS14" i="4" s="1"/>
  <c r="BU14" i="4" s="1"/>
  <c r="BQ13" i="4"/>
  <c r="BS13" i="4" s="1"/>
  <c r="BU13" i="4" s="1"/>
  <c r="BQ12" i="4"/>
  <c r="BS12" i="4" s="1"/>
  <c r="BT11" i="4"/>
  <c r="BR11" i="4"/>
  <c r="BP11" i="4"/>
  <c r="BO11" i="4"/>
  <c r="BJ16" i="4"/>
  <c r="BL16" i="4" s="1"/>
  <c r="BN16" i="4" s="1"/>
  <c r="BJ15" i="4"/>
  <c r="BL15" i="4" s="1"/>
  <c r="BN15" i="4" s="1"/>
  <c r="BJ14" i="4"/>
  <c r="BL14" i="4" s="1"/>
  <c r="BN14" i="4" s="1"/>
  <c r="BJ13" i="4"/>
  <c r="BL13" i="4" s="1"/>
  <c r="BN13" i="4" s="1"/>
  <c r="BJ12" i="4"/>
  <c r="BL12" i="4" s="1"/>
  <c r="BM11" i="4"/>
  <c r="BK11" i="4"/>
  <c r="BI11" i="4"/>
  <c r="BH11" i="4"/>
  <c r="BC16" i="4"/>
  <c r="BE16" i="4" s="1"/>
  <c r="BG16" i="4" s="1"/>
  <c r="BC15" i="4"/>
  <c r="BE15" i="4" s="1"/>
  <c r="BG15" i="4" s="1"/>
  <c r="BC14" i="4"/>
  <c r="BE14" i="4" s="1"/>
  <c r="BG14" i="4" s="1"/>
  <c r="BC13" i="4"/>
  <c r="BE13" i="4" s="1"/>
  <c r="BG13" i="4" s="1"/>
  <c r="BC12" i="4"/>
  <c r="BE12" i="4" s="1"/>
  <c r="BF11" i="4"/>
  <c r="BD11" i="4"/>
  <c r="BB11" i="4"/>
  <c r="BA11" i="4"/>
  <c r="AV16" i="4"/>
  <c r="AX16" i="4" s="1"/>
  <c r="AZ16" i="4" s="1"/>
  <c r="AV15" i="4"/>
  <c r="AX15" i="4" s="1"/>
  <c r="AZ15" i="4" s="1"/>
  <c r="AV14" i="4"/>
  <c r="AX14" i="4" s="1"/>
  <c r="AZ14" i="4" s="1"/>
  <c r="AV13" i="4"/>
  <c r="AX13" i="4" s="1"/>
  <c r="AZ13" i="4" s="1"/>
  <c r="AV12" i="4"/>
  <c r="AX12" i="4" s="1"/>
  <c r="AY11" i="4"/>
  <c r="AW11" i="4"/>
  <c r="AU11" i="4"/>
  <c r="AT11" i="4"/>
  <c r="AO16" i="4"/>
  <c r="AQ16" i="4" s="1"/>
  <c r="AS16" i="4" s="1"/>
  <c r="AO15" i="4"/>
  <c r="AQ15" i="4" s="1"/>
  <c r="AS15" i="4" s="1"/>
  <c r="AO14" i="4"/>
  <c r="AQ14" i="4" s="1"/>
  <c r="AS14" i="4" s="1"/>
  <c r="AO13" i="4"/>
  <c r="AQ13" i="4" s="1"/>
  <c r="AS13" i="4" s="1"/>
  <c r="AO12" i="4"/>
  <c r="AR11" i="4"/>
  <c r="AP11" i="4"/>
  <c r="AN11" i="4"/>
  <c r="AM11" i="4"/>
  <c r="AH16" i="4"/>
  <c r="AJ16" i="4" s="1"/>
  <c r="AL16" i="4" s="1"/>
  <c r="AH15" i="4"/>
  <c r="AJ15" i="4" s="1"/>
  <c r="AL15" i="4" s="1"/>
  <c r="AH14" i="4"/>
  <c r="AJ14" i="4" s="1"/>
  <c r="AL14" i="4" s="1"/>
  <c r="AH13" i="4"/>
  <c r="AJ13" i="4" s="1"/>
  <c r="AL13" i="4" s="1"/>
  <c r="AH12" i="4"/>
  <c r="AJ12" i="4" s="1"/>
  <c r="AK11" i="4"/>
  <c r="AI11" i="4"/>
  <c r="AG11" i="4"/>
  <c r="AF11" i="4"/>
  <c r="AA16" i="4"/>
  <c r="AC16" i="4" s="1"/>
  <c r="AE16" i="4" s="1"/>
  <c r="AA15" i="4"/>
  <c r="AC15" i="4" s="1"/>
  <c r="AE15" i="4" s="1"/>
  <c r="AA14" i="4"/>
  <c r="AC14" i="4" s="1"/>
  <c r="AE14" i="4" s="1"/>
  <c r="AA13" i="4"/>
  <c r="AC13" i="4" s="1"/>
  <c r="AE13" i="4" s="1"/>
  <c r="AA12" i="4"/>
  <c r="AC12" i="4" s="1"/>
  <c r="AD11" i="4"/>
  <c r="AB11" i="4"/>
  <c r="Z11" i="4"/>
  <c r="Y11" i="4"/>
  <c r="T16" i="4"/>
  <c r="V16" i="4" s="1"/>
  <c r="X16" i="4" s="1"/>
  <c r="T15" i="4"/>
  <c r="V15" i="4" s="1"/>
  <c r="X15" i="4" s="1"/>
  <c r="T14" i="4"/>
  <c r="V14" i="4" s="1"/>
  <c r="X14" i="4" s="1"/>
  <c r="T13" i="4"/>
  <c r="V13" i="4" s="1"/>
  <c r="X13" i="4" s="1"/>
  <c r="T12" i="4"/>
  <c r="V12" i="4" s="1"/>
  <c r="W11" i="4"/>
  <c r="U11" i="4"/>
  <c r="S11" i="4"/>
  <c r="R11" i="4"/>
  <c r="M16" i="4"/>
  <c r="O16" i="4" s="1"/>
  <c r="M15" i="4"/>
  <c r="O15" i="4" s="1"/>
  <c r="Q15" i="4" s="1"/>
  <c r="M14" i="4"/>
  <c r="O14" i="4" s="1"/>
  <c r="Q14" i="4" s="1"/>
  <c r="M13" i="4"/>
  <c r="O13" i="4" s="1"/>
  <c r="Q13" i="4" s="1"/>
  <c r="M12" i="4"/>
  <c r="O12" i="4" s="1"/>
  <c r="P11" i="4"/>
  <c r="N11" i="4"/>
  <c r="L11" i="4"/>
  <c r="K11" i="4"/>
  <c r="F16" i="4"/>
  <c r="H16" i="4" s="1"/>
  <c r="J16" i="4" s="1"/>
  <c r="F15" i="4"/>
  <c r="H15" i="4" s="1"/>
  <c r="J15" i="4" s="1"/>
  <c r="F14" i="4"/>
  <c r="H14" i="4" s="1"/>
  <c r="J14" i="4" s="1"/>
  <c r="F13" i="4"/>
  <c r="H13" i="4" s="1"/>
  <c r="F12" i="4"/>
  <c r="I11" i="4"/>
  <c r="G11" i="4"/>
  <c r="E11" i="4"/>
  <c r="D11" i="4"/>
  <c r="BQ11" i="4" l="1"/>
  <c r="BJ11" i="4"/>
  <c r="BC11" i="4"/>
  <c r="AO11" i="4"/>
  <c r="M11" i="4"/>
  <c r="BZ11" i="4"/>
  <c r="CB12" i="4"/>
  <c r="CB11" i="4" s="1"/>
  <c r="BX11" i="4"/>
  <c r="BU12" i="4"/>
  <c r="BU11" i="4" s="1"/>
  <c r="BS11" i="4"/>
  <c r="BN12" i="4"/>
  <c r="BN11" i="4" s="1"/>
  <c r="BL11" i="4"/>
  <c r="BG12" i="4"/>
  <c r="BG11" i="4" s="1"/>
  <c r="BE11" i="4"/>
  <c r="AZ12" i="4"/>
  <c r="AZ11" i="4" s="1"/>
  <c r="AX11" i="4"/>
  <c r="AV11" i="4"/>
  <c r="AQ12" i="4"/>
  <c r="AJ11" i="4"/>
  <c r="AL12" i="4"/>
  <c r="AL11" i="4" s="1"/>
  <c r="AH11" i="4"/>
  <c r="AC11" i="4"/>
  <c r="AE12" i="4"/>
  <c r="AE11" i="4" s="1"/>
  <c r="AA11" i="4"/>
  <c r="V11" i="4"/>
  <c r="X12" i="4"/>
  <c r="X11" i="4" s="1"/>
  <c r="T11" i="4"/>
  <c r="Q12" i="4"/>
  <c r="Q11" i="4" s="1"/>
  <c r="O11" i="4"/>
  <c r="F11" i="4"/>
  <c r="J13" i="4"/>
  <c r="H12" i="4"/>
  <c r="J12" i="4" s="1"/>
  <c r="J11" i="4" l="1"/>
  <c r="AS12" i="4"/>
  <c r="AS11" i="4" s="1"/>
  <c r="AQ11" i="4"/>
  <c r="H11" i="4"/>
  <c r="BP58" i="4" l="1"/>
  <c r="BP36" i="4" l="1"/>
  <c r="BO36" i="4"/>
  <c r="BQ36" i="4"/>
  <c r="BR36" i="4"/>
  <c r="BS36" i="4"/>
  <c r="CB36" i="4"/>
  <c r="BZ36" i="4"/>
  <c r="BY36" i="4"/>
  <c r="BX36" i="4"/>
  <c r="BW36" i="4"/>
  <c r="BV36" i="4"/>
  <c r="BU36" i="4"/>
  <c r="BT36" i="4"/>
  <c r="CA36" i="4"/>
  <c r="CA58" i="4"/>
  <c r="BU58" i="4"/>
  <c r="BT58" i="4"/>
  <c r="BS58" i="4"/>
  <c r="BR58" i="4"/>
  <c r="CB47" i="4"/>
  <c r="CA47" i="4"/>
  <c r="BZ47" i="4"/>
  <c r="BY47" i="4"/>
  <c r="BX47" i="4"/>
  <c r="BW47" i="4"/>
  <c r="BV47" i="4"/>
  <c r="BU47" i="4"/>
  <c r="BT47" i="4"/>
  <c r="BS47" i="4"/>
  <c r="BR47" i="4"/>
  <c r="BQ47" i="4"/>
  <c r="BP47" i="4"/>
  <c r="BO47" i="4"/>
  <c r="CA4" i="4" l="1"/>
  <c r="BY4" i="4"/>
  <c r="BW4" i="4"/>
  <c r="BV4" i="4"/>
  <c r="BT4" i="4"/>
  <c r="BR4" i="4"/>
  <c r="BP4" i="4"/>
  <c r="BO4" i="4"/>
  <c r="BM4" i="4"/>
  <c r="BK4" i="4"/>
  <c r="BI4" i="4"/>
  <c r="BH4" i="4"/>
  <c r="BF4" i="4"/>
  <c r="BD4" i="4"/>
  <c r="BB4" i="4"/>
  <c r="BA4" i="4"/>
  <c r="AW4" i="4"/>
  <c r="AT4" i="4"/>
  <c r="AS4" i="4"/>
  <c r="AR4" i="4"/>
  <c r="AQ4" i="4"/>
  <c r="AP4" i="4"/>
  <c r="AO4" i="4"/>
  <c r="AN4" i="4"/>
  <c r="AM4" i="4"/>
  <c r="AL4" i="4"/>
  <c r="AK4" i="4"/>
  <c r="AJ4" i="4"/>
  <c r="AI4" i="4"/>
  <c r="AH4" i="4"/>
  <c r="AG4" i="4"/>
  <c r="AF4" i="4"/>
  <c r="AE4" i="4"/>
  <c r="AD4" i="4"/>
  <c r="AC4" i="4"/>
  <c r="AB4" i="4"/>
  <c r="AA4" i="4"/>
  <c r="Z4" i="4"/>
  <c r="Y4" i="4"/>
  <c r="X4" i="4"/>
  <c r="W4" i="4"/>
  <c r="V4" i="4"/>
  <c r="U4" i="4"/>
  <c r="T4" i="4"/>
  <c r="S4" i="4"/>
  <c r="R4" i="4"/>
  <c r="Q4" i="4"/>
  <c r="P4" i="4"/>
  <c r="O4" i="4"/>
  <c r="N4" i="4"/>
  <c r="M4" i="4"/>
  <c r="L4" i="4"/>
  <c r="K4" i="4"/>
  <c r="J4" i="4"/>
  <c r="I4" i="4"/>
  <c r="H4" i="4"/>
  <c r="G4" i="4"/>
  <c r="F4" i="4"/>
  <c r="E4" i="4"/>
  <c r="D4" i="4"/>
  <c r="CB50" i="4"/>
  <c r="CA50" i="4"/>
  <c r="BZ50" i="4"/>
  <c r="BY50" i="4"/>
  <c r="BX50" i="4"/>
  <c r="BW50" i="4"/>
  <c r="BV50" i="4"/>
  <c r="BU50" i="4"/>
  <c r="BT50" i="4"/>
  <c r="BS50" i="4"/>
  <c r="BR50" i="4"/>
  <c r="BQ50" i="4"/>
  <c r="BP50" i="4"/>
  <c r="BO50" i="4"/>
  <c r="BN50" i="4"/>
  <c r="BM50" i="4"/>
  <c r="BL50" i="4"/>
  <c r="BK50" i="4"/>
  <c r="BJ50" i="4"/>
  <c r="BI50" i="4"/>
  <c r="BH50" i="4"/>
  <c r="BG50" i="4"/>
  <c r="BF50" i="4"/>
  <c r="BE50" i="4"/>
  <c r="BD50" i="4"/>
  <c r="BC50" i="4"/>
  <c r="BB50" i="4"/>
  <c r="BA50" i="4"/>
  <c r="AZ50" i="4"/>
  <c r="AY50" i="4"/>
  <c r="AX50" i="4"/>
  <c r="AW50" i="4"/>
  <c r="AV50" i="4"/>
  <c r="AU50" i="4"/>
  <c r="AT50" i="4"/>
  <c r="AS50" i="4"/>
  <c r="AR50" i="4"/>
  <c r="AQ50" i="4"/>
  <c r="AP50" i="4"/>
  <c r="AO50" i="4"/>
  <c r="AN50" i="4"/>
  <c r="AM50" i="4"/>
  <c r="AL50" i="4"/>
  <c r="AK50" i="4"/>
  <c r="AJ50" i="4"/>
  <c r="AI50" i="4"/>
  <c r="AH50" i="4"/>
  <c r="AG50" i="4"/>
  <c r="AF50" i="4"/>
  <c r="AE50" i="4"/>
  <c r="AD50" i="4"/>
  <c r="AC50" i="4"/>
  <c r="AB50" i="4"/>
  <c r="AA50" i="4"/>
  <c r="Z50" i="4"/>
  <c r="Y50" i="4"/>
  <c r="X50" i="4"/>
  <c r="W50" i="4"/>
  <c r="V50" i="4"/>
  <c r="U50" i="4"/>
  <c r="T50" i="4"/>
  <c r="S50" i="4"/>
  <c r="R50" i="4"/>
  <c r="Q50" i="4"/>
  <c r="P50" i="4"/>
  <c r="O50" i="4"/>
  <c r="N50" i="4"/>
  <c r="M50" i="4"/>
  <c r="L50" i="4"/>
  <c r="K50" i="4"/>
  <c r="J50" i="4"/>
  <c r="I50" i="4"/>
  <c r="H50" i="4"/>
  <c r="G50" i="4"/>
  <c r="F50" i="4"/>
  <c r="E50" i="4"/>
  <c r="D50" i="4"/>
  <c r="CB39" i="4"/>
  <c r="CA39" i="4"/>
  <c r="BZ39" i="4"/>
  <c r="BY39" i="4"/>
  <c r="BX39" i="4"/>
  <c r="BW39" i="4"/>
  <c r="BV39" i="4"/>
  <c r="BU39" i="4"/>
  <c r="BT39" i="4"/>
  <c r="BS39" i="4"/>
  <c r="BR39" i="4"/>
  <c r="BQ39" i="4"/>
  <c r="BP39" i="4"/>
  <c r="BO39" i="4"/>
  <c r="BN39" i="4"/>
  <c r="BM39" i="4"/>
  <c r="BL39" i="4"/>
  <c r="BK39" i="4"/>
  <c r="BJ39" i="4"/>
  <c r="BI39" i="4"/>
  <c r="BH39" i="4"/>
  <c r="BG39" i="4"/>
  <c r="BF39" i="4"/>
  <c r="BE39" i="4"/>
  <c r="BD39" i="4"/>
  <c r="BC39" i="4"/>
  <c r="BB39" i="4"/>
  <c r="BA39" i="4"/>
  <c r="AZ39" i="4"/>
  <c r="AY39" i="4"/>
  <c r="AX39" i="4"/>
  <c r="AW39" i="4"/>
  <c r="AV39" i="4"/>
  <c r="AU39" i="4"/>
  <c r="AT39" i="4"/>
  <c r="AS39" i="4"/>
  <c r="AR39" i="4"/>
  <c r="AQ39" i="4"/>
  <c r="AP39" i="4"/>
  <c r="AO39" i="4"/>
  <c r="AN39" i="4"/>
  <c r="AM39" i="4"/>
  <c r="AL39" i="4"/>
  <c r="AK39" i="4"/>
  <c r="AJ39" i="4"/>
  <c r="AI39" i="4"/>
  <c r="AH39" i="4"/>
  <c r="AG39" i="4"/>
  <c r="AF39" i="4"/>
  <c r="AE39" i="4"/>
  <c r="AD39" i="4"/>
  <c r="AC39" i="4"/>
  <c r="AB39" i="4"/>
  <c r="AA39" i="4"/>
  <c r="Z39" i="4"/>
  <c r="Y39" i="4"/>
  <c r="X39" i="4"/>
  <c r="W39" i="4"/>
  <c r="V39" i="4"/>
  <c r="U39" i="4"/>
  <c r="T39" i="4"/>
  <c r="S39" i="4"/>
  <c r="R39" i="4"/>
  <c r="Q39" i="4"/>
  <c r="P39" i="4"/>
  <c r="O39" i="4"/>
  <c r="N39" i="4"/>
  <c r="M39" i="4"/>
  <c r="L39" i="4"/>
  <c r="K39" i="4"/>
  <c r="J39" i="4"/>
  <c r="I39" i="4"/>
  <c r="H39" i="4"/>
  <c r="G39" i="4"/>
  <c r="F39" i="4"/>
  <c r="E39" i="4"/>
  <c r="D39" i="4"/>
  <c r="CB30" i="4"/>
  <c r="CA30" i="4"/>
  <c r="BZ30" i="4"/>
  <c r="BY30" i="4"/>
  <c r="BX30" i="4"/>
  <c r="BW30" i="4"/>
  <c r="BV30" i="4"/>
  <c r="BU30" i="4"/>
  <c r="BT30" i="4"/>
  <c r="BS30" i="4"/>
  <c r="BR30" i="4"/>
  <c r="BQ30" i="4"/>
  <c r="BP30" i="4"/>
  <c r="BO30" i="4"/>
  <c r="BN30" i="4"/>
  <c r="BM30" i="4"/>
  <c r="BL30" i="4"/>
  <c r="BK30" i="4"/>
  <c r="BJ30" i="4"/>
  <c r="BI30" i="4"/>
  <c r="BH30" i="4"/>
  <c r="BG30" i="4"/>
  <c r="BF30" i="4"/>
  <c r="BE30" i="4"/>
  <c r="BD30" i="4"/>
  <c r="BC30" i="4"/>
  <c r="BB30" i="4"/>
  <c r="BA30" i="4"/>
  <c r="AZ30" i="4"/>
  <c r="AY30" i="4"/>
  <c r="AX30" i="4"/>
  <c r="AW30" i="4"/>
  <c r="AV30" i="4"/>
  <c r="AU30" i="4"/>
  <c r="AT30" i="4"/>
  <c r="AS30" i="4"/>
  <c r="AR30" i="4"/>
  <c r="AQ30" i="4"/>
  <c r="AP30" i="4"/>
  <c r="AO30" i="4"/>
  <c r="AN30" i="4"/>
  <c r="AM30" i="4"/>
  <c r="AL30" i="4"/>
  <c r="AK30" i="4"/>
  <c r="AJ30" i="4"/>
  <c r="AI30" i="4"/>
  <c r="AH30" i="4"/>
  <c r="AG30" i="4"/>
  <c r="AF30" i="4"/>
  <c r="AE30" i="4"/>
  <c r="AD30" i="4"/>
  <c r="AC30" i="4"/>
  <c r="AB30" i="4"/>
  <c r="AA30" i="4"/>
  <c r="Z30" i="4"/>
  <c r="Y30" i="4"/>
  <c r="X30" i="4"/>
  <c r="W30" i="4"/>
  <c r="V30" i="4"/>
  <c r="U30" i="4"/>
  <c r="T30" i="4"/>
  <c r="S30" i="4"/>
  <c r="R30" i="4"/>
  <c r="Q30" i="4"/>
  <c r="P30" i="4"/>
  <c r="O30" i="4"/>
  <c r="N30" i="4"/>
  <c r="M30" i="4"/>
  <c r="L30" i="4"/>
  <c r="K30" i="4"/>
  <c r="J30" i="4"/>
  <c r="I30" i="4"/>
  <c r="H30" i="4"/>
  <c r="G30" i="4"/>
  <c r="F30" i="4"/>
  <c r="E30" i="4"/>
  <c r="D30" i="4"/>
  <c r="CA56" i="4"/>
  <c r="BY56" i="4"/>
  <c r="BW56" i="4"/>
  <c r="BV56" i="4"/>
  <c r="BU56" i="4"/>
  <c r="BT56" i="4"/>
  <c r="BR56" i="4"/>
  <c r="BP56" i="4"/>
  <c r="BO56" i="4"/>
  <c r="BM56" i="4"/>
  <c r="CB55" i="4"/>
  <c r="BZ55" i="4"/>
  <c r="BX55" i="4"/>
  <c r="CB51" i="4"/>
  <c r="BZ51" i="4"/>
  <c r="BX51" i="4"/>
  <c r="BS51" i="4"/>
  <c r="BQ51" i="4"/>
  <c r="BN51" i="4"/>
  <c r="BL51" i="4"/>
  <c r="CA45" i="4"/>
  <c r="BY45" i="4"/>
  <c r="BW45" i="4"/>
  <c r="BV45" i="4"/>
  <c r="BT45" i="4"/>
  <c r="BR45" i="4"/>
  <c r="BP45" i="4"/>
  <c r="BO45" i="4"/>
  <c r="BM45" i="4"/>
  <c r="BK45" i="4"/>
  <c r="BI45" i="4"/>
  <c r="BH45" i="4"/>
  <c r="BF45" i="4"/>
  <c r="BB45" i="4"/>
  <c r="BA45" i="4"/>
  <c r="CB44" i="4"/>
  <c r="BZ44" i="4"/>
  <c r="BX44" i="4"/>
  <c r="BS44" i="4"/>
  <c r="AX41" i="4"/>
  <c r="AX5" i="4" s="1"/>
  <c r="BH41" i="4" l="1"/>
  <c r="BH5" i="4" s="1"/>
  <c r="BR41" i="4"/>
  <c r="BQ41" i="4"/>
  <c r="CA41" i="4"/>
  <c r="BZ41" i="4"/>
  <c r="BT52" i="4"/>
  <c r="BS52" i="4"/>
  <c r="AY41" i="4"/>
  <c r="AY5" i="4" s="1"/>
  <c r="BK41" i="4"/>
  <c r="BK5" i="4" s="1"/>
  <c r="BJ41" i="4"/>
  <c r="BJ5" i="4" s="1"/>
  <c r="BS41" i="4"/>
  <c r="BT41" i="4"/>
  <c r="CI41" i="4"/>
  <c r="CG41" i="4"/>
  <c r="CC41" i="4"/>
  <c r="CB41" i="4"/>
  <c r="CE41" i="4"/>
  <c r="BM52" i="4"/>
  <c r="BL52" i="4"/>
  <c r="BY52" i="4"/>
  <c r="BX52" i="4"/>
  <c r="BD41" i="4"/>
  <c r="BD5" i="4" s="1"/>
  <c r="BM41" i="4"/>
  <c r="BL41" i="4"/>
  <c r="BV41" i="4"/>
  <c r="BV5" i="4" s="1"/>
  <c r="BU41" i="4"/>
  <c r="BN52" i="4"/>
  <c r="BU52" i="4"/>
  <c r="BO52" i="4"/>
  <c r="BZ52" i="4"/>
  <c r="CA52" i="4"/>
  <c r="AU45" i="4"/>
  <c r="AU41" i="4"/>
  <c r="AU5" i="4" s="1"/>
  <c r="BF41" i="4"/>
  <c r="BF5" i="4" s="1"/>
  <c r="BO41" i="4"/>
  <c r="BN41" i="4"/>
  <c r="BY41" i="4"/>
  <c r="BX41" i="4"/>
  <c r="BR52" i="4"/>
  <c r="BQ52" i="4"/>
  <c r="CI52" i="4"/>
  <c r="CG52" i="4"/>
  <c r="CC52" i="4"/>
  <c r="CB52" i="4"/>
  <c r="CE52" i="4"/>
  <c r="BN56" i="4"/>
  <c r="BQ56" i="4"/>
  <c r="BS56" i="4"/>
  <c r="BL56" i="4"/>
  <c r="BE45" i="4"/>
  <c r="BN45" i="4"/>
  <c r="AX45" i="4"/>
  <c r="BG45" i="4"/>
  <c r="BQ45" i="4"/>
  <c r="BJ45" i="4"/>
  <c r="CB45" i="4"/>
  <c r="AX4" i="4"/>
  <c r="BE4" i="4"/>
  <c r="BJ4" i="4"/>
  <c r="BC45" i="4"/>
  <c r="BL45" i="4"/>
  <c r="BU45" i="4"/>
  <c r="BQ4" i="4"/>
  <c r="BN4" i="4"/>
  <c r="AU4" i="4"/>
  <c r="AY4" i="4"/>
  <c r="BC4" i="4"/>
  <c r="BG4" i="4"/>
  <c r="BU4" i="4"/>
  <c r="BL4" i="4"/>
  <c r="CB56" i="4"/>
  <c r="BS45" i="4"/>
  <c r="BX45" i="4"/>
  <c r="BX56" i="4"/>
  <c r="BZ45" i="4"/>
  <c r="BZ56" i="4"/>
  <c r="AY45" i="4"/>
  <c r="BQ5" i="4" l="1"/>
  <c r="BU5" i="4"/>
  <c r="BN5" i="4"/>
  <c r="BR5" i="4"/>
  <c r="BA41" i="4"/>
  <c r="BA5" i="4" s="1"/>
  <c r="AZ41" i="4"/>
  <c r="AZ5" i="4" s="1"/>
  <c r="BC41" i="4"/>
  <c r="BC5" i="4" s="1"/>
  <c r="BO5" i="4"/>
  <c r="BL5" i="4"/>
  <c r="AV45" i="4"/>
  <c r="AW41" i="4"/>
  <c r="AW5" i="4" s="1"/>
  <c r="AV41" i="4"/>
  <c r="AV5" i="4" s="1"/>
  <c r="BE41" i="4"/>
  <c r="BE5" i="4" s="1"/>
  <c r="BM5" i="4"/>
  <c r="BG41" i="4"/>
  <c r="BG5" i="4" s="1"/>
  <c r="AZ45" i="4"/>
  <c r="AZ4" i="4"/>
  <c r="AV4" i="4"/>
  <c r="EQ7" i="15" l="1"/>
  <c r="EC6" i="15" l="1"/>
  <c r="EQ6" i="15" s="1"/>
  <c r="EC5" i="15"/>
  <c r="CB17" i="4"/>
  <c r="CA34" i="4"/>
  <c r="CB33" i="4"/>
  <c r="CB8" i="4" s="1"/>
  <c r="EA66" i="17"/>
  <c r="EA65" i="17"/>
  <c r="EA64" i="17"/>
  <c r="EA62" i="17"/>
  <c r="DY61" i="17"/>
  <c r="EM61" i="17" s="1"/>
  <c r="EA60" i="17"/>
  <c r="EA56" i="17"/>
  <c r="EA55" i="17"/>
  <c r="EA52" i="17"/>
  <c r="EA53" i="17"/>
  <c r="EA51" i="17"/>
  <c r="DY50" i="17"/>
  <c r="EM50" i="17" s="1"/>
  <c r="EA49" i="17"/>
  <c r="EA47" i="17"/>
  <c r="EA46" i="17"/>
  <c r="EA45" i="17"/>
  <c r="EA44" i="17"/>
  <c r="EA43" i="17"/>
  <c r="EA42" i="17"/>
  <c r="EA40" i="17"/>
  <c r="EA39" i="17"/>
  <c r="EA38" i="17"/>
  <c r="EA36" i="17"/>
  <c r="EA34" i="17"/>
  <c r="EA35" i="17"/>
  <c r="EA33" i="17"/>
  <c r="DY32" i="17"/>
  <c r="EM32" i="17" s="1"/>
  <c r="EA29" i="17"/>
  <c r="EA27" i="17"/>
  <c r="EA26" i="17"/>
  <c r="EA24" i="17"/>
  <c r="EA23" i="17"/>
  <c r="EA20" i="17"/>
  <c r="EA19" i="17"/>
  <c r="DY18" i="17"/>
  <c r="EM18" i="17" s="1"/>
  <c r="EA17" i="17"/>
  <c r="EA16" i="17"/>
  <c r="EA15" i="17"/>
  <c r="EA14" i="17"/>
  <c r="EA13" i="17"/>
  <c r="EA12" i="17"/>
  <c r="EA10" i="17"/>
  <c r="EA8" i="17"/>
  <c r="DY7" i="17"/>
  <c r="EM7" i="17" s="1"/>
  <c r="EQ5" i="15" l="1"/>
  <c r="ED9" i="15"/>
  <c r="CI32" i="4"/>
  <c r="CI5" i="4" s="1"/>
  <c r="CG32" i="4"/>
  <c r="CG5" i="4" s="1"/>
  <c r="CB32" i="4"/>
  <c r="CB5" i="4" s="1"/>
  <c r="CE32" i="4"/>
  <c r="CE5" i="4" s="1"/>
  <c r="CC32" i="4"/>
  <c r="CC5" i="4" s="1"/>
  <c r="ED7" i="15"/>
  <c r="GE20" i="21"/>
  <c r="HB20" i="21" s="1"/>
  <c r="EC49" i="15"/>
  <c r="EQ49" i="15" s="1"/>
  <c r="ED8" i="15"/>
  <c r="ED6" i="15"/>
  <c r="EC50" i="15"/>
  <c r="EQ50" i="15" s="1"/>
  <c r="ED14" i="15"/>
  <c r="ED10" i="15"/>
  <c r="ED17" i="15"/>
  <c r="ED11" i="15"/>
  <c r="ED15" i="15"/>
  <c r="ED13" i="15"/>
  <c r="ED18" i="15"/>
  <c r="ED12" i="15"/>
  <c r="ED5" i="15"/>
  <c r="ED16" i="15"/>
  <c r="CB4" i="4"/>
  <c r="CB34" i="4"/>
  <c r="DY6" i="17"/>
  <c r="EM6" i="17" s="1"/>
  <c r="DY31" i="17"/>
  <c r="EM31" i="17" s="1"/>
  <c r="HQ37" i="16"/>
  <c r="HT37" i="16" s="1"/>
  <c r="HT36" i="16" s="1"/>
  <c r="HN15" i="16"/>
  <c r="IK15" i="16" s="1"/>
  <c r="HN14" i="16"/>
  <c r="IK14" i="16" s="1"/>
  <c r="HN10" i="16"/>
  <c r="IK10" i="16" s="1"/>
  <c r="HN7" i="16"/>
  <c r="IK7" i="16" s="1"/>
  <c r="HZ36" i="16" l="1"/>
  <c r="IA36" i="16" s="1"/>
  <c r="IQ36" i="16"/>
  <c r="DZ48" i="17"/>
  <c r="ED49" i="15"/>
  <c r="GE32" i="21"/>
  <c r="HB32" i="21" s="1"/>
  <c r="GH20" i="21"/>
  <c r="HE20" i="21" s="1"/>
  <c r="GE23" i="21"/>
  <c r="HB23" i="21" s="1"/>
  <c r="ED50" i="15"/>
  <c r="ED47" i="15"/>
  <c r="HU36" i="16"/>
  <c r="HO10" i="16"/>
  <c r="HO15" i="16"/>
  <c r="DZ32" i="17"/>
  <c r="DZ63" i="17"/>
  <c r="HO7" i="16"/>
  <c r="HO14" i="16"/>
  <c r="DZ50" i="17"/>
  <c r="DZ61" i="17"/>
  <c r="DZ31" i="17"/>
  <c r="DZ65" i="17"/>
  <c r="DZ62" i="17"/>
  <c r="DZ56" i="17"/>
  <c r="DZ52" i="17"/>
  <c r="DZ51" i="17"/>
  <c r="DZ47" i="17"/>
  <c r="DZ45" i="17"/>
  <c r="DZ43" i="17"/>
  <c r="DZ40" i="17"/>
  <c r="DZ38" i="17"/>
  <c r="DZ36" i="17"/>
  <c r="DZ35" i="17"/>
  <c r="DZ25" i="17"/>
  <c r="DZ23" i="17"/>
  <c r="DZ16" i="17"/>
  <c r="DZ14" i="17"/>
  <c r="DZ12" i="17"/>
  <c r="DZ10" i="17"/>
  <c r="DZ22" i="17"/>
  <c r="DZ64" i="17"/>
  <c r="DZ53" i="17"/>
  <c r="DZ46" i="17"/>
  <c r="DZ44" i="17"/>
  <c r="DZ39" i="17"/>
  <c r="DZ37" i="17"/>
  <c r="DZ33" i="17"/>
  <c r="DZ24" i="17"/>
  <c r="DZ15" i="17"/>
  <c r="DZ11" i="17"/>
  <c r="DZ8" i="17"/>
  <c r="DZ29" i="17"/>
  <c r="DZ26" i="17"/>
  <c r="DZ18" i="17"/>
  <c r="DZ60" i="17"/>
  <c r="DZ27" i="17"/>
  <c r="DZ19" i="17"/>
  <c r="DZ66" i="17"/>
  <c r="DZ55" i="17"/>
  <c r="DZ49" i="17"/>
  <c r="DZ42" i="17"/>
  <c r="DZ34" i="17"/>
  <c r="DZ17" i="17"/>
  <c r="DZ13" i="17"/>
  <c r="DZ20" i="17"/>
  <c r="DZ6" i="17"/>
  <c r="DZ7" i="17"/>
  <c r="HN13" i="16"/>
  <c r="IK13" i="16" s="1"/>
  <c r="IF36" i="16" l="1"/>
  <c r="JC36" i="16" s="1"/>
  <c r="IW36" i="16"/>
  <c r="GH32" i="21"/>
  <c r="HE32" i="21" s="1"/>
  <c r="GH23" i="21"/>
  <c r="HE23" i="21" s="1"/>
  <c r="GE35" i="21"/>
  <c r="HB35" i="21" s="1"/>
  <c r="HO13" i="16"/>
  <c r="HN40" i="16"/>
  <c r="IK40" i="16" s="1"/>
  <c r="HN29" i="16"/>
  <c r="IK29" i="16" s="1"/>
  <c r="F43" i="5"/>
  <c r="IG36" i="16" l="1"/>
  <c r="GE17" i="21"/>
  <c r="GE14" i="21" s="1"/>
  <c r="GH35" i="21"/>
  <c r="HE35" i="21" s="1"/>
  <c r="HO29" i="16"/>
  <c r="HN32" i="16"/>
  <c r="IK32" i="16" s="1"/>
  <c r="HO40" i="16"/>
  <c r="HN39" i="16"/>
  <c r="IK39" i="16" s="1"/>
  <c r="DX45" i="17"/>
  <c r="DX44" i="17"/>
  <c r="DX43" i="17"/>
  <c r="DX42" i="17"/>
  <c r="DX40" i="17"/>
  <c r="DX39" i="17"/>
  <c r="DX38" i="17"/>
  <c r="DX36" i="17"/>
  <c r="DX34" i="17"/>
  <c r="DX35" i="17"/>
  <c r="DX29" i="17"/>
  <c r="DX27" i="17"/>
  <c r="DX26" i="17"/>
  <c r="DX24" i="17"/>
  <c r="DX23" i="17"/>
  <c r="DX20" i="17"/>
  <c r="DX19" i="17"/>
  <c r="DX17" i="17"/>
  <c r="DX16" i="17"/>
  <c r="DX14" i="17"/>
  <c r="DX13" i="17"/>
  <c r="DX12" i="17"/>
  <c r="DX10" i="17"/>
  <c r="DX8" i="17"/>
  <c r="HO39" i="16" l="1"/>
  <c r="HO32" i="16"/>
  <c r="DX15" i="17"/>
  <c r="DJ50" i="17"/>
  <c r="CZ16" i="17"/>
  <c r="CW16" i="17"/>
  <c r="CT16" i="17"/>
  <c r="CQ16" i="17"/>
  <c r="CN16" i="17"/>
  <c r="CK16" i="17"/>
  <c r="CH16" i="17"/>
  <c r="CE16" i="17"/>
  <c r="CB16" i="17"/>
  <c r="BY16" i="17"/>
  <c r="BV16" i="17"/>
  <c r="BP16" i="17"/>
  <c r="BM16" i="17"/>
  <c r="BJ16" i="17"/>
  <c r="BG16" i="17"/>
  <c r="CZ15" i="17"/>
  <c r="CW15" i="17"/>
  <c r="CT15" i="17"/>
  <c r="CQ15" i="17"/>
  <c r="CN15" i="17"/>
  <c r="CK15" i="17"/>
  <c r="CH15" i="17"/>
  <c r="CE15" i="17"/>
  <c r="CB15" i="17"/>
  <c r="BY15" i="17"/>
  <c r="BV15" i="17"/>
  <c r="BS15" i="17"/>
  <c r="BP15" i="17"/>
  <c r="BM15" i="17"/>
  <c r="BJ15" i="17"/>
  <c r="BG15" i="17"/>
  <c r="EB15" i="15" l="1"/>
  <c r="EB14" i="15"/>
  <c r="EB13" i="15"/>
  <c r="EB12" i="15"/>
  <c r="EB11" i="15"/>
  <c r="EB10" i="15"/>
  <c r="DX67" i="17" l="1"/>
  <c r="DX66" i="17"/>
  <c r="DX65" i="17"/>
  <c r="DX64" i="17"/>
  <c r="DX62" i="17"/>
  <c r="DX60" i="17"/>
  <c r="DX56" i="17"/>
  <c r="DX55" i="17"/>
  <c r="DX52" i="17"/>
  <c r="DX53" i="17"/>
  <c r="DX51" i="17"/>
  <c r="DX46" i="17"/>
  <c r="DX47" i="17"/>
  <c r="DX49" i="17"/>
  <c r="DX33" i="17"/>
  <c r="HJ30" i="16"/>
  <c r="HD30" i="16"/>
  <c r="HI17" i="16"/>
  <c r="HI12" i="16"/>
  <c r="HI8" i="16"/>
  <c r="HJ18" i="16"/>
  <c r="HJ12" i="16"/>
  <c r="HJ8" i="16"/>
  <c r="HJ9" i="16"/>
  <c r="HJ11" i="16"/>
  <c r="HJ16" i="16"/>
  <c r="HJ17" i="16"/>
  <c r="HJ19" i="16"/>
  <c r="HJ20" i="16"/>
  <c r="HJ21" i="16"/>
  <c r="HJ22" i="16"/>
  <c r="HJ23" i="16"/>
  <c r="HJ24" i="16"/>
  <c r="HJ25" i="16"/>
  <c r="HJ27" i="16"/>
  <c r="HJ33" i="16"/>
  <c r="HI33" i="16"/>
  <c r="HI34" i="16"/>
  <c r="HI31" i="16"/>
  <c r="HI30" i="16"/>
  <c r="HI27" i="16"/>
  <c r="HI18" i="16"/>
  <c r="HI19" i="16"/>
  <c r="HI20" i="16"/>
  <c r="HI21" i="16"/>
  <c r="HI22" i="16"/>
  <c r="HI23" i="16"/>
  <c r="HI24" i="16"/>
  <c r="HI25" i="16"/>
  <c r="HI26" i="16"/>
  <c r="HI28" i="16"/>
  <c r="HI16" i="16"/>
  <c r="HC16" i="16"/>
  <c r="HC12" i="16"/>
  <c r="HC9" i="16"/>
  <c r="HC11" i="16"/>
  <c r="HI11" i="16"/>
  <c r="HC8" i="16"/>
  <c r="HB7" i="16"/>
  <c r="HH7" i="16"/>
  <c r="HH15" i="16"/>
  <c r="HH14" i="16"/>
  <c r="IE14" i="16" s="1"/>
  <c r="HI7" i="16" l="1"/>
  <c r="IE7" i="16"/>
  <c r="HI15" i="16"/>
  <c r="IE15" i="16"/>
  <c r="HC7" i="16"/>
  <c r="HY7" i="16"/>
  <c r="HI14" i="16"/>
  <c r="DZ8" i="15" l="1"/>
  <c r="EN8" i="15" s="1"/>
  <c r="DU19" i="17" l="1"/>
  <c r="DV7" i="17" l="1"/>
  <c r="EJ7" i="17" s="1"/>
  <c r="HB10" i="16" l="1"/>
  <c r="HH10" i="16"/>
  <c r="HB15" i="16"/>
  <c r="HI10" i="16" l="1"/>
  <c r="IE10" i="16"/>
  <c r="HC15" i="16"/>
  <c r="HY15" i="16"/>
  <c r="HC10" i="16"/>
  <c r="HY10" i="16"/>
  <c r="HH13" i="16"/>
  <c r="IE13" i="16" s="1"/>
  <c r="HF31" i="16"/>
  <c r="HF28" i="16"/>
  <c r="HF26" i="16"/>
  <c r="HC27" i="16"/>
  <c r="HH29" i="16" l="1"/>
  <c r="IE29" i="16" s="1"/>
  <c r="HI13" i="16"/>
  <c r="EK7" i="15"/>
  <c r="HI29" i="16" l="1"/>
  <c r="BY34" i="4"/>
  <c r="BW34" i="4"/>
  <c r="EN7" i="15" l="1"/>
  <c r="BZ33" i="4"/>
  <c r="BZ8" i="4" s="1"/>
  <c r="BZ17" i="4"/>
  <c r="BZ34" i="4"/>
  <c r="DV61" i="17"/>
  <c r="EJ61" i="17" s="1"/>
  <c r="DV50" i="17"/>
  <c r="EJ50" i="17" s="1"/>
  <c r="DV18" i="17"/>
  <c r="EJ18" i="17" s="1"/>
  <c r="CA32" i="4" l="1"/>
  <c r="CA5" i="4" s="1"/>
  <c r="BZ32" i="4"/>
  <c r="BZ5" i="4" s="1"/>
  <c r="DZ6" i="15"/>
  <c r="EN6" i="15" s="1"/>
  <c r="DZ5" i="15"/>
  <c r="BZ4" i="4"/>
  <c r="DV32" i="17"/>
  <c r="EJ32" i="17" s="1"/>
  <c r="HK37" i="16"/>
  <c r="HK31" i="16"/>
  <c r="EN5" i="15" l="1"/>
  <c r="EA9" i="15"/>
  <c r="EA7" i="15"/>
  <c r="FY20" i="21"/>
  <c r="GV20" i="21" s="1"/>
  <c r="DZ49" i="15"/>
  <c r="EN49" i="15" s="1"/>
  <c r="EA6" i="15"/>
  <c r="DZ50" i="15"/>
  <c r="EN50" i="15" s="1"/>
  <c r="EA18" i="15"/>
  <c r="EA13" i="15"/>
  <c r="EA5" i="15"/>
  <c r="EA15" i="15"/>
  <c r="EA10" i="15"/>
  <c r="EA14" i="15"/>
  <c r="EA12" i="15"/>
  <c r="EA17" i="15"/>
  <c r="EA11" i="15"/>
  <c r="EA16" i="15"/>
  <c r="EA8" i="15"/>
  <c r="HQ31" i="16"/>
  <c r="DV6" i="17"/>
  <c r="EJ6" i="17" s="1"/>
  <c r="DV31" i="17"/>
  <c r="EJ31" i="17" s="1"/>
  <c r="HH32" i="16"/>
  <c r="IE32" i="16" s="1"/>
  <c r="DW48" i="17" l="1"/>
  <c r="EA49" i="15"/>
  <c r="FY32" i="21"/>
  <c r="GV32" i="21" s="1"/>
  <c r="GB20" i="21"/>
  <c r="GY20" i="21" s="1"/>
  <c r="FY23" i="21"/>
  <c r="GV23" i="21" s="1"/>
  <c r="EA50" i="15"/>
  <c r="EA47" i="15"/>
  <c r="HI32" i="16"/>
  <c r="DW63" i="17"/>
  <c r="DW12" i="17"/>
  <c r="DW11" i="17"/>
  <c r="DW14" i="17"/>
  <c r="DW10" i="17"/>
  <c r="DW13" i="17"/>
  <c r="DW8" i="17"/>
  <c r="DW7" i="17"/>
  <c r="DW18" i="17"/>
  <c r="DW53" i="17"/>
  <c r="DW35" i="17"/>
  <c r="DW38" i="17"/>
  <c r="DW43" i="17"/>
  <c r="DW47" i="17"/>
  <c r="DW24" i="17"/>
  <c r="DW19" i="17"/>
  <c r="DW15" i="17"/>
  <c r="DW36" i="17"/>
  <c r="DW26" i="17"/>
  <c r="DW17" i="17"/>
  <c r="DW37" i="17"/>
  <c r="DW20" i="17"/>
  <c r="DW34" i="17"/>
  <c r="DW39" i="17"/>
  <c r="DW44" i="17"/>
  <c r="DW49" i="17"/>
  <c r="DW33" i="17"/>
  <c r="DW23" i="17"/>
  <c r="DW40" i="17"/>
  <c r="DW45" i="17"/>
  <c r="DW22" i="17"/>
  <c r="DW42" i="17"/>
  <c r="DW46" i="17"/>
  <c r="DW25" i="17"/>
  <c r="DW16" i="17"/>
  <c r="DW50" i="17"/>
  <c r="DW61" i="17"/>
  <c r="DW32" i="17"/>
  <c r="DW67" i="17"/>
  <c r="DW52" i="17"/>
  <c r="DW64" i="17"/>
  <c r="DW65" i="17"/>
  <c r="DW60" i="17"/>
  <c r="DW56" i="17"/>
  <c r="DW29" i="17"/>
  <c r="DW62" i="17"/>
  <c r="DW66" i="17"/>
  <c r="DW51" i="17"/>
  <c r="DW55" i="17"/>
  <c r="DW27" i="17"/>
  <c r="DW58" i="17"/>
  <c r="DW6" i="17"/>
  <c r="DW31" i="17"/>
  <c r="HH40" i="16"/>
  <c r="IE40" i="16" l="1"/>
  <c r="FY17" i="21"/>
  <c r="FY14" i="21" s="1"/>
  <c r="GB32" i="21"/>
  <c r="GY32" i="21" s="1"/>
  <c r="GB23" i="21"/>
  <c r="GY23" i="21" s="1"/>
  <c r="FY35" i="21"/>
  <c r="GV35" i="21" s="1"/>
  <c r="HI40" i="16"/>
  <c r="HH39" i="16"/>
  <c r="IE39" i="16" s="1"/>
  <c r="GB35" i="21" l="1"/>
  <c r="GY35" i="21" s="1"/>
  <c r="HI39" i="16"/>
  <c r="BX34" i="4" l="1"/>
  <c r="HC20" i="16" l="1"/>
  <c r="HC19" i="16"/>
  <c r="HC18" i="16"/>
  <c r="HC17" i="16"/>
  <c r="HC21" i="16"/>
  <c r="HC22" i="16"/>
  <c r="HC23" i="16"/>
  <c r="HC24" i="16"/>
  <c r="HC25" i="16"/>
  <c r="HC26" i="16"/>
  <c r="HC28" i="16"/>
  <c r="HC30" i="16"/>
  <c r="HC31" i="16"/>
  <c r="HC33" i="16"/>
  <c r="HC34" i="16"/>
  <c r="HE19" i="16" l="1"/>
  <c r="HK19" i="16" l="1"/>
  <c r="IH19" i="16" s="1"/>
  <c r="IB19" i="16"/>
  <c r="HE37" i="16"/>
  <c r="HE34" i="16"/>
  <c r="HE33" i="16"/>
  <c r="HE30" i="16"/>
  <c r="IB30" i="16" s="1"/>
  <c r="HE27" i="16"/>
  <c r="IB27" i="16" s="1"/>
  <c r="HE25" i="16"/>
  <c r="IB25" i="16" s="1"/>
  <c r="HE24" i="16"/>
  <c r="HE23" i="16"/>
  <c r="HE22" i="16"/>
  <c r="HE21" i="16"/>
  <c r="HE20" i="16"/>
  <c r="HE18" i="16"/>
  <c r="HE17" i="16"/>
  <c r="HE16" i="16"/>
  <c r="HE12" i="16"/>
  <c r="HE11" i="16"/>
  <c r="HE9" i="16"/>
  <c r="HE8" i="16"/>
  <c r="HD9" i="16"/>
  <c r="HD8" i="16"/>
  <c r="HD11" i="16"/>
  <c r="HQ19" i="16" l="1"/>
  <c r="IN19" i="16" s="1"/>
  <c r="HK9" i="16"/>
  <c r="IH9" i="16" s="1"/>
  <c r="IB9" i="16"/>
  <c r="HK17" i="16"/>
  <c r="IB17" i="16"/>
  <c r="HK22" i="16"/>
  <c r="IH22" i="16" s="1"/>
  <c r="IB22" i="16"/>
  <c r="HK11" i="16"/>
  <c r="IB11" i="16"/>
  <c r="HK18" i="16"/>
  <c r="IH18" i="16" s="1"/>
  <c r="IB18" i="16"/>
  <c r="HK23" i="16"/>
  <c r="IH23" i="16" s="1"/>
  <c r="IB23" i="16"/>
  <c r="HK12" i="16"/>
  <c r="IH12" i="16" s="1"/>
  <c r="IB12" i="16"/>
  <c r="HK20" i="16"/>
  <c r="IB20" i="16"/>
  <c r="HK24" i="16"/>
  <c r="IH24" i="16" s="1"/>
  <c r="IB24" i="16"/>
  <c r="HK33" i="16"/>
  <c r="IH33" i="16" s="1"/>
  <c r="IB33" i="16"/>
  <c r="HF8" i="16"/>
  <c r="HF5" i="16"/>
  <c r="HF6" i="16"/>
  <c r="HF4" i="16"/>
  <c r="IB8" i="16"/>
  <c r="HK16" i="16"/>
  <c r="IH16" i="16" s="1"/>
  <c r="IB16" i="16"/>
  <c r="HK21" i="16"/>
  <c r="IB21" i="16"/>
  <c r="HK30" i="16"/>
  <c r="IH30" i="16" s="1"/>
  <c r="HF19" i="16"/>
  <c r="HK8" i="16"/>
  <c r="IH8" i="16" s="1"/>
  <c r="HK34" i="16"/>
  <c r="HF27" i="16"/>
  <c r="HK27" i="16"/>
  <c r="IH27" i="16" s="1"/>
  <c r="HF20" i="16"/>
  <c r="HF24" i="16"/>
  <c r="HF33" i="16"/>
  <c r="HF11" i="16"/>
  <c r="HF16" i="16"/>
  <c r="HF21" i="16"/>
  <c r="HF25" i="16"/>
  <c r="HF34" i="16"/>
  <c r="HF12" i="16"/>
  <c r="HF17" i="16"/>
  <c r="HF22" i="16"/>
  <c r="HF9" i="16"/>
  <c r="HF18" i="16"/>
  <c r="HF23" i="16"/>
  <c r="HF30" i="16"/>
  <c r="DY15" i="15"/>
  <c r="DY10" i="15"/>
  <c r="DW8" i="15"/>
  <c r="EK8" i="15" s="1"/>
  <c r="DT8" i="15"/>
  <c r="DY14" i="15"/>
  <c r="DY13" i="15"/>
  <c r="DY12" i="15"/>
  <c r="DY11" i="15"/>
  <c r="BX17" i="4"/>
  <c r="BX18" i="4"/>
  <c r="BZ18" i="4" s="1"/>
  <c r="CB18" i="4" s="1"/>
  <c r="BX33" i="4"/>
  <c r="BX8" i="4" s="1"/>
  <c r="DU66" i="17"/>
  <c r="DU65" i="17"/>
  <c r="DU64" i="17"/>
  <c r="DU62" i="17"/>
  <c r="DS61" i="17"/>
  <c r="EG61" i="17" s="1"/>
  <c r="DU60" i="17"/>
  <c r="DU56" i="17"/>
  <c r="DU55" i="17"/>
  <c r="DU53" i="17"/>
  <c r="DU51" i="17"/>
  <c r="DS50" i="17"/>
  <c r="EG50" i="17" s="1"/>
  <c r="DU49" i="17"/>
  <c r="DU47" i="17"/>
  <c r="DU46" i="17"/>
  <c r="DU45" i="17"/>
  <c r="DU44" i="17"/>
  <c r="DU43" i="17"/>
  <c r="DU42" i="17"/>
  <c r="DU40" i="17"/>
  <c r="DU39" i="17"/>
  <c r="DU38" i="17"/>
  <c r="DS37" i="17"/>
  <c r="EG37" i="17" s="1"/>
  <c r="DU36" i="17"/>
  <c r="DU34" i="17"/>
  <c r="DU35" i="17"/>
  <c r="DU33" i="17"/>
  <c r="DU29" i="17"/>
  <c r="DU27" i="17"/>
  <c r="DU26" i="17"/>
  <c r="DU24" i="17"/>
  <c r="DU23" i="17"/>
  <c r="DU20" i="17"/>
  <c r="DS18" i="17"/>
  <c r="EG18" i="17" s="1"/>
  <c r="DU17" i="17"/>
  <c r="DU16" i="17"/>
  <c r="DU15" i="17"/>
  <c r="DU14" i="17"/>
  <c r="DU13" i="17"/>
  <c r="DU12" i="17"/>
  <c r="DS11" i="17"/>
  <c r="EG11" i="17" s="1"/>
  <c r="DU10" i="17"/>
  <c r="DU8" i="17"/>
  <c r="HD33" i="16"/>
  <c r="HD27" i="16"/>
  <c r="HD25" i="16"/>
  <c r="HD24" i="16"/>
  <c r="HD23" i="16"/>
  <c r="HD22" i="16"/>
  <c r="HD21" i="16"/>
  <c r="HD20" i="16"/>
  <c r="HD19" i="16"/>
  <c r="HD18" i="16"/>
  <c r="HD17" i="16"/>
  <c r="HD16" i="16"/>
  <c r="HY14" i="16"/>
  <c r="HD12" i="16"/>
  <c r="HQ24" i="16" l="1"/>
  <c r="IN24" i="16" s="1"/>
  <c r="HQ9" i="16"/>
  <c r="IN9" i="16" s="1"/>
  <c r="HQ12" i="16"/>
  <c r="IN12" i="16" s="1"/>
  <c r="HQ18" i="16"/>
  <c r="IN18" i="16" s="1"/>
  <c r="HQ16" i="16"/>
  <c r="IN16" i="16" s="1"/>
  <c r="BX32" i="4"/>
  <c r="BX5" i="4" s="1"/>
  <c r="BY32" i="4"/>
  <c r="BY5" i="4" s="1"/>
  <c r="HQ21" i="16"/>
  <c r="IN21" i="16" s="1"/>
  <c r="IH21" i="16"/>
  <c r="HQ20" i="16"/>
  <c r="IN20" i="16" s="1"/>
  <c r="IH20" i="16"/>
  <c r="HQ11" i="16"/>
  <c r="IH11" i="16"/>
  <c r="HQ17" i="16"/>
  <c r="IN17" i="16" s="1"/>
  <c r="IH17" i="16"/>
  <c r="HQ23" i="16"/>
  <c r="IN23" i="16" s="1"/>
  <c r="HQ33" i="16"/>
  <c r="IN33" i="16" s="1"/>
  <c r="DS7" i="17"/>
  <c r="EG7" i="17" s="1"/>
  <c r="DS32" i="17"/>
  <c r="EG32" i="17" s="1"/>
  <c r="HL24" i="16"/>
  <c r="HL5" i="16"/>
  <c r="HL6" i="16"/>
  <c r="HL4" i="16"/>
  <c r="HK15" i="16"/>
  <c r="IH15" i="16" s="1"/>
  <c r="DW6" i="15"/>
  <c r="EK6" i="15" s="1"/>
  <c r="DW5" i="15"/>
  <c r="DT6" i="15"/>
  <c r="DT5" i="15"/>
  <c r="DU9" i="15" s="1"/>
  <c r="EH8" i="15"/>
  <c r="EH7" i="15"/>
  <c r="HL23" i="16"/>
  <c r="HL20" i="16"/>
  <c r="HL33" i="16"/>
  <c r="HL11" i="16"/>
  <c r="HL9" i="16"/>
  <c r="HQ8" i="16"/>
  <c r="HL25" i="16"/>
  <c r="HL8" i="16"/>
  <c r="HL31" i="16"/>
  <c r="HL19" i="16"/>
  <c r="HL22" i="16"/>
  <c r="HL21" i="16"/>
  <c r="HL12" i="16"/>
  <c r="HC14" i="16"/>
  <c r="HQ27" i="16"/>
  <c r="IN27" i="16" s="1"/>
  <c r="HL27" i="16"/>
  <c r="HQ30" i="16"/>
  <c r="IN30" i="16" s="1"/>
  <c r="HL30" i="16"/>
  <c r="HL17" i="16"/>
  <c r="HL18" i="16"/>
  <c r="HL16" i="16"/>
  <c r="BX4" i="4"/>
  <c r="HQ34" i="16"/>
  <c r="HL34" i="16"/>
  <c r="HH35" i="16"/>
  <c r="IE35" i="16" s="1"/>
  <c r="HB13" i="16"/>
  <c r="HY13" i="16" s="1"/>
  <c r="HL15" i="16" l="1"/>
  <c r="EK5" i="15"/>
  <c r="DX9" i="15"/>
  <c r="DS6" i="17"/>
  <c r="DT48" i="17" s="1"/>
  <c r="HQ10" i="16"/>
  <c r="IN11" i="16"/>
  <c r="IN8" i="16"/>
  <c r="HQ14" i="16"/>
  <c r="IN14" i="16" s="1"/>
  <c r="HQ7" i="16"/>
  <c r="IN7" i="16" s="1"/>
  <c r="HQ15" i="16"/>
  <c r="HR15" i="16" s="1"/>
  <c r="DS31" i="17"/>
  <c r="EG31" i="17" s="1"/>
  <c r="DU7" i="15"/>
  <c r="FP20" i="21"/>
  <c r="DT49" i="15"/>
  <c r="DX8" i="15"/>
  <c r="FS20" i="21"/>
  <c r="GP20" i="21" s="1"/>
  <c r="DW49" i="15"/>
  <c r="EK49" i="15" s="1"/>
  <c r="HR17" i="16"/>
  <c r="GH16" i="21"/>
  <c r="HR6" i="16"/>
  <c r="HR5" i="16"/>
  <c r="HR4" i="16"/>
  <c r="DU8" i="15"/>
  <c r="DX7" i="15"/>
  <c r="DX12" i="15"/>
  <c r="DX18" i="15"/>
  <c r="DX15" i="15"/>
  <c r="DX11" i="15"/>
  <c r="DX10" i="15"/>
  <c r="DX13" i="15"/>
  <c r="DX17" i="15"/>
  <c r="DX14" i="15"/>
  <c r="DX5" i="15"/>
  <c r="DX16" i="15"/>
  <c r="DX6" i="15"/>
  <c r="DW50" i="15"/>
  <c r="EK50" i="15" s="1"/>
  <c r="DU15" i="15"/>
  <c r="DU11" i="15"/>
  <c r="DU14" i="15"/>
  <c r="DU10" i="15"/>
  <c r="DU12" i="15"/>
  <c r="DU18" i="15"/>
  <c r="DU5" i="15"/>
  <c r="DU17" i="15"/>
  <c r="DU13" i="15"/>
  <c r="DU16" i="15"/>
  <c r="EH5" i="15"/>
  <c r="DU6" i="15"/>
  <c r="DT50" i="15"/>
  <c r="EH6" i="15"/>
  <c r="HR9" i="16"/>
  <c r="HR12" i="16"/>
  <c r="HR11" i="16"/>
  <c r="HR33" i="16"/>
  <c r="HR34" i="16"/>
  <c r="HR24" i="16"/>
  <c r="HR16" i="16"/>
  <c r="HR22" i="16"/>
  <c r="HR23" i="16"/>
  <c r="HR18" i="16"/>
  <c r="HR20" i="16"/>
  <c r="HR21" i="16"/>
  <c r="HR27" i="16"/>
  <c r="HB29" i="16"/>
  <c r="HY29" i="16" s="1"/>
  <c r="HC13" i="16"/>
  <c r="HB40" i="16"/>
  <c r="FS17" i="21" s="1"/>
  <c r="FS14" i="21" s="1"/>
  <c r="HR30" i="16"/>
  <c r="HS8" i="16"/>
  <c r="HR8" i="16"/>
  <c r="HR25" i="16"/>
  <c r="HR31" i="16"/>
  <c r="HR19" i="16"/>
  <c r="HN35" i="16"/>
  <c r="IK35" i="16" s="1"/>
  <c r="HH36" i="16"/>
  <c r="IE36" i="16" s="1"/>
  <c r="HI35" i="16"/>
  <c r="DT16" i="17" l="1"/>
  <c r="DT24" i="17"/>
  <c r="DT18" i="17"/>
  <c r="DT46" i="17"/>
  <c r="DT20" i="17"/>
  <c r="DT52" i="17"/>
  <c r="GM20" i="21"/>
  <c r="DT13" i="17"/>
  <c r="DT47" i="17"/>
  <c r="DT66" i="17"/>
  <c r="DT34" i="17"/>
  <c r="DT6" i="17"/>
  <c r="DT27" i="17"/>
  <c r="DT53" i="17"/>
  <c r="DT35" i="17"/>
  <c r="DT25" i="17"/>
  <c r="DT51" i="17"/>
  <c r="DT11" i="17"/>
  <c r="DT29" i="17"/>
  <c r="DT50" i="17"/>
  <c r="DT10" i="17"/>
  <c r="DT36" i="17"/>
  <c r="DT60" i="17"/>
  <c r="DT17" i="17"/>
  <c r="DT39" i="17"/>
  <c r="DT58" i="17"/>
  <c r="DT59" i="17"/>
  <c r="DT62" i="17"/>
  <c r="DT38" i="17"/>
  <c r="DT56" i="17"/>
  <c r="DT15" i="17"/>
  <c r="DT37" i="17"/>
  <c r="DT55" i="17"/>
  <c r="DT14" i="17"/>
  <c r="DT40" i="17"/>
  <c r="DT65" i="17"/>
  <c r="DT22" i="17"/>
  <c r="DT44" i="17"/>
  <c r="DT64" i="17"/>
  <c r="DT32" i="17"/>
  <c r="DT63" i="17"/>
  <c r="EG6" i="17"/>
  <c r="DT12" i="17"/>
  <c r="DT7" i="17"/>
  <c r="DT43" i="17"/>
  <c r="DT67" i="17"/>
  <c r="DT19" i="17"/>
  <c r="DT42" i="17"/>
  <c r="DT61" i="17"/>
  <c r="DT23" i="17"/>
  <c r="DT45" i="17"/>
  <c r="DT8" i="17"/>
  <c r="DT26" i="17"/>
  <c r="DT49" i="17"/>
  <c r="DT33" i="17"/>
  <c r="IN15" i="16"/>
  <c r="HQ13" i="16"/>
  <c r="IN13" i="16" s="1"/>
  <c r="IN10" i="16"/>
  <c r="DT31" i="17"/>
  <c r="FV20" i="21"/>
  <c r="GS20" i="21" s="1"/>
  <c r="FS32" i="21"/>
  <c r="GP32" i="21" s="1"/>
  <c r="FS23" i="21"/>
  <c r="GP23" i="21" s="1"/>
  <c r="DU49" i="15"/>
  <c r="EH49" i="15"/>
  <c r="DX49" i="15"/>
  <c r="FP32" i="21"/>
  <c r="FP23" i="21"/>
  <c r="GM23" i="21" s="1"/>
  <c r="HC40" i="16"/>
  <c r="HY40" i="16"/>
  <c r="GI11" i="21"/>
  <c r="GI9" i="21"/>
  <c r="GI5" i="21"/>
  <c r="GI10" i="21"/>
  <c r="GI12" i="21"/>
  <c r="GI7" i="21"/>
  <c r="GI6" i="21"/>
  <c r="GI8" i="21"/>
  <c r="GI4" i="21"/>
  <c r="GI13" i="21"/>
  <c r="DX50" i="15"/>
  <c r="DX47" i="15"/>
  <c r="DU47" i="15"/>
  <c r="DU50" i="15"/>
  <c r="EH50" i="15"/>
  <c r="HB39" i="16"/>
  <c r="HO35" i="16"/>
  <c r="HB32" i="16"/>
  <c r="HY32" i="16" s="1"/>
  <c r="HC29" i="16"/>
  <c r="HI36" i="16"/>
  <c r="GM32" i="21" l="1"/>
  <c r="HQ29" i="16"/>
  <c r="IN29" i="16" s="1"/>
  <c r="FV23" i="21"/>
  <c r="GS23" i="21" s="1"/>
  <c r="FS35" i="21"/>
  <c r="GP35" i="21" s="1"/>
  <c r="FP35" i="21"/>
  <c r="FV32" i="21"/>
  <c r="GS32" i="21" s="1"/>
  <c r="HC39" i="16"/>
  <c r="HY39" i="16"/>
  <c r="HO36" i="16"/>
  <c r="HB35" i="16"/>
  <c r="HC32" i="16"/>
  <c r="GZ17" i="16"/>
  <c r="GZ16" i="16"/>
  <c r="GZ12" i="16"/>
  <c r="GZ11" i="16"/>
  <c r="GZ9" i="16"/>
  <c r="GZ8" i="16"/>
  <c r="GM35" i="21" l="1"/>
  <c r="FV35" i="21"/>
  <c r="GS35" i="21" s="1"/>
  <c r="HB36" i="16"/>
  <c r="HY35" i="16"/>
  <c r="HC35" i="16"/>
  <c r="DP18" i="17"/>
  <c r="ED18" i="17" s="1"/>
  <c r="N22" i="17"/>
  <c r="Q22" i="17"/>
  <c r="AC22" i="17"/>
  <c r="AI22" i="17"/>
  <c r="AL22" i="17"/>
  <c r="AO22" i="17"/>
  <c r="AR22" i="17"/>
  <c r="AU22" i="17"/>
  <c r="AX22" i="17"/>
  <c r="BA22" i="17"/>
  <c r="BD22" i="17"/>
  <c r="BG22" i="17"/>
  <c r="BJ22" i="17"/>
  <c r="BM22" i="17"/>
  <c r="BP22" i="17"/>
  <c r="BS22" i="17"/>
  <c r="BV22" i="17"/>
  <c r="BY22" i="17"/>
  <c r="CB22" i="17"/>
  <c r="CE22" i="17"/>
  <c r="CH22" i="17"/>
  <c r="CK22" i="17"/>
  <c r="CN22" i="17"/>
  <c r="CQ22" i="17"/>
  <c r="CT22" i="17"/>
  <c r="CW22" i="17"/>
  <c r="CZ22" i="17"/>
  <c r="AF22" i="17"/>
  <c r="Z22" i="17"/>
  <c r="W22" i="17"/>
  <c r="T22" i="17"/>
  <c r="DR15" i="17"/>
  <c r="DO15" i="17"/>
  <c r="DL15" i="17"/>
  <c r="DI15" i="17"/>
  <c r="DF15" i="17"/>
  <c r="DC15" i="17"/>
  <c r="N15" i="17"/>
  <c r="BD15" i="17"/>
  <c r="BA15" i="17"/>
  <c r="AX15" i="17"/>
  <c r="AU15" i="17"/>
  <c r="AR15" i="17"/>
  <c r="AO15" i="17"/>
  <c r="AL15" i="17"/>
  <c r="AI15" i="17"/>
  <c r="AF15" i="17"/>
  <c r="AC15" i="17"/>
  <c r="Z15" i="17"/>
  <c r="W15" i="17"/>
  <c r="T15" i="17"/>
  <c r="Q15" i="17"/>
  <c r="BE18" i="17"/>
  <c r="BT32" i="17"/>
  <c r="BW32" i="17"/>
  <c r="DA32" i="17"/>
  <c r="HC36" i="16" l="1"/>
  <c r="HY36" i="16"/>
  <c r="DD18" i="17"/>
  <c r="BE13" i="17"/>
  <c r="BE11" i="17" s="1"/>
  <c r="BE7" i="17" s="1"/>
  <c r="BE6" i="17" s="1"/>
  <c r="BF48" i="17" s="1"/>
  <c r="BF63" i="17" l="1"/>
  <c r="BF15" i="17"/>
  <c r="BF16" i="17"/>
  <c r="BF22" i="17"/>
  <c r="HA8" i="16" l="1"/>
  <c r="HA9" i="16"/>
  <c r="HA11" i="16"/>
  <c r="HA12" i="16"/>
  <c r="HA16" i="16"/>
  <c r="HA17" i="16"/>
  <c r="HA18" i="16"/>
  <c r="HA19" i="16"/>
  <c r="HA20" i="16"/>
  <c r="HA21" i="16"/>
  <c r="HA22" i="16"/>
  <c r="HA23" i="16"/>
  <c r="HA24" i="16"/>
  <c r="HA25" i="16"/>
  <c r="HA27" i="16"/>
  <c r="HA30" i="16"/>
  <c r="HA33" i="16"/>
  <c r="GZ18" i="16"/>
  <c r="GZ19" i="16"/>
  <c r="GZ20" i="16"/>
  <c r="GZ21" i="16"/>
  <c r="GZ22" i="16"/>
  <c r="GZ23" i="16"/>
  <c r="GZ24" i="16"/>
  <c r="GZ25" i="16"/>
  <c r="GZ27" i="16"/>
  <c r="GZ30" i="16"/>
  <c r="GZ31" i="16"/>
  <c r="GZ33" i="16"/>
  <c r="GZ34" i="16"/>
  <c r="GT12" i="16"/>
  <c r="GT11" i="16"/>
  <c r="GT9" i="16"/>
  <c r="GT8" i="16"/>
  <c r="GS15" i="16" l="1"/>
  <c r="GY14" i="16"/>
  <c r="HV14" i="16" s="1"/>
  <c r="GY10" i="16"/>
  <c r="HV10" i="16" s="1"/>
  <c r="GY7" i="16"/>
  <c r="HV7" i="16" s="1"/>
  <c r="GS7" i="16"/>
  <c r="HP7" i="16" s="1"/>
  <c r="HE7" i="16" l="1"/>
  <c r="IB7" i="16" s="1"/>
  <c r="HE10" i="16"/>
  <c r="HF10" i="16" s="1"/>
  <c r="HE14" i="16"/>
  <c r="IB14" i="16" s="1"/>
  <c r="GT15" i="16"/>
  <c r="HP15" i="16"/>
  <c r="GY13" i="16"/>
  <c r="HV13" i="16" s="1"/>
  <c r="GZ10" i="16"/>
  <c r="GZ7" i="16"/>
  <c r="GT7" i="16"/>
  <c r="GZ14" i="16"/>
  <c r="GY26" i="16"/>
  <c r="GY15" i="16" s="1"/>
  <c r="HV15" i="16" s="1"/>
  <c r="HF7" i="16" l="1"/>
  <c r="HF14" i="16"/>
  <c r="HK7" i="16"/>
  <c r="IH7" i="16" s="1"/>
  <c r="HK10" i="16"/>
  <c r="IH10" i="16" s="1"/>
  <c r="IB10" i="16"/>
  <c r="HK14" i="16"/>
  <c r="IH14" i="16" s="1"/>
  <c r="HE13" i="16"/>
  <c r="IB13" i="16" s="1"/>
  <c r="HE15" i="16"/>
  <c r="HR10" i="16"/>
  <c r="GY40" i="16"/>
  <c r="GZ13" i="16"/>
  <c r="GY29" i="16"/>
  <c r="HV29" i="16" s="1"/>
  <c r="GZ15" i="16"/>
  <c r="HL10" i="16" l="1"/>
  <c r="HL14" i="16"/>
  <c r="HL7" i="16"/>
  <c r="FP17" i="21"/>
  <c r="FP14" i="21" s="1"/>
  <c r="HF13" i="16"/>
  <c r="HK13" i="16"/>
  <c r="HK29" i="16" s="1"/>
  <c r="IH29" i="16" s="1"/>
  <c r="HE40" i="16"/>
  <c r="HE39" i="16" s="1"/>
  <c r="HF15" i="16"/>
  <c r="IB15" i="16"/>
  <c r="GY39" i="16"/>
  <c r="HV40" i="16"/>
  <c r="HE29" i="16"/>
  <c r="HR14" i="16"/>
  <c r="HR7" i="16"/>
  <c r="GZ40" i="16"/>
  <c r="GY32" i="16"/>
  <c r="HV32" i="16" s="1"/>
  <c r="GZ29" i="16"/>
  <c r="HL13" i="16" l="1"/>
  <c r="HV39" i="16"/>
  <c r="HF40" i="16"/>
  <c r="HK40" i="16"/>
  <c r="IH13" i="16"/>
  <c r="IB40" i="16"/>
  <c r="FV17" i="21"/>
  <c r="FV14" i="21" s="1"/>
  <c r="HF29" i="16"/>
  <c r="IB29" i="16"/>
  <c r="HF39" i="16"/>
  <c r="IB39" i="16"/>
  <c r="GZ39" i="16"/>
  <c r="HE32" i="16"/>
  <c r="IB32" i="16" s="1"/>
  <c r="HR13" i="16"/>
  <c r="HQ40" i="16"/>
  <c r="IN40" i="16" s="1"/>
  <c r="HK32" i="16"/>
  <c r="IH32" i="16" s="1"/>
  <c r="HL29" i="16"/>
  <c r="GY35" i="16"/>
  <c r="GZ32" i="16"/>
  <c r="DR10" i="17"/>
  <c r="DR8" i="17"/>
  <c r="DR66" i="17"/>
  <c r="DR65" i="17"/>
  <c r="DR64" i="17"/>
  <c r="DR62" i="17"/>
  <c r="DR60" i="17"/>
  <c r="DR56" i="17"/>
  <c r="DR55" i="17"/>
  <c r="DR53" i="17"/>
  <c r="DR51" i="17"/>
  <c r="DR49" i="17"/>
  <c r="DR47" i="17"/>
  <c r="DR46" i="17"/>
  <c r="DR45" i="17"/>
  <c r="DR44" i="17"/>
  <c r="DR43" i="17"/>
  <c r="DR42" i="17"/>
  <c r="DR40" i="17"/>
  <c r="DR39" i="17"/>
  <c r="DR38" i="17"/>
  <c r="DR36" i="17"/>
  <c r="DR34" i="17"/>
  <c r="DR35" i="17"/>
  <c r="DR33" i="17"/>
  <c r="DR29" i="17"/>
  <c r="DR27" i="17"/>
  <c r="DR26" i="17"/>
  <c r="DR24" i="17"/>
  <c r="DR23" i="17"/>
  <c r="DR20" i="17"/>
  <c r="DR19" i="17"/>
  <c r="DR17" i="17"/>
  <c r="DR16" i="17"/>
  <c r="DR14" i="17"/>
  <c r="DR13" i="17"/>
  <c r="DR12" i="17"/>
  <c r="DR18" i="17"/>
  <c r="DP11" i="17"/>
  <c r="DP61" i="17"/>
  <c r="ED61" i="17" s="1"/>
  <c r="DM61" i="17"/>
  <c r="EA61" i="17" s="1"/>
  <c r="DP50" i="17"/>
  <c r="ED50" i="17" s="1"/>
  <c r="DM50" i="17"/>
  <c r="EA50" i="17" s="1"/>
  <c r="DM18" i="17"/>
  <c r="EA18" i="17" s="1"/>
  <c r="DP37" i="17"/>
  <c r="HV35" i="16" l="1"/>
  <c r="GB17" i="21"/>
  <c r="GB14" i="21" s="1"/>
  <c r="IH40" i="16"/>
  <c r="HL40" i="16"/>
  <c r="HK39" i="16"/>
  <c r="GH17" i="21"/>
  <c r="GH14" i="21" s="1"/>
  <c r="HF32" i="16"/>
  <c r="DP7" i="17"/>
  <c r="ED7" i="17" s="1"/>
  <c r="ED11" i="17"/>
  <c r="DP32" i="17"/>
  <c r="ED32" i="17" s="1"/>
  <c r="ED37" i="17"/>
  <c r="HE35" i="16"/>
  <c r="IB35" i="16" s="1"/>
  <c r="HL32" i="16"/>
  <c r="HK35" i="16"/>
  <c r="IH35" i="16" s="1"/>
  <c r="HR29" i="16"/>
  <c r="HQ32" i="16"/>
  <c r="IN32" i="16" s="1"/>
  <c r="HR40" i="16"/>
  <c r="HQ39" i="16"/>
  <c r="IN39" i="16" s="1"/>
  <c r="GZ35" i="16"/>
  <c r="IH39" i="16" l="1"/>
  <c r="HL39" i="16"/>
  <c r="HQ35" i="16"/>
  <c r="IN35" i="16" s="1"/>
  <c r="HF35" i="16"/>
  <c r="DP31" i="17"/>
  <c r="ED31" i="17" s="1"/>
  <c r="DP6" i="17"/>
  <c r="DQ48" i="17" s="1"/>
  <c r="HR39" i="16"/>
  <c r="HL35" i="16"/>
  <c r="HK36" i="16"/>
  <c r="IH36" i="16" s="1"/>
  <c r="HR32" i="16"/>
  <c r="DV15" i="15"/>
  <c r="DV14" i="15"/>
  <c r="DV13" i="15"/>
  <c r="DV12" i="15"/>
  <c r="DV11" i="15"/>
  <c r="DV10" i="15"/>
  <c r="DQ60" i="17" l="1"/>
  <c r="DQ51" i="17"/>
  <c r="DQ63" i="17"/>
  <c r="DQ16" i="17"/>
  <c r="DQ13" i="17"/>
  <c r="DQ53" i="17"/>
  <c r="ED6" i="17"/>
  <c r="DQ56" i="17"/>
  <c r="DQ45" i="17"/>
  <c r="DQ20" i="17"/>
  <c r="DQ23" i="17"/>
  <c r="DQ22" i="17"/>
  <c r="DQ6" i="17"/>
  <c r="DQ10" i="17"/>
  <c r="DQ29" i="17"/>
  <c r="DQ35" i="17"/>
  <c r="DQ52" i="17"/>
  <c r="DQ27" i="17"/>
  <c r="DQ25" i="17"/>
  <c r="DQ26" i="17"/>
  <c r="DQ11" i="17"/>
  <c r="DQ59" i="17"/>
  <c r="DQ62" i="17"/>
  <c r="DQ40" i="17"/>
  <c r="DQ39" i="17"/>
  <c r="DQ67" i="17"/>
  <c r="DQ55" i="17"/>
  <c r="DQ58" i="17"/>
  <c r="DQ24" i="17"/>
  <c r="DQ42" i="17"/>
  <c r="DQ66" i="17"/>
  <c r="DQ31" i="17"/>
  <c r="DQ49" i="17"/>
  <c r="DQ14" i="17"/>
  <c r="DQ32" i="17"/>
  <c r="DQ46" i="17"/>
  <c r="DQ38" i="17"/>
  <c r="DQ8" i="17"/>
  <c r="DQ34" i="17"/>
  <c r="DQ47" i="17"/>
  <c r="DQ15" i="17"/>
  <c r="DQ33" i="17"/>
  <c r="DQ7" i="17"/>
  <c r="DQ50" i="17"/>
  <c r="DQ65" i="17"/>
  <c r="DQ44" i="17"/>
  <c r="DQ18" i="17"/>
  <c r="DQ36" i="17"/>
  <c r="DQ12" i="17"/>
  <c r="DQ61" i="17"/>
  <c r="DQ17" i="17"/>
  <c r="DQ64" i="17"/>
  <c r="DQ43" i="17"/>
  <c r="DQ19" i="17"/>
  <c r="DQ37" i="17"/>
  <c r="HL36" i="16"/>
  <c r="HR35" i="16"/>
  <c r="HR36" i="16" l="1"/>
  <c r="DE8" i="15"/>
  <c r="DO51" i="17" l="1"/>
  <c r="CN51" i="17"/>
  <c r="CW51" i="17"/>
  <c r="CZ51" i="17"/>
  <c r="DC51" i="17"/>
  <c r="DF51" i="17"/>
  <c r="DI51" i="17"/>
  <c r="DL51" i="17"/>
  <c r="E43" i="5" l="1"/>
  <c r="DS15" i="15"/>
  <c r="DS14" i="15"/>
  <c r="DS13" i="15"/>
  <c r="DS12" i="15"/>
  <c r="DS11" i="15"/>
  <c r="DS10" i="15"/>
  <c r="GW8" i="16"/>
  <c r="GT34" i="16"/>
  <c r="GT33" i="16"/>
  <c r="GT31" i="16"/>
  <c r="GT30" i="16"/>
  <c r="GT28" i="16"/>
  <c r="GT27" i="16"/>
  <c r="GT26" i="16"/>
  <c r="GT25" i="16"/>
  <c r="GT24" i="16"/>
  <c r="GT23" i="16"/>
  <c r="GT22" i="16"/>
  <c r="GT21" i="16"/>
  <c r="GT20" i="16"/>
  <c r="GT19" i="16"/>
  <c r="GT18" i="16"/>
  <c r="GT17" i="16"/>
  <c r="GT16" i="16"/>
  <c r="GU33" i="16"/>
  <c r="GU30" i="16"/>
  <c r="GU27" i="16"/>
  <c r="GU25" i="16"/>
  <c r="GU24" i="16"/>
  <c r="GU23" i="16"/>
  <c r="GU22" i="16"/>
  <c r="GU21" i="16"/>
  <c r="GU20" i="16"/>
  <c r="GU19" i="16"/>
  <c r="GU18" i="16"/>
  <c r="GU17" i="16"/>
  <c r="GU16" i="16"/>
  <c r="GU12" i="16"/>
  <c r="GU11" i="16"/>
  <c r="GU9" i="16"/>
  <c r="GU8" i="16"/>
  <c r="DQ6" i="15" l="1"/>
  <c r="DQ5" i="15"/>
  <c r="DR9" i="15" s="1"/>
  <c r="EE8" i="15"/>
  <c r="EE7" i="15"/>
  <c r="DS8" i="15"/>
  <c r="FJ20" i="21" l="1"/>
  <c r="DQ49" i="15"/>
  <c r="DR14" i="15"/>
  <c r="DR10" i="15"/>
  <c r="DR18" i="15"/>
  <c r="DR13" i="15"/>
  <c r="DR5" i="15"/>
  <c r="DR11" i="15"/>
  <c r="DR17" i="15"/>
  <c r="DR15" i="15"/>
  <c r="DR12" i="15"/>
  <c r="DR16" i="15"/>
  <c r="EE5" i="15"/>
  <c r="DR6" i="15"/>
  <c r="DQ50" i="15"/>
  <c r="EE6" i="15"/>
  <c r="DR8" i="15"/>
  <c r="DR7" i="15"/>
  <c r="DM37" i="17"/>
  <c r="DR49" i="15" l="1"/>
  <c r="EE49" i="15"/>
  <c r="FJ32" i="21"/>
  <c r="FM20" i="21"/>
  <c r="FJ23" i="21"/>
  <c r="GG20" i="21"/>
  <c r="DR50" i="15"/>
  <c r="DR47" i="15"/>
  <c r="EE50" i="15"/>
  <c r="DM32" i="17"/>
  <c r="EA32" i="17" s="1"/>
  <c r="EA37" i="17"/>
  <c r="DO66" i="17"/>
  <c r="DO65" i="17"/>
  <c r="DO64" i="17"/>
  <c r="DO62" i="17"/>
  <c r="DO60" i="17"/>
  <c r="DO56" i="17"/>
  <c r="DO55" i="17"/>
  <c r="DO53" i="17"/>
  <c r="DO47" i="17"/>
  <c r="DO46" i="17"/>
  <c r="DO45" i="17"/>
  <c r="DO44" i="17"/>
  <c r="DO43" i="17"/>
  <c r="DO42" i="17"/>
  <c r="DO40" i="17"/>
  <c r="DO39" i="17"/>
  <c r="DO38" i="17"/>
  <c r="DO36" i="17"/>
  <c r="DO34" i="17"/>
  <c r="DO35" i="17"/>
  <c r="DO33" i="17"/>
  <c r="DO29" i="17"/>
  <c r="DO27" i="17"/>
  <c r="DO26" i="17"/>
  <c r="DO24" i="17"/>
  <c r="DO23" i="17"/>
  <c r="DO20" i="17"/>
  <c r="DO19" i="17"/>
  <c r="DO17" i="17"/>
  <c r="DO16" i="17"/>
  <c r="DO14" i="17"/>
  <c r="DO13" i="17"/>
  <c r="DO12" i="17"/>
  <c r="DO10" i="17"/>
  <c r="DO8" i="17"/>
  <c r="DM11" i="17"/>
  <c r="GY36" i="16"/>
  <c r="HV36" i="16" s="1"/>
  <c r="GS14" i="16"/>
  <c r="HP14" i="16" s="1"/>
  <c r="GS10" i="16"/>
  <c r="HP10" i="16" s="1"/>
  <c r="DM31" i="17" l="1"/>
  <c r="EA31" i="17" s="1"/>
  <c r="GG32" i="21"/>
  <c r="FM23" i="21"/>
  <c r="FJ35" i="21"/>
  <c r="GG23" i="21"/>
  <c r="FM32" i="21"/>
  <c r="GJ20" i="21"/>
  <c r="HE36" i="16"/>
  <c r="DM7" i="17"/>
  <c r="DM6" i="17" s="1"/>
  <c r="EA11" i="17"/>
  <c r="GZ36" i="16"/>
  <c r="GT14" i="16"/>
  <c r="GT10" i="16"/>
  <c r="DO37" i="17"/>
  <c r="GX8" i="16"/>
  <c r="GS13" i="16"/>
  <c r="HP13" i="16" s="1"/>
  <c r="DL8" i="17"/>
  <c r="DF8" i="17"/>
  <c r="DN48" i="17" l="1"/>
  <c r="GJ32" i="21"/>
  <c r="FM35" i="21"/>
  <c r="GJ23" i="21"/>
  <c r="GG35" i="21"/>
  <c r="HF36" i="16"/>
  <c r="IB36" i="16"/>
  <c r="DN15" i="17"/>
  <c r="DN51" i="17"/>
  <c r="DN22" i="17"/>
  <c r="EA7" i="17"/>
  <c r="DN59" i="17"/>
  <c r="DN63" i="17"/>
  <c r="EA6" i="17"/>
  <c r="GS29" i="16"/>
  <c r="GT13" i="16"/>
  <c r="DN10" i="17"/>
  <c r="DN14" i="17"/>
  <c r="DN19" i="17"/>
  <c r="DN35" i="17"/>
  <c r="DN38" i="17"/>
  <c r="DN47" i="17"/>
  <c r="DN53" i="17"/>
  <c r="DN56" i="17"/>
  <c r="DN62" i="17"/>
  <c r="DN11" i="17"/>
  <c r="DN16" i="17"/>
  <c r="DN20" i="17"/>
  <c r="DN26" i="17"/>
  <c r="DN31" i="17"/>
  <c r="DN34" i="17"/>
  <c r="DN39" i="17"/>
  <c r="DN49" i="17"/>
  <c r="DN58" i="17"/>
  <c r="DN6" i="17"/>
  <c r="DN12" i="17"/>
  <c r="DN17" i="17"/>
  <c r="DN23" i="17"/>
  <c r="DN27" i="17"/>
  <c r="DN32" i="17"/>
  <c r="DN36" i="17"/>
  <c r="DN40" i="17"/>
  <c r="DN45" i="17"/>
  <c r="DN50" i="17"/>
  <c r="DN60" i="17"/>
  <c r="DN65" i="17"/>
  <c r="DN8" i="17"/>
  <c r="DN13" i="17"/>
  <c r="DN18" i="17"/>
  <c r="DN24" i="17"/>
  <c r="DN29" i="17"/>
  <c r="DN33" i="17"/>
  <c r="DN37" i="17"/>
  <c r="DN42" i="17"/>
  <c r="DN46" i="17"/>
  <c r="DN55" i="17"/>
  <c r="DN61" i="17"/>
  <c r="DN66" i="17"/>
  <c r="DN44" i="17"/>
  <c r="DN52" i="17"/>
  <c r="DN64" i="17"/>
  <c r="DN7" i="17"/>
  <c r="GS40" i="16"/>
  <c r="FJ17" i="21" s="1"/>
  <c r="FJ14" i="21" s="1"/>
  <c r="GP37" i="16"/>
  <c r="GO33" i="16"/>
  <c r="GO30" i="16"/>
  <c r="GO27" i="16"/>
  <c r="GO25" i="16"/>
  <c r="GO24" i="16"/>
  <c r="GO23" i="16"/>
  <c r="GO22" i="16"/>
  <c r="GO21" i="16"/>
  <c r="GO20" i="16"/>
  <c r="GO19" i="16"/>
  <c r="GO18" i="16"/>
  <c r="GO17" i="16"/>
  <c r="GO16" i="16"/>
  <c r="GO12" i="16"/>
  <c r="GO11" i="16"/>
  <c r="GO9" i="16"/>
  <c r="GO8" i="16"/>
  <c r="GN34" i="16"/>
  <c r="GN33" i="16"/>
  <c r="GN31" i="16"/>
  <c r="GN30" i="16"/>
  <c r="GN28" i="16"/>
  <c r="GN27" i="16"/>
  <c r="GN26" i="16"/>
  <c r="GN25" i="16"/>
  <c r="GN24" i="16"/>
  <c r="GN23" i="16"/>
  <c r="GN22" i="16"/>
  <c r="GN21" i="16"/>
  <c r="GN20" i="16"/>
  <c r="GN19" i="16"/>
  <c r="GN18" i="16"/>
  <c r="GN17" i="16"/>
  <c r="GN16" i="16"/>
  <c r="GN12" i="16"/>
  <c r="GN11" i="16"/>
  <c r="GN9" i="16"/>
  <c r="GN8" i="16"/>
  <c r="FV8" i="16"/>
  <c r="DP15" i="15"/>
  <c r="DP14" i="15"/>
  <c r="DP13" i="15"/>
  <c r="DP12" i="15"/>
  <c r="DP11" i="15"/>
  <c r="DP10" i="15"/>
  <c r="GJ35" i="21" l="1"/>
  <c r="GS39" i="16"/>
  <c r="HP39" i="16" s="1"/>
  <c r="GT40" i="16"/>
  <c r="HP40" i="16"/>
  <c r="GS32" i="16"/>
  <c r="HP32" i="16" s="1"/>
  <c r="HP29" i="16"/>
  <c r="GT29" i="16"/>
  <c r="DN25" i="17"/>
  <c r="DN43" i="17"/>
  <c r="GT39" i="16" l="1"/>
  <c r="GT32" i="16"/>
  <c r="GS35" i="16"/>
  <c r="GS36" i="16" l="1"/>
  <c r="HP36" i="16" s="1"/>
  <c r="HP35" i="16"/>
  <c r="GT35" i="16"/>
  <c r="BS17" i="4"/>
  <c r="BS34" i="4"/>
  <c r="BS33" i="4"/>
  <c r="BS8" i="4" s="1"/>
  <c r="BT32" i="4" l="1"/>
  <c r="BT5" i="4" s="1"/>
  <c r="BS32" i="4"/>
  <c r="BS5" i="4" s="1"/>
  <c r="BS4" i="4"/>
  <c r="GT36" i="16"/>
  <c r="GM15" i="16" l="1"/>
  <c r="HJ15" i="16" s="1"/>
  <c r="GN15" i="16" l="1"/>
  <c r="DN8" i="15"/>
  <c r="DL67" i="17"/>
  <c r="DL66" i="17"/>
  <c r="DL65" i="17"/>
  <c r="DL64" i="17"/>
  <c r="DL62" i="17"/>
  <c r="DL60" i="17"/>
  <c r="DL56" i="17"/>
  <c r="DL55" i="17"/>
  <c r="DL53" i="17"/>
  <c r="DL47" i="17"/>
  <c r="DL46" i="17"/>
  <c r="DL45" i="17"/>
  <c r="DL44" i="17"/>
  <c r="DL43" i="17"/>
  <c r="DL42" i="17"/>
  <c r="DL40" i="17"/>
  <c r="DL39" i="17"/>
  <c r="DL38" i="17"/>
  <c r="DL36" i="17"/>
  <c r="DL34" i="17"/>
  <c r="DL35" i="17"/>
  <c r="DL33" i="17"/>
  <c r="DL29" i="17"/>
  <c r="DL27" i="17"/>
  <c r="DL26" i="17"/>
  <c r="DL24" i="17"/>
  <c r="DL23" i="17"/>
  <c r="DL20" i="17"/>
  <c r="DL19" i="17"/>
  <c r="DL17" i="17"/>
  <c r="DL16" i="17"/>
  <c r="DL14" i="17"/>
  <c r="DL13" i="17"/>
  <c r="DL12" i="17"/>
  <c r="DL10" i="17"/>
  <c r="DJ61" i="17"/>
  <c r="DX61" i="17" s="1"/>
  <c r="DX50" i="17"/>
  <c r="DJ37" i="17"/>
  <c r="DX37" i="17" s="1"/>
  <c r="DJ18" i="17"/>
  <c r="DX18" i="17" s="1"/>
  <c r="DJ11" i="17"/>
  <c r="DX11" i="17" s="1"/>
  <c r="GM14" i="16"/>
  <c r="HJ14" i="16" s="1"/>
  <c r="GM10" i="16"/>
  <c r="HJ10" i="16" s="1"/>
  <c r="GM7" i="16"/>
  <c r="HJ7" i="16" s="1"/>
  <c r="DN6" i="15" l="1"/>
  <c r="DN5" i="15"/>
  <c r="DO9" i="15" s="1"/>
  <c r="EB8" i="15"/>
  <c r="EB7" i="15"/>
  <c r="DJ32" i="17"/>
  <c r="DX32" i="17" s="1"/>
  <c r="DJ7" i="17"/>
  <c r="DX7" i="17" s="1"/>
  <c r="GN7" i="16"/>
  <c r="GN10" i="16"/>
  <c r="GN14" i="16"/>
  <c r="GM13" i="16"/>
  <c r="CU29" i="17"/>
  <c r="CU24" i="17"/>
  <c r="FD20" i="21" l="1"/>
  <c r="DN49" i="15"/>
  <c r="DO18" i="15"/>
  <c r="DO13" i="15"/>
  <c r="DO5" i="15"/>
  <c r="DO17" i="15"/>
  <c r="DO12" i="15"/>
  <c r="DO10" i="15"/>
  <c r="DO15" i="15"/>
  <c r="DO14" i="15"/>
  <c r="DO11" i="15"/>
  <c r="DO16" i="15"/>
  <c r="EB5" i="15"/>
  <c r="DO6" i="15"/>
  <c r="DN50" i="15"/>
  <c r="EB6" i="15"/>
  <c r="DO8" i="15"/>
  <c r="DO7" i="15"/>
  <c r="GN13" i="16"/>
  <c r="HJ13" i="16"/>
  <c r="DJ31" i="17"/>
  <c r="DX31" i="17" s="1"/>
  <c r="DJ6" i="17"/>
  <c r="DK48" i="17" s="1"/>
  <c r="GM40" i="16"/>
  <c r="GM29" i="16"/>
  <c r="HJ29" i="16" s="1"/>
  <c r="HJ40" i="16" l="1"/>
  <c r="FD17" i="21"/>
  <c r="FD14" i="21" s="1"/>
  <c r="DK49" i="17"/>
  <c r="DO49" i="15"/>
  <c r="EB49" i="15"/>
  <c r="FD32" i="21"/>
  <c r="FG20" i="21"/>
  <c r="FD23" i="21"/>
  <c r="GA20" i="21"/>
  <c r="DO50" i="15"/>
  <c r="DO47" i="15"/>
  <c r="EB50" i="15"/>
  <c r="DK46" i="17"/>
  <c r="DK38" i="17"/>
  <c r="DK24" i="17"/>
  <c r="DK39" i="17"/>
  <c r="DK10" i="17"/>
  <c r="DK63" i="17"/>
  <c r="DK50" i="17"/>
  <c r="DK65" i="17"/>
  <c r="DK53" i="17"/>
  <c r="DK64" i="17"/>
  <c r="DK62" i="17"/>
  <c r="DK20" i="17"/>
  <c r="DK31" i="17"/>
  <c r="DK61" i="17"/>
  <c r="DK13" i="17"/>
  <c r="DK23" i="17"/>
  <c r="DK40" i="17"/>
  <c r="DK44" i="17"/>
  <c r="DK36" i="17"/>
  <c r="DK43" i="17"/>
  <c r="DK55" i="17"/>
  <c r="DK29" i="17"/>
  <c r="DK27" i="17"/>
  <c r="DK15" i="17"/>
  <c r="DK58" i="17"/>
  <c r="DK60" i="17"/>
  <c r="DK56" i="17"/>
  <c r="DK35" i="17"/>
  <c r="DK37" i="17"/>
  <c r="DK11" i="17"/>
  <c r="DK26" i="17"/>
  <c r="DK59" i="17"/>
  <c r="DX6" i="17"/>
  <c r="DK25" i="17"/>
  <c r="DK45" i="17"/>
  <c r="DK52" i="17"/>
  <c r="DK34" i="17"/>
  <c r="DK67" i="17"/>
  <c r="DK47" i="17"/>
  <c r="DK66" i="17"/>
  <c r="DK42" i="17"/>
  <c r="DK32" i="17"/>
  <c r="DK6" i="17"/>
  <c r="DK12" i="17"/>
  <c r="DK33" i="17"/>
  <c r="DK14" i="17"/>
  <c r="DK7" i="17"/>
  <c r="DK18" i="17"/>
  <c r="DK16" i="17"/>
  <c r="DK17" i="17"/>
  <c r="DK8" i="17"/>
  <c r="DK19" i="17"/>
  <c r="DK51" i="17"/>
  <c r="DK22" i="17"/>
  <c r="GM39" i="16"/>
  <c r="GN40" i="16"/>
  <c r="GN29" i="16"/>
  <c r="GM32" i="16"/>
  <c r="HJ32" i="16" s="1"/>
  <c r="GA32" i="21" l="1"/>
  <c r="FG23" i="21"/>
  <c r="FD35" i="21"/>
  <c r="GA23" i="21"/>
  <c r="FG32" i="21"/>
  <c r="GD20" i="21"/>
  <c r="GN39" i="16"/>
  <c r="HJ39" i="16"/>
  <c r="GN32" i="16"/>
  <c r="GM35" i="16"/>
  <c r="HJ35" i="16" s="1"/>
  <c r="BO8" i="15"/>
  <c r="GD32" i="21" l="1"/>
  <c r="FG35" i="21"/>
  <c r="GD23" i="21"/>
  <c r="GA35" i="21"/>
  <c r="BO6" i="15"/>
  <c r="BO5" i="15"/>
  <c r="BP9" i="15" s="1"/>
  <c r="GM36" i="16"/>
  <c r="HJ36" i="16" s="1"/>
  <c r="GN35" i="16"/>
  <c r="AP7" i="15"/>
  <c r="DA14" i="15"/>
  <c r="AP14" i="15"/>
  <c r="DM14" i="15"/>
  <c r="DJ14" i="15"/>
  <c r="DG14" i="15"/>
  <c r="DD14" i="15"/>
  <c r="CX14" i="15"/>
  <c r="CU14" i="15"/>
  <c r="CR14" i="15"/>
  <c r="CO14" i="15"/>
  <c r="CL14" i="15"/>
  <c r="CI14" i="15"/>
  <c r="CF14" i="15"/>
  <c r="CC14" i="15"/>
  <c r="BZ14" i="15"/>
  <c r="BW14" i="15"/>
  <c r="BT14" i="15"/>
  <c r="BQ14" i="15"/>
  <c r="BN14" i="15"/>
  <c r="BK14" i="15"/>
  <c r="BH14" i="15"/>
  <c r="BE14" i="15"/>
  <c r="BB14" i="15"/>
  <c r="AY14" i="15"/>
  <c r="AV14" i="15"/>
  <c r="AS14" i="15"/>
  <c r="GD35" i="21" l="1"/>
  <c r="BP8" i="15"/>
  <c r="BR20" i="21"/>
  <c r="BO49" i="15"/>
  <c r="BP18" i="15"/>
  <c r="BP13" i="15"/>
  <c r="BP5" i="15"/>
  <c r="BP15" i="15"/>
  <c r="BP10" i="15"/>
  <c r="BP14" i="15"/>
  <c r="BP17" i="15"/>
  <c r="BP12" i="15"/>
  <c r="BP11" i="15"/>
  <c r="BP16" i="15"/>
  <c r="BQ5" i="15"/>
  <c r="BP6" i="15"/>
  <c r="BQ6" i="15"/>
  <c r="BP7" i="15"/>
  <c r="GN36" i="16"/>
  <c r="BR23" i="21" l="1"/>
  <c r="BR32" i="21"/>
  <c r="BT32" i="21" s="1"/>
  <c r="BT20" i="21"/>
  <c r="BU20" i="21"/>
  <c r="BP49" i="15"/>
  <c r="BQ49" i="15"/>
  <c r="CA8" i="15"/>
  <c r="BQ8" i="15"/>
  <c r="DJ13" i="15"/>
  <c r="BU32" i="21" l="1"/>
  <c r="BW32" i="21" s="1"/>
  <c r="BW20" i="21"/>
  <c r="BU23" i="21"/>
  <c r="BR35" i="21"/>
  <c r="BT35" i="21" s="1"/>
  <c r="BT23" i="21"/>
  <c r="DM13" i="15"/>
  <c r="DM12" i="15"/>
  <c r="DM11" i="15"/>
  <c r="DM10" i="15"/>
  <c r="BU35" i="21" l="1"/>
  <c r="BW35" i="21" s="1"/>
  <c r="BW23" i="21"/>
  <c r="GJ20" i="16"/>
  <c r="GG15" i="16"/>
  <c r="HD15" i="16" s="1"/>
  <c r="GP20" i="16" l="1"/>
  <c r="HM20" i="16" s="1"/>
  <c r="HG20" i="16"/>
  <c r="DG37" i="17"/>
  <c r="DG11" i="17"/>
  <c r="GV20" i="16" l="1"/>
  <c r="GX20" i="16" s="1"/>
  <c r="GR20" i="16"/>
  <c r="DU37" i="17"/>
  <c r="DG32" i="17"/>
  <c r="DU32" i="17" s="1"/>
  <c r="DU11" i="17"/>
  <c r="DG7" i="17"/>
  <c r="DU7" i="17" s="1"/>
  <c r="E49" i="5"/>
  <c r="BQ33" i="4"/>
  <c r="BQ8" i="4" s="1"/>
  <c r="GW20" i="16" l="1"/>
  <c r="HS20" i="16"/>
  <c r="BQ18" i="4" l="1"/>
  <c r="DM15" i="15" l="1"/>
  <c r="DK8" i="15"/>
  <c r="DI33" i="17"/>
  <c r="DI35" i="17"/>
  <c r="DI34" i="17"/>
  <c r="DI36" i="17"/>
  <c r="DI38" i="17"/>
  <c r="DI39" i="17"/>
  <c r="DI40" i="17"/>
  <c r="DI42" i="17"/>
  <c r="DI43" i="17"/>
  <c r="DI44" i="17"/>
  <c r="DI45" i="17"/>
  <c r="DI46" i="17"/>
  <c r="DI47" i="17"/>
  <c r="DI53" i="17"/>
  <c r="DI55" i="17"/>
  <c r="DI56" i="17"/>
  <c r="DI60" i="17"/>
  <c r="DI62" i="17"/>
  <c r="DI64" i="17"/>
  <c r="DI65" i="17"/>
  <c r="DI66" i="17"/>
  <c r="DI67" i="17"/>
  <c r="DI8" i="17"/>
  <c r="DI10" i="17"/>
  <c r="DI12" i="17"/>
  <c r="DI13" i="17"/>
  <c r="DI14" i="17"/>
  <c r="DI16" i="17"/>
  <c r="DI17" i="17"/>
  <c r="DI19" i="17"/>
  <c r="DI20" i="17"/>
  <c r="DI23" i="17"/>
  <c r="DI24" i="17"/>
  <c r="DI26" i="17"/>
  <c r="DI27" i="17"/>
  <c r="DI29" i="17"/>
  <c r="DF10" i="17"/>
  <c r="DG61" i="17"/>
  <c r="DU61" i="17" s="1"/>
  <c r="DG50" i="17"/>
  <c r="DU50" i="17" s="1"/>
  <c r="DG18" i="17"/>
  <c r="DU18" i="17" s="1"/>
  <c r="GJ12" i="16"/>
  <c r="HG12" i="16" s="1"/>
  <c r="GJ11" i="16"/>
  <c r="HG11" i="16" s="1"/>
  <c r="GJ9" i="16"/>
  <c r="HG9" i="16" s="1"/>
  <c r="GJ8" i="16"/>
  <c r="HG8" i="16" l="1"/>
  <c r="GK6" i="16"/>
  <c r="GK5" i="16"/>
  <c r="GK4" i="16"/>
  <c r="DK6" i="15"/>
  <c r="DK5" i="15"/>
  <c r="DL9" i="15" s="1"/>
  <c r="DY8" i="15"/>
  <c r="DY7" i="15"/>
  <c r="GP8" i="16"/>
  <c r="GP11" i="16"/>
  <c r="HM11" i="16" s="1"/>
  <c r="GK8" i="16"/>
  <c r="GK9" i="16"/>
  <c r="GP9" i="16"/>
  <c r="HM9" i="16" s="1"/>
  <c r="GK12" i="16"/>
  <c r="GP12" i="16"/>
  <c r="HM12" i="16" s="1"/>
  <c r="GK11" i="16"/>
  <c r="DG6" i="17"/>
  <c r="DH48" i="17" s="1"/>
  <c r="GJ34" i="16"/>
  <c r="GP34" i="16" s="1"/>
  <c r="GJ33" i="16"/>
  <c r="GJ31" i="16"/>
  <c r="GJ30" i="16"/>
  <c r="HG30" i="16" s="1"/>
  <c r="GJ27" i="16"/>
  <c r="HG27" i="16" s="1"/>
  <c r="GJ25" i="16"/>
  <c r="GJ24" i="16"/>
  <c r="GJ23" i="16"/>
  <c r="HG23" i="16" s="1"/>
  <c r="GJ22" i="16"/>
  <c r="HG22" i="16" s="1"/>
  <c r="GJ21" i="16"/>
  <c r="FO20" i="16"/>
  <c r="GI34" i="16"/>
  <c r="GI33" i="16"/>
  <c r="GI30" i="16"/>
  <c r="GI27" i="16"/>
  <c r="GI25" i="16"/>
  <c r="GI24" i="16"/>
  <c r="GI23" i="16"/>
  <c r="GI22" i="16"/>
  <c r="GI21" i="16"/>
  <c r="GI20" i="16"/>
  <c r="GI19" i="16"/>
  <c r="GI18" i="16"/>
  <c r="GI17" i="16"/>
  <c r="GI16" i="16"/>
  <c r="GI12" i="16"/>
  <c r="GI11" i="16"/>
  <c r="GI9" i="16"/>
  <c r="GI8" i="16"/>
  <c r="GH34" i="16"/>
  <c r="GH33" i="16"/>
  <c r="GH31" i="16"/>
  <c r="GH30" i="16"/>
  <c r="GH28" i="16"/>
  <c r="GH27" i="16"/>
  <c r="GH26" i="16"/>
  <c r="GH25" i="16"/>
  <c r="GH24" i="16"/>
  <c r="GH23" i="16"/>
  <c r="GH22" i="16"/>
  <c r="GH21" i="16"/>
  <c r="GH20" i="16"/>
  <c r="GH19" i="16"/>
  <c r="GH18" i="16"/>
  <c r="GH17" i="16"/>
  <c r="GH16" i="16"/>
  <c r="GH12" i="16"/>
  <c r="GH11" i="16"/>
  <c r="GH9" i="16"/>
  <c r="GH8" i="16"/>
  <c r="GJ19" i="16"/>
  <c r="GJ18" i="16"/>
  <c r="HG18" i="16" s="1"/>
  <c r="GJ17" i="16"/>
  <c r="GJ16" i="16"/>
  <c r="GG14" i="16"/>
  <c r="HD14" i="16" s="1"/>
  <c r="GG10" i="16"/>
  <c r="HD10" i="16" s="1"/>
  <c r="GG7" i="16"/>
  <c r="HD7" i="16" s="1"/>
  <c r="DH63" i="17" l="1"/>
  <c r="DL7" i="15"/>
  <c r="EX20" i="21"/>
  <c r="DK49" i="15"/>
  <c r="HM8" i="16"/>
  <c r="GQ6" i="16"/>
  <c r="GQ5" i="16"/>
  <c r="GQ4" i="16"/>
  <c r="DL8" i="15"/>
  <c r="DL18" i="15"/>
  <c r="DL13" i="15"/>
  <c r="DL15" i="15"/>
  <c r="DL10" i="15"/>
  <c r="DL14" i="15"/>
  <c r="DL11" i="15"/>
  <c r="DL5" i="15"/>
  <c r="DL17" i="15"/>
  <c r="DL12" i="15"/>
  <c r="DL16" i="15"/>
  <c r="DY5" i="15"/>
  <c r="DL6" i="15"/>
  <c r="DK50" i="15"/>
  <c r="DY6" i="15"/>
  <c r="DH59" i="17"/>
  <c r="DU6" i="17"/>
  <c r="GV12" i="16"/>
  <c r="HS12" i="16" s="1"/>
  <c r="GQ8" i="16"/>
  <c r="GV11" i="16"/>
  <c r="HS11" i="16" s="1"/>
  <c r="GV9" i="16"/>
  <c r="GQ20" i="16"/>
  <c r="GP16" i="16"/>
  <c r="HM16" i="16" s="1"/>
  <c r="HG16" i="16"/>
  <c r="GP25" i="16"/>
  <c r="HM25" i="16" s="1"/>
  <c r="HG25" i="16"/>
  <c r="GK19" i="16"/>
  <c r="HG19" i="16"/>
  <c r="GP24" i="16"/>
  <c r="HM24" i="16" s="1"/>
  <c r="HG24" i="16"/>
  <c r="GP33" i="16"/>
  <c r="HM33" i="16" s="1"/>
  <c r="HG33" i="16"/>
  <c r="GK22" i="16"/>
  <c r="GR8" i="16"/>
  <c r="GP21" i="16"/>
  <c r="HM21" i="16" s="1"/>
  <c r="HG21" i="16"/>
  <c r="GP17" i="16"/>
  <c r="HM17" i="16" s="1"/>
  <c r="HG17" i="16"/>
  <c r="GQ34" i="16"/>
  <c r="GV34" i="16"/>
  <c r="GW34" i="16" s="1"/>
  <c r="DH22" i="17"/>
  <c r="DH51" i="17"/>
  <c r="DH15" i="17"/>
  <c r="GP18" i="16"/>
  <c r="HM18" i="16" s="1"/>
  <c r="GH7" i="16"/>
  <c r="GR12" i="16"/>
  <c r="GQ12" i="16"/>
  <c r="GP22" i="16"/>
  <c r="HM22" i="16" s="1"/>
  <c r="GP27" i="16"/>
  <c r="HM27" i="16" s="1"/>
  <c r="GK34" i="16"/>
  <c r="GR11" i="16"/>
  <c r="GQ11" i="16"/>
  <c r="GP23" i="16"/>
  <c r="HM23" i="16" s="1"/>
  <c r="GP30" i="16"/>
  <c r="HM30" i="16" s="1"/>
  <c r="DH52" i="17"/>
  <c r="GR9" i="16"/>
  <c r="GQ9" i="16"/>
  <c r="GP19" i="16"/>
  <c r="HM19" i="16" s="1"/>
  <c r="GK31" i="16"/>
  <c r="GP31" i="16"/>
  <c r="GK18" i="16"/>
  <c r="GK30" i="16"/>
  <c r="GK24" i="16"/>
  <c r="GK23" i="16"/>
  <c r="GK20" i="16"/>
  <c r="GL20" i="16"/>
  <c r="GK33" i="16"/>
  <c r="GK27" i="16"/>
  <c r="GK25" i="16"/>
  <c r="GK21" i="16"/>
  <c r="GK17" i="16"/>
  <c r="GH15" i="16"/>
  <c r="GK16" i="16"/>
  <c r="GH10" i="16"/>
  <c r="GH14" i="16"/>
  <c r="DH19" i="17"/>
  <c r="DH14" i="17"/>
  <c r="DH10" i="17"/>
  <c r="DH27" i="17"/>
  <c r="DH32" i="17"/>
  <c r="DH36" i="17"/>
  <c r="DH40" i="17"/>
  <c r="DH45" i="17"/>
  <c r="DH50" i="17"/>
  <c r="DH61" i="17"/>
  <c r="DH66" i="17"/>
  <c r="DH18" i="17"/>
  <c r="DH8" i="17"/>
  <c r="DH33" i="17"/>
  <c r="DH42" i="17"/>
  <c r="DH62" i="17"/>
  <c r="DH12" i="17"/>
  <c r="DH38" i="17"/>
  <c r="DH47" i="17"/>
  <c r="DH58" i="17"/>
  <c r="DH55" i="17"/>
  <c r="DH26" i="17"/>
  <c r="DH20" i="17"/>
  <c r="DH16" i="17"/>
  <c r="DH11" i="17"/>
  <c r="DH6" i="17"/>
  <c r="DH34" i="17"/>
  <c r="DH39" i="17"/>
  <c r="DH44" i="17"/>
  <c r="DH49" i="17"/>
  <c r="DH60" i="17"/>
  <c r="DH65" i="17"/>
  <c r="DH24" i="17"/>
  <c r="DH13" i="17"/>
  <c r="DH29" i="17"/>
  <c r="DH37" i="17"/>
  <c r="DH46" i="17"/>
  <c r="DH56" i="17"/>
  <c r="DH67" i="17"/>
  <c r="DH23" i="17"/>
  <c r="DH17" i="17"/>
  <c r="DH7" i="17"/>
  <c r="DH35" i="17"/>
  <c r="DH43" i="17"/>
  <c r="DH53" i="17"/>
  <c r="DH64" i="17"/>
  <c r="DG31" i="17"/>
  <c r="DU31" i="17" s="1"/>
  <c r="GG13" i="16"/>
  <c r="HD13" i="16" s="1"/>
  <c r="GF33" i="16"/>
  <c r="GF30" i="16"/>
  <c r="GF27" i="16"/>
  <c r="GF25" i="16"/>
  <c r="GF24" i="16"/>
  <c r="GF23" i="16"/>
  <c r="GF22" i="16"/>
  <c r="GF21" i="16"/>
  <c r="GF20" i="16"/>
  <c r="GF19" i="16"/>
  <c r="GF18" i="16"/>
  <c r="GF17" i="16"/>
  <c r="GF16" i="16"/>
  <c r="GF12" i="16"/>
  <c r="GF11" i="16"/>
  <c r="GF9" i="16"/>
  <c r="GF8" i="16"/>
  <c r="GE34" i="16"/>
  <c r="GE33" i="16"/>
  <c r="GE31" i="16"/>
  <c r="GE30" i="16"/>
  <c r="GE17" i="16"/>
  <c r="GE18" i="16"/>
  <c r="GE19" i="16"/>
  <c r="GE20" i="16"/>
  <c r="GE21" i="16"/>
  <c r="GE22" i="16"/>
  <c r="GE23" i="16"/>
  <c r="GE24" i="16"/>
  <c r="GE25" i="16"/>
  <c r="GE26" i="16"/>
  <c r="GE27" i="16"/>
  <c r="GE28" i="16"/>
  <c r="GE16" i="16"/>
  <c r="GE12" i="16"/>
  <c r="GE9" i="16"/>
  <c r="GE11" i="16"/>
  <c r="GE8" i="16"/>
  <c r="GW12" i="16" l="1"/>
  <c r="DL49" i="15"/>
  <c r="DY49" i="15"/>
  <c r="EX32" i="21"/>
  <c r="FU32" i="21" s="1"/>
  <c r="FA20" i="21"/>
  <c r="EX23" i="21"/>
  <c r="FU20" i="21"/>
  <c r="DL47" i="15"/>
  <c r="DL50" i="15"/>
  <c r="DY50" i="15"/>
  <c r="GW11" i="16"/>
  <c r="GR33" i="16"/>
  <c r="GX12" i="16"/>
  <c r="GQ21" i="16"/>
  <c r="GX9" i="16"/>
  <c r="HS9" i="16"/>
  <c r="GQ16" i="16"/>
  <c r="GW9" i="16"/>
  <c r="GQ33" i="16"/>
  <c r="GR16" i="16"/>
  <c r="GX11" i="16"/>
  <c r="GV22" i="16"/>
  <c r="HS22" i="16" s="1"/>
  <c r="GV18" i="16"/>
  <c r="HS18" i="16" s="1"/>
  <c r="GV21" i="16"/>
  <c r="HS21" i="16" s="1"/>
  <c r="GV33" i="16"/>
  <c r="HS33" i="16" s="1"/>
  <c r="GV16" i="16"/>
  <c r="HS16" i="16" s="1"/>
  <c r="GV19" i="16"/>
  <c r="HS19" i="16" s="1"/>
  <c r="GV30" i="16"/>
  <c r="HS30" i="16" s="1"/>
  <c r="GV23" i="16"/>
  <c r="GV27" i="16"/>
  <c r="HS27" i="16" s="1"/>
  <c r="GV17" i="16"/>
  <c r="HS17" i="16" s="1"/>
  <c r="GV24" i="16"/>
  <c r="HS24" i="16" s="1"/>
  <c r="GV25" i="16"/>
  <c r="HS25" i="16" s="1"/>
  <c r="GQ24" i="16"/>
  <c r="GR17" i="16"/>
  <c r="GQ17" i="16"/>
  <c r="GR25" i="16"/>
  <c r="GQ25" i="16"/>
  <c r="GR24" i="16"/>
  <c r="GG29" i="16"/>
  <c r="HD29" i="16" s="1"/>
  <c r="GQ31" i="16"/>
  <c r="GV31" i="16"/>
  <c r="GW31" i="16" s="1"/>
  <c r="GR21" i="16"/>
  <c r="GQ30" i="16"/>
  <c r="GR30" i="16"/>
  <c r="GR27" i="16"/>
  <c r="GQ27" i="16"/>
  <c r="GQ19" i="16"/>
  <c r="GR19" i="16"/>
  <c r="GQ23" i="16"/>
  <c r="GR23" i="16"/>
  <c r="GR18" i="16"/>
  <c r="GQ18" i="16"/>
  <c r="GR22" i="16"/>
  <c r="GQ22" i="16"/>
  <c r="GG40" i="16"/>
  <c r="GH13" i="16"/>
  <c r="DH31" i="17"/>
  <c r="GW22" i="16" l="1"/>
  <c r="GX19" i="16"/>
  <c r="GX18" i="16"/>
  <c r="HD40" i="16"/>
  <c r="EX17" i="21"/>
  <c r="EX14" i="21" s="1"/>
  <c r="FA23" i="21"/>
  <c r="EX35" i="21"/>
  <c r="FU23" i="21"/>
  <c r="FA32" i="21"/>
  <c r="FX20" i="21"/>
  <c r="GW18" i="16"/>
  <c r="GW19" i="16"/>
  <c r="GX17" i="16"/>
  <c r="GW17" i="16"/>
  <c r="GW24" i="16"/>
  <c r="GX21" i="16"/>
  <c r="GW33" i="16"/>
  <c r="GX25" i="16"/>
  <c r="GW25" i="16"/>
  <c r="GW30" i="16"/>
  <c r="GW21" i="16"/>
  <c r="GX16" i="16"/>
  <c r="GW23" i="16"/>
  <c r="HS23" i="16"/>
  <c r="GX27" i="16"/>
  <c r="GW16" i="16"/>
  <c r="GW27" i="16"/>
  <c r="GX24" i="16"/>
  <c r="GX30" i="16"/>
  <c r="GX33" i="16"/>
  <c r="GX22" i="16"/>
  <c r="GX23" i="16"/>
  <c r="GH40" i="16"/>
  <c r="GH29" i="16"/>
  <c r="GG32" i="16"/>
  <c r="HD32" i="16" s="1"/>
  <c r="GG39" i="16"/>
  <c r="HD39" i="16" s="1"/>
  <c r="DJ15" i="15"/>
  <c r="DJ12" i="15"/>
  <c r="DJ11" i="15"/>
  <c r="DJ10" i="15"/>
  <c r="FX32" i="21" l="1"/>
  <c r="FU35" i="21"/>
  <c r="FA35" i="21"/>
  <c r="FX23" i="21"/>
  <c r="GH32" i="16"/>
  <c r="GH39" i="16"/>
  <c r="GG35" i="16"/>
  <c r="DO49" i="17"/>
  <c r="CI49" i="17"/>
  <c r="CF49" i="17"/>
  <c r="CC49" i="17"/>
  <c r="FX35" i="21" l="1"/>
  <c r="GG36" i="16"/>
  <c r="HD36" i="16" s="1"/>
  <c r="HD35" i="16"/>
  <c r="DO32" i="17"/>
  <c r="DL49" i="17"/>
  <c r="GH35" i="16"/>
  <c r="DD37" i="17"/>
  <c r="GH36" i="16" l="1"/>
  <c r="DD32" i="17"/>
  <c r="DR32" i="17" s="1"/>
  <c r="DR37" i="17"/>
  <c r="DF45" i="17"/>
  <c r="DF46" i="17"/>
  <c r="DF47" i="17"/>
  <c r="DC47" i="17"/>
  <c r="CZ47" i="17"/>
  <c r="CW47" i="17"/>
  <c r="CT47" i="17"/>
  <c r="CQ47" i="17"/>
  <c r="DF67" i="17" l="1"/>
  <c r="DF66" i="17"/>
  <c r="DF65" i="17"/>
  <c r="DF64" i="17"/>
  <c r="DF62" i="17"/>
  <c r="DF60" i="17"/>
  <c r="DF56" i="17"/>
  <c r="DF55" i="17"/>
  <c r="DF53" i="17"/>
  <c r="DF49" i="17"/>
  <c r="DF44" i="17"/>
  <c r="DF43" i="17"/>
  <c r="DF42" i="17"/>
  <c r="DF40" i="17"/>
  <c r="DF39" i="17"/>
  <c r="DF38" i="17"/>
  <c r="DF36" i="17"/>
  <c r="DF34" i="17"/>
  <c r="DF35" i="17"/>
  <c r="DF33" i="17"/>
  <c r="DF29" i="17"/>
  <c r="DF27" i="17"/>
  <c r="DF26" i="17"/>
  <c r="DF24" i="17"/>
  <c r="DF23" i="17"/>
  <c r="DF20" i="17"/>
  <c r="DF19" i="17"/>
  <c r="DF17" i="17"/>
  <c r="DF16" i="17"/>
  <c r="DF14" i="17"/>
  <c r="DF13" i="17"/>
  <c r="DF12" i="17"/>
  <c r="FK9" i="16"/>
  <c r="F49" i="5" l="1"/>
  <c r="GD7" i="16" l="1"/>
  <c r="HA7" i="16" s="1"/>
  <c r="GE7" i="16" l="1"/>
  <c r="GJ7" i="16"/>
  <c r="HG7" i="16" s="1"/>
  <c r="GA14" i="16"/>
  <c r="GB14" i="16" s="1"/>
  <c r="GB9" i="16"/>
  <c r="GB12" i="16"/>
  <c r="GB11" i="16"/>
  <c r="GB8" i="16"/>
  <c r="FJ12" i="16"/>
  <c r="FJ11" i="16"/>
  <c r="FJ9" i="16"/>
  <c r="FJ8" i="16"/>
  <c r="DH8" i="15"/>
  <c r="DD61" i="17"/>
  <c r="DR61" i="17" s="1"/>
  <c r="DD50" i="17"/>
  <c r="DR50" i="17" s="1"/>
  <c r="DD11" i="17"/>
  <c r="GD10" i="16"/>
  <c r="HA10" i="16" s="1"/>
  <c r="GD15" i="16"/>
  <c r="GD14" i="16"/>
  <c r="HA14" i="16" s="1"/>
  <c r="DH6" i="15" l="1"/>
  <c r="DH5" i="15"/>
  <c r="DI9" i="15" s="1"/>
  <c r="DV8" i="15"/>
  <c r="DV7" i="15"/>
  <c r="GJ15" i="16"/>
  <c r="HG15" i="16" s="1"/>
  <c r="HA15" i="16"/>
  <c r="DD7" i="17"/>
  <c r="DR7" i="17" s="1"/>
  <c r="DR11" i="17"/>
  <c r="GJ14" i="16"/>
  <c r="HG14" i="16" s="1"/>
  <c r="GE14" i="16"/>
  <c r="DD31" i="17"/>
  <c r="GP7" i="16"/>
  <c r="HM7" i="16" s="1"/>
  <c r="GK7" i="16"/>
  <c r="GJ10" i="16"/>
  <c r="HG10" i="16" s="1"/>
  <c r="GE10" i="16"/>
  <c r="GE15" i="16"/>
  <c r="GD13" i="16"/>
  <c r="HA13" i="16" s="1"/>
  <c r="EU20" i="21" l="1"/>
  <c r="DH49" i="15"/>
  <c r="DI17" i="15"/>
  <c r="DI12" i="15"/>
  <c r="DI14" i="15"/>
  <c r="DI13" i="15"/>
  <c r="DI15" i="15"/>
  <c r="DI11" i="15"/>
  <c r="DI5" i="15"/>
  <c r="DI10" i="15"/>
  <c r="DI18" i="15"/>
  <c r="DI16" i="15"/>
  <c r="DV5" i="15"/>
  <c r="DI6" i="15"/>
  <c r="DH50" i="15"/>
  <c r="DV6" i="15"/>
  <c r="DI8" i="15"/>
  <c r="DI7" i="15"/>
  <c r="GP15" i="16"/>
  <c r="GV7" i="16"/>
  <c r="GK15" i="16"/>
  <c r="DE47" i="17"/>
  <c r="DR31" i="17"/>
  <c r="GQ7" i="16"/>
  <c r="GP10" i="16"/>
  <c r="HM10" i="16" s="1"/>
  <c r="GK10" i="16"/>
  <c r="GP14" i="16"/>
  <c r="HM14" i="16" s="1"/>
  <c r="GK14" i="16"/>
  <c r="GJ13" i="16"/>
  <c r="HG13" i="16" s="1"/>
  <c r="GE13" i="16"/>
  <c r="DD6" i="17"/>
  <c r="GD29" i="16"/>
  <c r="GD40" i="16"/>
  <c r="HA40" i="16" l="1"/>
  <c r="EU17" i="21"/>
  <c r="EU14" i="21" s="1"/>
  <c r="DI49" i="15"/>
  <c r="DV49" i="15"/>
  <c r="EU32" i="21"/>
  <c r="EU23" i="21"/>
  <c r="FR20" i="21"/>
  <c r="DI47" i="15"/>
  <c r="DI50" i="15"/>
  <c r="DV50" i="15"/>
  <c r="GW7" i="16"/>
  <c r="HS7" i="16"/>
  <c r="GQ15" i="16"/>
  <c r="HM15" i="16"/>
  <c r="DE22" i="17"/>
  <c r="DR6" i="17"/>
  <c r="GV14" i="16"/>
  <c r="HS14" i="16" s="1"/>
  <c r="GV10" i="16"/>
  <c r="GV15" i="16"/>
  <c r="GJ29" i="16"/>
  <c r="HG29" i="16" s="1"/>
  <c r="HA29" i="16"/>
  <c r="DE15" i="17"/>
  <c r="DE12" i="17"/>
  <c r="DE6" i="17"/>
  <c r="DE10" i="17"/>
  <c r="DE8" i="17"/>
  <c r="DE29" i="17"/>
  <c r="DE17" i="17"/>
  <c r="DE27" i="17"/>
  <c r="DE20" i="17"/>
  <c r="DE16" i="17"/>
  <c r="DE26" i="17"/>
  <c r="DE19" i="17"/>
  <c r="DE14" i="17"/>
  <c r="DE24" i="17"/>
  <c r="DE13" i="17"/>
  <c r="DE23" i="17"/>
  <c r="DE11" i="17"/>
  <c r="DE18" i="17"/>
  <c r="GE40" i="16"/>
  <c r="GQ14" i="16"/>
  <c r="GQ10" i="16"/>
  <c r="GP13" i="16"/>
  <c r="HM13" i="16" s="1"/>
  <c r="GK13" i="16"/>
  <c r="GJ40" i="16"/>
  <c r="DE7" i="17"/>
  <c r="GE29" i="16"/>
  <c r="GD32" i="16"/>
  <c r="GD39" i="16"/>
  <c r="HA39" i="16" s="1"/>
  <c r="DC49" i="17"/>
  <c r="HG40" i="16" l="1"/>
  <c r="FA17" i="21"/>
  <c r="FA14" i="21" s="1"/>
  <c r="EU35" i="21"/>
  <c r="FR23" i="21"/>
  <c r="FR32" i="21"/>
  <c r="GW14" i="16"/>
  <c r="GW15" i="16"/>
  <c r="HS15" i="16"/>
  <c r="GW10" i="16"/>
  <c r="HS10" i="16"/>
  <c r="GX14" i="16"/>
  <c r="GV13" i="16"/>
  <c r="HS13" i="16" s="1"/>
  <c r="GP29" i="16"/>
  <c r="HM29" i="16" s="1"/>
  <c r="GK29" i="16"/>
  <c r="GJ32" i="16"/>
  <c r="HG32" i="16" s="1"/>
  <c r="HA32" i="16"/>
  <c r="GE39" i="16"/>
  <c r="GQ13" i="16"/>
  <c r="GP40" i="16"/>
  <c r="GK40" i="16"/>
  <c r="GJ39" i="16"/>
  <c r="HG39" i="16" s="1"/>
  <c r="GE32" i="16"/>
  <c r="GD35" i="16"/>
  <c r="HA35" i="16" s="1"/>
  <c r="HM40" i="16" l="1"/>
  <c r="FG17" i="21"/>
  <c r="FG14" i="21" s="1"/>
  <c r="GW13" i="16"/>
  <c r="FR35" i="21"/>
  <c r="GQ29" i="16"/>
  <c r="GV40" i="16"/>
  <c r="GV39" i="16" s="1"/>
  <c r="HS39" i="16" s="1"/>
  <c r="GK32" i="16"/>
  <c r="GV29" i="16"/>
  <c r="GP32" i="16"/>
  <c r="HM32" i="16" s="1"/>
  <c r="GD36" i="16"/>
  <c r="GJ35" i="16"/>
  <c r="HG35" i="16" s="1"/>
  <c r="GK39" i="16"/>
  <c r="GQ40" i="16"/>
  <c r="GP39" i="16"/>
  <c r="HM39" i="16" s="1"/>
  <c r="GE35" i="16"/>
  <c r="GW40" i="16" l="1"/>
  <c r="HS40" i="16"/>
  <c r="FM17" i="21"/>
  <c r="FM14" i="21" s="1"/>
  <c r="GW29" i="16"/>
  <c r="HS29" i="16"/>
  <c r="GV32" i="16"/>
  <c r="GQ32" i="16"/>
  <c r="GJ36" i="16"/>
  <c r="HA36" i="16"/>
  <c r="GW39" i="16"/>
  <c r="GQ39" i="16"/>
  <c r="GP35" i="16"/>
  <c r="HM35" i="16" s="1"/>
  <c r="GK35" i="16"/>
  <c r="GE36" i="16"/>
  <c r="DG15" i="15"/>
  <c r="DG13" i="15"/>
  <c r="DG12" i="15"/>
  <c r="DG11" i="15"/>
  <c r="DG10" i="15"/>
  <c r="DE6" i="15" l="1"/>
  <c r="DE5" i="15"/>
  <c r="DF9" i="15" s="1"/>
  <c r="DS7" i="15"/>
  <c r="GW32" i="16"/>
  <c r="HS32" i="16"/>
  <c r="GV35" i="16"/>
  <c r="GP36" i="16"/>
  <c r="HM36" i="16" s="1"/>
  <c r="HG36" i="16"/>
  <c r="GK36" i="16"/>
  <c r="GQ35" i="16"/>
  <c r="EO20" i="21" l="1"/>
  <c r="DE49" i="15"/>
  <c r="DF15" i="15"/>
  <c r="DF11" i="15"/>
  <c r="DF13" i="15"/>
  <c r="DF18" i="15"/>
  <c r="DF12" i="15"/>
  <c r="DF5" i="15"/>
  <c r="DF17" i="15"/>
  <c r="DF14" i="15"/>
  <c r="DF10" i="15"/>
  <c r="DF16" i="15"/>
  <c r="DF8" i="15"/>
  <c r="DS5" i="15"/>
  <c r="DF6" i="15"/>
  <c r="DE50" i="15"/>
  <c r="DS6" i="15"/>
  <c r="DF7" i="15"/>
  <c r="GW35" i="16"/>
  <c r="HS35" i="16"/>
  <c r="GV36" i="16"/>
  <c r="HS36" i="16" s="1"/>
  <c r="GQ36" i="16"/>
  <c r="DC66" i="17"/>
  <c r="DC65" i="17"/>
  <c r="DC64" i="17"/>
  <c r="DC62" i="17"/>
  <c r="DC60" i="17"/>
  <c r="DC56" i="17"/>
  <c r="DC55" i="17"/>
  <c r="DC53" i="17"/>
  <c r="DC46" i="17"/>
  <c r="DC45" i="17"/>
  <c r="DC44" i="17"/>
  <c r="DC43" i="17"/>
  <c r="DC42" i="17"/>
  <c r="DC40" i="17"/>
  <c r="DC39" i="17"/>
  <c r="DC38" i="17"/>
  <c r="DC36" i="17"/>
  <c r="DC34" i="17"/>
  <c r="DC35" i="17"/>
  <c r="DC33" i="17"/>
  <c r="DC29" i="17"/>
  <c r="DC27" i="17"/>
  <c r="DC26" i="17"/>
  <c r="DC24" i="17"/>
  <c r="DC23" i="17"/>
  <c r="DC20" i="17"/>
  <c r="DC19" i="17"/>
  <c r="DC17" i="17"/>
  <c r="DC16" i="17"/>
  <c r="DC14" i="17"/>
  <c r="DC13" i="17"/>
  <c r="DC12" i="17"/>
  <c r="DC10" i="17"/>
  <c r="DC8" i="17"/>
  <c r="DF49" i="15" l="1"/>
  <c r="DS49" i="15"/>
  <c r="ER20" i="21"/>
  <c r="EO32" i="21"/>
  <c r="EO23" i="21"/>
  <c r="FL20" i="21"/>
  <c r="DF47" i="15"/>
  <c r="DF50" i="15"/>
  <c r="DS50" i="15"/>
  <c r="GW36" i="16"/>
  <c r="FF15" i="16"/>
  <c r="FX15" i="16"/>
  <c r="GA15" i="16"/>
  <c r="GX15" i="16" s="1"/>
  <c r="EO35" i="21" l="1"/>
  <c r="FL35" i="21" s="1"/>
  <c r="ER23" i="21"/>
  <c r="FL23" i="21"/>
  <c r="FL32" i="21"/>
  <c r="ER32" i="21"/>
  <c r="FO20" i="21"/>
  <c r="GU15" i="16"/>
  <c r="FY15" i="16"/>
  <c r="FZ30" i="16"/>
  <c r="FZ27" i="16"/>
  <c r="FZ25" i="16"/>
  <c r="FZ24" i="16"/>
  <c r="FZ23" i="16"/>
  <c r="FZ22" i="16"/>
  <c r="FZ21" i="16"/>
  <c r="FZ20" i="16"/>
  <c r="FZ19" i="16"/>
  <c r="FZ18" i="16"/>
  <c r="FZ17" i="16"/>
  <c r="FZ16" i="16"/>
  <c r="FZ12" i="16"/>
  <c r="FZ11" i="16"/>
  <c r="FZ9" i="16"/>
  <c r="FZ8" i="16"/>
  <c r="GC30" i="16"/>
  <c r="GC27" i="16"/>
  <c r="GC25" i="16"/>
  <c r="GC24" i="16"/>
  <c r="GC23" i="16"/>
  <c r="GC22" i="16"/>
  <c r="GC21" i="16"/>
  <c r="GC20" i="16"/>
  <c r="GC19" i="16"/>
  <c r="GC18" i="16"/>
  <c r="GC17" i="16"/>
  <c r="GC16" i="16"/>
  <c r="FZ34" i="16"/>
  <c r="FZ33" i="16"/>
  <c r="FY34" i="16"/>
  <c r="FY33" i="16"/>
  <c r="FY31" i="16"/>
  <c r="FY30" i="16"/>
  <c r="FY28" i="16"/>
  <c r="FY27" i="16"/>
  <c r="FY26" i="16"/>
  <c r="FY25" i="16"/>
  <c r="FY24" i="16"/>
  <c r="FY23" i="16"/>
  <c r="FY22" i="16"/>
  <c r="FY21" i="16"/>
  <c r="FY20" i="16"/>
  <c r="FY19" i="16"/>
  <c r="FY18" i="16"/>
  <c r="FY17" i="16"/>
  <c r="FY16" i="16"/>
  <c r="FY9" i="16"/>
  <c r="FY11" i="16"/>
  <c r="FY12" i="16"/>
  <c r="FY8" i="16"/>
  <c r="FX14" i="16"/>
  <c r="GU14" i="16" s="1"/>
  <c r="FX10" i="16"/>
  <c r="GU10" i="16" s="1"/>
  <c r="FX7" i="16"/>
  <c r="FO32" i="21" l="1"/>
  <c r="ER35" i="21"/>
  <c r="FO23" i="21"/>
  <c r="FY10" i="16"/>
  <c r="FX13" i="16"/>
  <c r="FY13" i="16" s="1"/>
  <c r="GU7" i="16"/>
  <c r="FY7" i="16"/>
  <c r="FY14" i="16"/>
  <c r="FO35" i="21" l="1"/>
  <c r="FX40" i="16"/>
  <c r="EO17" i="21" s="1"/>
  <c r="EO14" i="21" s="1"/>
  <c r="GU13" i="16"/>
  <c r="FX29" i="16"/>
  <c r="GU29" i="16" s="1"/>
  <c r="FY29" i="16" l="1"/>
  <c r="GU40" i="16"/>
  <c r="FX39" i="16"/>
  <c r="GU39" i="16" s="1"/>
  <c r="FX32" i="16"/>
  <c r="FX35" i="16" l="1"/>
  <c r="GU32" i="16"/>
  <c r="FY32" i="16"/>
  <c r="FX36" i="16" l="1"/>
  <c r="GU35" i="16"/>
  <c r="FY35" i="16"/>
  <c r="GU36" i="16" l="1"/>
  <c r="FY36" i="16"/>
  <c r="FC14" i="16"/>
  <c r="FZ14" i="16" s="1"/>
  <c r="FC10" i="16"/>
  <c r="FZ10" i="16" s="1"/>
  <c r="GC34" i="16"/>
  <c r="GC33" i="16"/>
  <c r="GB34" i="16"/>
  <c r="GB33" i="16"/>
  <c r="GB31" i="16"/>
  <c r="GB30" i="16"/>
  <c r="GB16" i="16"/>
  <c r="GB17" i="16"/>
  <c r="GB18" i="16"/>
  <c r="GB19" i="16"/>
  <c r="GB20" i="16"/>
  <c r="GB21" i="16"/>
  <c r="GB22" i="16"/>
  <c r="GB23" i="16"/>
  <c r="GB24" i="16"/>
  <c r="GB25" i="16"/>
  <c r="GB26" i="16"/>
  <c r="GB27" i="16"/>
  <c r="GB28" i="16"/>
  <c r="FR15" i="16"/>
  <c r="GO15" i="16" s="1"/>
  <c r="GA10" i="16"/>
  <c r="GX10" i="16" s="1"/>
  <c r="GA7" i="16"/>
  <c r="GX7" i="16" s="1"/>
  <c r="FR7" i="16"/>
  <c r="GO7" i="16" s="1"/>
  <c r="GB10" i="16" l="1"/>
  <c r="GA13" i="16"/>
  <c r="GX13" i="16" s="1"/>
  <c r="GB7" i="16"/>
  <c r="GB15" i="16"/>
  <c r="GC15" i="16"/>
  <c r="DA61" i="17"/>
  <c r="DO61" i="17" s="1"/>
  <c r="DA50" i="17"/>
  <c r="DO50" i="17" s="1"/>
  <c r="DA18" i="17"/>
  <c r="DO18" i="17" s="1"/>
  <c r="DA11" i="17"/>
  <c r="GA29" i="16" l="1"/>
  <c r="GX29" i="16" s="1"/>
  <c r="DO11" i="17"/>
  <c r="DA7" i="17"/>
  <c r="DO7" i="17" s="1"/>
  <c r="GB13" i="16"/>
  <c r="GA40" i="16"/>
  <c r="DD15" i="15"/>
  <c r="DD13" i="15"/>
  <c r="GX40" i="16" l="1"/>
  <c r="ER17" i="21"/>
  <c r="ER14" i="21" s="1"/>
  <c r="GB29" i="16"/>
  <c r="GA32" i="16"/>
  <c r="GX32" i="16" s="1"/>
  <c r="GB40" i="16"/>
  <c r="GA39" i="16"/>
  <c r="GX39" i="16" s="1"/>
  <c r="DA31" i="17"/>
  <c r="DA6" i="17"/>
  <c r="FY40" i="16"/>
  <c r="CZ23" i="17"/>
  <c r="CZ34" i="17"/>
  <c r="CZ65" i="17"/>
  <c r="FR14" i="16"/>
  <c r="GO14" i="16" s="1"/>
  <c r="DB48" i="17" l="1"/>
  <c r="GA35" i="16"/>
  <c r="GX35" i="16" s="1"/>
  <c r="GB32" i="16"/>
  <c r="DB63" i="17"/>
  <c r="DB15" i="17"/>
  <c r="DB22" i="17"/>
  <c r="DO31" i="17"/>
  <c r="DB51" i="17"/>
  <c r="DO6" i="17"/>
  <c r="DB16" i="17"/>
  <c r="DB6" i="17"/>
  <c r="DB27" i="17"/>
  <c r="DB20" i="17"/>
  <c r="DB19" i="17"/>
  <c r="DB10" i="17"/>
  <c r="DB24" i="17"/>
  <c r="DB13" i="17"/>
  <c r="DB8" i="17"/>
  <c r="DB29" i="17"/>
  <c r="DB23" i="17"/>
  <c r="DB17" i="17"/>
  <c r="DB12" i="17"/>
  <c r="DB26" i="17"/>
  <c r="DB14" i="17"/>
  <c r="DB11" i="17"/>
  <c r="DB18" i="17"/>
  <c r="GB39" i="16"/>
  <c r="DB7" i="17"/>
  <c r="DB47" i="17"/>
  <c r="DB66" i="17"/>
  <c r="DB61" i="17"/>
  <c r="DB50" i="17"/>
  <c r="DB44" i="17"/>
  <c r="DB39" i="17"/>
  <c r="DB34" i="17"/>
  <c r="DB31" i="17"/>
  <c r="DB64" i="17"/>
  <c r="DB53" i="17"/>
  <c r="DB42" i="17"/>
  <c r="DB33" i="17"/>
  <c r="DB62" i="17"/>
  <c r="DB40" i="17"/>
  <c r="DB32" i="17"/>
  <c r="DB65" i="17"/>
  <c r="DB60" i="17"/>
  <c r="DB52" i="17"/>
  <c r="DB49" i="17"/>
  <c r="DB43" i="17"/>
  <c r="DB38" i="17"/>
  <c r="DB35" i="17"/>
  <c r="DB56" i="17"/>
  <c r="DB46" i="17"/>
  <c r="DB37" i="17"/>
  <c r="DB67" i="17"/>
  <c r="DB55" i="17"/>
  <c r="DB45" i="17"/>
  <c r="DB36" i="17"/>
  <c r="GB35" i="16"/>
  <c r="FY39" i="16"/>
  <c r="DB8" i="15"/>
  <c r="GA36" i="16" l="1"/>
  <c r="GB36" i="16" s="1"/>
  <c r="DB6" i="15"/>
  <c r="DB5" i="15"/>
  <c r="DC9" i="15" s="1"/>
  <c r="DP8" i="15"/>
  <c r="DP7" i="15"/>
  <c r="FR10" i="16"/>
  <c r="GO10" i="16" s="1"/>
  <c r="GX36" i="16" l="1"/>
  <c r="EI20" i="21"/>
  <c r="DB49" i="15"/>
  <c r="DC14" i="15"/>
  <c r="DC10" i="15"/>
  <c r="DC18" i="15"/>
  <c r="DC12" i="15"/>
  <c r="DC5" i="15"/>
  <c r="DC17" i="15"/>
  <c r="DC11" i="15"/>
  <c r="DC13" i="15"/>
  <c r="DC15" i="15"/>
  <c r="DC16" i="15"/>
  <c r="DP5" i="15"/>
  <c r="DC6" i="15"/>
  <c r="DB50" i="15"/>
  <c r="DP6" i="15"/>
  <c r="DC7" i="15"/>
  <c r="DC8" i="15"/>
  <c r="ET8" i="16"/>
  <c r="CX37" i="17"/>
  <c r="CX32" i="17" s="1"/>
  <c r="EL20" i="21" l="1"/>
  <c r="EI32" i="21"/>
  <c r="EI23" i="21"/>
  <c r="FF20" i="21"/>
  <c r="DC49" i="15"/>
  <c r="DP49" i="15"/>
  <c r="EU5" i="16"/>
  <c r="EU6" i="16"/>
  <c r="DC47" i="15"/>
  <c r="DC50" i="15"/>
  <c r="DP50" i="15"/>
  <c r="DL37" i="17"/>
  <c r="EL32" i="21" l="1"/>
  <c r="FI20" i="21"/>
  <c r="EL23" i="21"/>
  <c r="EI35" i="21"/>
  <c r="FF23" i="21"/>
  <c r="FF32" i="21"/>
  <c r="EU4" i="16"/>
  <c r="DL32" i="17"/>
  <c r="FL15" i="16"/>
  <c r="GI15" i="16" s="1"/>
  <c r="FL14" i="16"/>
  <c r="GI14" i="16" s="1"/>
  <c r="EW14" i="16"/>
  <c r="FI32" i="21" l="1"/>
  <c r="EL35" i="21"/>
  <c r="FI23" i="21"/>
  <c r="FF35" i="21"/>
  <c r="FS8" i="16"/>
  <c r="FR13" i="16"/>
  <c r="GO13" i="16" s="1"/>
  <c r="FI35" i="21" l="1"/>
  <c r="FR29" i="16"/>
  <c r="GO29" i="16" s="1"/>
  <c r="FR40" i="16"/>
  <c r="EI17" i="21" s="1"/>
  <c r="EI14" i="21" s="1"/>
  <c r="BL18" i="4"/>
  <c r="FR39" i="16" l="1"/>
  <c r="GO39" i="16" s="1"/>
  <c r="GO40" i="16"/>
  <c r="FR32" i="16"/>
  <c r="GO32" i="16" s="1"/>
  <c r="FO8" i="16"/>
  <c r="FS40" i="16"/>
  <c r="GL8" i="16" l="1"/>
  <c r="FP4" i="16"/>
  <c r="FP5" i="16"/>
  <c r="FP6" i="16"/>
  <c r="FS39" i="16"/>
  <c r="FR35" i="16"/>
  <c r="DD12" i="15"/>
  <c r="DD11" i="15"/>
  <c r="DD10" i="15"/>
  <c r="GO35" i="16" l="1"/>
  <c r="FR36" i="16"/>
  <c r="GO36" i="16" s="1"/>
  <c r="FT12" i="16"/>
  <c r="FT11" i="16"/>
  <c r="FT9" i="16"/>
  <c r="FT8" i="16"/>
  <c r="FS28" i="16"/>
  <c r="FS27" i="16"/>
  <c r="FS26" i="16"/>
  <c r="FS25" i="16"/>
  <c r="FS24" i="16"/>
  <c r="FS23" i="16"/>
  <c r="FS22" i="16"/>
  <c r="FS21" i="16"/>
  <c r="FS20" i="16"/>
  <c r="FS19" i="16"/>
  <c r="FS18" i="16"/>
  <c r="FS17" i="16"/>
  <c r="FS16" i="16"/>
  <c r="FS12" i="16"/>
  <c r="FS11" i="16"/>
  <c r="FS34" i="16"/>
  <c r="FS33" i="16"/>
  <c r="FS31" i="16"/>
  <c r="FS30" i="16"/>
  <c r="FS9" i="16"/>
  <c r="FP8" i="16"/>
  <c r="FT33" i="16"/>
  <c r="FT30" i="16"/>
  <c r="FT27" i="16"/>
  <c r="FT25" i="16"/>
  <c r="FT24" i="16"/>
  <c r="FT23" i="16"/>
  <c r="FT22" i="16"/>
  <c r="FT21" i="16"/>
  <c r="FT20" i="16"/>
  <c r="FT19" i="16"/>
  <c r="FT18" i="16"/>
  <c r="FT17" i="16"/>
  <c r="FT16" i="16"/>
  <c r="FS15" i="16"/>
  <c r="CZ67" i="17"/>
  <c r="CZ66" i="17"/>
  <c r="CZ64" i="17"/>
  <c r="CZ62" i="17"/>
  <c r="CX61" i="17"/>
  <c r="CZ60" i="17"/>
  <c r="CZ56" i="17"/>
  <c r="CZ55" i="17"/>
  <c r="CZ53" i="17"/>
  <c r="CX50" i="17"/>
  <c r="CZ49" i="17"/>
  <c r="CZ46" i="17"/>
  <c r="CZ45" i="17"/>
  <c r="CZ44" i="17"/>
  <c r="CZ43" i="17"/>
  <c r="CZ42" i="17"/>
  <c r="CZ40" i="17"/>
  <c r="CZ39" i="17"/>
  <c r="CZ38" i="17"/>
  <c r="CZ36" i="17"/>
  <c r="CZ35" i="17"/>
  <c r="CZ33" i="17"/>
  <c r="CZ29" i="17"/>
  <c r="CZ27" i="17"/>
  <c r="CZ26" i="17"/>
  <c r="CZ24" i="17"/>
  <c r="CZ20" i="17"/>
  <c r="CZ19" i="17"/>
  <c r="CX18" i="17"/>
  <c r="CZ17" i="17"/>
  <c r="CZ14" i="17"/>
  <c r="CZ12" i="17"/>
  <c r="CX11" i="17"/>
  <c r="CX7" i="17" s="1"/>
  <c r="CZ10" i="17"/>
  <c r="CZ8" i="17"/>
  <c r="FO27" i="16"/>
  <c r="GL27" i="16" s="1"/>
  <c r="DL11" i="17" l="1"/>
  <c r="DL61" i="17"/>
  <c r="DL18" i="17"/>
  <c r="DL50" i="17"/>
  <c r="FV33" i="16"/>
  <c r="FS10" i="16"/>
  <c r="FV25" i="16"/>
  <c r="FV16" i="16"/>
  <c r="FV28" i="16"/>
  <c r="FS14" i="16"/>
  <c r="FV9" i="16"/>
  <c r="FV17" i="16"/>
  <c r="FV27" i="16"/>
  <c r="FV23" i="16"/>
  <c r="FV31" i="16"/>
  <c r="FV11" i="16"/>
  <c r="FV19" i="16"/>
  <c r="FV21" i="16"/>
  <c r="FV34" i="16"/>
  <c r="FV12" i="16"/>
  <c r="FV20" i="16"/>
  <c r="FV24" i="16"/>
  <c r="FV30" i="16"/>
  <c r="FS7" i="16"/>
  <c r="FV18" i="16"/>
  <c r="FV26" i="16"/>
  <c r="FV22" i="16"/>
  <c r="ET27" i="16"/>
  <c r="DA15" i="15"/>
  <c r="DL7" i="17" l="1"/>
  <c r="FS13" i="16"/>
  <c r="CX31" i="17"/>
  <c r="CY48" i="17" s="1"/>
  <c r="CX6" i="17"/>
  <c r="CW24" i="17"/>
  <c r="CW14" i="17"/>
  <c r="FN30" i="16"/>
  <c r="CY63" i="17" l="1"/>
  <c r="CY16" i="17"/>
  <c r="CY22" i="17"/>
  <c r="CY15" i="17"/>
  <c r="CY51" i="17"/>
  <c r="DL6" i="17"/>
  <c r="CY7" i="17"/>
  <c r="DL31" i="17"/>
  <c r="CY67" i="17"/>
  <c r="CY62" i="17"/>
  <c r="CY55" i="17"/>
  <c r="CY45" i="17"/>
  <c r="CY40" i="17"/>
  <c r="CY36" i="17"/>
  <c r="CY66" i="17"/>
  <c r="CY39" i="17"/>
  <c r="CY31" i="17"/>
  <c r="CY65" i="17"/>
  <c r="CY60" i="17"/>
  <c r="CY53" i="17"/>
  <c r="CY47" i="17"/>
  <c r="CY43" i="17"/>
  <c r="CY38" i="17"/>
  <c r="CY35" i="17"/>
  <c r="CY64" i="17"/>
  <c r="CY56" i="17"/>
  <c r="CY46" i="17"/>
  <c r="CY42" i="17"/>
  <c r="CY33" i="17"/>
  <c r="CY44" i="17"/>
  <c r="CY34" i="17"/>
  <c r="CY49" i="17"/>
  <c r="CY37" i="17"/>
  <c r="CY32" i="17"/>
  <c r="CY61" i="17"/>
  <c r="CY50" i="17"/>
  <c r="CY26" i="17"/>
  <c r="CY19" i="17"/>
  <c r="CY29" i="17"/>
  <c r="CY23" i="17"/>
  <c r="CY27" i="17"/>
  <c r="CY20" i="17"/>
  <c r="CY24" i="17"/>
  <c r="CY12" i="17"/>
  <c r="CY10" i="17"/>
  <c r="CY8" i="17"/>
  <c r="CY6" i="17"/>
  <c r="CY11" i="17"/>
  <c r="CY18" i="17"/>
  <c r="CY14" i="17"/>
  <c r="CY17" i="17"/>
  <c r="CY13" i="17"/>
  <c r="FS29" i="16"/>
  <c r="FO9" i="16"/>
  <c r="FO12" i="16"/>
  <c r="FO11" i="16"/>
  <c r="FO16" i="16"/>
  <c r="GL16" i="16" s="1"/>
  <c r="FO17" i="16"/>
  <c r="GL17" i="16" s="1"/>
  <c r="FO18" i="16"/>
  <c r="GL18" i="16" s="1"/>
  <c r="FO19" i="16"/>
  <c r="GL19" i="16" s="1"/>
  <c r="FO21" i="16"/>
  <c r="GL21" i="16" s="1"/>
  <c r="FO22" i="16"/>
  <c r="GL22" i="16" s="1"/>
  <c r="FO23" i="16"/>
  <c r="GL23" i="16" s="1"/>
  <c r="FO24" i="16"/>
  <c r="GL24" i="16" s="1"/>
  <c r="FO25" i="16"/>
  <c r="GL25" i="16" s="1"/>
  <c r="FO30" i="16"/>
  <c r="GL30" i="16" s="1"/>
  <c r="FO31" i="16"/>
  <c r="FO33" i="16"/>
  <c r="GL33" i="16" s="1"/>
  <c r="FO34" i="16"/>
  <c r="CW67" i="17"/>
  <c r="CW66" i="17"/>
  <c r="CW65" i="17"/>
  <c r="CW64" i="17"/>
  <c r="CW62" i="17"/>
  <c r="CU61" i="17"/>
  <c r="DI61" i="17" s="1"/>
  <c r="CW60" i="17"/>
  <c r="CW56" i="17"/>
  <c r="CW55" i="17"/>
  <c r="CW53" i="17"/>
  <c r="CU50" i="17"/>
  <c r="DI50" i="17" s="1"/>
  <c r="CW49" i="17"/>
  <c r="CW46" i="17"/>
  <c r="CW45" i="17"/>
  <c r="CW44" i="17"/>
  <c r="CW43" i="17"/>
  <c r="CW42" i="17"/>
  <c r="CW39" i="17"/>
  <c r="CW38" i="17"/>
  <c r="CU37" i="17"/>
  <c r="CU32" i="17" s="1"/>
  <c r="CW36" i="17"/>
  <c r="CW34" i="17"/>
  <c r="CW35" i="17"/>
  <c r="CW33" i="17"/>
  <c r="CW29" i="17"/>
  <c r="CW27" i="17"/>
  <c r="CW26" i="17"/>
  <c r="CW23" i="17"/>
  <c r="CW20" i="17"/>
  <c r="CW19" i="17"/>
  <c r="CU18" i="17"/>
  <c r="DI18" i="17" s="1"/>
  <c r="CW17" i="17"/>
  <c r="CW12" i="17"/>
  <c r="CU11" i="17"/>
  <c r="CW10" i="17"/>
  <c r="CW8" i="17"/>
  <c r="DI11" i="17" l="1"/>
  <c r="CU7" i="17"/>
  <c r="DI7" i="17" s="1"/>
  <c r="FP11" i="16"/>
  <c r="GL11" i="16"/>
  <c r="DI37" i="17"/>
  <c r="DI32" i="17"/>
  <c r="FP12" i="16"/>
  <c r="GL12" i="16"/>
  <c r="FP9" i="16"/>
  <c r="GL9" i="16"/>
  <c r="FS32" i="16"/>
  <c r="FS35" i="16" l="1"/>
  <c r="CU6" i="17"/>
  <c r="CV16" i="17" s="1"/>
  <c r="CU31" i="17"/>
  <c r="CV48" i="17" s="1"/>
  <c r="CV63" i="17" l="1"/>
  <c r="CV22" i="17"/>
  <c r="CV15" i="17"/>
  <c r="DI6" i="17"/>
  <c r="CV51" i="17"/>
  <c r="CV47" i="17"/>
  <c r="DI31" i="17"/>
  <c r="CV6" i="17"/>
  <c r="FS36" i="16"/>
  <c r="CV66" i="17"/>
  <c r="CV53" i="17"/>
  <c r="CV60" i="17"/>
  <c r="CV34" i="17"/>
  <c r="CV39" i="17"/>
  <c r="CV44" i="17"/>
  <c r="CV33" i="17"/>
  <c r="CV38" i="17"/>
  <c r="CV67" i="17"/>
  <c r="CV36" i="17"/>
  <c r="CV40" i="17"/>
  <c r="CV45" i="17"/>
  <c r="CV31" i="17"/>
  <c r="CV65" i="17"/>
  <c r="CV35" i="17"/>
  <c r="CV49" i="17"/>
  <c r="CV64" i="17"/>
  <c r="CV62" i="17"/>
  <c r="CV55" i="17"/>
  <c r="CV42" i="17"/>
  <c r="CV46" i="17"/>
  <c r="CV56" i="17"/>
  <c r="CV43" i="17"/>
  <c r="CV50" i="17"/>
  <c r="CV61" i="17"/>
  <c r="CV37" i="17"/>
  <c r="CV23" i="17"/>
  <c r="CV29" i="17"/>
  <c r="CV27" i="17"/>
  <c r="CV24" i="17"/>
  <c r="CV19" i="17"/>
  <c r="CV12" i="17"/>
  <c r="CV17" i="17"/>
  <c r="CV10" i="17"/>
  <c r="CV26" i="17"/>
  <c r="CV13" i="17"/>
  <c r="CV8" i="17"/>
  <c r="CV20" i="17"/>
  <c r="CV14" i="17"/>
  <c r="CV18" i="17"/>
  <c r="CV11" i="17"/>
  <c r="CV7" i="17"/>
  <c r="CV32" i="17"/>
  <c r="DA13" i="15" l="1"/>
  <c r="DA12" i="15"/>
  <c r="DA11" i="15"/>
  <c r="DA10" i="15"/>
  <c r="CY8" i="15"/>
  <c r="FM8" i="16"/>
  <c r="FM9" i="16"/>
  <c r="FM11" i="16"/>
  <c r="FM12" i="16"/>
  <c r="FM16" i="16"/>
  <c r="FM17" i="16"/>
  <c r="FM18" i="16"/>
  <c r="FM19" i="16"/>
  <c r="FM20" i="16"/>
  <c r="FM21" i="16"/>
  <c r="FM22" i="16"/>
  <c r="FM23" i="16"/>
  <c r="FM24" i="16"/>
  <c r="FM25" i="16"/>
  <c r="FM27" i="16"/>
  <c r="FM30" i="16"/>
  <c r="FM33" i="16"/>
  <c r="FM34" i="16"/>
  <c r="FN33" i="16"/>
  <c r="FN27" i="16"/>
  <c r="FN25" i="16"/>
  <c r="FN24" i="16"/>
  <c r="FN23" i="16"/>
  <c r="FN22" i="16"/>
  <c r="FN21" i="16"/>
  <c r="FN20" i="16"/>
  <c r="FN19" i="16"/>
  <c r="FN18" i="16"/>
  <c r="FN17" i="16"/>
  <c r="FN16" i="16"/>
  <c r="FN12" i="16"/>
  <c r="FN11" i="16"/>
  <c r="FL10" i="16"/>
  <c r="GI10" i="16" s="1"/>
  <c r="FN9" i="16"/>
  <c r="FN8" i="16"/>
  <c r="FL7" i="16"/>
  <c r="GI7" i="16" s="1"/>
  <c r="CY6" i="15" l="1"/>
  <c r="CY5" i="15"/>
  <c r="CZ9" i="15" s="1"/>
  <c r="DM7" i="15"/>
  <c r="DM8" i="15"/>
  <c r="FM15" i="16"/>
  <c r="FM7" i="16"/>
  <c r="FM10" i="16"/>
  <c r="FM14" i="16"/>
  <c r="FP33" i="16"/>
  <c r="FP31" i="16"/>
  <c r="FP25" i="16"/>
  <c r="FP23" i="16"/>
  <c r="FP21" i="16"/>
  <c r="FP19" i="16"/>
  <c r="FP17" i="16"/>
  <c r="FP34" i="16"/>
  <c r="FP30" i="16"/>
  <c r="FP27" i="16"/>
  <c r="FP24" i="16"/>
  <c r="FP22" i="16"/>
  <c r="FP20" i="16"/>
  <c r="FP18" i="16"/>
  <c r="FP16" i="16"/>
  <c r="FQ21" i="16"/>
  <c r="FL13" i="16"/>
  <c r="FJ17" i="16"/>
  <c r="CZ8" i="15" l="1"/>
  <c r="EC20" i="21"/>
  <c r="CY49" i="15"/>
  <c r="CZ7" i="15"/>
  <c r="CZ18" i="15"/>
  <c r="CZ13" i="15"/>
  <c r="CZ5" i="15"/>
  <c r="CZ17" i="15"/>
  <c r="CZ11" i="15"/>
  <c r="CZ15" i="15"/>
  <c r="CZ10" i="15"/>
  <c r="CZ14" i="15"/>
  <c r="CZ12" i="15"/>
  <c r="CZ16" i="15"/>
  <c r="DM5" i="15"/>
  <c r="CZ6" i="15"/>
  <c r="CY50" i="15"/>
  <c r="DM6" i="15"/>
  <c r="FL29" i="16"/>
  <c r="GI13" i="16"/>
  <c r="FM13" i="16"/>
  <c r="FL40" i="16"/>
  <c r="EC17" i="21" s="1"/>
  <c r="EC14" i="21" s="1"/>
  <c r="CZ49" i="15" l="1"/>
  <c r="DM49" i="15"/>
  <c r="EF20" i="21"/>
  <c r="EC32" i="21"/>
  <c r="EC23" i="21"/>
  <c r="EZ20" i="21"/>
  <c r="DM50" i="15"/>
  <c r="CZ50" i="15"/>
  <c r="CZ47" i="15"/>
  <c r="FL39" i="16"/>
  <c r="GI39" i="16" s="1"/>
  <c r="GI40" i="16"/>
  <c r="FL32" i="16"/>
  <c r="GI32" i="16" s="1"/>
  <c r="GI29" i="16"/>
  <c r="FM29" i="16"/>
  <c r="FM40" i="16"/>
  <c r="N8" i="17"/>
  <c r="Q8" i="17"/>
  <c r="T8" i="17"/>
  <c r="W8" i="17"/>
  <c r="Z8" i="17"/>
  <c r="AC8" i="17"/>
  <c r="AF8" i="17"/>
  <c r="AI8" i="17"/>
  <c r="AL8" i="17"/>
  <c r="AO8" i="17"/>
  <c r="AR8" i="17"/>
  <c r="AU8" i="17"/>
  <c r="AX8" i="17"/>
  <c r="BA8" i="17"/>
  <c r="BD8" i="17"/>
  <c r="BG8" i="17"/>
  <c r="BJ8" i="17"/>
  <c r="BM8" i="17"/>
  <c r="BP8" i="17"/>
  <c r="BS8" i="17"/>
  <c r="BV8" i="17"/>
  <c r="BY8" i="17"/>
  <c r="CB8" i="17"/>
  <c r="N10" i="17"/>
  <c r="Q10" i="17"/>
  <c r="T10" i="17"/>
  <c r="W10" i="17"/>
  <c r="Z10" i="17"/>
  <c r="AC10" i="17"/>
  <c r="AF10" i="17"/>
  <c r="AI10" i="17"/>
  <c r="AL10" i="17"/>
  <c r="AO10" i="17"/>
  <c r="AR10" i="17"/>
  <c r="AU10" i="17"/>
  <c r="AX10" i="17"/>
  <c r="BA10" i="17"/>
  <c r="BD10" i="17"/>
  <c r="BG10" i="17"/>
  <c r="BJ10" i="17"/>
  <c r="BM10" i="17"/>
  <c r="BP10" i="17"/>
  <c r="BS10" i="17"/>
  <c r="BV10" i="17"/>
  <c r="BY10" i="17"/>
  <c r="CB10" i="17"/>
  <c r="D11" i="17"/>
  <c r="F11" i="17"/>
  <c r="F7" i="17" s="1"/>
  <c r="H11" i="17"/>
  <c r="J11" i="17"/>
  <c r="L11" i="17"/>
  <c r="L7" i="17" s="1"/>
  <c r="O11" i="17"/>
  <c r="O7" i="17" s="1"/>
  <c r="R11" i="17"/>
  <c r="R7" i="17" s="1"/>
  <c r="U11" i="17"/>
  <c r="U7" i="17" s="1"/>
  <c r="X11" i="17"/>
  <c r="X7" i="17" s="1"/>
  <c r="AA11" i="17"/>
  <c r="AA7" i="17" s="1"/>
  <c r="AD11" i="17"/>
  <c r="AD7" i="17" s="1"/>
  <c r="AG11" i="17"/>
  <c r="AG7" i="17" s="1"/>
  <c r="AJ11" i="17"/>
  <c r="AJ7" i="17" s="1"/>
  <c r="AM11" i="17"/>
  <c r="AM7" i="17" s="1"/>
  <c r="AP11" i="17"/>
  <c r="AP7" i="17" s="1"/>
  <c r="AS11" i="17"/>
  <c r="AS7" i="17" s="1"/>
  <c r="AV11" i="17"/>
  <c r="AV7" i="17" s="1"/>
  <c r="AY11" i="17"/>
  <c r="AY7" i="17" s="1"/>
  <c r="BB11" i="17"/>
  <c r="BB7" i="17" s="1"/>
  <c r="N12" i="17"/>
  <c r="Q12" i="17"/>
  <c r="T12" i="17"/>
  <c r="W12" i="17"/>
  <c r="Z12" i="17"/>
  <c r="AC12" i="17"/>
  <c r="AF12" i="17"/>
  <c r="AI12" i="17"/>
  <c r="AL12" i="17"/>
  <c r="AO12" i="17"/>
  <c r="AR12" i="17"/>
  <c r="AU12" i="17"/>
  <c r="AX12" i="17"/>
  <c r="BA12" i="17"/>
  <c r="BD12" i="17"/>
  <c r="BG12" i="17"/>
  <c r="BJ12" i="17"/>
  <c r="BM12" i="17"/>
  <c r="BP12" i="17"/>
  <c r="BS12" i="17"/>
  <c r="BV12" i="17"/>
  <c r="BY12" i="17"/>
  <c r="CB12" i="17"/>
  <c r="N13" i="17"/>
  <c r="T13" i="17"/>
  <c r="W13" i="17"/>
  <c r="Z13" i="17"/>
  <c r="AC13" i="17"/>
  <c r="AF13" i="17"/>
  <c r="AI13" i="17"/>
  <c r="AL13" i="17"/>
  <c r="AO13" i="17"/>
  <c r="AR13" i="17"/>
  <c r="AU13" i="17"/>
  <c r="AX13" i="17"/>
  <c r="BA13" i="17"/>
  <c r="BD13" i="17"/>
  <c r="BH13" i="17"/>
  <c r="BH11" i="17" s="1"/>
  <c r="BH7" i="17" s="1"/>
  <c r="BK13" i="17"/>
  <c r="BK11" i="17" s="1"/>
  <c r="BK7" i="17" s="1"/>
  <c r="BN13" i="17"/>
  <c r="BN11" i="17" s="1"/>
  <c r="BN7" i="17" s="1"/>
  <c r="BQ13" i="17"/>
  <c r="BQ11" i="17" s="1"/>
  <c r="BQ7" i="17" s="1"/>
  <c r="BT13" i="17"/>
  <c r="BT11" i="17" s="1"/>
  <c r="BT7" i="17" s="1"/>
  <c r="BW13" i="17"/>
  <c r="BW11" i="17" s="1"/>
  <c r="BW7" i="17" s="1"/>
  <c r="BZ13" i="17"/>
  <c r="BZ11" i="17" s="1"/>
  <c r="BZ7" i="17" s="1"/>
  <c r="D14" i="17"/>
  <c r="N14" i="17" s="1"/>
  <c r="Q14" i="17"/>
  <c r="T14" i="17"/>
  <c r="W14" i="17"/>
  <c r="Z14" i="17"/>
  <c r="AC14" i="17"/>
  <c r="AF14" i="17"/>
  <c r="AI14" i="17"/>
  <c r="AL14" i="17"/>
  <c r="AO14" i="17"/>
  <c r="AR14" i="17"/>
  <c r="AU14" i="17"/>
  <c r="AX14" i="17"/>
  <c r="BA14" i="17"/>
  <c r="BD14" i="17"/>
  <c r="BG14" i="17"/>
  <c r="BJ14" i="17"/>
  <c r="BM14" i="17"/>
  <c r="BP14" i="17"/>
  <c r="BS14" i="17"/>
  <c r="BV14" i="17"/>
  <c r="BY14" i="17"/>
  <c r="CB14" i="17"/>
  <c r="H16" i="17"/>
  <c r="T16" i="17" s="1"/>
  <c r="J16" i="17"/>
  <c r="W16" i="17" s="1"/>
  <c r="N16" i="17"/>
  <c r="Q16" i="17"/>
  <c r="Z16" i="17"/>
  <c r="AC16" i="17"/>
  <c r="AF16" i="17"/>
  <c r="AI16" i="17"/>
  <c r="AL16" i="17"/>
  <c r="AO16" i="17"/>
  <c r="AR16" i="17"/>
  <c r="AU16" i="17"/>
  <c r="AX16" i="17"/>
  <c r="BA16" i="17"/>
  <c r="BD16" i="17"/>
  <c r="N17" i="17"/>
  <c r="Q17" i="17"/>
  <c r="T17" i="17"/>
  <c r="W17" i="17"/>
  <c r="Z17" i="17"/>
  <c r="AC17" i="17"/>
  <c r="AF17" i="17"/>
  <c r="AI17" i="17"/>
  <c r="AL17" i="17"/>
  <c r="AO17" i="17"/>
  <c r="AR17" i="17"/>
  <c r="AU17" i="17"/>
  <c r="AX17" i="17"/>
  <c r="BA17" i="17"/>
  <c r="BD17" i="17"/>
  <c r="BG17" i="17"/>
  <c r="BJ17" i="17"/>
  <c r="BM17" i="17"/>
  <c r="BP17" i="17"/>
  <c r="BS17" i="17"/>
  <c r="BV17" i="17"/>
  <c r="BY17" i="17"/>
  <c r="CB17" i="17"/>
  <c r="J18" i="17"/>
  <c r="L18" i="17"/>
  <c r="O18" i="17"/>
  <c r="R18" i="17"/>
  <c r="U18" i="17"/>
  <c r="W18" i="17" s="1"/>
  <c r="X18" i="17"/>
  <c r="AA18" i="17"/>
  <c r="AD18" i="17"/>
  <c r="AG18" i="17"/>
  <c r="AI18" i="17" s="1"/>
  <c r="AJ18" i="17"/>
  <c r="AM18" i="17"/>
  <c r="AP18" i="17"/>
  <c r="AS18" i="17"/>
  <c r="AU18" i="17" s="1"/>
  <c r="AV18" i="17"/>
  <c r="AX18" i="17" s="1"/>
  <c r="AY18" i="17"/>
  <c r="BH18" i="17"/>
  <c r="BK18" i="17"/>
  <c r="BN18" i="17"/>
  <c r="BQ18" i="17"/>
  <c r="BS18" i="17" s="1"/>
  <c r="BT18" i="17"/>
  <c r="BV18" i="17" s="1"/>
  <c r="BW18" i="17"/>
  <c r="BY18" i="17" s="1"/>
  <c r="BZ18" i="17"/>
  <c r="CB18" i="17" s="1"/>
  <c r="N19" i="17"/>
  <c r="Q19" i="17"/>
  <c r="T19" i="17"/>
  <c r="W19" i="17"/>
  <c r="Z19" i="17"/>
  <c r="AC19" i="17"/>
  <c r="AF19" i="17"/>
  <c r="AI19" i="17"/>
  <c r="AL19" i="17"/>
  <c r="AO19" i="17"/>
  <c r="AR19" i="17"/>
  <c r="AU19" i="17"/>
  <c r="AX19" i="17"/>
  <c r="BA19" i="17"/>
  <c r="BB19" i="17"/>
  <c r="BB18" i="17" s="1"/>
  <c r="BG19" i="17"/>
  <c r="BJ19" i="17"/>
  <c r="BM19" i="17"/>
  <c r="BS19" i="17"/>
  <c r="BV19" i="17"/>
  <c r="BY19" i="17"/>
  <c r="CB19" i="17"/>
  <c r="N20" i="17"/>
  <c r="Q20" i="17"/>
  <c r="T20" i="17"/>
  <c r="W20" i="17"/>
  <c r="Z20" i="17"/>
  <c r="AC20" i="17"/>
  <c r="AF20" i="17"/>
  <c r="AI20" i="17"/>
  <c r="AL20" i="17"/>
  <c r="AO20" i="17"/>
  <c r="AR20" i="17"/>
  <c r="AU20" i="17"/>
  <c r="AX20" i="17"/>
  <c r="BA20" i="17"/>
  <c r="BD20" i="17"/>
  <c r="BG20" i="17"/>
  <c r="BJ20" i="17"/>
  <c r="BM20" i="17"/>
  <c r="BP20" i="17"/>
  <c r="BS20" i="17"/>
  <c r="BV20" i="17"/>
  <c r="BY20" i="17"/>
  <c r="CB20" i="17"/>
  <c r="T23" i="17"/>
  <c r="W23" i="17"/>
  <c r="Z23" i="17"/>
  <c r="AC23" i="17"/>
  <c r="AF23" i="17"/>
  <c r="AI23" i="17"/>
  <c r="AL23" i="17"/>
  <c r="AO23" i="17"/>
  <c r="AR23" i="17"/>
  <c r="AU23" i="17"/>
  <c r="AX23" i="17"/>
  <c r="BA23" i="17"/>
  <c r="BD23" i="17"/>
  <c r="BG23" i="17"/>
  <c r="BJ23" i="17"/>
  <c r="BM23" i="17"/>
  <c r="BP23" i="17"/>
  <c r="BS23" i="17"/>
  <c r="BV23" i="17"/>
  <c r="BY23" i="17"/>
  <c r="CB23" i="17"/>
  <c r="N24" i="17"/>
  <c r="Q24" i="17"/>
  <c r="T24" i="17"/>
  <c r="W24" i="17"/>
  <c r="Z24" i="17"/>
  <c r="AC24" i="17"/>
  <c r="AF24" i="17"/>
  <c r="AI24" i="17"/>
  <c r="AL24" i="17"/>
  <c r="AO24" i="17"/>
  <c r="AR24" i="17"/>
  <c r="AU24" i="17"/>
  <c r="AX24" i="17"/>
  <c r="BA24" i="17"/>
  <c r="BD24" i="17"/>
  <c r="BG24" i="17"/>
  <c r="BJ24" i="17"/>
  <c r="BM24" i="17"/>
  <c r="BP24" i="17"/>
  <c r="BS24" i="17"/>
  <c r="BV24" i="17"/>
  <c r="BY24" i="17"/>
  <c r="CB24" i="17"/>
  <c r="N26" i="17"/>
  <c r="Q26" i="17"/>
  <c r="T26" i="17"/>
  <c r="W26" i="17"/>
  <c r="Z26" i="17"/>
  <c r="AC26" i="17"/>
  <c r="AF26" i="17"/>
  <c r="AI26" i="17"/>
  <c r="AL26" i="17"/>
  <c r="AO26" i="17"/>
  <c r="AR26" i="17"/>
  <c r="AU26" i="17"/>
  <c r="AX26" i="17"/>
  <c r="BA26" i="17"/>
  <c r="BD26" i="17"/>
  <c r="BG26" i="17"/>
  <c r="BJ26" i="17"/>
  <c r="BM26" i="17"/>
  <c r="BP26" i="17"/>
  <c r="BS26" i="17"/>
  <c r="BV26" i="17"/>
  <c r="BY26" i="17"/>
  <c r="CB26" i="17"/>
  <c r="D27" i="17"/>
  <c r="D18" i="17" s="1"/>
  <c r="F27" i="17"/>
  <c r="F18" i="17" s="1"/>
  <c r="H27" i="17"/>
  <c r="H18" i="17" s="1"/>
  <c r="W27" i="17"/>
  <c r="Z27" i="17"/>
  <c r="AC27" i="17"/>
  <c r="AF27" i="17"/>
  <c r="AI27" i="17"/>
  <c r="AL27" i="17"/>
  <c r="AO27" i="17"/>
  <c r="AR27" i="17"/>
  <c r="AU27" i="17"/>
  <c r="AX27" i="17"/>
  <c r="BA27" i="17"/>
  <c r="BD27" i="17"/>
  <c r="BG27" i="17"/>
  <c r="BJ27" i="17"/>
  <c r="BM27" i="17"/>
  <c r="BP27" i="17"/>
  <c r="BS27" i="17"/>
  <c r="BV27" i="17"/>
  <c r="BY27" i="17"/>
  <c r="CB27" i="17"/>
  <c r="N29" i="17"/>
  <c r="Q29" i="17"/>
  <c r="T29" i="17"/>
  <c r="W29" i="17"/>
  <c r="Z29" i="17"/>
  <c r="AC29" i="17"/>
  <c r="AF29" i="17"/>
  <c r="AI29" i="17"/>
  <c r="AL29" i="17"/>
  <c r="AO29" i="17"/>
  <c r="AR29" i="17"/>
  <c r="AU29" i="17"/>
  <c r="AX29" i="17"/>
  <c r="BA29" i="17"/>
  <c r="BD29" i="17"/>
  <c r="BG29" i="17"/>
  <c r="BJ29" i="17"/>
  <c r="BM29" i="17"/>
  <c r="BP29" i="17"/>
  <c r="BS29" i="17"/>
  <c r="BV29" i="17"/>
  <c r="BY29" i="17"/>
  <c r="CB29" i="17"/>
  <c r="N33" i="17"/>
  <c r="Q33" i="17"/>
  <c r="T33" i="17"/>
  <c r="W33" i="17"/>
  <c r="BG33" i="17"/>
  <c r="BJ33" i="17"/>
  <c r="BM33" i="17"/>
  <c r="BP33" i="17"/>
  <c r="BS33" i="17"/>
  <c r="BV33" i="17"/>
  <c r="BY33" i="17"/>
  <c r="CB33" i="17"/>
  <c r="N34" i="17"/>
  <c r="Q34" i="17"/>
  <c r="T34" i="17"/>
  <c r="W34" i="17"/>
  <c r="Z34" i="17"/>
  <c r="AC34" i="17"/>
  <c r="AF34" i="17"/>
  <c r="AI34" i="17"/>
  <c r="AL34" i="17"/>
  <c r="AO34" i="17"/>
  <c r="AR34" i="17"/>
  <c r="AU34" i="17"/>
  <c r="AX34" i="17"/>
  <c r="BA34" i="17"/>
  <c r="BD34" i="17"/>
  <c r="BG34" i="17"/>
  <c r="BJ34" i="17"/>
  <c r="BM34" i="17"/>
  <c r="BP34" i="17"/>
  <c r="BS34" i="17"/>
  <c r="BV34" i="17"/>
  <c r="BY34" i="17"/>
  <c r="CB34" i="17"/>
  <c r="D37" i="17"/>
  <c r="D32" i="17" s="1"/>
  <c r="F37" i="17"/>
  <c r="F32" i="17" s="1"/>
  <c r="H37" i="17"/>
  <c r="H32" i="17" s="1"/>
  <c r="J37" i="17"/>
  <c r="J32" i="17" s="1"/>
  <c r="L37" i="17"/>
  <c r="O37" i="17"/>
  <c r="O32" i="17" s="1"/>
  <c r="R37" i="17"/>
  <c r="U37" i="17"/>
  <c r="U32" i="17" s="1"/>
  <c r="X37" i="17"/>
  <c r="X32" i="17" s="1"/>
  <c r="AA37" i="17"/>
  <c r="AA32" i="17" s="1"/>
  <c r="AD37" i="17"/>
  <c r="AG37" i="17"/>
  <c r="AG32" i="17" s="1"/>
  <c r="AJ37" i="17"/>
  <c r="AM37" i="17"/>
  <c r="AM32" i="17" s="1"/>
  <c r="AP37" i="17"/>
  <c r="AS37" i="17"/>
  <c r="AS32" i="17" s="1"/>
  <c r="AV37" i="17"/>
  <c r="AY37" i="17"/>
  <c r="AY32" i="17" s="1"/>
  <c r="BB37" i="17"/>
  <c r="BE37" i="17"/>
  <c r="BE32" i="17" s="1"/>
  <c r="BH37" i="17"/>
  <c r="BV37" i="17" s="1"/>
  <c r="BK37" i="17"/>
  <c r="BK32" i="17" s="1"/>
  <c r="BN37" i="17"/>
  <c r="BQ37" i="17"/>
  <c r="BQ32" i="17" s="1"/>
  <c r="N38" i="17"/>
  <c r="Q38" i="17"/>
  <c r="T38" i="17"/>
  <c r="W38" i="17"/>
  <c r="Z38" i="17"/>
  <c r="AC38" i="17"/>
  <c r="AF38" i="17"/>
  <c r="AI38" i="17"/>
  <c r="AL38" i="17"/>
  <c r="AO38" i="17"/>
  <c r="AR38" i="17"/>
  <c r="AU38" i="17"/>
  <c r="AX38" i="17"/>
  <c r="BA38" i="17"/>
  <c r="BD38" i="17"/>
  <c r="BG38" i="17"/>
  <c r="BJ38" i="17"/>
  <c r="BM38" i="17"/>
  <c r="BP38" i="17"/>
  <c r="BS38" i="17"/>
  <c r="BV38" i="17"/>
  <c r="BW38" i="17"/>
  <c r="BY38" i="17" s="1"/>
  <c r="CB38" i="17"/>
  <c r="AL39" i="17"/>
  <c r="AO39" i="17"/>
  <c r="AR39" i="17"/>
  <c r="AU39" i="17"/>
  <c r="AX39" i="17"/>
  <c r="BA39" i="17"/>
  <c r="BD39" i="17"/>
  <c r="BG39" i="17"/>
  <c r="BJ39" i="17"/>
  <c r="BM39" i="17"/>
  <c r="BP39" i="17"/>
  <c r="BS39" i="17"/>
  <c r="BV39" i="17"/>
  <c r="BY39" i="17"/>
  <c r="CB39" i="17"/>
  <c r="N40" i="17"/>
  <c r="Q40" i="17"/>
  <c r="T40" i="17"/>
  <c r="W40" i="17"/>
  <c r="Z40" i="17"/>
  <c r="AC40" i="17"/>
  <c r="AF40" i="17"/>
  <c r="AI40" i="17"/>
  <c r="AL40" i="17"/>
  <c r="AO40" i="17"/>
  <c r="AR40" i="17"/>
  <c r="AU40" i="17"/>
  <c r="AX40" i="17"/>
  <c r="BA40" i="17"/>
  <c r="BD40" i="17"/>
  <c r="BG40" i="17"/>
  <c r="BJ40" i="17"/>
  <c r="BM40" i="17"/>
  <c r="BP40" i="17"/>
  <c r="BS40" i="17"/>
  <c r="BV40" i="17"/>
  <c r="BY40" i="17"/>
  <c r="BZ40" i="17"/>
  <c r="BZ37" i="17" s="1"/>
  <c r="BZ32" i="17" s="1"/>
  <c r="N42" i="17"/>
  <c r="Q42" i="17"/>
  <c r="T42" i="17"/>
  <c r="W42" i="17"/>
  <c r="Z42" i="17"/>
  <c r="AC42" i="17"/>
  <c r="AF42" i="17"/>
  <c r="AI42" i="17"/>
  <c r="AL42" i="17"/>
  <c r="AO42" i="17"/>
  <c r="AR42" i="17"/>
  <c r="AU42" i="17"/>
  <c r="AX42" i="17"/>
  <c r="BA42" i="17"/>
  <c r="BD42" i="17"/>
  <c r="BG42" i="17"/>
  <c r="BJ42" i="17"/>
  <c r="BM42" i="17"/>
  <c r="BP42" i="17"/>
  <c r="BS42" i="17"/>
  <c r="BV42" i="17"/>
  <c r="BY42" i="17"/>
  <c r="CB42" i="17"/>
  <c r="N43" i="17"/>
  <c r="Q43" i="17"/>
  <c r="T43" i="17"/>
  <c r="W43" i="17"/>
  <c r="Z43" i="17"/>
  <c r="AC43" i="17"/>
  <c r="AF43" i="17"/>
  <c r="AI43" i="17"/>
  <c r="AL43" i="17"/>
  <c r="AO43" i="17"/>
  <c r="AR43" i="17"/>
  <c r="AU43" i="17"/>
  <c r="AX43" i="17"/>
  <c r="BA43" i="17"/>
  <c r="BD43" i="17"/>
  <c r="BG43" i="17"/>
  <c r="BJ43" i="17"/>
  <c r="BM43" i="17"/>
  <c r="BP43" i="17"/>
  <c r="BS43" i="17"/>
  <c r="BV43" i="17"/>
  <c r="BY43" i="17"/>
  <c r="CB43" i="17"/>
  <c r="Q44" i="17"/>
  <c r="T44" i="17"/>
  <c r="W44" i="17"/>
  <c r="Z44" i="17"/>
  <c r="AC44" i="17"/>
  <c r="AF44" i="17"/>
  <c r="AI44" i="17"/>
  <c r="AL44" i="17"/>
  <c r="AO44" i="17"/>
  <c r="AR44" i="17"/>
  <c r="AU44" i="17"/>
  <c r="AX44" i="17"/>
  <c r="BA44" i="17"/>
  <c r="BD44" i="17"/>
  <c r="BG44" i="17"/>
  <c r="BJ44" i="17"/>
  <c r="BM44" i="17"/>
  <c r="BP44" i="17"/>
  <c r="BS44" i="17"/>
  <c r="BV44" i="17"/>
  <c r="BY44" i="17"/>
  <c r="CB44" i="17"/>
  <c r="N45" i="17"/>
  <c r="Q45" i="17"/>
  <c r="T45" i="17"/>
  <c r="W45" i="17"/>
  <c r="Z45" i="17"/>
  <c r="AC45" i="17"/>
  <c r="AF45" i="17"/>
  <c r="AI45" i="17"/>
  <c r="AL45" i="17"/>
  <c r="AO45" i="17"/>
  <c r="AR45" i="17"/>
  <c r="AU45" i="17"/>
  <c r="AX45" i="17"/>
  <c r="BA45" i="17"/>
  <c r="BD45" i="17"/>
  <c r="BG45" i="17"/>
  <c r="BJ45" i="17"/>
  <c r="BM45" i="17"/>
  <c r="BP45" i="17"/>
  <c r="BS45" i="17"/>
  <c r="BV45" i="17"/>
  <c r="BY45" i="17"/>
  <c r="CB45" i="17"/>
  <c r="N46" i="17"/>
  <c r="Q46" i="17"/>
  <c r="T46" i="17"/>
  <c r="W46" i="17"/>
  <c r="Z46" i="17"/>
  <c r="AC46" i="17"/>
  <c r="AF46" i="17"/>
  <c r="AI46" i="17"/>
  <c r="AL46" i="17"/>
  <c r="AO46" i="17"/>
  <c r="AR46" i="17"/>
  <c r="AU46" i="17"/>
  <c r="AX46" i="17"/>
  <c r="BA46" i="17"/>
  <c r="BD46" i="17"/>
  <c r="BG46" i="17"/>
  <c r="BJ46" i="17"/>
  <c r="BM46" i="17"/>
  <c r="BP46" i="17"/>
  <c r="BS46" i="17"/>
  <c r="BV46" i="17"/>
  <c r="BY46" i="17"/>
  <c r="CB46" i="17"/>
  <c r="N49" i="17"/>
  <c r="Q49" i="17"/>
  <c r="T49" i="17"/>
  <c r="W49" i="17"/>
  <c r="Z49" i="17"/>
  <c r="AC49" i="17"/>
  <c r="AF49" i="17"/>
  <c r="AI49" i="17"/>
  <c r="AL49" i="17"/>
  <c r="AO49" i="17"/>
  <c r="AR49" i="17"/>
  <c r="AU49" i="17"/>
  <c r="AX49" i="17"/>
  <c r="BA49" i="17"/>
  <c r="BD49" i="17"/>
  <c r="BG49" i="17"/>
  <c r="BJ49" i="17"/>
  <c r="BM49" i="17"/>
  <c r="BP49" i="17"/>
  <c r="BS49" i="17"/>
  <c r="BV49" i="17"/>
  <c r="BY49" i="17"/>
  <c r="CB49" i="17"/>
  <c r="D50" i="17"/>
  <c r="F50" i="17"/>
  <c r="H50" i="17"/>
  <c r="J50" i="17"/>
  <c r="L50" i="17"/>
  <c r="O50" i="17"/>
  <c r="R50" i="17"/>
  <c r="T50" i="17" s="1"/>
  <c r="U50" i="17"/>
  <c r="X50" i="17"/>
  <c r="AA50" i="17"/>
  <c r="AD50" i="17"/>
  <c r="AG50" i="17"/>
  <c r="AJ50" i="17"/>
  <c r="AM50" i="17"/>
  <c r="AS50" i="17"/>
  <c r="AV50" i="17"/>
  <c r="AY50" i="17"/>
  <c r="BE50" i="17"/>
  <c r="BH50" i="17"/>
  <c r="BK50" i="17"/>
  <c r="BN50" i="17"/>
  <c r="BQ50" i="17"/>
  <c r="BT50" i="17"/>
  <c r="BV50" i="17" s="1"/>
  <c r="BW50" i="17"/>
  <c r="BY50" i="17" s="1"/>
  <c r="BZ50" i="17"/>
  <c r="CB50" i="17" s="1"/>
  <c r="BA51" i="17"/>
  <c r="BD51" i="17"/>
  <c r="BG51" i="17"/>
  <c r="BJ51" i="17"/>
  <c r="BM51" i="17"/>
  <c r="BP51" i="17"/>
  <c r="BS51" i="17"/>
  <c r="BV51" i="17"/>
  <c r="BY51" i="17"/>
  <c r="CB51" i="17"/>
  <c r="N55" i="17"/>
  <c r="Q55" i="17"/>
  <c r="T55" i="17"/>
  <c r="W55" i="17"/>
  <c r="Z55" i="17"/>
  <c r="AC55" i="17"/>
  <c r="AF55" i="17"/>
  <c r="AI55" i="17"/>
  <c r="AL55" i="17"/>
  <c r="AO55" i="17"/>
  <c r="AR55" i="17"/>
  <c r="AU55" i="17"/>
  <c r="AX55" i="17"/>
  <c r="BA55" i="17"/>
  <c r="BD55" i="17"/>
  <c r="BG55" i="17"/>
  <c r="BJ55" i="17"/>
  <c r="BM55" i="17"/>
  <c r="BP55" i="17"/>
  <c r="BS55" i="17"/>
  <c r="BV55" i="17"/>
  <c r="BY55" i="17"/>
  <c r="CB55" i="17"/>
  <c r="N56" i="17"/>
  <c r="Q56" i="17"/>
  <c r="T56" i="17"/>
  <c r="W56" i="17"/>
  <c r="Z56" i="17"/>
  <c r="AC56" i="17"/>
  <c r="AF56" i="17"/>
  <c r="AI56" i="17"/>
  <c r="AL56" i="17"/>
  <c r="AO56" i="17"/>
  <c r="AP56" i="17"/>
  <c r="AP50" i="17" s="1"/>
  <c r="AU56" i="17"/>
  <c r="AX56" i="17"/>
  <c r="BA56" i="17"/>
  <c r="BB56" i="17"/>
  <c r="BB50" i="17" s="1"/>
  <c r="BG56" i="17"/>
  <c r="BJ56" i="17"/>
  <c r="BM56" i="17"/>
  <c r="BS56" i="17"/>
  <c r="BV56" i="17"/>
  <c r="BY56" i="17"/>
  <c r="CB56" i="17"/>
  <c r="AC60" i="17"/>
  <c r="AF60" i="17"/>
  <c r="AI60" i="17"/>
  <c r="AL60" i="17"/>
  <c r="AO60" i="17"/>
  <c r="AR60" i="17"/>
  <c r="AU60" i="17"/>
  <c r="AX60" i="17"/>
  <c r="BA60" i="17"/>
  <c r="BD60" i="17"/>
  <c r="BG60" i="17"/>
  <c r="BJ60" i="17"/>
  <c r="BM60" i="17"/>
  <c r="BP60" i="17"/>
  <c r="BS60" i="17"/>
  <c r="BV60" i="17"/>
  <c r="BY60" i="17"/>
  <c r="CB60" i="17"/>
  <c r="D61" i="17"/>
  <c r="F61" i="17"/>
  <c r="H61" i="17"/>
  <c r="J61" i="17"/>
  <c r="L61" i="17"/>
  <c r="N61" i="17" s="1"/>
  <c r="O61" i="17"/>
  <c r="R61" i="17"/>
  <c r="U61" i="17"/>
  <c r="X61" i="17"/>
  <c r="AA61" i="17"/>
  <c r="AD61" i="17"/>
  <c r="AG61" i="17"/>
  <c r="AJ61" i="17"/>
  <c r="AM61" i="17"/>
  <c r="AP61" i="17"/>
  <c r="AR61" i="17" s="1"/>
  <c r="AS61" i="17"/>
  <c r="AV61" i="17"/>
  <c r="AY61" i="17"/>
  <c r="BB61" i="17"/>
  <c r="BE61" i="17"/>
  <c r="BH61" i="17"/>
  <c r="BK61" i="17"/>
  <c r="BN61" i="17"/>
  <c r="BQ61" i="17"/>
  <c r="BT61" i="17"/>
  <c r="BW61" i="17"/>
  <c r="BZ61" i="17"/>
  <c r="N62" i="17"/>
  <c r="Q62" i="17"/>
  <c r="T62" i="17"/>
  <c r="W62" i="17"/>
  <c r="Z62" i="17"/>
  <c r="AC62" i="17"/>
  <c r="AF62" i="17"/>
  <c r="AI62" i="17"/>
  <c r="AL62" i="17"/>
  <c r="AO62" i="17"/>
  <c r="AR62" i="17"/>
  <c r="AU62" i="17"/>
  <c r="AX62" i="17"/>
  <c r="BA62" i="17"/>
  <c r="BD62" i="17"/>
  <c r="BG62" i="17"/>
  <c r="BJ62" i="17"/>
  <c r="BM62" i="17"/>
  <c r="BP62" i="17"/>
  <c r="BS62" i="17"/>
  <c r="BV62" i="17"/>
  <c r="BY62" i="17"/>
  <c r="CB62" i="17"/>
  <c r="N64" i="17"/>
  <c r="Q64" i="17"/>
  <c r="T64" i="17"/>
  <c r="W64" i="17"/>
  <c r="Z64" i="17"/>
  <c r="AC64" i="17"/>
  <c r="AF64" i="17"/>
  <c r="AI64" i="17"/>
  <c r="AL64" i="17"/>
  <c r="AO64" i="17"/>
  <c r="AR64" i="17"/>
  <c r="AU64" i="17"/>
  <c r="AX64" i="17"/>
  <c r="BA64" i="17"/>
  <c r="BD64" i="17"/>
  <c r="BG64" i="17"/>
  <c r="BJ64" i="17"/>
  <c r="BM64" i="17"/>
  <c r="BP64" i="17"/>
  <c r="BS64" i="17"/>
  <c r="BV64" i="17"/>
  <c r="BY64" i="17"/>
  <c r="CB64" i="17"/>
  <c r="W65" i="17"/>
  <c r="Z65" i="17"/>
  <c r="AC65" i="17"/>
  <c r="AF65" i="17"/>
  <c r="AI65" i="17"/>
  <c r="AL65" i="17"/>
  <c r="AO65" i="17"/>
  <c r="AR65" i="17"/>
  <c r="AU65" i="17"/>
  <c r="AX65" i="17"/>
  <c r="BA65" i="17"/>
  <c r="BD65" i="17"/>
  <c r="BG65" i="17"/>
  <c r="BJ65" i="17"/>
  <c r="BM65" i="17"/>
  <c r="BP65" i="17"/>
  <c r="BS65" i="17"/>
  <c r="BV65" i="17"/>
  <c r="BY65" i="17"/>
  <c r="CB65" i="17"/>
  <c r="BP66" i="17"/>
  <c r="BS66" i="17"/>
  <c r="BV66" i="17"/>
  <c r="BY66" i="17"/>
  <c r="CB66" i="17"/>
  <c r="N67" i="17"/>
  <c r="Q67" i="17"/>
  <c r="T67" i="17"/>
  <c r="Z67" i="17"/>
  <c r="AC67" i="17"/>
  <c r="AF67" i="17"/>
  <c r="AL67" i="17"/>
  <c r="AO67" i="17"/>
  <c r="AR67" i="17"/>
  <c r="AX67" i="17"/>
  <c r="BA67" i="17"/>
  <c r="BD67" i="17"/>
  <c r="BJ67" i="17"/>
  <c r="BM67" i="17"/>
  <c r="BP67" i="17"/>
  <c r="BV67" i="17"/>
  <c r="BY67" i="17"/>
  <c r="CB67" i="17"/>
  <c r="CH52" i="17"/>
  <c r="CH55" i="17"/>
  <c r="CH34" i="17"/>
  <c r="BP61" i="17" l="1"/>
  <c r="AL61" i="17"/>
  <c r="BV61" i="17"/>
  <c r="BY61" i="17"/>
  <c r="AL18" i="17"/>
  <c r="BM61" i="17"/>
  <c r="T61" i="17"/>
  <c r="BG61" i="17"/>
  <c r="BD61" i="17"/>
  <c r="AL50" i="17"/>
  <c r="AX61" i="17"/>
  <c r="BS61" i="17"/>
  <c r="AU61" i="17"/>
  <c r="CB61" i="17"/>
  <c r="BJ61" i="17"/>
  <c r="EF23" i="21"/>
  <c r="EC35" i="21"/>
  <c r="EZ23" i="21"/>
  <c r="EZ32" i="21"/>
  <c r="EF32" i="21"/>
  <c r="FC20" i="21"/>
  <c r="BA61" i="17"/>
  <c r="AF18" i="17"/>
  <c r="AO61" i="17"/>
  <c r="AI61" i="17"/>
  <c r="BS50" i="17"/>
  <c r="AC50" i="17"/>
  <c r="AR18" i="17"/>
  <c r="AF61" i="17"/>
  <c r="N50" i="17"/>
  <c r="AI32" i="17"/>
  <c r="AI50" i="17"/>
  <c r="Z61" i="17"/>
  <c r="BE31" i="17"/>
  <c r="BJ37" i="17"/>
  <c r="BH32" i="17"/>
  <c r="AX37" i="17"/>
  <c r="AV32" i="17"/>
  <c r="AL37" i="17"/>
  <c r="AJ32" i="17"/>
  <c r="N37" i="17"/>
  <c r="L32" i="17"/>
  <c r="J7" i="17"/>
  <c r="J6" i="17" s="1"/>
  <c r="K48" i="17" s="1"/>
  <c r="D7" i="17"/>
  <c r="N7" i="17" s="1"/>
  <c r="BP37" i="17"/>
  <c r="BN32" i="17"/>
  <c r="BD37" i="17"/>
  <c r="BB32" i="17"/>
  <c r="AR37" i="17"/>
  <c r="AP32" i="17"/>
  <c r="AF37" i="17"/>
  <c r="AD32" i="17"/>
  <c r="T37" i="17"/>
  <c r="R32" i="17"/>
  <c r="H7" i="17"/>
  <c r="T7" i="17" s="1"/>
  <c r="BA18" i="17"/>
  <c r="AO18" i="17"/>
  <c r="AC18" i="17"/>
  <c r="Z18" i="17"/>
  <c r="Q27" i="17"/>
  <c r="CB40" i="17"/>
  <c r="Z37" i="17"/>
  <c r="W37" i="17"/>
  <c r="FM32" i="16"/>
  <c r="FM39" i="16"/>
  <c r="FL35" i="16"/>
  <c r="AC37" i="17"/>
  <c r="N11" i="17"/>
  <c r="BJ50" i="17"/>
  <c r="BA50" i="17"/>
  <c r="AU50" i="17"/>
  <c r="AF50" i="17"/>
  <c r="Z50" i="17"/>
  <c r="BM18" i="17"/>
  <c r="BG18" i="17"/>
  <c r="CB13" i="17"/>
  <c r="BY13" i="17"/>
  <c r="BV13" i="17"/>
  <c r="BS13" i="17"/>
  <c r="BP13" i="17"/>
  <c r="BM13" i="17"/>
  <c r="BJ13" i="17"/>
  <c r="BG13" i="17"/>
  <c r="BP56" i="17"/>
  <c r="BD56" i="17"/>
  <c r="BM50" i="17"/>
  <c r="BG50" i="17"/>
  <c r="AX50" i="17"/>
  <c r="AO50" i="17"/>
  <c r="AC61" i="17"/>
  <c r="T27" i="17"/>
  <c r="N27" i="17"/>
  <c r="BP19" i="17"/>
  <c r="BD19" i="17"/>
  <c r="BJ18" i="17"/>
  <c r="T11" i="17"/>
  <c r="Q11" i="17"/>
  <c r="AR56" i="17"/>
  <c r="BY37" i="17"/>
  <c r="BS37" i="17"/>
  <c r="BM37" i="17"/>
  <c r="BG37" i="17"/>
  <c r="BA37" i="17"/>
  <c r="AU37" i="17"/>
  <c r="AO37" i="17"/>
  <c r="AI37" i="17"/>
  <c r="BD11" i="17"/>
  <c r="BA11" i="17"/>
  <c r="AX11" i="17"/>
  <c r="AU11" i="17"/>
  <c r="AR11" i="17"/>
  <c r="AO11" i="17"/>
  <c r="AL11" i="17"/>
  <c r="AI11" i="17"/>
  <c r="AF11" i="17"/>
  <c r="AC11" i="17"/>
  <c r="Z11" i="17"/>
  <c r="W11" i="17"/>
  <c r="AR50" i="17"/>
  <c r="BD50" i="17"/>
  <c r="BP50" i="17"/>
  <c r="O31" i="17"/>
  <c r="W61" i="17"/>
  <c r="Q61" i="17"/>
  <c r="W50" i="17"/>
  <c r="Q50" i="17"/>
  <c r="BW31" i="17"/>
  <c r="CB37" i="17"/>
  <c r="BS32" i="17"/>
  <c r="BQ31" i="17"/>
  <c r="BM32" i="17"/>
  <c r="BY32" i="17"/>
  <c r="BK31" i="17"/>
  <c r="BG32" i="17"/>
  <c r="BA32" i="17"/>
  <c r="AY31" i="17"/>
  <c r="AU32" i="17"/>
  <c r="AS31" i="17"/>
  <c r="AO32" i="17"/>
  <c r="AM31" i="17"/>
  <c r="AG31" i="17"/>
  <c r="AC32" i="17"/>
  <c r="AA31" i="17"/>
  <c r="U31" i="17"/>
  <c r="BT31" i="17"/>
  <c r="T18" i="17"/>
  <c r="Q18" i="17"/>
  <c r="N18" i="17"/>
  <c r="BD18" i="17"/>
  <c r="BP18" i="17"/>
  <c r="BB6" i="17"/>
  <c r="BC48" i="17" s="1"/>
  <c r="BD7" i="17"/>
  <c r="BA7" i="17"/>
  <c r="AY6" i="17"/>
  <c r="AZ48" i="17" s="1"/>
  <c r="AV6" i="17"/>
  <c r="AW48" i="17" s="1"/>
  <c r="AX7" i="17"/>
  <c r="AU7" i="17"/>
  <c r="AS6" i="17"/>
  <c r="AT48" i="17" s="1"/>
  <c r="AP6" i="17"/>
  <c r="AQ48" i="17" s="1"/>
  <c r="AR7" i="17"/>
  <c r="AO7" i="17"/>
  <c r="AM6" i="17"/>
  <c r="AN48" i="17" s="1"/>
  <c r="AJ6" i="17"/>
  <c r="AK48" i="17" s="1"/>
  <c r="AL7" i="17"/>
  <c r="AI7" i="17"/>
  <c r="AG6" i="17"/>
  <c r="AH48" i="17" s="1"/>
  <c r="AD6" i="17"/>
  <c r="AE48" i="17" s="1"/>
  <c r="AF7" i="17"/>
  <c r="AC7" i="17"/>
  <c r="AA6" i="17"/>
  <c r="AB48" i="17" s="1"/>
  <c r="X6" i="17"/>
  <c r="Y48" i="17" s="1"/>
  <c r="Z7" i="17"/>
  <c r="U6" i="17"/>
  <c r="V48" i="17" s="1"/>
  <c r="R6" i="17"/>
  <c r="Q7" i="17"/>
  <c r="O6" i="17"/>
  <c r="P48" i="17" s="1"/>
  <c r="L6" i="17"/>
  <c r="M48" i="17" s="1"/>
  <c r="W32" i="17"/>
  <c r="CB11" i="17"/>
  <c r="BY11" i="17"/>
  <c r="BV11" i="17"/>
  <c r="BS11" i="17"/>
  <c r="BP11" i="17"/>
  <c r="BM11" i="17"/>
  <c r="BJ11" i="17"/>
  <c r="BG11" i="17"/>
  <c r="F6" i="17"/>
  <c r="G48" i="17" s="1"/>
  <c r="Q37" i="17"/>
  <c r="CT67" i="17"/>
  <c r="S48" i="17" l="1"/>
  <c r="P63" i="17"/>
  <c r="AE63" i="17"/>
  <c r="AQ63" i="17"/>
  <c r="BC63" i="17"/>
  <c r="AB63" i="17"/>
  <c r="AH63" i="17"/>
  <c r="AN63" i="17"/>
  <c r="AT63" i="17"/>
  <c r="AZ63" i="17"/>
  <c r="G63" i="17"/>
  <c r="Y63" i="17"/>
  <c r="AK63" i="17"/>
  <c r="AW63" i="17"/>
  <c r="M63" i="17"/>
  <c r="V63" i="17"/>
  <c r="K63" i="17"/>
  <c r="EZ35" i="21"/>
  <c r="FC32" i="21"/>
  <c r="EF35" i="21"/>
  <c r="FC23" i="21"/>
  <c r="S63" i="17"/>
  <c r="AR32" i="17"/>
  <c r="W7" i="17"/>
  <c r="AB15" i="17"/>
  <c r="AB22" i="17"/>
  <c r="AN15" i="17"/>
  <c r="AN22" i="17"/>
  <c r="AZ15" i="17"/>
  <c r="AZ22" i="17"/>
  <c r="AQ15" i="17"/>
  <c r="AQ22" i="17"/>
  <c r="AW15" i="17"/>
  <c r="AW22" i="17"/>
  <c r="P22" i="17"/>
  <c r="M15" i="17"/>
  <c r="M22" i="17"/>
  <c r="AH15" i="17"/>
  <c r="AH22" i="17"/>
  <c r="AT15" i="17"/>
  <c r="AT22" i="17"/>
  <c r="AK15" i="17"/>
  <c r="AK22" i="17"/>
  <c r="BC15" i="17"/>
  <c r="BC22" i="17"/>
  <c r="AE15" i="17"/>
  <c r="AE22" i="17"/>
  <c r="Y15" i="17"/>
  <c r="Y22" i="17"/>
  <c r="V15" i="17"/>
  <c r="V22" i="17"/>
  <c r="S15" i="17"/>
  <c r="S22" i="17"/>
  <c r="K15" i="17"/>
  <c r="K22" i="17"/>
  <c r="G15" i="17"/>
  <c r="G22" i="17"/>
  <c r="P15" i="17"/>
  <c r="G47" i="17"/>
  <c r="AK11" i="17"/>
  <c r="AW11" i="17"/>
  <c r="AN18" i="17"/>
  <c r="BC19" i="17"/>
  <c r="Y11" i="17"/>
  <c r="K50" i="17"/>
  <c r="K47" i="17"/>
  <c r="M7" i="17"/>
  <c r="M47" i="17"/>
  <c r="AB32" i="17"/>
  <c r="AB47" i="17"/>
  <c r="AN32" i="17"/>
  <c r="AN47" i="17"/>
  <c r="AZ32" i="17"/>
  <c r="AZ47" i="17"/>
  <c r="P32" i="17"/>
  <c r="P47" i="17"/>
  <c r="P18" i="17"/>
  <c r="FL36" i="16"/>
  <c r="GI36" i="16" s="1"/>
  <c r="GI35" i="16"/>
  <c r="V7" i="17"/>
  <c r="V47" i="17"/>
  <c r="AH7" i="17"/>
  <c r="AH47" i="17"/>
  <c r="AT7" i="17"/>
  <c r="AT47" i="17"/>
  <c r="AZ18" i="17"/>
  <c r="AB18" i="17"/>
  <c r="D6" i="17"/>
  <c r="E48" i="17" s="1"/>
  <c r="S50" i="17"/>
  <c r="S47" i="17"/>
  <c r="Y50" i="17"/>
  <c r="Y47" i="17"/>
  <c r="AE37" i="17"/>
  <c r="AE47" i="17"/>
  <c r="AK61" i="17"/>
  <c r="AK47" i="17"/>
  <c r="AQ50" i="17"/>
  <c r="AQ47" i="17"/>
  <c r="AW61" i="17"/>
  <c r="AW47" i="17"/>
  <c r="BC37" i="17"/>
  <c r="BC47" i="17"/>
  <c r="AH18" i="17"/>
  <c r="V18" i="17"/>
  <c r="AT18" i="17"/>
  <c r="H6" i="17"/>
  <c r="FM35" i="16"/>
  <c r="S11" i="17"/>
  <c r="AE11" i="17"/>
  <c r="AQ11" i="17"/>
  <c r="BC11" i="17"/>
  <c r="P7" i="17"/>
  <c r="S7" i="17"/>
  <c r="Y7" i="17"/>
  <c r="AB7" i="17"/>
  <c r="AE7" i="17"/>
  <c r="AK7" i="17"/>
  <c r="AN7" i="17"/>
  <c r="AQ7" i="17"/>
  <c r="AW7" i="17"/>
  <c r="AZ7" i="17"/>
  <c r="BC7" i="17"/>
  <c r="BC18" i="17"/>
  <c r="AK50" i="17"/>
  <c r="Y61" i="17"/>
  <c r="S37" i="17"/>
  <c r="AQ37" i="17"/>
  <c r="G12" i="17"/>
  <c r="G13" i="17"/>
  <c r="G14" i="17"/>
  <c r="G16" i="17"/>
  <c r="G17" i="17"/>
  <c r="G6" i="17"/>
  <c r="G8" i="17"/>
  <c r="G10" i="17"/>
  <c r="G11" i="17"/>
  <c r="G19" i="17"/>
  <c r="G26" i="17"/>
  <c r="G27" i="17"/>
  <c r="G34" i="17"/>
  <c r="G20" i="17"/>
  <c r="G23" i="17"/>
  <c r="G24" i="17"/>
  <c r="G29" i="17"/>
  <c r="G33" i="17"/>
  <c r="G38" i="17"/>
  <c r="G42" i="17"/>
  <c r="G43" i="17"/>
  <c r="G44" i="17"/>
  <c r="G51" i="17"/>
  <c r="G55" i="17"/>
  <c r="G56" i="17"/>
  <c r="G62" i="17"/>
  <c r="G64" i="17"/>
  <c r="G67" i="17"/>
  <c r="G40" i="17"/>
  <c r="G45" i="17"/>
  <c r="G46" i="17"/>
  <c r="G49" i="17"/>
  <c r="G58" i="17"/>
  <c r="F31" i="17"/>
  <c r="G31" i="17" s="1"/>
  <c r="G32" i="17"/>
  <c r="R31" i="17"/>
  <c r="S32" i="17"/>
  <c r="T32" i="17"/>
  <c r="AP31" i="17"/>
  <c r="AQ32" i="17"/>
  <c r="BN31" i="17"/>
  <c r="BP32" i="17"/>
  <c r="I19" i="17"/>
  <c r="BG7" i="17"/>
  <c r="BH6" i="17"/>
  <c r="BI48" i="17" s="1"/>
  <c r="BJ7" i="17"/>
  <c r="BM7" i="17"/>
  <c r="BK6" i="17"/>
  <c r="BL48" i="17" s="1"/>
  <c r="BN6" i="17"/>
  <c r="BP7" i="17"/>
  <c r="BS7" i="17"/>
  <c r="BQ6" i="17"/>
  <c r="BT6" i="17"/>
  <c r="BV7" i="17"/>
  <c r="BY7" i="17"/>
  <c r="BW6" i="17"/>
  <c r="BZ6" i="17"/>
  <c r="CA48" i="17" s="1"/>
  <c r="CB7" i="17"/>
  <c r="D31" i="17"/>
  <c r="H31" i="17"/>
  <c r="L31" i="17"/>
  <c r="M32" i="17"/>
  <c r="N32" i="17"/>
  <c r="X31" i="17"/>
  <c r="Y32" i="17"/>
  <c r="Z32" i="17"/>
  <c r="AJ31" i="17"/>
  <c r="AK32" i="17"/>
  <c r="AL32" i="17"/>
  <c r="AV31" i="17"/>
  <c r="AW32" i="17"/>
  <c r="AX32" i="17"/>
  <c r="BH31" i="17"/>
  <c r="BV31" i="17" s="1"/>
  <c r="BJ32" i="17"/>
  <c r="BV32" i="17"/>
  <c r="M8" i="17"/>
  <c r="M10" i="17"/>
  <c r="M18" i="17"/>
  <c r="M19" i="17"/>
  <c r="M6" i="17"/>
  <c r="M11" i="17"/>
  <c r="M12" i="17"/>
  <c r="M13" i="17"/>
  <c r="M14" i="17"/>
  <c r="M16" i="17"/>
  <c r="M17" i="17"/>
  <c r="M20" i="17"/>
  <c r="M23" i="17"/>
  <c r="M24" i="17"/>
  <c r="M27" i="17"/>
  <c r="M29" i="17"/>
  <c r="M33" i="17"/>
  <c r="M38" i="17"/>
  <c r="M26" i="17"/>
  <c r="M34" i="17"/>
  <c r="M40" i="17"/>
  <c r="M45" i="17"/>
  <c r="M46" i="17"/>
  <c r="M49" i="17"/>
  <c r="M65" i="17"/>
  <c r="M67" i="17"/>
  <c r="M42" i="17"/>
  <c r="M43" i="17"/>
  <c r="M44" i="17"/>
  <c r="M55" i="17"/>
  <c r="M56" i="17"/>
  <c r="M62" i="17"/>
  <c r="M64" i="17"/>
  <c r="P6" i="17"/>
  <c r="P8" i="17"/>
  <c r="P10" i="17"/>
  <c r="P11" i="17"/>
  <c r="P19" i="17"/>
  <c r="Q6" i="17"/>
  <c r="P12" i="17"/>
  <c r="P13" i="17"/>
  <c r="P14" i="17"/>
  <c r="P16" i="17"/>
  <c r="P17" i="17"/>
  <c r="P20" i="17"/>
  <c r="P24" i="17"/>
  <c r="P27" i="17"/>
  <c r="P29" i="17"/>
  <c r="P33" i="17"/>
  <c r="P38" i="17"/>
  <c r="P23" i="17"/>
  <c r="P26" i="17"/>
  <c r="P34" i="17"/>
  <c r="P37" i="17"/>
  <c r="P40" i="17"/>
  <c r="P44" i="17"/>
  <c r="P45" i="17"/>
  <c r="P46" i="17"/>
  <c r="P49" i="17"/>
  <c r="P50" i="17"/>
  <c r="P60" i="17"/>
  <c r="P61" i="17"/>
  <c r="P67" i="17"/>
  <c r="P42" i="17"/>
  <c r="P43" i="17"/>
  <c r="P55" i="17"/>
  <c r="P56" i="17"/>
  <c r="P62" i="17"/>
  <c r="P64" i="17"/>
  <c r="P65" i="17"/>
  <c r="S8" i="17"/>
  <c r="S10" i="17"/>
  <c r="S13" i="17"/>
  <c r="S18" i="17"/>
  <c r="S19" i="17"/>
  <c r="S6" i="17"/>
  <c r="S12" i="17"/>
  <c r="S14" i="17"/>
  <c r="S16" i="17"/>
  <c r="S17" i="17"/>
  <c r="S20" i="17"/>
  <c r="S23" i="17"/>
  <c r="S24" i="17"/>
  <c r="S27" i="17"/>
  <c r="S29" i="17"/>
  <c r="S33" i="17"/>
  <c r="S38" i="17"/>
  <c r="S26" i="17"/>
  <c r="S34" i="17"/>
  <c r="S40" i="17"/>
  <c r="S44" i="17"/>
  <c r="S45" i="17"/>
  <c r="S46" i="17"/>
  <c r="S49" i="17"/>
  <c r="S65" i="17"/>
  <c r="S67" i="17"/>
  <c r="S42" i="17"/>
  <c r="S43" i="17"/>
  <c r="S55" i="17"/>
  <c r="S56" i="17"/>
  <c r="S60" i="17"/>
  <c r="S62" i="17"/>
  <c r="S64" i="17"/>
  <c r="V6" i="17"/>
  <c r="V8" i="17"/>
  <c r="V10" i="17"/>
  <c r="V11" i="17"/>
  <c r="V13" i="17"/>
  <c r="V19" i="17"/>
  <c r="W6" i="17"/>
  <c r="V12" i="17"/>
  <c r="V14" i="17"/>
  <c r="V16" i="17"/>
  <c r="V17" i="17"/>
  <c r="V20" i="17"/>
  <c r="V23" i="17"/>
  <c r="V24" i="17"/>
  <c r="V27" i="17"/>
  <c r="V29" i="17"/>
  <c r="V33" i="17"/>
  <c r="V38" i="17"/>
  <c r="V26" i="17"/>
  <c r="V34" i="17"/>
  <c r="V37" i="17"/>
  <c r="V40" i="17"/>
  <c r="V44" i="17"/>
  <c r="V45" i="17"/>
  <c r="V46" i="17"/>
  <c r="V49" i="17"/>
  <c r="V50" i="17"/>
  <c r="V60" i="17"/>
  <c r="V61" i="17"/>
  <c r="V42" i="17"/>
  <c r="V43" i="17"/>
  <c r="V55" i="17"/>
  <c r="V56" i="17"/>
  <c r="V62" i="17"/>
  <c r="V64" i="17"/>
  <c r="V65" i="17"/>
  <c r="Z6" i="17"/>
  <c r="Y8" i="17"/>
  <c r="Y10" i="17"/>
  <c r="Y13" i="17"/>
  <c r="Y18" i="17"/>
  <c r="Y19" i="17"/>
  <c r="Y6" i="17"/>
  <c r="Y12" i="17"/>
  <c r="Y14" i="17"/>
  <c r="Y16" i="17"/>
  <c r="Y17" i="17"/>
  <c r="Y20" i="17"/>
  <c r="Y23" i="17"/>
  <c r="Y24" i="17"/>
  <c r="Y27" i="17"/>
  <c r="Y29" i="17"/>
  <c r="Y38" i="17"/>
  <c r="Y26" i="17"/>
  <c r="Y34" i="17"/>
  <c r="Y39" i="17"/>
  <c r="Y40" i="17"/>
  <c r="Y44" i="17"/>
  <c r="Y45" i="17"/>
  <c r="Y46" i="17"/>
  <c r="Y49" i="17"/>
  <c r="Y67" i="17"/>
  <c r="Y42" i="17"/>
  <c r="Y43" i="17"/>
  <c r="Y55" i="17"/>
  <c r="Y56" i="17"/>
  <c r="Y60" i="17"/>
  <c r="Y62" i="17"/>
  <c r="Y64" i="17"/>
  <c r="Y65" i="17"/>
  <c r="AB6" i="17"/>
  <c r="AB8" i="17"/>
  <c r="AB10" i="17"/>
  <c r="AB11" i="17"/>
  <c r="AB13" i="17"/>
  <c r="AB19" i="17"/>
  <c r="AC6" i="17"/>
  <c r="AB12" i="17"/>
  <c r="AB14" i="17"/>
  <c r="AB16" i="17"/>
  <c r="AB17" i="17"/>
  <c r="AB20" i="17"/>
  <c r="AB23" i="17"/>
  <c r="AB24" i="17"/>
  <c r="AB27" i="17"/>
  <c r="AB29" i="17"/>
  <c r="AB38" i="17"/>
  <c r="AB26" i="17"/>
  <c r="AB34" i="17"/>
  <c r="AB37" i="17"/>
  <c r="AB40" i="17"/>
  <c r="AB44" i="17"/>
  <c r="AB45" i="17"/>
  <c r="AB46" i="17"/>
  <c r="AB49" i="17"/>
  <c r="AB50" i="17"/>
  <c r="AB60" i="17"/>
  <c r="AB61" i="17"/>
  <c r="AB67" i="17"/>
  <c r="AB39" i="17"/>
  <c r="AB42" i="17"/>
  <c r="AB43" i="17"/>
  <c r="AB55" i="17"/>
  <c r="AB56" i="17"/>
  <c r="AB62" i="17"/>
  <c r="AB64" i="17"/>
  <c r="AB65" i="17"/>
  <c r="AF6" i="17"/>
  <c r="AE8" i="17"/>
  <c r="AE10" i="17"/>
  <c r="AE13" i="17"/>
  <c r="AE18" i="17"/>
  <c r="AE19" i="17"/>
  <c r="AE6" i="17"/>
  <c r="AE12" i="17"/>
  <c r="AE14" i="17"/>
  <c r="AE16" i="17"/>
  <c r="AE17" i="17"/>
  <c r="AE20" i="17"/>
  <c r="AE23" i="17"/>
  <c r="AE24" i="17"/>
  <c r="AE27" i="17"/>
  <c r="AE29" i="17"/>
  <c r="AE38" i="17"/>
  <c r="AE26" i="17"/>
  <c r="AE34" i="17"/>
  <c r="AE39" i="17"/>
  <c r="AE40" i="17"/>
  <c r="AE44" i="17"/>
  <c r="AE45" i="17"/>
  <c r="AE46" i="17"/>
  <c r="AE49" i="17"/>
  <c r="AE60" i="17"/>
  <c r="AE67" i="17"/>
  <c r="AE42" i="17"/>
  <c r="AE43" i="17"/>
  <c r="AE55" i="17"/>
  <c r="AE56" i="17"/>
  <c r="AE62" i="17"/>
  <c r="AE64" i="17"/>
  <c r="AE65" i="17"/>
  <c r="AH6" i="17"/>
  <c r="AH8" i="17"/>
  <c r="AH10" i="17"/>
  <c r="AH11" i="17"/>
  <c r="AH13" i="17"/>
  <c r="AH19" i="17"/>
  <c r="AI6" i="17"/>
  <c r="AH12" i="17"/>
  <c r="AH14" i="17"/>
  <c r="AH16" i="17"/>
  <c r="AH17" i="17"/>
  <c r="AH20" i="17"/>
  <c r="AH23" i="17"/>
  <c r="AH24" i="17"/>
  <c r="AH27" i="17"/>
  <c r="AH29" i="17"/>
  <c r="AH38" i="17"/>
  <c r="AH26" i="17"/>
  <c r="AH34" i="17"/>
  <c r="AH37" i="17"/>
  <c r="AH40" i="17"/>
  <c r="AH44" i="17"/>
  <c r="AH45" i="17"/>
  <c r="AH46" i="17"/>
  <c r="AH49" i="17"/>
  <c r="AH50" i="17"/>
  <c r="AH60" i="17"/>
  <c r="AH61" i="17"/>
  <c r="AH39" i="17"/>
  <c r="AH42" i="17"/>
  <c r="AH43" i="17"/>
  <c r="AH55" i="17"/>
  <c r="AH56" i="17"/>
  <c r="AH62" i="17"/>
  <c r="AH64" i="17"/>
  <c r="AH65" i="17"/>
  <c r="AL6" i="17"/>
  <c r="AK8" i="17"/>
  <c r="AK10" i="17"/>
  <c r="AK13" i="17"/>
  <c r="AK18" i="17"/>
  <c r="AK19" i="17"/>
  <c r="AK6" i="17"/>
  <c r="AK12" i="17"/>
  <c r="AK14" i="17"/>
  <c r="AK16" i="17"/>
  <c r="AK17" i="17"/>
  <c r="AK20" i="17"/>
  <c r="AK23" i="17"/>
  <c r="AK24" i="17"/>
  <c r="AK27" i="17"/>
  <c r="AK29" i="17"/>
  <c r="AK38" i="17"/>
  <c r="AK26" i="17"/>
  <c r="AK34" i="17"/>
  <c r="AK39" i="17"/>
  <c r="AK40" i="17"/>
  <c r="AK44" i="17"/>
  <c r="AK45" i="17"/>
  <c r="AK46" i="17"/>
  <c r="AK49" i="17"/>
  <c r="AK60" i="17"/>
  <c r="AK67" i="17"/>
  <c r="AK42" i="17"/>
  <c r="AK43" i="17"/>
  <c r="AK55" i="17"/>
  <c r="AK56" i="17"/>
  <c r="AK62" i="17"/>
  <c r="AK64" i="17"/>
  <c r="AK65" i="17"/>
  <c r="AN6" i="17"/>
  <c r="AN8" i="17"/>
  <c r="AN10" i="17"/>
  <c r="AN11" i="17"/>
  <c r="AN13" i="17"/>
  <c r="AN19" i="17"/>
  <c r="AO6" i="17"/>
  <c r="AN12" i="17"/>
  <c r="AN14" i="17"/>
  <c r="AN16" i="17"/>
  <c r="AN17" i="17"/>
  <c r="AN20" i="17"/>
  <c r="AN23" i="17"/>
  <c r="AN24" i="17"/>
  <c r="AN27" i="17"/>
  <c r="AN29" i="17"/>
  <c r="AN26" i="17"/>
  <c r="AN34" i="17"/>
  <c r="AN37" i="17"/>
  <c r="AN39" i="17"/>
  <c r="AN40" i="17"/>
  <c r="AN44" i="17"/>
  <c r="AN45" i="17"/>
  <c r="AN46" i="17"/>
  <c r="AN49" i="17"/>
  <c r="AN50" i="17"/>
  <c r="AN60" i="17"/>
  <c r="AN61" i="17"/>
  <c r="AN67" i="17"/>
  <c r="AN38" i="17"/>
  <c r="AN42" i="17"/>
  <c r="AN43" i="17"/>
  <c r="AN51" i="17"/>
  <c r="AN55" i="17"/>
  <c r="AN56" i="17"/>
  <c r="AN62" i="17"/>
  <c r="AN64" i="17"/>
  <c r="AN65" i="17"/>
  <c r="AR6" i="17"/>
  <c r="AQ8" i="17"/>
  <c r="AQ10" i="17"/>
  <c r="AQ13" i="17"/>
  <c r="AQ18" i="17"/>
  <c r="AQ19" i="17"/>
  <c r="AQ6" i="17"/>
  <c r="AQ12" i="17"/>
  <c r="AQ14" i="17"/>
  <c r="AQ16" i="17"/>
  <c r="AQ17" i="17"/>
  <c r="AQ20" i="17"/>
  <c r="AQ23" i="17"/>
  <c r="AQ24" i="17"/>
  <c r="AQ27" i="17"/>
  <c r="AQ29" i="17"/>
  <c r="AQ26" i="17"/>
  <c r="AQ34" i="17"/>
  <c r="AQ39" i="17"/>
  <c r="AQ40" i="17"/>
  <c r="AQ44" i="17"/>
  <c r="AQ45" i="17"/>
  <c r="AQ46" i="17"/>
  <c r="AQ49" i="17"/>
  <c r="AQ51" i="17"/>
  <c r="AQ56" i="17"/>
  <c r="AQ60" i="17"/>
  <c r="AQ67" i="17"/>
  <c r="AQ38" i="17"/>
  <c r="AQ42" i="17"/>
  <c r="AQ43" i="17"/>
  <c r="AQ55" i="17"/>
  <c r="AQ62" i="17"/>
  <c r="AQ64" i="17"/>
  <c r="AQ65" i="17"/>
  <c r="AT6" i="17"/>
  <c r="AT8" i="17"/>
  <c r="AT10" i="17"/>
  <c r="AT11" i="17"/>
  <c r="AT13" i="17"/>
  <c r="AT19" i="17"/>
  <c r="AU6" i="17"/>
  <c r="AT12" i="17"/>
  <c r="AT14" i="17"/>
  <c r="AT16" i="17"/>
  <c r="AT17" i="17"/>
  <c r="AT20" i="17"/>
  <c r="AT23" i="17"/>
  <c r="AT24" i="17"/>
  <c r="AT27" i="17"/>
  <c r="AT29" i="17"/>
  <c r="AT33" i="17"/>
  <c r="AT26" i="17"/>
  <c r="AT34" i="17"/>
  <c r="AT37" i="17"/>
  <c r="AT39" i="17"/>
  <c r="AT40" i="17"/>
  <c r="AT44" i="17"/>
  <c r="AT45" i="17"/>
  <c r="AT46" i="17"/>
  <c r="AT49" i="17"/>
  <c r="AT50" i="17"/>
  <c r="AT56" i="17"/>
  <c r="AT60" i="17"/>
  <c r="AT61" i="17"/>
  <c r="AT38" i="17"/>
  <c r="AT42" i="17"/>
  <c r="AT43" i="17"/>
  <c r="AT51" i="17"/>
  <c r="AT55" i="17"/>
  <c r="AT62" i="17"/>
  <c r="AT64" i="17"/>
  <c r="AT65" i="17"/>
  <c r="AX6" i="17"/>
  <c r="AW8" i="17"/>
  <c r="AW10" i="17"/>
  <c r="AW13" i="17"/>
  <c r="AW18" i="17"/>
  <c r="AW19" i="17"/>
  <c r="AW6" i="17"/>
  <c r="AW12" i="17"/>
  <c r="AW14" i="17"/>
  <c r="AW16" i="17"/>
  <c r="AW17" i="17"/>
  <c r="AW20" i="17"/>
  <c r="AW23" i="17"/>
  <c r="AW24" i="17"/>
  <c r="AW27" i="17"/>
  <c r="AW29" i="17"/>
  <c r="AW26" i="17"/>
  <c r="AW33" i="17"/>
  <c r="AW34" i="17"/>
  <c r="AW39" i="17"/>
  <c r="AW40" i="17"/>
  <c r="AW44" i="17"/>
  <c r="AW45" i="17"/>
  <c r="AW46" i="17"/>
  <c r="AW49" i="17"/>
  <c r="AW51" i="17"/>
  <c r="AW56" i="17"/>
  <c r="AW60" i="17"/>
  <c r="AW67" i="17"/>
  <c r="AW38" i="17"/>
  <c r="AW42" i="17"/>
  <c r="AW43" i="17"/>
  <c r="AW55" i="17"/>
  <c r="AW62" i="17"/>
  <c r="AW64" i="17"/>
  <c r="AW65" i="17"/>
  <c r="AZ6" i="17"/>
  <c r="AZ8" i="17"/>
  <c r="AZ10" i="17"/>
  <c r="AZ11" i="17"/>
  <c r="AZ13" i="17"/>
  <c r="AZ19" i="17"/>
  <c r="BA6" i="17"/>
  <c r="AZ12" i="17"/>
  <c r="AZ14" i="17"/>
  <c r="AZ16" i="17"/>
  <c r="AZ17" i="17"/>
  <c r="AZ20" i="17"/>
  <c r="AZ23" i="17"/>
  <c r="AZ24" i="17"/>
  <c r="AZ27" i="17"/>
  <c r="AZ29" i="17"/>
  <c r="AZ33" i="17"/>
  <c r="AZ26" i="17"/>
  <c r="AZ34" i="17"/>
  <c r="AZ37" i="17"/>
  <c r="AZ39" i="17"/>
  <c r="AZ40" i="17"/>
  <c r="AZ44" i="17"/>
  <c r="AZ45" i="17"/>
  <c r="AZ46" i="17"/>
  <c r="AZ49" i="17"/>
  <c r="AZ50" i="17"/>
  <c r="AZ56" i="17"/>
  <c r="AZ60" i="17"/>
  <c r="AZ61" i="17"/>
  <c r="AZ67" i="17"/>
  <c r="AZ38" i="17"/>
  <c r="AZ42" i="17"/>
  <c r="AZ43" i="17"/>
  <c r="AZ51" i="17"/>
  <c r="AZ55" i="17"/>
  <c r="AZ62" i="17"/>
  <c r="AZ64" i="17"/>
  <c r="AZ65" i="17"/>
  <c r="BD6" i="17"/>
  <c r="BC8" i="17"/>
  <c r="BC10" i="17"/>
  <c r="BC13" i="17"/>
  <c r="BC6" i="17"/>
  <c r="BC12" i="17"/>
  <c r="BC14" i="17"/>
  <c r="BC16" i="17"/>
  <c r="BC17" i="17"/>
  <c r="BC20" i="17"/>
  <c r="BC23" i="17"/>
  <c r="BC24" i="17"/>
  <c r="BC27" i="17"/>
  <c r="BC29" i="17"/>
  <c r="BC26" i="17"/>
  <c r="BC33" i="17"/>
  <c r="BC34" i="17"/>
  <c r="BC39" i="17"/>
  <c r="BC40" i="17"/>
  <c r="BC44" i="17"/>
  <c r="BC45" i="17"/>
  <c r="BC46" i="17"/>
  <c r="BC49" i="17"/>
  <c r="BC60" i="17"/>
  <c r="BC67" i="17"/>
  <c r="BC38" i="17"/>
  <c r="BC42" i="17"/>
  <c r="BC43" i="17"/>
  <c r="BC51" i="17"/>
  <c r="BC55" i="17"/>
  <c r="BC62" i="17"/>
  <c r="BC64" i="17"/>
  <c r="BC65" i="17"/>
  <c r="BC66" i="17"/>
  <c r="AB31" i="17"/>
  <c r="AC31" i="17"/>
  <c r="AN31" i="17"/>
  <c r="AO31" i="17"/>
  <c r="AZ31" i="17"/>
  <c r="BA31" i="17"/>
  <c r="BM31" i="17"/>
  <c r="BS31" i="17"/>
  <c r="P31" i="17"/>
  <c r="G7" i="17"/>
  <c r="K7" i="17"/>
  <c r="K37" i="17"/>
  <c r="Y37" i="17"/>
  <c r="AK37" i="17"/>
  <c r="AW37" i="17"/>
  <c r="V32" i="17"/>
  <c r="AH32" i="17"/>
  <c r="AT32" i="17"/>
  <c r="M37" i="17"/>
  <c r="BC56" i="17"/>
  <c r="M50" i="17"/>
  <c r="AE50" i="17"/>
  <c r="AW50" i="17"/>
  <c r="K61" i="17"/>
  <c r="M61" i="17"/>
  <c r="AE61" i="17"/>
  <c r="AQ61" i="17"/>
  <c r="BC61" i="17"/>
  <c r="G61" i="17"/>
  <c r="BC50" i="17"/>
  <c r="K12" i="17"/>
  <c r="K13" i="17"/>
  <c r="K14" i="17"/>
  <c r="K16" i="17"/>
  <c r="K17" i="17"/>
  <c r="K18" i="17"/>
  <c r="K6" i="17"/>
  <c r="K8" i="17"/>
  <c r="K10" i="17"/>
  <c r="K11" i="17"/>
  <c r="K19" i="17"/>
  <c r="K20" i="17"/>
  <c r="K26" i="17"/>
  <c r="K34" i="17"/>
  <c r="K23" i="17"/>
  <c r="K24" i="17"/>
  <c r="K27" i="17"/>
  <c r="K29" i="17"/>
  <c r="K33" i="17"/>
  <c r="K38" i="17"/>
  <c r="K42" i="17"/>
  <c r="K43" i="17"/>
  <c r="K44" i="17"/>
  <c r="K55" i="17"/>
  <c r="K56" i="17"/>
  <c r="K62" i="17"/>
  <c r="K64" i="17"/>
  <c r="K40" i="17"/>
  <c r="K45" i="17"/>
  <c r="K46" i="17"/>
  <c r="K49" i="17"/>
  <c r="K65" i="17"/>
  <c r="J31" i="17"/>
  <c r="K31" i="17" s="1"/>
  <c r="K32" i="17"/>
  <c r="AD31" i="17"/>
  <c r="AE32" i="17"/>
  <c r="AF32" i="17"/>
  <c r="BB31" i="17"/>
  <c r="BC32" i="17"/>
  <c r="BD32" i="17"/>
  <c r="V31" i="17"/>
  <c r="AH31" i="17"/>
  <c r="AI31" i="17"/>
  <c r="AT31" i="17"/>
  <c r="AU31" i="17"/>
  <c r="BG31" i="17"/>
  <c r="BZ31" i="17"/>
  <c r="CB32" i="17"/>
  <c r="BY31" i="17"/>
  <c r="G18" i="17"/>
  <c r="G37" i="17"/>
  <c r="Q32" i="17"/>
  <c r="G50" i="17"/>
  <c r="S61" i="17"/>
  <c r="CR37" i="17"/>
  <c r="CR32" i="17" s="1"/>
  <c r="CR11" i="17"/>
  <c r="CR7" i="17" s="1"/>
  <c r="CR61" i="17"/>
  <c r="DF61" i="17" s="1"/>
  <c r="CR50" i="17"/>
  <c r="DF50" i="17" s="1"/>
  <c r="CR18" i="17"/>
  <c r="DF18" i="17" s="1"/>
  <c r="BX48" i="17" l="1"/>
  <c r="BR48" i="17"/>
  <c r="I48" i="17"/>
  <c r="BU48" i="17"/>
  <c r="BO48" i="17"/>
  <c r="CA63" i="17"/>
  <c r="BI63" i="17"/>
  <c r="E63" i="17"/>
  <c r="BL63" i="17"/>
  <c r="FC35" i="21"/>
  <c r="BX16" i="17"/>
  <c r="BX63" i="17"/>
  <c r="BR16" i="17"/>
  <c r="BR63" i="17"/>
  <c r="I22" i="17"/>
  <c r="I63" i="17"/>
  <c r="BU16" i="17"/>
  <c r="BU63" i="17"/>
  <c r="BO16" i="17"/>
  <c r="BO63" i="17"/>
  <c r="BL15" i="17"/>
  <c r="BL16" i="17"/>
  <c r="CA15" i="17"/>
  <c r="CA16" i="17"/>
  <c r="BI15" i="17"/>
  <c r="BI16" i="17"/>
  <c r="BX22" i="17"/>
  <c r="BX15" i="17"/>
  <c r="BR22" i="17"/>
  <c r="BR15" i="17"/>
  <c r="BU22" i="17"/>
  <c r="BU15" i="17"/>
  <c r="BO22" i="17"/>
  <c r="BO15" i="17"/>
  <c r="BL22" i="17"/>
  <c r="CA22" i="17"/>
  <c r="BI22" i="17"/>
  <c r="E22" i="17"/>
  <c r="E15" i="17"/>
  <c r="I40" i="17"/>
  <c r="I15" i="17"/>
  <c r="CA32" i="17"/>
  <c r="I11" i="17"/>
  <c r="I32" i="17"/>
  <c r="I31" i="17"/>
  <c r="I56" i="17"/>
  <c r="I23" i="17"/>
  <c r="E27" i="17"/>
  <c r="I33" i="17"/>
  <c r="I42" i="17"/>
  <c r="I13" i="17"/>
  <c r="Q31" i="17"/>
  <c r="E44" i="17"/>
  <c r="E17" i="17"/>
  <c r="I44" i="17"/>
  <c r="I26" i="17"/>
  <c r="I17" i="17"/>
  <c r="I10" i="17"/>
  <c r="I64" i="17"/>
  <c r="I46" i="17"/>
  <c r="I27" i="17"/>
  <c r="E11" i="17"/>
  <c r="E50" i="17"/>
  <c r="N6" i="17"/>
  <c r="E26" i="17"/>
  <c r="E10" i="17"/>
  <c r="E46" i="17"/>
  <c r="E62" i="17"/>
  <c r="BU7" i="17"/>
  <c r="BU47" i="17"/>
  <c r="BI7" i="17"/>
  <c r="BI47" i="17"/>
  <c r="E61" i="17"/>
  <c r="E47" i="17"/>
  <c r="DF32" i="17"/>
  <c r="DF37" i="17"/>
  <c r="E43" i="17"/>
  <c r="E38" i="17"/>
  <c r="E16" i="17"/>
  <c r="E8" i="17"/>
  <c r="E32" i="17"/>
  <c r="BR7" i="17"/>
  <c r="BR47" i="17"/>
  <c r="BF7" i="17"/>
  <c r="BF47" i="17"/>
  <c r="E67" i="17"/>
  <c r="E55" i="17"/>
  <c r="E42" i="17"/>
  <c r="E40" i="17"/>
  <c r="E33" i="17"/>
  <c r="E23" i="17"/>
  <c r="E13" i="17"/>
  <c r="D2" i="17"/>
  <c r="E14" i="17"/>
  <c r="E31" i="17"/>
  <c r="I8" i="17"/>
  <c r="I47" i="17"/>
  <c r="DF7" i="17"/>
  <c r="DF11" i="17"/>
  <c r="CA7" i="17"/>
  <c r="CA47" i="17"/>
  <c r="BO32" i="17"/>
  <c r="BO47" i="17"/>
  <c r="E56" i="17"/>
  <c r="E45" i="17"/>
  <c r="E24" i="17"/>
  <c r="E6" i="17"/>
  <c r="BU31" i="17"/>
  <c r="BX7" i="17"/>
  <c r="BX47" i="17"/>
  <c r="BL7" i="17"/>
  <c r="BL47" i="17"/>
  <c r="E18" i="17"/>
  <c r="E64" i="17"/>
  <c r="E51" i="17"/>
  <c r="E49" i="17"/>
  <c r="E34" i="17"/>
  <c r="E29" i="17"/>
  <c r="E20" i="17"/>
  <c r="E12" i="17"/>
  <c r="E19" i="17"/>
  <c r="E37" i="17"/>
  <c r="E7" i="17"/>
  <c r="I61" i="17"/>
  <c r="I37" i="17"/>
  <c r="I7" i="17"/>
  <c r="T6" i="17"/>
  <c r="I67" i="17"/>
  <c r="I55" i="17"/>
  <c r="I49" i="17"/>
  <c r="I34" i="17"/>
  <c r="I29" i="17"/>
  <c r="I20" i="17"/>
  <c r="I12" i="17"/>
  <c r="I16" i="17"/>
  <c r="I50" i="17"/>
  <c r="I18" i="17"/>
  <c r="I62" i="17"/>
  <c r="I43" i="17"/>
  <c r="I45" i="17"/>
  <c r="I38" i="17"/>
  <c r="I24" i="17"/>
  <c r="I14" i="17"/>
  <c r="I6" i="17"/>
  <c r="CR6" i="17"/>
  <c r="BX31" i="17"/>
  <c r="FM36" i="16"/>
  <c r="W31" i="17"/>
  <c r="BI32" i="17"/>
  <c r="BF31" i="17"/>
  <c r="BR31" i="17"/>
  <c r="BL31" i="17"/>
  <c r="BO7" i="17"/>
  <c r="CB31" i="17"/>
  <c r="CA31" i="17"/>
  <c r="AF31" i="17"/>
  <c r="AE31" i="17"/>
  <c r="AX31" i="17"/>
  <c r="AW31" i="17"/>
  <c r="Z31" i="17"/>
  <c r="Y31" i="17"/>
  <c r="CB6" i="17"/>
  <c r="CA8" i="17"/>
  <c r="CA10" i="17"/>
  <c r="CA13" i="17"/>
  <c r="CA18" i="17"/>
  <c r="CA6" i="17"/>
  <c r="CA12" i="17"/>
  <c r="CA14" i="17"/>
  <c r="CA17" i="17"/>
  <c r="CA19" i="17"/>
  <c r="CA20" i="17"/>
  <c r="CA23" i="17"/>
  <c r="CA24" i="17"/>
  <c r="CA27" i="17"/>
  <c r="CA29" i="17"/>
  <c r="CA33" i="17"/>
  <c r="CA35" i="17"/>
  <c r="CA26" i="17"/>
  <c r="CA34" i="17"/>
  <c r="CA38" i="17"/>
  <c r="CA39" i="17"/>
  <c r="CA44" i="17"/>
  <c r="CA45" i="17"/>
  <c r="CA46" i="17"/>
  <c r="CA49" i="17"/>
  <c r="CA60" i="17"/>
  <c r="CA42" i="17"/>
  <c r="CA43" i="17"/>
  <c r="CA51" i="17"/>
  <c r="CA53" i="17"/>
  <c r="CA52" i="17"/>
  <c r="CA55" i="17"/>
  <c r="CA56" i="17"/>
  <c r="CA62" i="17"/>
  <c r="CA64" i="17"/>
  <c r="CA65" i="17"/>
  <c r="CA66" i="17"/>
  <c r="CA67" i="17"/>
  <c r="CA50" i="17"/>
  <c r="CA40" i="17"/>
  <c r="CA11" i="17"/>
  <c r="CA61" i="17"/>
  <c r="CA37" i="17"/>
  <c r="BX6" i="17"/>
  <c r="BX8" i="17"/>
  <c r="BX10" i="17"/>
  <c r="BY6" i="17"/>
  <c r="BX12" i="17"/>
  <c r="BX14" i="17"/>
  <c r="BX17" i="17"/>
  <c r="BX19" i="17"/>
  <c r="BX20" i="17"/>
  <c r="BX23" i="17"/>
  <c r="BX24" i="17"/>
  <c r="BX27" i="17"/>
  <c r="BX29" i="17"/>
  <c r="BX33" i="17"/>
  <c r="BX26" i="17"/>
  <c r="BX32" i="17"/>
  <c r="BX34" i="17"/>
  <c r="BX37" i="17"/>
  <c r="BX38" i="17"/>
  <c r="BX39" i="17"/>
  <c r="BX40" i="17"/>
  <c r="BX44" i="17"/>
  <c r="BX45" i="17"/>
  <c r="BX46" i="17"/>
  <c r="BX49" i="17"/>
  <c r="BX50" i="17"/>
  <c r="BX52" i="17"/>
  <c r="BX60" i="17"/>
  <c r="BX61" i="17"/>
  <c r="BX42" i="17"/>
  <c r="BX43" i="17"/>
  <c r="BX51" i="17"/>
  <c r="BX55" i="17"/>
  <c r="BX56" i="17"/>
  <c r="BX62" i="17"/>
  <c r="BX64" i="17"/>
  <c r="BX65" i="17"/>
  <c r="BX66" i="17"/>
  <c r="BX67" i="17"/>
  <c r="BX18" i="17"/>
  <c r="BX13" i="17"/>
  <c r="BX11" i="17"/>
  <c r="BV6" i="17"/>
  <c r="BU8" i="17"/>
  <c r="BU10" i="17"/>
  <c r="BU13" i="17"/>
  <c r="BU18" i="17"/>
  <c r="BU6" i="17"/>
  <c r="BU12" i="17"/>
  <c r="BU14" i="17"/>
  <c r="BU17" i="17"/>
  <c r="BU19" i="17"/>
  <c r="BU20" i="17"/>
  <c r="BU23" i="17"/>
  <c r="BU24" i="17"/>
  <c r="BU27" i="17"/>
  <c r="BU29" i="17"/>
  <c r="BU33" i="17"/>
  <c r="BU26" i="17"/>
  <c r="BU34" i="17"/>
  <c r="BU37" i="17"/>
  <c r="BU39" i="17"/>
  <c r="BU40" i="17"/>
  <c r="BU44" i="17"/>
  <c r="BU45" i="17"/>
  <c r="BU46" i="17"/>
  <c r="BU49" i="17"/>
  <c r="BU60" i="17"/>
  <c r="BU38" i="17"/>
  <c r="BU42" i="17"/>
  <c r="BU43" i="17"/>
  <c r="BU51" i="17"/>
  <c r="BU52" i="17"/>
  <c r="BU55" i="17"/>
  <c r="BU56" i="17"/>
  <c r="BU62" i="17"/>
  <c r="BU64" i="17"/>
  <c r="BU65" i="17"/>
  <c r="BU66" i="17"/>
  <c r="BU67" i="17"/>
  <c r="BU61" i="17"/>
  <c r="BU50" i="17"/>
  <c r="BU32" i="17"/>
  <c r="BU11" i="17"/>
  <c r="BR6" i="17"/>
  <c r="BR8" i="17"/>
  <c r="BR10" i="17"/>
  <c r="BS6" i="17"/>
  <c r="BR12" i="17"/>
  <c r="BR14" i="17"/>
  <c r="BR17" i="17"/>
  <c r="BR19" i="17"/>
  <c r="BR20" i="17"/>
  <c r="BR23" i="17"/>
  <c r="BR24" i="17"/>
  <c r="BR27" i="17"/>
  <c r="BR29" i="17"/>
  <c r="BR33" i="17"/>
  <c r="BR26" i="17"/>
  <c r="BR34" i="17"/>
  <c r="BR37" i="17"/>
  <c r="BR39" i="17"/>
  <c r="BR40" i="17"/>
  <c r="BR44" i="17"/>
  <c r="BR45" i="17"/>
  <c r="BR46" i="17"/>
  <c r="BR49" i="17"/>
  <c r="BR50" i="17"/>
  <c r="BR52" i="17"/>
  <c r="BR60" i="17"/>
  <c r="BR61" i="17"/>
  <c r="BR67" i="17"/>
  <c r="BR38" i="17"/>
  <c r="BR42" i="17"/>
  <c r="BR43" i="17"/>
  <c r="BR51" i="17"/>
  <c r="BR55" i="17"/>
  <c r="BR56" i="17"/>
  <c r="BR62" i="17"/>
  <c r="BR64" i="17"/>
  <c r="BR65" i="17"/>
  <c r="BR66" i="17"/>
  <c r="BR32" i="17"/>
  <c r="BR11" i="17"/>
  <c r="BR13" i="17"/>
  <c r="BR18" i="17"/>
  <c r="BP6" i="17"/>
  <c r="BO8" i="17"/>
  <c r="BO10" i="17"/>
  <c r="BO13" i="17"/>
  <c r="BO18" i="17"/>
  <c r="BO6" i="17"/>
  <c r="BO12" i="17"/>
  <c r="BO14" i="17"/>
  <c r="BO17" i="17"/>
  <c r="BO19" i="17"/>
  <c r="BO20" i="17"/>
  <c r="BO23" i="17"/>
  <c r="BO24" i="17"/>
  <c r="BO25" i="17"/>
  <c r="BO27" i="17"/>
  <c r="BO29" i="17"/>
  <c r="BO33" i="17"/>
  <c r="BO26" i="17"/>
  <c r="BO34" i="17"/>
  <c r="BO39" i="17"/>
  <c r="BO40" i="17"/>
  <c r="BO44" i="17"/>
  <c r="BO45" i="17"/>
  <c r="BO46" i="17"/>
  <c r="BO49" i="17"/>
  <c r="BO60" i="17"/>
  <c r="BO67" i="17"/>
  <c r="BO38" i="17"/>
  <c r="BO42" i="17"/>
  <c r="BO43" i="17"/>
  <c r="BO51" i="17"/>
  <c r="BO55" i="17"/>
  <c r="BO56" i="17"/>
  <c r="BO62" i="17"/>
  <c r="BO64" i="17"/>
  <c r="BO65" i="17"/>
  <c r="BO66" i="17"/>
  <c r="BO50" i="17"/>
  <c r="BO37" i="17"/>
  <c r="BO11" i="17"/>
  <c r="BO61" i="17"/>
  <c r="BL6" i="17"/>
  <c r="BL8" i="17"/>
  <c r="BL10" i="17"/>
  <c r="BM6" i="17"/>
  <c r="BL12" i="17"/>
  <c r="BL14" i="17"/>
  <c r="BL17" i="17"/>
  <c r="BL19" i="17"/>
  <c r="BL20" i="17"/>
  <c r="BL23" i="17"/>
  <c r="BL24" i="17"/>
  <c r="BL27" i="17"/>
  <c r="BL29" i="17"/>
  <c r="BL33" i="17"/>
  <c r="BL26" i="17"/>
  <c r="BL34" i="17"/>
  <c r="BL37" i="17"/>
  <c r="BL39" i="17"/>
  <c r="BL40" i="17"/>
  <c r="BL44" i="17"/>
  <c r="BL45" i="17"/>
  <c r="BL46" i="17"/>
  <c r="BL49" i="17"/>
  <c r="BL50" i="17"/>
  <c r="BL60" i="17"/>
  <c r="BL61" i="17"/>
  <c r="BL66" i="17"/>
  <c r="BL67" i="17"/>
  <c r="BL38" i="17"/>
  <c r="BL42" i="17"/>
  <c r="BL43" i="17"/>
  <c r="BL51" i="17"/>
  <c r="BL55" i="17"/>
  <c r="BL56" i="17"/>
  <c r="BL62" i="17"/>
  <c r="BL64" i="17"/>
  <c r="BL65" i="17"/>
  <c r="BL32" i="17"/>
  <c r="BL13" i="17"/>
  <c r="BL11" i="17"/>
  <c r="BL18" i="17"/>
  <c r="BJ6" i="17"/>
  <c r="BI8" i="17"/>
  <c r="BI10" i="17"/>
  <c r="BI13" i="17"/>
  <c r="BI18" i="17"/>
  <c r="BI6" i="17"/>
  <c r="BI12" i="17"/>
  <c r="BI14" i="17"/>
  <c r="BI17" i="17"/>
  <c r="BI19" i="17"/>
  <c r="BI20" i="17"/>
  <c r="BI23" i="17"/>
  <c r="BI24" i="17"/>
  <c r="BI27" i="17"/>
  <c r="BI29" i="17"/>
  <c r="BI33" i="17"/>
  <c r="BI26" i="17"/>
  <c r="BI34" i="17"/>
  <c r="BI39" i="17"/>
  <c r="BI40" i="17"/>
  <c r="BI44" i="17"/>
  <c r="BI45" i="17"/>
  <c r="BI46" i="17"/>
  <c r="BI49" i="17"/>
  <c r="BI60" i="17"/>
  <c r="BI67" i="17"/>
  <c r="BI38" i="17"/>
  <c r="BI42" i="17"/>
  <c r="BI43" i="17"/>
  <c r="BI51" i="17"/>
  <c r="BI55" i="17"/>
  <c r="BI56" i="17"/>
  <c r="BI62" i="17"/>
  <c r="BI64" i="17"/>
  <c r="BI65" i="17"/>
  <c r="BI66" i="17"/>
  <c r="BI50" i="17"/>
  <c r="BI61" i="17"/>
  <c r="BI37" i="17"/>
  <c r="BI11" i="17"/>
  <c r="BF6" i="17"/>
  <c r="BF8" i="17"/>
  <c r="BF10" i="17"/>
  <c r="BG6" i="17"/>
  <c r="BF12" i="17"/>
  <c r="BF14" i="17"/>
  <c r="BF17" i="17"/>
  <c r="BF19" i="17"/>
  <c r="BF20" i="17"/>
  <c r="BF23" i="17"/>
  <c r="BF24" i="17"/>
  <c r="BF27" i="17"/>
  <c r="BF29" i="17"/>
  <c r="BF33" i="17"/>
  <c r="BF26" i="17"/>
  <c r="BF34" i="17"/>
  <c r="BF37" i="17"/>
  <c r="BF39" i="17"/>
  <c r="BF40" i="17"/>
  <c r="BF44" i="17"/>
  <c r="BF45" i="17"/>
  <c r="BF46" i="17"/>
  <c r="BF49" i="17"/>
  <c r="BF50" i="17"/>
  <c r="BF60" i="17"/>
  <c r="BF61" i="17"/>
  <c r="BF66" i="17"/>
  <c r="BF38" i="17"/>
  <c r="BF42" i="17"/>
  <c r="BF43" i="17"/>
  <c r="BF51" i="17"/>
  <c r="BF55" i="17"/>
  <c r="BF56" i="17"/>
  <c r="BF62" i="17"/>
  <c r="BF64" i="17"/>
  <c r="BF65" i="17"/>
  <c r="BF13" i="17"/>
  <c r="BF32" i="17"/>
  <c r="BF18" i="17"/>
  <c r="BF11" i="17"/>
  <c r="BP31" i="17"/>
  <c r="BO31" i="17"/>
  <c r="T31" i="17"/>
  <c r="S31" i="17"/>
  <c r="F2" i="17"/>
  <c r="BD31" i="17"/>
  <c r="BC31" i="17"/>
  <c r="BJ31" i="17"/>
  <c r="BI31" i="17"/>
  <c r="AL31" i="17"/>
  <c r="AK31" i="17"/>
  <c r="N31" i="17"/>
  <c r="M31" i="17"/>
  <c r="AR31" i="17"/>
  <c r="AQ31" i="17"/>
  <c r="CS15" i="17" l="1"/>
  <c r="CS16" i="17"/>
  <c r="CS22" i="17"/>
  <c r="CR31" i="17"/>
  <c r="CS6" i="17"/>
  <c r="DF6" i="17"/>
  <c r="CX15" i="15"/>
  <c r="CX13" i="15"/>
  <c r="CX12" i="15"/>
  <c r="CX11" i="15"/>
  <c r="CX10" i="15"/>
  <c r="CV8" i="15"/>
  <c r="FI15" i="16"/>
  <c r="FI10" i="16"/>
  <c r="FI14" i="16"/>
  <c r="FI7" i="16"/>
  <c r="CS48" i="17" l="1"/>
  <c r="DE48" i="17"/>
  <c r="CV6" i="15"/>
  <c r="CV5" i="15"/>
  <c r="CW9" i="15" s="1"/>
  <c r="CS35" i="17"/>
  <c r="DE63" i="17"/>
  <c r="CS63" i="17"/>
  <c r="DE60" i="17"/>
  <c r="CS33" i="17"/>
  <c r="DE31" i="17"/>
  <c r="CS32" i="17"/>
  <c r="CS40" i="17"/>
  <c r="DE67" i="17"/>
  <c r="DE43" i="17"/>
  <c r="CS53" i="17"/>
  <c r="DE50" i="17"/>
  <c r="CS44" i="17"/>
  <c r="CS31" i="17"/>
  <c r="CS36" i="17"/>
  <c r="DE37" i="17"/>
  <c r="DE64" i="17"/>
  <c r="CS38" i="17"/>
  <c r="CS62" i="17"/>
  <c r="DE35" i="17"/>
  <c r="DE56" i="17"/>
  <c r="DE51" i="17"/>
  <c r="CS60" i="17"/>
  <c r="CS56" i="17"/>
  <c r="CS42" i="17"/>
  <c r="CS34" i="17"/>
  <c r="CS51" i="17"/>
  <c r="DF31" i="17"/>
  <c r="DE42" i="17"/>
  <c r="DE38" i="17"/>
  <c r="DE55" i="17"/>
  <c r="DE40" i="17"/>
  <c r="CS50" i="17"/>
  <c r="DE65" i="17"/>
  <c r="DE39" i="17"/>
  <c r="DE36" i="17"/>
  <c r="CS47" i="17"/>
  <c r="CS49" i="17"/>
  <c r="CS39" i="17"/>
  <c r="CS55" i="17"/>
  <c r="CS66" i="17"/>
  <c r="CS61" i="17"/>
  <c r="DE34" i="17"/>
  <c r="DE46" i="17"/>
  <c r="DE66" i="17"/>
  <c r="DE62" i="17"/>
  <c r="DE45" i="17"/>
  <c r="CS37" i="17"/>
  <c r="CS43" i="17"/>
  <c r="CS65" i="17"/>
  <c r="CS46" i="17"/>
  <c r="CS64" i="17"/>
  <c r="CS45" i="17"/>
  <c r="CS67" i="17"/>
  <c r="DE61" i="17"/>
  <c r="DE33" i="17"/>
  <c r="DE53" i="17"/>
  <c r="DE49" i="17"/>
  <c r="DE44" i="17"/>
  <c r="DE32" i="17"/>
  <c r="FO10" i="16"/>
  <c r="GL10" i="16" s="1"/>
  <c r="FJ10" i="16"/>
  <c r="GF10" i="16"/>
  <c r="FO7" i="16"/>
  <c r="GF7" i="16"/>
  <c r="FJ7" i="16"/>
  <c r="FO15" i="16"/>
  <c r="FP15" i="16" s="1"/>
  <c r="GF15" i="16"/>
  <c r="DJ8" i="15"/>
  <c r="FO14" i="16"/>
  <c r="GF14" i="16"/>
  <c r="DJ7" i="15"/>
  <c r="FI13" i="16"/>
  <c r="CW8" i="15" l="1"/>
  <c r="DZ20" i="21"/>
  <c r="CV49" i="15"/>
  <c r="CW17" i="15"/>
  <c r="CW12" i="15"/>
  <c r="CW15" i="15"/>
  <c r="CW10" i="15"/>
  <c r="CW14" i="15"/>
  <c r="CW11" i="15"/>
  <c r="CW5" i="15"/>
  <c r="CW18" i="15"/>
  <c r="CW13" i="15"/>
  <c r="CW16" i="15"/>
  <c r="DJ5" i="15"/>
  <c r="CW6" i="15"/>
  <c r="CV50" i="15"/>
  <c r="DJ6" i="15"/>
  <c r="CW7" i="15"/>
  <c r="FU10" i="16"/>
  <c r="GR10" i="16" s="1"/>
  <c r="FP10" i="16"/>
  <c r="FU14" i="16"/>
  <c r="GL14" i="16"/>
  <c r="GL15" i="16"/>
  <c r="FU15" i="16"/>
  <c r="FP14" i="16"/>
  <c r="FO13" i="16"/>
  <c r="GL13" i="16" s="1"/>
  <c r="FI40" i="16"/>
  <c r="DZ17" i="21" s="1"/>
  <c r="DZ14" i="21" s="1"/>
  <c r="GF13" i="16"/>
  <c r="GL7" i="16"/>
  <c r="FU7" i="16"/>
  <c r="FP7" i="16"/>
  <c r="FI29" i="16"/>
  <c r="GF29" i="16" s="1"/>
  <c r="FJ13" i="16"/>
  <c r="FJ14" i="16"/>
  <c r="FJ15" i="16"/>
  <c r="FJ16" i="16"/>
  <c r="FJ18" i="16"/>
  <c r="FJ19" i="16"/>
  <c r="FJ20" i="16"/>
  <c r="FJ21" i="16"/>
  <c r="FJ22" i="16"/>
  <c r="FJ23" i="16"/>
  <c r="FJ24" i="16"/>
  <c r="FJ25" i="16"/>
  <c r="FJ27" i="16"/>
  <c r="FJ30" i="16"/>
  <c r="FJ31" i="16"/>
  <c r="FJ33" i="16"/>
  <c r="FJ34" i="16"/>
  <c r="FK33" i="16"/>
  <c r="FK30" i="16"/>
  <c r="FK27" i="16"/>
  <c r="FK25" i="16"/>
  <c r="FK24" i="16"/>
  <c r="FK23" i="16"/>
  <c r="FK22" i="16"/>
  <c r="FK21" i="16"/>
  <c r="FK20" i="16"/>
  <c r="FK19" i="16"/>
  <c r="FK18" i="16"/>
  <c r="FK17" i="16"/>
  <c r="FK16" i="16"/>
  <c r="FK12" i="16"/>
  <c r="CS8" i="17"/>
  <c r="CS10" i="17"/>
  <c r="CS11" i="17"/>
  <c r="CS12" i="17"/>
  <c r="CS13" i="17"/>
  <c r="CS14" i="17"/>
  <c r="CS17" i="17"/>
  <c r="CS18" i="17"/>
  <c r="CS19" i="17"/>
  <c r="CS20" i="17"/>
  <c r="CS23" i="17"/>
  <c r="CS24" i="17"/>
  <c r="CS26" i="17"/>
  <c r="CS27" i="17"/>
  <c r="CS29" i="17"/>
  <c r="CS7" i="17"/>
  <c r="CT66" i="17"/>
  <c r="CT65" i="17"/>
  <c r="CT64" i="17"/>
  <c r="CT62" i="17"/>
  <c r="CT60" i="17"/>
  <c r="CT55" i="17"/>
  <c r="CT53" i="17"/>
  <c r="CT51" i="17"/>
  <c r="CT49" i="17"/>
  <c r="CT45" i="17"/>
  <c r="CT44" i="17"/>
  <c r="CT43" i="17"/>
  <c r="CT42" i="17"/>
  <c r="CT39" i="17"/>
  <c r="CT38" i="17"/>
  <c r="CT36" i="17"/>
  <c r="CT34" i="17"/>
  <c r="CT35" i="17"/>
  <c r="CT33" i="17"/>
  <c r="CT29" i="17"/>
  <c r="CT27" i="17"/>
  <c r="CT26" i="17"/>
  <c r="CT24" i="17"/>
  <c r="CT20" i="17"/>
  <c r="CT17" i="17"/>
  <c r="CT14" i="17"/>
  <c r="CT12" i="17"/>
  <c r="CT10" i="17"/>
  <c r="CT8" i="17"/>
  <c r="FV10" i="16" l="1"/>
  <c r="CW49" i="15"/>
  <c r="DJ49" i="15"/>
  <c r="DZ32" i="21"/>
  <c r="DZ23" i="21"/>
  <c r="EW20" i="21"/>
  <c r="CW47" i="15"/>
  <c r="CW50" i="15"/>
  <c r="DJ50" i="15"/>
  <c r="FP13" i="16"/>
  <c r="FV7" i="16"/>
  <c r="GR7" i="16"/>
  <c r="GR15" i="16"/>
  <c r="FV15" i="16"/>
  <c r="FU13" i="16"/>
  <c r="FV13" i="16" s="1"/>
  <c r="FO40" i="16"/>
  <c r="FI39" i="16"/>
  <c r="GF40" i="16"/>
  <c r="GR14" i="16"/>
  <c r="FV14" i="16"/>
  <c r="FI32" i="16"/>
  <c r="GF32" i="16" s="1"/>
  <c r="FO29" i="16"/>
  <c r="FJ29" i="16"/>
  <c r="FK11" i="16"/>
  <c r="FK8" i="16"/>
  <c r="GL40" i="16" l="1"/>
  <c r="EF17" i="21"/>
  <c r="EF14" i="21" s="1"/>
  <c r="EW32" i="21"/>
  <c r="DZ35" i="21"/>
  <c r="EW23" i="21"/>
  <c r="FU29" i="16"/>
  <c r="GR29" i="16" s="1"/>
  <c r="GL29" i="16"/>
  <c r="FP40" i="16"/>
  <c r="FO39" i="16"/>
  <c r="GL39" i="16" s="1"/>
  <c r="FJ39" i="16"/>
  <c r="GF39" i="16"/>
  <c r="FU40" i="16"/>
  <c r="EL17" i="21" s="1"/>
  <c r="EL14" i="21" s="1"/>
  <c r="GR13" i="16"/>
  <c r="FI35" i="16"/>
  <c r="GF35" i="16" s="1"/>
  <c r="FO32" i="16"/>
  <c r="FJ32" i="16"/>
  <c r="FP29" i="16"/>
  <c r="FV29" i="16" l="1"/>
  <c r="EW35" i="21"/>
  <c r="FP39" i="16"/>
  <c r="FU32" i="16"/>
  <c r="GR32" i="16" s="1"/>
  <c r="GL32" i="16"/>
  <c r="FU39" i="16"/>
  <c r="GR40" i="16"/>
  <c r="FV40" i="16"/>
  <c r="FP32" i="16"/>
  <c r="FO35" i="16"/>
  <c r="FI36" i="16"/>
  <c r="FJ35" i="16"/>
  <c r="FJ40" i="16"/>
  <c r="FV32" i="16" l="1"/>
  <c r="GR39" i="16"/>
  <c r="FV39" i="16"/>
  <c r="FU35" i="16"/>
  <c r="GL35" i="16"/>
  <c r="FO36" i="16"/>
  <c r="GL36" i="16" s="1"/>
  <c r="GF36" i="16"/>
  <c r="FJ36" i="16"/>
  <c r="FP35" i="16"/>
  <c r="CH42" i="17"/>
  <c r="CH43" i="17"/>
  <c r="CH44" i="17"/>
  <c r="CH45" i="17"/>
  <c r="CH49" i="17"/>
  <c r="CH38" i="17"/>
  <c r="CH39" i="17"/>
  <c r="CH20" i="17"/>
  <c r="CH24" i="17"/>
  <c r="CH26" i="17"/>
  <c r="CH27" i="17"/>
  <c r="CH29" i="17"/>
  <c r="CH10" i="17"/>
  <c r="CH12" i="17"/>
  <c r="CH14" i="17"/>
  <c r="CH17" i="17"/>
  <c r="CK64" i="17"/>
  <c r="CK65" i="17"/>
  <c r="CK66" i="17"/>
  <c r="CK67" i="17"/>
  <c r="CK52" i="17"/>
  <c r="CK55" i="17"/>
  <c r="CK56" i="17"/>
  <c r="CK60" i="17"/>
  <c r="CK34" i="17"/>
  <c r="CK38" i="17"/>
  <c r="CK39" i="17"/>
  <c r="CK42" i="17"/>
  <c r="CK43" i="17"/>
  <c r="CK44" i="17"/>
  <c r="CK45" i="17"/>
  <c r="CK46" i="17"/>
  <c r="CK49" i="17"/>
  <c r="CK20" i="17"/>
  <c r="CK23" i="17"/>
  <c r="CK24" i="17"/>
  <c r="CK26" i="17"/>
  <c r="CK27" i="17"/>
  <c r="CK29" i="17"/>
  <c r="CK10" i="17"/>
  <c r="CK12" i="17"/>
  <c r="CK14" i="17"/>
  <c r="CK17" i="17"/>
  <c r="CN64" i="17"/>
  <c r="CN65" i="17"/>
  <c r="CN66" i="17"/>
  <c r="CN67" i="17"/>
  <c r="CN53" i="17"/>
  <c r="CN52" i="17"/>
  <c r="CN55" i="17"/>
  <c r="CN56" i="17"/>
  <c r="CN60" i="17"/>
  <c r="CN35" i="17"/>
  <c r="CN34" i="17"/>
  <c r="CN38" i="17"/>
  <c r="CN39" i="17"/>
  <c r="CN40" i="17"/>
  <c r="CN42" i="17"/>
  <c r="CN43" i="17"/>
  <c r="CN44" i="17"/>
  <c r="CN45" i="17"/>
  <c r="CN46" i="17"/>
  <c r="CN49" i="17"/>
  <c r="CN20" i="17"/>
  <c r="CN23" i="17"/>
  <c r="CN24" i="17"/>
  <c r="CN26" i="17"/>
  <c r="CN27" i="17"/>
  <c r="CN29" i="17"/>
  <c r="CN10" i="17"/>
  <c r="CN12" i="17"/>
  <c r="CN14" i="17"/>
  <c r="CN17" i="17"/>
  <c r="CQ64" i="17"/>
  <c r="CQ65" i="17"/>
  <c r="CQ66" i="17"/>
  <c r="CQ53" i="17"/>
  <c r="CQ55" i="17"/>
  <c r="CQ56" i="17"/>
  <c r="CQ35" i="17"/>
  <c r="CQ34" i="17"/>
  <c r="CQ36" i="17"/>
  <c r="CQ38" i="17"/>
  <c r="CQ39" i="17"/>
  <c r="CQ42" i="17"/>
  <c r="CQ43" i="17"/>
  <c r="CQ44" i="17"/>
  <c r="CQ45" i="17"/>
  <c r="CQ46" i="17"/>
  <c r="CQ49" i="17"/>
  <c r="CQ20" i="17"/>
  <c r="CQ23" i="17"/>
  <c r="CQ24" i="17"/>
  <c r="CQ26" i="17"/>
  <c r="CQ27" i="17"/>
  <c r="CQ29" i="17"/>
  <c r="CQ10" i="17"/>
  <c r="CQ12" i="17"/>
  <c r="CQ14" i="17"/>
  <c r="CQ17" i="17"/>
  <c r="FD8" i="16"/>
  <c r="FD9" i="16"/>
  <c r="FD11" i="16"/>
  <c r="FD12" i="16"/>
  <c r="FD16" i="16"/>
  <c r="FD17" i="16"/>
  <c r="FD18" i="16"/>
  <c r="FD19" i="16"/>
  <c r="FD20" i="16"/>
  <c r="FD21" i="16"/>
  <c r="FD22" i="16"/>
  <c r="FD23" i="16"/>
  <c r="FD24" i="16"/>
  <c r="FD25" i="16"/>
  <c r="FD26" i="16"/>
  <c r="FD27" i="16"/>
  <c r="FD28" i="16"/>
  <c r="FD30" i="16"/>
  <c r="FD31" i="16"/>
  <c r="FD33" i="16"/>
  <c r="FD34" i="16"/>
  <c r="CE52" i="17"/>
  <c r="CE55" i="17"/>
  <c r="CE56" i="17"/>
  <c r="CE60" i="17"/>
  <c r="CE10" i="17"/>
  <c r="CE12" i="17"/>
  <c r="CE14" i="17"/>
  <c r="CE17" i="17"/>
  <c r="CE27" i="17"/>
  <c r="CE29" i="17"/>
  <c r="CE20" i="17"/>
  <c r="CE23" i="17"/>
  <c r="CE24" i="17"/>
  <c r="CF23" i="17"/>
  <c r="CT23" i="17" s="1"/>
  <c r="CE34" i="17"/>
  <c r="CE38" i="17"/>
  <c r="CE39" i="17"/>
  <c r="CE42" i="17"/>
  <c r="CE43" i="17"/>
  <c r="CE44" i="17"/>
  <c r="CE45" i="17"/>
  <c r="CE46" i="17"/>
  <c r="CE49" i="17"/>
  <c r="CE64" i="17"/>
  <c r="CE65" i="17"/>
  <c r="CE66" i="17"/>
  <c r="CH64" i="17"/>
  <c r="CH65" i="17"/>
  <c r="CH66" i="17"/>
  <c r="CH67" i="17"/>
  <c r="CQ60" i="17"/>
  <c r="FU36" i="16" l="1"/>
  <c r="GR35" i="16"/>
  <c r="FV35" i="16"/>
  <c r="FP36" i="16"/>
  <c r="CH23" i="17"/>
  <c r="FV36" i="16" l="1"/>
  <c r="GR36" i="16"/>
  <c r="F55" i="5"/>
  <c r="E55" i="5"/>
  <c r="CS8" i="15"/>
  <c r="CS6" i="15" l="1"/>
  <c r="CS5" i="15"/>
  <c r="CT9" i="15" s="1"/>
  <c r="DG7" i="15"/>
  <c r="DG8" i="15"/>
  <c r="CU13" i="15"/>
  <c r="CU12" i="15"/>
  <c r="CU11" i="15"/>
  <c r="CU10" i="15"/>
  <c r="DT20" i="21" l="1"/>
  <c r="CS49" i="15"/>
  <c r="CT15" i="15"/>
  <c r="CT11" i="15"/>
  <c r="CT14" i="15"/>
  <c r="CT13" i="15"/>
  <c r="CT17" i="15"/>
  <c r="CT12" i="15"/>
  <c r="CT5" i="15"/>
  <c r="CT10" i="15"/>
  <c r="CT18" i="15"/>
  <c r="CT16" i="15"/>
  <c r="DG5" i="15"/>
  <c r="CT6" i="15"/>
  <c r="CS50" i="15"/>
  <c r="DG6" i="15"/>
  <c r="CT7" i="15"/>
  <c r="CT8" i="15"/>
  <c r="CL13" i="17"/>
  <c r="CZ13" i="17" s="1"/>
  <c r="CI13" i="17"/>
  <c r="CW13" i="17" s="1"/>
  <c r="CF13" i="17"/>
  <c r="CC13" i="17"/>
  <c r="CT49" i="15" l="1"/>
  <c r="DG49" i="15"/>
  <c r="DW20" i="21"/>
  <c r="DT32" i="21"/>
  <c r="DT23" i="21"/>
  <c r="EQ20" i="21"/>
  <c r="CT50" i="15"/>
  <c r="CT47" i="15"/>
  <c r="DG50" i="15"/>
  <c r="CE13" i="17"/>
  <c r="CQ13" i="17"/>
  <c r="CT13" i="17"/>
  <c r="CH13" i="17"/>
  <c r="CK13" i="17"/>
  <c r="CN13" i="17"/>
  <c r="CC11" i="17"/>
  <c r="CC7" i="17" s="1"/>
  <c r="CF11" i="17"/>
  <c r="DW32" i="21" l="1"/>
  <c r="ET20" i="21"/>
  <c r="EQ23" i="21"/>
  <c r="DW23" i="21"/>
  <c r="DT35" i="21"/>
  <c r="EQ32" i="21"/>
  <c r="CT11" i="17"/>
  <c r="CF7" i="17"/>
  <c r="CH11" i="17"/>
  <c r="CE11" i="17"/>
  <c r="FE33" i="16"/>
  <c r="FE30" i="16"/>
  <c r="FE27" i="16"/>
  <c r="FE25" i="16"/>
  <c r="FE24" i="16"/>
  <c r="FE23" i="16"/>
  <c r="FE22" i="16"/>
  <c r="FE21" i="16"/>
  <c r="FE20" i="16"/>
  <c r="FE19" i="16"/>
  <c r="FE18" i="16"/>
  <c r="FE17" i="16"/>
  <c r="FE16" i="16"/>
  <c r="FC15" i="16"/>
  <c r="FD14" i="16"/>
  <c r="FE12" i="16"/>
  <c r="FE11" i="16"/>
  <c r="FD10" i="16"/>
  <c r="FE9" i="16"/>
  <c r="FE8" i="16"/>
  <c r="FC7" i="16"/>
  <c r="CQ62" i="17"/>
  <c r="CO61" i="17"/>
  <c r="DC61" i="17" s="1"/>
  <c r="CQ51" i="17"/>
  <c r="CO50" i="17"/>
  <c r="DC50" i="17" s="1"/>
  <c r="CO37" i="17"/>
  <c r="CO32" i="17" s="1"/>
  <c r="CQ33" i="17"/>
  <c r="CQ19" i="17"/>
  <c r="CO18" i="17"/>
  <c r="DC18" i="17" s="1"/>
  <c r="CO11" i="17"/>
  <c r="CQ8" i="17"/>
  <c r="ET23" i="21" l="1"/>
  <c r="DW35" i="21"/>
  <c r="EQ35" i="21"/>
  <c r="ET32" i="21"/>
  <c r="DC11" i="17"/>
  <c r="CO7" i="17"/>
  <c r="DC7" i="17" s="1"/>
  <c r="DC37" i="17"/>
  <c r="FD7" i="16"/>
  <c r="FZ7" i="16"/>
  <c r="FC13" i="16"/>
  <c r="FD15" i="16"/>
  <c r="FZ15" i="16"/>
  <c r="CQ11" i="17"/>
  <c r="ET35" i="21" l="1"/>
  <c r="FZ13" i="16"/>
  <c r="FC29" i="16"/>
  <c r="FD29" i="16" s="1"/>
  <c r="CO31" i="17"/>
  <c r="DC31" i="17" s="1"/>
  <c r="DC32" i="17"/>
  <c r="FD13" i="16"/>
  <c r="FC40" i="16"/>
  <c r="CO6" i="17"/>
  <c r="CP48" i="17" s="1"/>
  <c r="FZ40" i="16" l="1"/>
  <c r="DT17" i="21"/>
  <c r="DT14" i="21" s="1"/>
  <c r="CP63" i="17"/>
  <c r="CP15" i="17"/>
  <c r="CP16" i="17"/>
  <c r="CP22" i="17"/>
  <c r="CP47" i="17"/>
  <c r="DC6" i="17"/>
  <c r="FZ29" i="16"/>
  <c r="FC32" i="16"/>
  <c r="FZ32" i="16" s="1"/>
  <c r="FC39" i="16"/>
  <c r="FZ39" i="16" s="1"/>
  <c r="CP13" i="17"/>
  <c r="CP64" i="17"/>
  <c r="CP65" i="17"/>
  <c r="CP66" i="17"/>
  <c r="CP53" i="17"/>
  <c r="CP55" i="17"/>
  <c r="CP56" i="17"/>
  <c r="CP35" i="17"/>
  <c r="CP34" i="17"/>
  <c r="CP36" i="17"/>
  <c r="CP38" i="17"/>
  <c r="CP39" i="17"/>
  <c r="CP40" i="17"/>
  <c r="CP42" i="17"/>
  <c r="CP43" i="17"/>
  <c r="CP44" i="17"/>
  <c r="CP45" i="17"/>
  <c r="CP46" i="17"/>
  <c r="CP49" i="17"/>
  <c r="CP20" i="17"/>
  <c r="CP23" i="17"/>
  <c r="CP24" i="17"/>
  <c r="CP26" i="17"/>
  <c r="CP27" i="17"/>
  <c r="CP29" i="17"/>
  <c r="CP10" i="17"/>
  <c r="CP12" i="17"/>
  <c r="CP14" i="17"/>
  <c r="CP17" i="17"/>
  <c r="CP11" i="17"/>
  <c r="CP37" i="17"/>
  <c r="CP8" i="17"/>
  <c r="CP60" i="17"/>
  <c r="CP33" i="17"/>
  <c r="CP51" i="17"/>
  <c r="CP62" i="17"/>
  <c r="CP6" i="17"/>
  <c r="CP19" i="17"/>
  <c r="CP61" i="17"/>
  <c r="CP50" i="17"/>
  <c r="CP18" i="17"/>
  <c r="CP31" i="17"/>
  <c r="CP32" i="17"/>
  <c r="CP7" i="17"/>
  <c r="FD40" i="16"/>
  <c r="FD32" i="16" l="1"/>
  <c r="FC35" i="16"/>
  <c r="FD39" i="16"/>
  <c r="FD35" i="16" l="1"/>
  <c r="FZ35" i="16"/>
  <c r="FC36" i="16"/>
  <c r="FD36" i="16" l="1"/>
  <c r="FZ36" i="16"/>
  <c r="FE36" i="16"/>
  <c r="CU15" i="15" l="1"/>
  <c r="EX9" i="16" l="1"/>
  <c r="EX11" i="16"/>
  <c r="EX12" i="16"/>
  <c r="EX16" i="16"/>
  <c r="EX17" i="16"/>
  <c r="EX18" i="16"/>
  <c r="EX19" i="16"/>
  <c r="EX20" i="16"/>
  <c r="EX21" i="16"/>
  <c r="EX22" i="16"/>
  <c r="EX23" i="16"/>
  <c r="EX24" i="16"/>
  <c r="EX25" i="16"/>
  <c r="EX26" i="16"/>
  <c r="EX27" i="16"/>
  <c r="EX28" i="16"/>
  <c r="EX30" i="16"/>
  <c r="EX31" i="16"/>
  <c r="EX33" i="16"/>
  <c r="EX34" i="16"/>
  <c r="EX8" i="16"/>
  <c r="CC40" i="17" l="1"/>
  <c r="CF40" i="17"/>
  <c r="CI40" i="17"/>
  <c r="CW40" i="17" s="1"/>
  <c r="CF37" i="17" l="1"/>
  <c r="CT40" i="17"/>
  <c r="CH40" i="17"/>
  <c r="CK40" i="17"/>
  <c r="CQ40" i="17"/>
  <c r="CE40" i="17"/>
  <c r="CC37" i="17"/>
  <c r="CC32" i="17" s="1"/>
  <c r="EZ37" i="16"/>
  <c r="EY24" i="16"/>
  <c r="EY33" i="16"/>
  <c r="EY30" i="16"/>
  <c r="EY27" i="16"/>
  <c r="EY25" i="16"/>
  <c r="EY23" i="16"/>
  <c r="EY22" i="16"/>
  <c r="EY21" i="16"/>
  <c r="EY20" i="16"/>
  <c r="EY19" i="16"/>
  <c r="EY18" i="16"/>
  <c r="EY17" i="16"/>
  <c r="EY16" i="16"/>
  <c r="EW15" i="16"/>
  <c r="EY12" i="16"/>
  <c r="EY11" i="16"/>
  <c r="EW10" i="16"/>
  <c r="EY9" i="16"/>
  <c r="EY8" i="16"/>
  <c r="EW7" i="16"/>
  <c r="FT7" i="16" s="1"/>
  <c r="CR15" i="15"/>
  <c r="CR13" i="15"/>
  <c r="CR12" i="15"/>
  <c r="CR11" i="15"/>
  <c r="CR10" i="15"/>
  <c r="CP8" i="15"/>
  <c r="BE18" i="4"/>
  <c r="BE17" i="4"/>
  <c r="BE33" i="4"/>
  <c r="BE8" i="4" s="1"/>
  <c r="CP6" i="15" l="1"/>
  <c r="CP5" i="15"/>
  <c r="CQ9" i="15" s="1"/>
  <c r="DD8" i="15"/>
  <c r="DD7" i="15"/>
  <c r="EX15" i="16"/>
  <c r="FT15" i="16"/>
  <c r="EX10" i="16"/>
  <c r="FT10" i="16"/>
  <c r="EX14" i="16"/>
  <c r="FT14" i="16"/>
  <c r="CE37" i="17"/>
  <c r="CQ37" i="17"/>
  <c r="CT37" i="17"/>
  <c r="CH37" i="17"/>
  <c r="EW13" i="16"/>
  <c r="EW29" i="16" s="1"/>
  <c r="EX7" i="16"/>
  <c r="CQ32" i="17"/>
  <c r="CL50" i="17"/>
  <c r="CZ50" i="17" s="1"/>
  <c r="CN62" i="17"/>
  <c r="CL61" i="17"/>
  <c r="CZ61" i="17" s="1"/>
  <c r="CL37" i="17"/>
  <c r="CL32" i="17" s="1"/>
  <c r="CN33" i="17"/>
  <c r="CN19" i="17"/>
  <c r="CL18" i="17"/>
  <c r="CL11" i="17"/>
  <c r="CL7" i="17" s="1"/>
  <c r="CN8" i="17"/>
  <c r="CQ8" i="15" l="1"/>
  <c r="DN20" i="21"/>
  <c r="CP49" i="15"/>
  <c r="CQ14" i="15"/>
  <c r="CQ10" i="15"/>
  <c r="CQ13" i="15"/>
  <c r="CQ18" i="15"/>
  <c r="CQ12" i="15"/>
  <c r="CQ5" i="15"/>
  <c r="CQ17" i="15"/>
  <c r="CQ15" i="15"/>
  <c r="CQ11" i="15"/>
  <c r="CQ16" i="15"/>
  <c r="DD5" i="15"/>
  <c r="CQ6" i="15"/>
  <c r="CP50" i="15"/>
  <c r="DD6" i="15"/>
  <c r="CQ7" i="15"/>
  <c r="CZ18" i="17"/>
  <c r="CL6" i="17"/>
  <c r="CM63" i="17" s="1"/>
  <c r="CZ37" i="17"/>
  <c r="CZ32" i="17"/>
  <c r="CZ7" i="17"/>
  <c r="CZ11" i="17"/>
  <c r="EX13" i="16"/>
  <c r="FT13" i="16"/>
  <c r="EW40" i="16"/>
  <c r="CN37" i="17"/>
  <c r="CN11" i="17"/>
  <c r="EW39" i="16" l="1"/>
  <c r="EX39" i="16" s="1"/>
  <c r="DN17" i="21"/>
  <c r="DN14" i="21" s="1"/>
  <c r="CQ49" i="15"/>
  <c r="DD49" i="15"/>
  <c r="DQ20" i="21"/>
  <c r="DN32" i="21"/>
  <c r="DN23" i="21"/>
  <c r="EK20" i="21"/>
  <c r="CQ47" i="15"/>
  <c r="CQ50" i="15"/>
  <c r="DD50" i="15"/>
  <c r="CM15" i="17"/>
  <c r="CM16" i="17"/>
  <c r="CM22" i="17"/>
  <c r="CM62" i="17"/>
  <c r="EX40" i="16"/>
  <c r="FT40" i="16"/>
  <c r="EX29" i="16"/>
  <c r="FT29" i="16"/>
  <c r="EW32" i="16"/>
  <c r="EW35" i="16" s="1"/>
  <c r="CL31" i="17"/>
  <c r="FT39" i="16" l="1"/>
  <c r="DQ32" i="21"/>
  <c r="EN20" i="21"/>
  <c r="DN35" i="21"/>
  <c r="DQ23" i="21"/>
  <c r="EK23" i="21"/>
  <c r="EK32" i="21"/>
  <c r="CM53" i="17"/>
  <c r="CM51" i="17"/>
  <c r="CM64" i="17"/>
  <c r="CM56" i="17"/>
  <c r="CM24" i="17"/>
  <c r="CM42" i="17"/>
  <c r="CM10" i="17"/>
  <c r="CM36" i="17"/>
  <c r="CM8" i="17"/>
  <c r="CM46" i="17"/>
  <c r="CZ6" i="17"/>
  <c r="CM47" i="17"/>
  <c r="CM18" i="17"/>
  <c r="CM61" i="17"/>
  <c r="CM50" i="17"/>
  <c r="CM37" i="17"/>
  <c r="CM17" i="17"/>
  <c r="CM29" i="17"/>
  <c r="CM23" i="17"/>
  <c r="CM45" i="17"/>
  <c r="CM40" i="17"/>
  <c r="CM34" i="17"/>
  <c r="CM55" i="17"/>
  <c r="CM67" i="17"/>
  <c r="CM6" i="17"/>
  <c r="CM32" i="17"/>
  <c r="CM33" i="17"/>
  <c r="CM11" i="17"/>
  <c r="CM14" i="17"/>
  <c r="CM27" i="17"/>
  <c r="CM20" i="17"/>
  <c r="CM44" i="17"/>
  <c r="CM39" i="17"/>
  <c r="CM35" i="17"/>
  <c r="CM66" i="17"/>
  <c r="CM19" i="17"/>
  <c r="CM7" i="17"/>
  <c r="CM13" i="17"/>
  <c r="CM12" i="17"/>
  <c r="CM26" i="17"/>
  <c r="CM49" i="17"/>
  <c r="CM43" i="17"/>
  <c r="CM38" i="17"/>
  <c r="CM60" i="17"/>
  <c r="CM52" i="17"/>
  <c r="CM65" i="17"/>
  <c r="CM31" i="17"/>
  <c r="CZ31" i="17"/>
  <c r="EX35" i="16"/>
  <c r="FT35" i="16"/>
  <c r="EX32" i="16"/>
  <c r="FT32" i="16"/>
  <c r="EW36" i="16"/>
  <c r="DQ35" i="21" l="1"/>
  <c r="EN23" i="21"/>
  <c r="EN32" i="21"/>
  <c r="EK35" i="21"/>
  <c r="EX36" i="16"/>
  <c r="FT36" i="16"/>
  <c r="EY36" i="16"/>
  <c r="EN35" i="21" l="1"/>
  <c r="ES30" i="16"/>
  <c r="ET22" i="16"/>
  <c r="ET25" i="16"/>
  <c r="EZ22" i="16" l="1"/>
  <c r="FW22" i="16" s="1"/>
  <c r="FQ22" i="16"/>
  <c r="EZ25" i="16"/>
  <c r="FW25" i="16" s="1"/>
  <c r="FQ25" i="16"/>
  <c r="ET9" i="16"/>
  <c r="EZ9" i="16" l="1"/>
  <c r="FQ9" i="16"/>
  <c r="FH22" i="16"/>
  <c r="FH25" i="16"/>
  <c r="ER9" i="16"/>
  <c r="ER11" i="16"/>
  <c r="ER12" i="16"/>
  <c r="ER16" i="16"/>
  <c r="ER17" i="16"/>
  <c r="ER18" i="16"/>
  <c r="ER19" i="16"/>
  <c r="ER20" i="16"/>
  <c r="ER21" i="16"/>
  <c r="ER22" i="16"/>
  <c r="ER23" i="16"/>
  <c r="ER24" i="16"/>
  <c r="ER25" i="16"/>
  <c r="ER26" i="16"/>
  <c r="ER27" i="16"/>
  <c r="ER28" i="16"/>
  <c r="ER30" i="16"/>
  <c r="ER31" i="16"/>
  <c r="ER33" i="16"/>
  <c r="ER34" i="16"/>
  <c r="ER8" i="16"/>
  <c r="FF9" i="16" l="1"/>
  <c r="GC9" i="16" s="1"/>
  <c r="FW9" i="16"/>
  <c r="CO15" i="15"/>
  <c r="CO13" i="15"/>
  <c r="CO12" i="15"/>
  <c r="CO11" i="15"/>
  <c r="CO10" i="15"/>
  <c r="CM8" i="15"/>
  <c r="FQ8" i="16"/>
  <c r="ET34" i="16"/>
  <c r="ET33" i="16"/>
  <c r="FQ33" i="16" s="1"/>
  <c r="ES33" i="16"/>
  <c r="ET31" i="16"/>
  <c r="ET30" i="16"/>
  <c r="FQ30" i="16" s="1"/>
  <c r="ET28" i="16"/>
  <c r="FQ27" i="16"/>
  <c r="ES27" i="16"/>
  <c r="ET26" i="16"/>
  <c r="ES25" i="16"/>
  <c r="ET24" i="16"/>
  <c r="FQ24" i="16" s="1"/>
  <c r="ES24" i="16"/>
  <c r="ET23" i="16"/>
  <c r="FQ23" i="16" s="1"/>
  <c r="ES23" i="16"/>
  <c r="ES22" i="16"/>
  <c r="ES21" i="16"/>
  <c r="ET20" i="16"/>
  <c r="FQ20" i="16" s="1"/>
  <c r="ES20" i="16"/>
  <c r="ET19" i="16"/>
  <c r="ES19" i="16"/>
  <c r="ET18" i="16"/>
  <c r="FQ18" i="16" s="1"/>
  <c r="ES18" i="16"/>
  <c r="ET17" i="16"/>
  <c r="FQ17" i="16" s="1"/>
  <c r="ES17" i="16"/>
  <c r="ET16" i="16"/>
  <c r="FQ16" i="16" s="1"/>
  <c r="ES16" i="16"/>
  <c r="EQ15" i="16"/>
  <c r="FN15" i="16" s="1"/>
  <c r="EQ14" i="16"/>
  <c r="ET12" i="16"/>
  <c r="FQ12" i="16" s="1"/>
  <c r="ES12" i="16"/>
  <c r="ET11" i="16"/>
  <c r="FQ11" i="16" s="1"/>
  <c r="ES11" i="16"/>
  <c r="EQ10" i="16"/>
  <c r="FN10" i="16" s="1"/>
  <c r="ES9" i="16"/>
  <c r="ES8" i="16"/>
  <c r="ER7" i="16"/>
  <c r="EQ7" i="16"/>
  <c r="FN7" i="16" s="1"/>
  <c r="CI37" i="17"/>
  <c r="CI32" i="17" s="1"/>
  <c r="CI11" i="17"/>
  <c r="CM6" i="15" l="1"/>
  <c r="CM5" i="15"/>
  <c r="CN9" i="15" s="1"/>
  <c r="CW11" i="17"/>
  <c r="CI7" i="17"/>
  <c r="CW37" i="17"/>
  <c r="CW32" i="17"/>
  <c r="FH9" i="16"/>
  <c r="DA7" i="15"/>
  <c r="DA8" i="15"/>
  <c r="EZ19" i="16"/>
  <c r="FW19" i="16" s="1"/>
  <c r="FQ19" i="16"/>
  <c r="ER14" i="16"/>
  <c r="FN14" i="16"/>
  <c r="EU9" i="16"/>
  <c r="EU22" i="16"/>
  <c r="CK37" i="17"/>
  <c r="CK11" i="17"/>
  <c r="EU31" i="16"/>
  <c r="EZ31" i="16"/>
  <c r="EZ33" i="16"/>
  <c r="FW33" i="16" s="1"/>
  <c r="EU33" i="16"/>
  <c r="ER10" i="16"/>
  <c r="EZ11" i="16"/>
  <c r="FW11" i="16" s="1"/>
  <c r="EU11" i="16"/>
  <c r="EZ12" i="16"/>
  <c r="FW12" i="16" s="1"/>
  <c r="EU12" i="16"/>
  <c r="EZ16" i="16"/>
  <c r="FW16" i="16" s="1"/>
  <c r="EU16" i="16"/>
  <c r="EZ17" i="16"/>
  <c r="FW17" i="16" s="1"/>
  <c r="EU17" i="16"/>
  <c r="EZ18" i="16"/>
  <c r="FW18" i="16" s="1"/>
  <c r="EU18" i="16"/>
  <c r="EU19" i="16"/>
  <c r="EZ20" i="16"/>
  <c r="FW20" i="16" s="1"/>
  <c r="EU20" i="16"/>
  <c r="EZ21" i="16"/>
  <c r="FW21" i="16" s="1"/>
  <c r="EU21" i="16"/>
  <c r="EU23" i="16"/>
  <c r="EZ23" i="16"/>
  <c r="FW23" i="16" s="1"/>
  <c r="EU24" i="16"/>
  <c r="EZ24" i="16"/>
  <c r="FW24" i="16" s="1"/>
  <c r="EZ26" i="16"/>
  <c r="EU26" i="16"/>
  <c r="EZ27" i="16"/>
  <c r="FW27" i="16" s="1"/>
  <c r="EU27" i="16"/>
  <c r="EU30" i="16"/>
  <c r="EZ30" i="16"/>
  <c r="FW30" i="16" s="1"/>
  <c r="EU34" i="16"/>
  <c r="EZ34" i="16"/>
  <c r="EZ8" i="16"/>
  <c r="EU25" i="16"/>
  <c r="EU8" i="16"/>
  <c r="EU28" i="16"/>
  <c r="EZ28" i="16"/>
  <c r="ER15" i="16"/>
  <c r="EQ13" i="16"/>
  <c r="ES7" i="16"/>
  <c r="ET7" i="16"/>
  <c r="FQ7" i="16" s="1"/>
  <c r="ET10" i="16"/>
  <c r="FQ10" i="16" s="1"/>
  <c r="ET14" i="16"/>
  <c r="ET15" i="16"/>
  <c r="FQ15" i="16" s="1"/>
  <c r="CN7" i="15" l="1"/>
  <c r="DH20" i="21"/>
  <c r="CM49" i="15"/>
  <c r="FF8" i="16"/>
  <c r="FF7" i="16" s="1"/>
  <c r="FA4" i="16"/>
  <c r="FA6" i="16"/>
  <c r="FA5" i="16"/>
  <c r="CN8" i="15"/>
  <c r="CN6" i="15"/>
  <c r="CM50" i="15"/>
  <c r="DA6" i="15"/>
  <c r="CN18" i="15"/>
  <c r="CN13" i="15"/>
  <c r="CN5" i="15"/>
  <c r="CN12" i="15"/>
  <c r="CN17" i="15"/>
  <c r="CN11" i="15"/>
  <c r="CN14" i="15"/>
  <c r="CN10" i="15"/>
  <c r="CN15" i="15"/>
  <c r="CN16" i="15"/>
  <c r="DA5" i="15"/>
  <c r="EU14" i="16"/>
  <c r="FQ14" i="16"/>
  <c r="EQ40" i="16"/>
  <c r="FN13" i="16"/>
  <c r="FA19" i="16"/>
  <c r="FA30" i="16"/>
  <c r="FA23" i="16"/>
  <c r="FA17" i="16"/>
  <c r="FA28" i="16"/>
  <c r="FA8" i="16"/>
  <c r="FA25" i="16"/>
  <c r="FA22" i="16"/>
  <c r="FA9" i="16"/>
  <c r="FA27" i="16"/>
  <c r="FA26" i="16"/>
  <c r="FA21" i="16"/>
  <c r="FA20" i="16"/>
  <c r="FA33" i="16"/>
  <c r="FH19" i="16"/>
  <c r="FA34" i="16"/>
  <c r="FA24" i="16"/>
  <c r="FA18" i="16"/>
  <c r="FA16" i="16"/>
  <c r="FF12" i="16"/>
  <c r="GC12" i="16" s="1"/>
  <c r="FA12" i="16"/>
  <c r="FF11" i="16"/>
  <c r="FA11" i="16"/>
  <c r="FA31" i="16"/>
  <c r="EU10" i="16"/>
  <c r="EZ14" i="16"/>
  <c r="EZ7" i="16"/>
  <c r="EZ15" i="16"/>
  <c r="EZ10" i="16"/>
  <c r="EQ29" i="16"/>
  <c r="ER13" i="16"/>
  <c r="EU15" i="16"/>
  <c r="ET13" i="16"/>
  <c r="FQ13" i="16" s="1"/>
  <c r="GC8" i="16" l="1"/>
  <c r="FN40" i="16"/>
  <c r="DH17" i="21"/>
  <c r="DH14" i="21" s="1"/>
  <c r="CN49" i="15"/>
  <c r="DA49" i="15"/>
  <c r="DH32" i="21"/>
  <c r="DK20" i="21"/>
  <c r="DH23" i="21"/>
  <c r="EE20" i="21"/>
  <c r="FG6" i="16"/>
  <c r="FG5" i="16"/>
  <c r="FG4" i="16"/>
  <c r="CN47" i="15"/>
  <c r="CN50" i="15"/>
  <c r="DA50" i="15"/>
  <c r="GC7" i="16"/>
  <c r="FF10" i="16"/>
  <c r="GC10" i="16" s="1"/>
  <c r="GC11" i="16"/>
  <c r="FF14" i="16"/>
  <c r="GC14" i="16" s="1"/>
  <c r="FA15" i="16"/>
  <c r="FW15" i="16"/>
  <c r="FA14" i="16"/>
  <c r="FW14" i="16"/>
  <c r="FA10" i="16"/>
  <c r="FW10" i="16"/>
  <c r="FA7" i="16"/>
  <c r="FW7" i="16"/>
  <c r="EQ39" i="16"/>
  <c r="FN39" i="16" s="1"/>
  <c r="ER40" i="16"/>
  <c r="ER29" i="16"/>
  <c r="FN29" i="16"/>
  <c r="FG11" i="16"/>
  <c r="FG12" i="16"/>
  <c r="FG16" i="16"/>
  <c r="FG18" i="16"/>
  <c r="FG20" i="16"/>
  <c r="FG24" i="16"/>
  <c r="FG28" i="16"/>
  <c r="FG34" i="16"/>
  <c r="FG8" i="16"/>
  <c r="FG17" i="16"/>
  <c r="FG19" i="16"/>
  <c r="FG21" i="16"/>
  <c r="FG23" i="16"/>
  <c r="FG25" i="16"/>
  <c r="FG27" i="16"/>
  <c r="FG30" i="16"/>
  <c r="FG33" i="16"/>
  <c r="FG22" i="16"/>
  <c r="FG26" i="16"/>
  <c r="FG31" i="16"/>
  <c r="FG9" i="16"/>
  <c r="FH11" i="16"/>
  <c r="FH12" i="16"/>
  <c r="FG15" i="16"/>
  <c r="FH16" i="16"/>
  <c r="FH18" i="16"/>
  <c r="FH24" i="16"/>
  <c r="FH33" i="16"/>
  <c r="FH20" i="16"/>
  <c r="FH21" i="16"/>
  <c r="FH27" i="16"/>
  <c r="FG7" i="16"/>
  <c r="FH8" i="16"/>
  <c r="FH17" i="16"/>
  <c r="FH23" i="16"/>
  <c r="FH30" i="16"/>
  <c r="EQ32" i="16"/>
  <c r="EZ13" i="16"/>
  <c r="EU13" i="16"/>
  <c r="ET40" i="16"/>
  <c r="ET29" i="16"/>
  <c r="FQ40" i="16" l="1"/>
  <c r="DK17" i="21"/>
  <c r="DK14" i="21" s="1"/>
  <c r="DK32" i="21"/>
  <c r="EH20" i="21"/>
  <c r="EE32" i="21"/>
  <c r="DH35" i="21"/>
  <c r="DK23" i="21"/>
  <c r="EE23" i="21"/>
  <c r="FG10" i="16"/>
  <c r="FG14" i="16"/>
  <c r="FF13" i="16"/>
  <c r="FF29" i="16" s="1"/>
  <c r="FA13" i="16"/>
  <c r="FW13" i="16"/>
  <c r="ER39" i="16"/>
  <c r="EU29" i="16"/>
  <c r="FQ29" i="16"/>
  <c r="ER32" i="16"/>
  <c r="FN32" i="16"/>
  <c r="EQ35" i="16"/>
  <c r="FN35" i="16" s="1"/>
  <c r="ET39" i="16"/>
  <c r="EU40" i="16"/>
  <c r="EZ40" i="16"/>
  <c r="EZ29" i="16"/>
  <c r="ET32" i="16"/>
  <c r="FW40" i="16" l="1"/>
  <c r="DQ17" i="21"/>
  <c r="DQ14" i="21" s="1"/>
  <c r="EE35" i="21"/>
  <c r="DK35" i="21"/>
  <c r="EH23" i="21"/>
  <c r="EH32" i="21"/>
  <c r="GC13" i="16"/>
  <c r="FF32" i="16"/>
  <c r="GC29" i="16"/>
  <c r="FA29" i="16"/>
  <c r="FW29" i="16"/>
  <c r="EQ36" i="16"/>
  <c r="FN36" i="16" s="1"/>
  <c r="ER35" i="16"/>
  <c r="EU39" i="16"/>
  <c r="FQ39" i="16"/>
  <c r="EU32" i="16"/>
  <c r="FQ32" i="16"/>
  <c r="FA40" i="16"/>
  <c r="FG29" i="16"/>
  <c r="FG13" i="16"/>
  <c r="FF40" i="16"/>
  <c r="EZ32" i="16"/>
  <c r="EZ39" i="16"/>
  <c r="FW39" i="16" s="1"/>
  <c r="ET35" i="16"/>
  <c r="GC40" i="16" l="1"/>
  <c r="DW17" i="21"/>
  <c r="DW14" i="21" s="1"/>
  <c r="EH35" i="21"/>
  <c r="FF35" i="16"/>
  <c r="GC35" i="16" s="1"/>
  <c r="GC32" i="16"/>
  <c r="FG32" i="16"/>
  <c r="FA32" i="16"/>
  <c r="FW32" i="16"/>
  <c r="EU35" i="16"/>
  <c r="FQ35" i="16"/>
  <c r="FF39" i="16"/>
  <c r="GC39" i="16" s="1"/>
  <c r="FA39" i="16"/>
  <c r="FG40" i="16"/>
  <c r="EZ35" i="16"/>
  <c r="CK62" i="17"/>
  <c r="CI61" i="17"/>
  <c r="CW61" i="17" s="1"/>
  <c r="CK51" i="17"/>
  <c r="CI50" i="17"/>
  <c r="CW50" i="17" s="1"/>
  <c r="CK33" i="17"/>
  <c r="CK19" i="17"/>
  <c r="CI18" i="17"/>
  <c r="CW18" i="17" s="1"/>
  <c r="CK8" i="17"/>
  <c r="CW7" i="17"/>
  <c r="FA35" i="16" l="1"/>
  <c r="FW35" i="16"/>
  <c r="FG35" i="16"/>
  <c r="FF36" i="16"/>
  <c r="FG39" i="16"/>
  <c r="CI31" i="17"/>
  <c r="CW31" i="17" s="1"/>
  <c r="CI6" i="17"/>
  <c r="CJ48" i="17" s="1"/>
  <c r="CJ63" i="17" l="1"/>
  <c r="CJ15" i="17"/>
  <c r="CJ16" i="17"/>
  <c r="CJ22" i="17"/>
  <c r="CW6" i="17"/>
  <c r="CJ47" i="17"/>
  <c r="FG36" i="16"/>
  <c r="GC36" i="16"/>
  <c r="CJ64" i="17"/>
  <c r="CJ65" i="17"/>
  <c r="CJ66" i="17"/>
  <c r="CJ67" i="17"/>
  <c r="CJ53" i="17"/>
  <c r="CJ55" i="17"/>
  <c r="CJ56" i="17"/>
  <c r="CJ60" i="17"/>
  <c r="CJ35" i="17"/>
  <c r="CJ38" i="17"/>
  <c r="CJ39" i="17"/>
  <c r="CJ42" i="17"/>
  <c r="CJ43" i="17"/>
  <c r="CJ44" i="17"/>
  <c r="CJ45" i="17"/>
  <c r="CJ46" i="17"/>
  <c r="CJ49" i="17"/>
  <c r="CJ20" i="17"/>
  <c r="CJ23" i="17"/>
  <c r="CJ24" i="17"/>
  <c r="CJ26" i="17"/>
  <c r="CJ27" i="17"/>
  <c r="CJ29" i="17"/>
  <c r="CJ10" i="17"/>
  <c r="CJ12" i="17"/>
  <c r="CJ14" i="17"/>
  <c r="CJ17" i="17"/>
  <c r="CJ52" i="17"/>
  <c r="CJ34" i="17"/>
  <c r="CJ36" i="17"/>
  <c r="CJ13" i="17"/>
  <c r="CJ40" i="17"/>
  <c r="CJ37" i="17"/>
  <c r="CJ11" i="17"/>
  <c r="CJ61" i="17"/>
  <c r="CJ7" i="17"/>
  <c r="CJ32" i="17"/>
  <c r="CJ8" i="17"/>
  <c r="CJ18" i="17"/>
  <c r="CJ33" i="17"/>
  <c r="CJ6" i="17"/>
  <c r="CJ19" i="17"/>
  <c r="CJ51" i="17"/>
  <c r="CJ62" i="17"/>
  <c r="CJ31" i="17"/>
  <c r="CJ50" i="17"/>
  <c r="CF56" i="17"/>
  <c r="CH56" i="17" s="1"/>
  <c r="CF46" i="17"/>
  <c r="CF32" i="17" s="1"/>
  <c r="CH32" i="17" s="1"/>
  <c r="CF19" i="17"/>
  <c r="CT19" i="17" s="1"/>
  <c r="CH62" i="17"/>
  <c r="CF61" i="17"/>
  <c r="CT61" i="17" s="1"/>
  <c r="CH60" i="17"/>
  <c r="CH51" i="17"/>
  <c r="CH33" i="17"/>
  <c r="CH8" i="17"/>
  <c r="CT7" i="17"/>
  <c r="CL15" i="15"/>
  <c r="CL13" i="15"/>
  <c r="CL12" i="15"/>
  <c r="CL11" i="15"/>
  <c r="CL10" i="15"/>
  <c r="CJ8" i="15"/>
  <c r="DV15" i="16"/>
  <c r="EB15" i="16"/>
  <c r="EH15" i="16"/>
  <c r="EK15" i="16"/>
  <c r="EN15" i="16"/>
  <c r="FK15" i="16" s="1"/>
  <c r="DV10" i="16"/>
  <c r="EB10" i="16"/>
  <c r="EY10" i="16" s="1"/>
  <c r="EH10" i="16"/>
  <c r="FE10" i="16" s="1"/>
  <c r="EK10" i="16"/>
  <c r="FH10" i="16" s="1"/>
  <c r="EN10" i="16"/>
  <c r="FK10" i="16" s="1"/>
  <c r="DV7" i="16"/>
  <c r="EB7" i="16"/>
  <c r="EY7" i="16" s="1"/>
  <c r="EH7" i="16"/>
  <c r="FE7" i="16" s="1"/>
  <c r="EK7" i="16"/>
  <c r="FH7" i="16" s="1"/>
  <c r="EN7" i="16"/>
  <c r="FK7" i="16" s="1"/>
  <c r="CJ6" i="15" l="1"/>
  <c r="CJ5" i="15"/>
  <c r="CK9" i="15" s="1"/>
  <c r="CX8" i="15"/>
  <c r="CH46" i="17"/>
  <c r="CX7" i="15"/>
  <c r="CH19" i="17"/>
  <c r="CT32" i="17"/>
  <c r="CT46" i="17"/>
  <c r="CF50" i="17"/>
  <c r="CT50" i="17" s="1"/>
  <c r="CT56" i="17"/>
  <c r="FE15" i="16"/>
  <c r="FH15" i="16"/>
  <c r="EY15" i="16"/>
  <c r="CF18" i="17"/>
  <c r="CT18" i="17" s="1"/>
  <c r="DW10" i="16"/>
  <c r="ES10" i="16"/>
  <c r="ES15" i="16"/>
  <c r="CK8" i="15" l="1"/>
  <c r="DE20" i="21"/>
  <c r="CJ49" i="15"/>
  <c r="CK17" i="15"/>
  <c r="CK12" i="15"/>
  <c r="CK18" i="15"/>
  <c r="CK11" i="15"/>
  <c r="CK5" i="15"/>
  <c r="CK15" i="15"/>
  <c r="CK10" i="15"/>
  <c r="CK14" i="15"/>
  <c r="CK13" i="15"/>
  <c r="CK16" i="15"/>
  <c r="CX5" i="15"/>
  <c r="CK6" i="15"/>
  <c r="CJ50" i="15"/>
  <c r="CX6" i="15"/>
  <c r="CK7" i="15"/>
  <c r="CF6" i="17"/>
  <c r="CG48" i="17" s="1"/>
  <c r="CF31" i="17"/>
  <c r="CT31" i="17" s="1"/>
  <c r="CG64" i="17" l="1"/>
  <c r="CK49" i="15"/>
  <c r="CX49" i="15"/>
  <c r="DE32" i="21"/>
  <c r="DE23" i="21"/>
  <c r="EB20" i="21"/>
  <c r="CK50" i="15"/>
  <c r="CK47" i="15"/>
  <c r="CX50" i="15"/>
  <c r="CG19" i="17"/>
  <c r="CG16" i="17"/>
  <c r="CG63" i="17"/>
  <c r="CG45" i="17"/>
  <c r="CG15" i="17"/>
  <c r="CG29" i="17"/>
  <c r="CG56" i="17"/>
  <c r="CG51" i="17"/>
  <c r="CG20" i="17"/>
  <c r="CG49" i="17"/>
  <c r="CG61" i="17"/>
  <c r="CG42" i="17"/>
  <c r="CG7" i="17"/>
  <c r="CG33" i="17"/>
  <c r="CG65" i="17"/>
  <c r="CG34" i="17"/>
  <c r="CG23" i="17"/>
  <c r="CG37" i="17"/>
  <c r="CG43" i="17"/>
  <c r="CG6" i="17"/>
  <c r="CG52" i="17"/>
  <c r="CG66" i="17"/>
  <c r="CG36" i="17"/>
  <c r="CG13" i="17"/>
  <c r="CG24" i="17"/>
  <c r="CG38" i="17"/>
  <c r="CG44" i="17"/>
  <c r="CG22" i="17"/>
  <c r="CG8" i="17"/>
  <c r="CG53" i="17"/>
  <c r="CG10" i="17"/>
  <c r="CG62" i="17"/>
  <c r="CG18" i="17"/>
  <c r="CG60" i="17"/>
  <c r="CG55" i="17"/>
  <c r="CG67" i="17"/>
  <c r="CG11" i="17"/>
  <c r="CG14" i="17"/>
  <c r="CG27" i="17"/>
  <c r="CG39" i="17"/>
  <c r="CG46" i="17"/>
  <c r="CT6" i="17"/>
  <c r="CG50" i="17"/>
  <c r="CG17" i="17"/>
  <c r="CG12" i="17"/>
  <c r="CG26" i="17"/>
  <c r="CG40" i="17"/>
  <c r="CG35" i="17"/>
  <c r="CG47" i="17"/>
  <c r="CG31" i="17"/>
  <c r="CG32" i="17"/>
  <c r="EO8" i="16"/>
  <c r="EP8" i="16"/>
  <c r="EO9" i="16"/>
  <c r="EP9" i="16"/>
  <c r="EO10" i="16"/>
  <c r="EO11" i="16"/>
  <c r="EP11" i="16"/>
  <c r="EO12" i="16"/>
  <c r="EP12" i="16"/>
  <c r="EO15" i="16"/>
  <c r="EO16" i="16"/>
  <c r="EP16" i="16"/>
  <c r="EO17" i="16"/>
  <c r="EP17" i="16"/>
  <c r="EO18" i="16"/>
  <c r="EP18" i="16"/>
  <c r="EO19" i="16"/>
  <c r="EP19" i="16"/>
  <c r="EO20" i="16"/>
  <c r="EP20" i="16"/>
  <c r="EO21" i="16"/>
  <c r="EP21" i="16"/>
  <c r="EO22" i="16"/>
  <c r="EP22" i="16"/>
  <c r="EO23" i="16"/>
  <c r="EP23" i="16"/>
  <c r="EO24" i="16"/>
  <c r="EP24" i="16"/>
  <c r="EO25" i="16"/>
  <c r="EP25" i="16"/>
  <c r="EO26" i="16"/>
  <c r="EO27" i="16"/>
  <c r="EP27" i="16"/>
  <c r="EO28" i="16"/>
  <c r="EO30" i="16"/>
  <c r="EP30" i="16"/>
  <c r="EO31" i="16"/>
  <c r="EO33" i="16"/>
  <c r="EP33" i="16"/>
  <c r="EO34" i="16"/>
  <c r="EO7" i="16"/>
  <c r="EN14" i="16"/>
  <c r="FK14" i="16" s="1"/>
  <c r="EN13" i="16"/>
  <c r="FK13" i="16" s="1"/>
  <c r="E61" i="5"/>
  <c r="CI15" i="15"/>
  <c r="CI13" i="15"/>
  <c r="CI12" i="15"/>
  <c r="CI11" i="15"/>
  <c r="CI10" i="15"/>
  <c r="CG8" i="15"/>
  <c r="CE62" i="17"/>
  <c r="CC61" i="17"/>
  <c r="CQ61" i="17" s="1"/>
  <c r="CE51" i="17"/>
  <c r="CC50" i="17"/>
  <c r="CQ50" i="17" s="1"/>
  <c r="CE33" i="17"/>
  <c r="CE26" i="17"/>
  <c r="CE19" i="17"/>
  <c r="CE8" i="17"/>
  <c r="CC18" i="17"/>
  <c r="CQ18" i="17" s="1"/>
  <c r="EM16" i="16"/>
  <c r="EM8" i="16"/>
  <c r="EM9" i="16"/>
  <c r="EM22" i="16"/>
  <c r="EM30" i="16"/>
  <c r="EM33" i="16"/>
  <c r="EM34" i="16"/>
  <c r="EM36" i="16"/>
  <c r="EL8" i="16"/>
  <c r="EL9" i="16"/>
  <c r="EL11" i="16"/>
  <c r="EL12" i="16"/>
  <c r="EL16" i="16"/>
  <c r="EL17" i="16"/>
  <c r="EL18" i="16"/>
  <c r="EL19" i="16"/>
  <c r="EL20" i="16"/>
  <c r="EL21" i="16"/>
  <c r="EL22" i="16"/>
  <c r="EL23" i="16"/>
  <c r="EL24" i="16"/>
  <c r="EL25" i="16"/>
  <c r="EL26" i="16"/>
  <c r="EL27" i="16"/>
  <c r="EL28" i="16"/>
  <c r="EL30" i="16"/>
  <c r="EL31" i="16"/>
  <c r="EL33" i="16"/>
  <c r="EL34" i="16"/>
  <c r="EL36" i="16"/>
  <c r="EK14" i="16"/>
  <c r="FH14" i="16" s="1"/>
  <c r="EK13" i="16"/>
  <c r="FH13" i="16" s="1"/>
  <c r="EJ36" i="16"/>
  <c r="EJ16" i="16"/>
  <c r="EJ17" i="16"/>
  <c r="EJ18" i="16"/>
  <c r="EJ19" i="16"/>
  <c r="EJ20" i="16"/>
  <c r="EJ21" i="16"/>
  <c r="EJ22" i="16"/>
  <c r="EJ23" i="16"/>
  <c r="EJ24" i="16"/>
  <c r="EJ25" i="16"/>
  <c r="EJ27" i="16"/>
  <c r="EJ30" i="16"/>
  <c r="EJ33" i="16"/>
  <c r="EJ34" i="16"/>
  <c r="EI19" i="16"/>
  <c r="EI17" i="16"/>
  <c r="EI16" i="16"/>
  <c r="EI18" i="16"/>
  <c r="EI20" i="16"/>
  <c r="EI21" i="16"/>
  <c r="EI22" i="16"/>
  <c r="EI23" i="16"/>
  <c r="EI24" i="16"/>
  <c r="EI25" i="16"/>
  <c r="EI26" i="16"/>
  <c r="EI27" i="16"/>
  <c r="EI28" i="16"/>
  <c r="EI30" i="16"/>
  <c r="EI31" i="16"/>
  <c r="EI33" i="16"/>
  <c r="EI34" i="16"/>
  <c r="EI36" i="16"/>
  <c r="EI12" i="16"/>
  <c r="EI11" i="16"/>
  <c r="EI9" i="16"/>
  <c r="EI8" i="16"/>
  <c r="EJ12" i="16"/>
  <c r="EJ11" i="16"/>
  <c r="EJ9" i="16"/>
  <c r="EJ8" i="16"/>
  <c r="EH14" i="16"/>
  <c r="FE14" i="16" s="1"/>
  <c r="EH13" i="16"/>
  <c r="FE13" i="16" s="1"/>
  <c r="CF15" i="15"/>
  <c r="CF13" i="15"/>
  <c r="CF12" i="15"/>
  <c r="CF11" i="15"/>
  <c r="CF10" i="15"/>
  <c r="CD8" i="15"/>
  <c r="EC34" i="16"/>
  <c r="EC33" i="16"/>
  <c r="EC31" i="16"/>
  <c r="EC30" i="16"/>
  <c r="EC17" i="16"/>
  <c r="EC18" i="16"/>
  <c r="EC19" i="16"/>
  <c r="EC20" i="16"/>
  <c r="EC21" i="16"/>
  <c r="EC22" i="16"/>
  <c r="EC23" i="16"/>
  <c r="EC24" i="16"/>
  <c r="EC25" i="16"/>
  <c r="EC26" i="16"/>
  <c r="EC27" i="16"/>
  <c r="EC28" i="16"/>
  <c r="EC16" i="16"/>
  <c r="EC12" i="16"/>
  <c r="EC11" i="16"/>
  <c r="EC9" i="16"/>
  <c r="EC8" i="16"/>
  <c r="EG36" i="16"/>
  <c r="ED33" i="16"/>
  <c r="ED30" i="16"/>
  <c r="ED27" i="16"/>
  <c r="ED25" i="16"/>
  <c r="ED24" i="16"/>
  <c r="ED23" i="16"/>
  <c r="ED22" i="16"/>
  <c r="ED21" i="16"/>
  <c r="ED20" i="16"/>
  <c r="ED19" i="16"/>
  <c r="ED18" i="16"/>
  <c r="ED17" i="16"/>
  <c r="ED16" i="16"/>
  <c r="EB14" i="16"/>
  <c r="EY14" i="16" s="1"/>
  <c r="ED12" i="16"/>
  <c r="ED11" i="16"/>
  <c r="ED9" i="16"/>
  <c r="ED8" i="16"/>
  <c r="CN61" i="17"/>
  <c r="CN50" i="17"/>
  <c r="CN18" i="17"/>
  <c r="CN7" i="17"/>
  <c r="BW10" i="15"/>
  <c r="BW11" i="15"/>
  <c r="BW12" i="15"/>
  <c r="BW13" i="15"/>
  <c r="AW8" i="15"/>
  <c r="BI8" i="15"/>
  <c r="R7" i="15"/>
  <c r="U7" i="15"/>
  <c r="X7" i="15"/>
  <c r="AA7" i="15"/>
  <c r="AD7" i="15"/>
  <c r="AG7" i="15"/>
  <c r="AJ7" i="15"/>
  <c r="AM7" i="15"/>
  <c r="AS7" i="15"/>
  <c r="AV7" i="15"/>
  <c r="BB7" i="15"/>
  <c r="BE7" i="15"/>
  <c r="BH7" i="15"/>
  <c r="R8" i="15"/>
  <c r="U8" i="15"/>
  <c r="X8" i="15"/>
  <c r="AA8" i="15"/>
  <c r="AD8" i="15"/>
  <c r="AG8" i="15"/>
  <c r="AJ8" i="15"/>
  <c r="AM8" i="15"/>
  <c r="AP8" i="15"/>
  <c r="AS8" i="15"/>
  <c r="AV8" i="15"/>
  <c r="BB8" i="15"/>
  <c r="BE8" i="15"/>
  <c r="BH8" i="15"/>
  <c r="BL8" i="15"/>
  <c r="BR8" i="15"/>
  <c r="BU8" i="15"/>
  <c r="BX8" i="15"/>
  <c r="CO8" i="15"/>
  <c r="BZ10" i="15"/>
  <c r="CC10" i="15"/>
  <c r="BZ11" i="15"/>
  <c r="CC11" i="15"/>
  <c r="BZ12" i="15"/>
  <c r="CC12" i="15"/>
  <c r="BZ13" i="15"/>
  <c r="CC13" i="15"/>
  <c r="R15" i="15"/>
  <c r="U15" i="15"/>
  <c r="X15" i="15"/>
  <c r="AA15" i="15"/>
  <c r="AD15" i="15"/>
  <c r="AG15" i="15"/>
  <c r="AJ15" i="15"/>
  <c r="AM15" i="15"/>
  <c r="AP15" i="15"/>
  <c r="AS15" i="15"/>
  <c r="AV15" i="15"/>
  <c r="AY15" i="15"/>
  <c r="BB15" i="15"/>
  <c r="BE15" i="15"/>
  <c r="BH15" i="15"/>
  <c r="BK15" i="15"/>
  <c r="BN15" i="15"/>
  <c r="BQ15" i="15"/>
  <c r="BT15" i="15"/>
  <c r="BW15" i="15"/>
  <c r="BZ15" i="15"/>
  <c r="CC15" i="15"/>
  <c r="F66" i="5"/>
  <c r="F61" i="5" s="1"/>
  <c r="E67" i="5"/>
  <c r="F68" i="5"/>
  <c r="F67" i="5" s="1"/>
  <c r="E70" i="5"/>
  <c r="F70" i="5"/>
  <c r="E73" i="5"/>
  <c r="F73" i="5"/>
  <c r="E76" i="5"/>
  <c r="F76" i="5"/>
  <c r="E79" i="5"/>
  <c r="F79" i="5"/>
  <c r="F83" i="5"/>
  <c r="E84" i="5"/>
  <c r="E83" i="5" s="1"/>
  <c r="AI34" i="4"/>
  <c r="AJ34" i="4"/>
  <c r="AH18" i="4"/>
  <c r="AJ18" i="4" s="1"/>
  <c r="AL18" i="4" s="1"/>
  <c r="AO18" i="4"/>
  <c r="AV18" i="4"/>
  <c r="AX18" i="4" s="1"/>
  <c r="T19" i="4"/>
  <c r="D7" i="16"/>
  <c r="E7" i="16" s="1"/>
  <c r="F7" i="16"/>
  <c r="G7" i="16" s="1"/>
  <c r="J7" i="16"/>
  <c r="N7" i="16"/>
  <c r="O7" i="16" s="1"/>
  <c r="R7" i="16"/>
  <c r="U7" i="16"/>
  <c r="AA7" i="16"/>
  <c r="AC7" i="16" s="1"/>
  <c r="AG7" i="16"/>
  <c r="AH7" i="16" s="1"/>
  <c r="AM7" i="16"/>
  <c r="AN7" i="16" s="1"/>
  <c r="AP7" i="16"/>
  <c r="AV7" i="16"/>
  <c r="BB7" i="16"/>
  <c r="BC7" i="16" s="1"/>
  <c r="BH7" i="16"/>
  <c r="BI7" i="16" s="1"/>
  <c r="BK7" i="16"/>
  <c r="BL7" i="16" s="1"/>
  <c r="BQ7" i="16"/>
  <c r="BR7" i="16" s="1"/>
  <c r="BW7" i="16"/>
  <c r="BY7" i="16" s="1"/>
  <c r="CC7" i="16"/>
  <c r="CD7" i="16" s="1"/>
  <c r="CF7" i="16"/>
  <c r="CG7" i="16" s="1"/>
  <c r="CL7" i="16"/>
  <c r="CN7" i="16" s="1"/>
  <c r="CR7" i="16"/>
  <c r="CS7" i="16" s="1"/>
  <c r="CX7" i="16"/>
  <c r="CY7" i="16" s="1"/>
  <c r="DA7" i="16"/>
  <c r="DB7" i="16" s="1"/>
  <c r="DD9" i="16"/>
  <c r="DG7" i="16"/>
  <c r="DH7" i="16" s="1"/>
  <c r="DM7" i="16"/>
  <c r="DN7" i="16" s="1"/>
  <c r="DP7" i="16"/>
  <c r="DQ7" i="16" s="1"/>
  <c r="DS7" i="16"/>
  <c r="EP7" i="16" s="1"/>
  <c r="E8" i="16"/>
  <c r="G8" i="16"/>
  <c r="H8" i="16"/>
  <c r="K8" i="16"/>
  <c r="O8" i="16"/>
  <c r="S8" i="16"/>
  <c r="T8" i="16"/>
  <c r="V8" i="16"/>
  <c r="W8" i="16"/>
  <c r="X8" i="16"/>
  <c r="AD8" i="16" s="1"/>
  <c r="AB8" i="16"/>
  <c r="AC8" i="16"/>
  <c r="AH8" i="16"/>
  <c r="AI8" i="16"/>
  <c r="AN8" i="16"/>
  <c r="AO8" i="16"/>
  <c r="AQ8" i="16"/>
  <c r="AR8" i="16"/>
  <c r="AS8" i="16"/>
  <c r="AW8" i="16"/>
  <c r="AX8" i="16"/>
  <c r="BC8" i="16"/>
  <c r="BD8" i="16"/>
  <c r="BI8" i="16"/>
  <c r="BJ8" i="16"/>
  <c r="BL8" i="16"/>
  <c r="BM8" i="16"/>
  <c r="BN8" i="16"/>
  <c r="BR8" i="16"/>
  <c r="BS8" i="16"/>
  <c r="BX8" i="16"/>
  <c r="BY8" i="16"/>
  <c r="CD8" i="16"/>
  <c r="CE8" i="16"/>
  <c r="CG8" i="16"/>
  <c r="CH8" i="16"/>
  <c r="CI8" i="16"/>
  <c r="CM8" i="16"/>
  <c r="CN8" i="16"/>
  <c r="CS8" i="16"/>
  <c r="CT8" i="16"/>
  <c r="CY8" i="16"/>
  <c r="CZ8" i="16"/>
  <c r="DB8" i="16"/>
  <c r="DC8" i="16"/>
  <c r="DD8" i="16"/>
  <c r="DE34" i="16" s="1"/>
  <c r="DH8" i="16"/>
  <c r="DI8" i="16"/>
  <c r="DN8" i="16"/>
  <c r="DO8" i="16"/>
  <c r="DQ8" i="16"/>
  <c r="DT8" i="16"/>
  <c r="DU8" i="16"/>
  <c r="DW8" i="16"/>
  <c r="DX8" i="16"/>
  <c r="DY8" i="16"/>
  <c r="E9" i="16"/>
  <c r="G9" i="16"/>
  <c r="H9" i="16"/>
  <c r="L9" i="16" s="1"/>
  <c r="K9" i="16"/>
  <c r="O9" i="16"/>
  <c r="S9" i="16"/>
  <c r="T9" i="16"/>
  <c r="V9" i="16"/>
  <c r="W9" i="16"/>
  <c r="X9" i="16"/>
  <c r="Y9" i="16" s="1"/>
  <c r="AB9" i="16"/>
  <c r="AC9" i="16"/>
  <c r="AH9" i="16"/>
  <c r="AI9" i="16"/>
  <c r="AN9" i="16"/>
  <c r="AO9" i="16"/>
  <c r="AQ9" i="16"/>
  <c r="AR9" i="16"/>
  <c r="AS9" i="16"/>
  <c r="AY9" i="16" s="1"/>
  <c r="BE9" i="16" s="1"/>
  <c r="AW9" i="16"/>
  <c r="AX9" i="16"/>
  <c r="BC9" i="16"/>
  <c r="BD9" i="16"/>
  <c r="BI9" i="16"/>
  <c r="BJ9" i="16"/>
  <c r="BL9" i="16"/>
  <c r="BM9" i="16"/>
  <c r="BN9" i="16"/>
  <c r="BR9" i="16"/>
  <c r="BS9" i="16"/>
  <c r="BX9" i="16"/>
  <c r="BY9" i="16"/>
  <c r="CD9" i="16"/>
  <c r="CE9" i="16"/>
  <c r="CG9" i="16"/>
  <c r="CH9" i="16"/>
  <c r="CI9" i="16"/>
  <c r="CJ9" i="16" s="1"/>
  <c r="CM9" i="16"/>
  <c r="CN9" i="16"/>
  <c r="CS9" i="16"/>
  <c r="CT9" i="16"/>
  <c r="CY9" i="16"/>
  <c r="CZ9" i="16"/>
  <c r="DB9" i="16"/>
  <c r="DC9" i="16"/>
  <c r="DH9" i="16"/>
  <c r="DI9" i="16"/>
  <c r="DN9" i="16"/>
  <c r="DO9" i="16"/>
  <c r="DQ9" i="16"/>
  <c r="DT9" i="16"/>
  <c r="DU9" i="16"/>
  <c r="DW9" i="16"/>
  <c r="DX9" i="16"/>
  <c r="DY9" i="16"/>
  <c r="EV9" i="16" s="1"/>
  <c r="F10" i="16"/>
  <c r="G10" i="16" s="1"/>
  <c r="J10" i="16"/>
  <c r="K10" i="16" s="1"/>
  <c r="N10" i="16"/>
  <c r="O10" i="16" s="1"/>
  <c r="R10" i="16"/>
  <c r="S10" i="16" s="1"/>
  <c r="U10" i="16"/>
  <c r="V10" i="16" s="1"/>
  <c r="AA10" i="16"/>
  <c r="AB10" i="16" s="1"/>
  <c r="AG10" i="16"/>
  <c r="AH10" i="16" s="1"/>
  <c r="AM10" i="16"/>
  <c r="AO10" i="16" s="1"/>
  <c r="AP10" i="16"/>
  <c r="AR10" i="16" s="1"/>
  <c r="AV10" i="16"/>
  <c r="AW10" i="16" s="1"/>
  <c r="BB10" i="16"/>
  <c r="BC10" i="16" s="1"/>
  <c r="BE10" i="16"/>
  <c r="BH10" i="16"/>
  <c r="BK10" i="16"/>
  <c r="BL10" i="16" s="1"/>
  <c r="BQ10" i="16"/>
  <c r="BR10" i="16" s="1"/>
  <c r="BW10" i="16"/>
  <c r="BX10" i="16" s="1"/>
  <c r="BZ10" i="16"/>
  <c r="CC10" i="16"/>
  <c r="CF10" i="16"/>
  <c r="CG10" i="16" s="1"/>
  <c r="CL10" i="16"/>
  <c r="CR10" i="16"/>
  <c r="CU10" i="16"/>
  <c r="CX10" i="16"/>
  <c r="CY10" i="16" s="1"/>
  <c r="DA10" i="16"/>
  <c r="DX10" i="16" s="1"/>
  <c r="DG10" i="16"/>
  <c r="DH10" i="16" s="1"/>
  <c r="DM10" i="16"/>
  <c r="DS10" i="16"/>
  <c r="T11" i="16"/>
  <c r="G11" i="16"/>
  <c r="K11" i="16"/>
  <c r="O11" i="16"/>
  <c r="S11" i="16"/>
  <c r="V11" i="16"/>
  <c r="W11" i="16"/>
  <c r="X11" i="16"/>
  <c r="Y11" i="16" s="1"/>
  <c r="AB11" i="16"/>
  <c r="AC11" i="16"/>
  <c r="AH11" i="16"/>
  <c r="AI11" i="16"/>
  <c r="AN11" i="16"/>
  <c r="AO11" i="16"/>
  <c r="AQ11" i="16"/>
  <c r="AR11" i="16"/>
  <c r="AS11" i="16"/>
  <c r="AY11" i="16" s="1"/>
  <c r="AW11" i="16"/>
  <c r="AX11" i="16"/>
  <c r="BC11" i="16"/>
  <c r="BD11" i="16"/>
  <c r="BI11" i="16"/>
  <c r="BJ11" i="16"/>
  <c r="BL11" i="16"/>
  <c r="BM11" i="16"/>
  <c r="BN11" i="16"/>
  <c r="BO11" i="16" s="1"/>
  <c r="BR11" i="16"/>
  <c r="BS11" i="16"/>
  <c r="BX11" i="16"/>
  <c r="BY11" i="16"/>
  <c r="CB11" i="16"/>
  <c r="CD11" i="16"/>
  <c r="CE11" i="16"/>
  <c r="CG11" i="16"/>
  <c r="CH11" i="16"/>
  <c r="CI11" i="16"/>
  <c r="CO11" i="16" s="1"/>
  <c r="CM11" i="16"/>
  <c r="CN11" i="16"/>
  <c r="CS11" i="16"/>
  <c r="CT11" i="16"/>
  <c r="CW11" i="16"/>
  <c r="CY11" i="16"/>
  <c r="CZ11" i="16"/>
  <c r="DB11" i="16"/>
  <c r="DC11" i="16"/>
  <c r="DD11" i="16"/>
  <c r="DH11" i="16"/>
  <c r="DI11" i="16"/>
  <c r="DN11" i="16"/>
  <c r="DO11" i="16"/>
  <c r="DT11" i="16"/>
  <c r="DU11" i="16"/>
  <c r="DW11" i="16"/>
  <c r="DX11" i="16"/>
  <c r="DY11" i="16"/>
  <c r="E12" i="16"/>
  <c r="G12" i="16"/>
  <c r="H12" i="16"/>
  <c r="L12" i="16" s="1"/>
  <c r="P12" i="16" s="1"/>
  <c r="K12" i="16"/>
  <c r="O12" i="16"/>
  <c r="S12" i="16"/>
  <c r="T12" i="16"/>
  <c r="V12" i="16"/>
  <c r="W12" i="16"/>
  <c r="X12" i="16"/>
  <c r="AD12" i="16" s="1"/>
  <c r="AJ12" i="16" s="1"/>
  <c r="BG12" i="16" s="1"/>
  <c r="AB12" i="16"/>
  <c r="AC12" i="16"/>
  <c r="AH12" i="16"/>
  <c r="AI12" i="16"/>
  <c r="AN12" i="16"/>
  <c r="AO12" i="16"/>
  <c r="AQ12" i="16"/>
  <c r="AR12" i="16"/>
  <c r="AS12" i="16"/>
  <c r="AW12" i="16"/>
  <c r="AX12" i="16"/>
  <c r="BC12" i="16"/>
  <c r="BD12" i="16"/>
  <c r="BI12" i="16"/>
  <c r="BJ12" i="16"/>
  <c r="BL12" i="16"/>
  <c r="BM12" i="16"/>
  <c r="BN12" i="16"/>
  <c r="BT12" i="16" s="1"/>
  <c r="BR12" i="16"/>
  <c r="BS12" i="16"/>
  <c r="BX12" i="16"/>
  <c r="BY12" i="16"/>
  <c r="CB12" i="16"/>
  <c r="CD12" i="16"/>
  <c r="CE12" i="16"/>
  <c r="CG12" i="16"/>
  <c r="CH12" i="16"/>
  <c r="CI12" i="16"/>
  <c r="CM12" i="16"/>
  <c r="CN12" i="16"/>
  <c r="CS12" i="16"/>
  <c r="CT12" i="16"/>
  <c r="CW12" i="16"/>
  <c r="CY12" i="16"/>
  <c r="CZ12" i="16"/>
  <c r="DB12" i="16"/>
  <c r="DC12" i="16"/>
  <c r="DD12" i="16"/>
  <c r="DH12" i="16"/>
  <c r="DI12" i="16"/>
  <c r="DN12" i="16"/>
  <c r="DO12" i="16"/>
  <c r="DT12" i="16"/>
  <c r="DU12" i="16"/>
  <c r="DW12" i="16"/>
  <c r="DX12" i="16"/>
  <c r="DY12" i="16"/>
  <c r="EV12" i="16" s="1"/>
  <c r="F14" i="16"/>
  <c r="G14" i="16" s="1"/>
  <c r="J14" i="16"/>
  <c r="K14" i="16" s="1"/>
  <c r="N14" i="16"/>
  <c r="O14" i="16" s="1"/>
  <c r="R14" i="16"/>
  <c r="S14" i="16" s="1"/>
  <c r="U14" i="16"/>
  <c r="V14" i="16" s="1"/>
  <c r="AA14" i="16"/>
  <c r="AC14" i="16" s="1"/>
  <c r="AG14" i="16"/>
  <c r="AH14" i="16" s="1"/>
  <c r="AM14" i="16"/>
  <c r="AP14" i="16"/>
  <c r="AQ14" i="16" s="1"/>
  <c r="AV14" i="16"/>
  <c r="AW14" i="16" s="1"/>
  <c r="BB14" i="16"/>
  <c r="BD14" i="16" s="1"/>
  <c r="BH14" i="16"/>
  <c r="BI14" i="16" s="1"/>
  <c r="BK14" i="16"/>
  <c r="BL14" i="16" s="1"/>
  <c r="BQ14" i="16"/>
  <c r="BR14" i="16" s="1"/>
  <c r="BW14" i="16"/>
  <c r="BX14" i="16" s="1"/>
  <c r="CC14" i="16"/>
  <c r="CE14" i="16" s="1"/>
  <c r="CF14" i="16"/>
  <c r="CL14" i="16"/>
  <c r="CN14" i="16" s="1"/>
  <c r="CR14" i="16"/>
  <c r="CX14" i="16"/>
  <c r="CY14" i="16" s="1"/>
  <c r="DA14" i="16"/>
  <c r="DB14" i="16" s="1"/>
  <c r="DG14" i="16"/>
  <c r="DH14" i="16" s="1"/>
  <c r="DM14" i="16"/>
  <c r="DS14" i="16"/>
  <c r="DT14" i="16" s="1"/>
  <c r="DV14" i="16"/>
  <c r="D15" i="16"/>
  <c r="E15" i="16" s="1"/>
  <c r="F15" i="16"/>
  <c r="N15" i="16"/>
  <c r="O15" i="16" s="1"/>
  <c r="R15" i="16"/>
  <c r="S15" i="16" s="1"/>
  <c r="U15" i="16"/>
  <c r="V15" i="16" s="1"/>
  <c r="AA15" i="16"/>
  <c r="AB15" i="16" s="1"/>
  <c r="AG15" i="16"/>
  <c r="AH15" i="16" s="1"/>
  <c r="AM15" i="16"/>
  <c r="AP15" i="16"/>
  <c r="AQ15" i="16" s="1"/>
  <c r="AV15" i="16"/>
  <c r="AW15" i="16" s="1"/>
  <c r="BB15" i="16"/>
  <c r="BH15" i="16"/>
  <c r="BI15" i="16" s="1"/>
  <c r="BK15" i="16"/>
  <c r="BL15" i="16" s="1"/>
  <c r="BQ15" i="16"/>
  <c r="BW15" i="16"/>
  <c r="BX15" i="16" s="1"/>
  <c r="CC15" i="16"/>
  <c r="CF15" i="16"/>
  <c r="CL15" i="16"/>
  <c r="CM15" i="16" s="1"/>
  <c r="CR15" i="16"/>
  <c r="CS15" i="16" s="1"/>
  <c r="CX15" i="16"/>
  <c r="CY15" i="16" s="1"/>
  <c r="DA15" i="16"/>
  <c r="DX15" i="16" s="1"/>
  <c r="DD22" i="16"/>
  <c r="DJ22" i="16" s="1"/>
  <c r="DG15" i="16"/>
  <c r="DM15" i="16"/>
  <c r="DS15" i="16"/>
  <c r="E16" i="16"/>
  <c r="G16" i="16"/>
  <c r="H16" i="16"/>
  <c r="L16" i="16" s="1"/>
  <c r="P16" i="16" s="1"/>
  <c r="K16" i="16"/>
  <c r="O16" i="16"/>
  <c r="S16" i="16"/>
  <c r="T16" i="16"/>
  <c r="V16" i="16"/>
  <c r="W16" i="16"/>
  <c r="X16" i="16"/>
  <c r="AD16" i="16" s="1"/>
  <c r="AB16" i="16"/>
  <c r="AC16" i="16"/>
  <c r="AH16" i="16"/>
  <c r="AI16" i="16"/>
  <c r="AN16" i="16"/>
  <c r="AO16" i="16"/>
  <c r="AQ16" i="16"/>
  <c r="AR16" i="16"/>
  <c r="AS16" i="16"/>
  <c r="AY16" i="16" s="1"/>
  <c r="AW16" i="16"/>
  <c r="AX16" i="16"/>
  <c r="BC16" i="16"/>
  <c r="BD16" i="16"/>
  <c r="BI16" i="16"/>
  <c r="BJ16" i="16"/>
  <c r="BL16" i="16"/>
  <c r="BM16" i="16"/>
  <c r="BN16" i="16"/>
  <c r="BO16" i="16" s="1"/>
  <c r="BR16" i="16"/>
  <c r="BS16" i="16"/>
  <c r="BX16" i="16"/>
  <c r="BY16" i="16"/>
  <c r="CD16" i="16"/>
  <c r="CE16" i="16"/>
  <c r="CG16" i="16"/>
  <c r="CH16" i="16"/>
  <c r="CI16" i="16"/>
  <c r="CM16" i="16"/>
  <c r="CN16" i="16"/>
  <c r="CS16" i="16"/>
  <c r="CT16" i="16"/>
  <c r="CY16" i="16"/>
  <c r="CZ16" i="16"/>
  <c r="DB16" i="16"/>
  <c r="DC16" i="16"/>
  <c r="DD16" i="16"/>
  <c r="DH16" i="16"/>
  <c r="DI16" i="16"/>
  <c r="DN16" i="16"/>
  <c r="DO16" i="16"/>
  <c r="DQ16" i="16"/>
  <c r="DR16" i="16"/>
  <c r="DT16" i="16"/>
  <c r="DU16" i="16"/>
  <c r="DW16" i="16"/>
  <c r="DX16" i="16"/>
  <c r="DY16" i="16"/>
  <c r="E17" i="16"/>
  <c r="G17" i="16"/>
  <c r="H17" i="16"/>
  <c r="L17" i="16" s="1"/>
  <c r="P17" i="16" s="1"/>
  <c r="K17" i="16"/>
  <c r="O17" i="16"/>
  <c r="S17" i="16"/>
  <c r="T17" i="16"/>
  <c r="V17" i="16"/>
  <c r="W17" i="16"/>
  <c r="X17" i="16"/>
  <c r="AB17" i="16"/>
  <c r="AC17" i="16"/>
  <c r="AH17" i="16"/>
  <c r="AI17" i="16"/>
  <c r="AN17" i="16"/>
  <c r="AO17" i="16"/>
  <c r="AQ17" i="16"/>
  <c r="AR17" i="16"/>
  <c r="AS17" i="16"/>
  <c r="AY17" i="16" s="1"/>
  <c r="BE17" i="16" s="1"/>
  <c r="AW17" i="16"/>
  <c r="AX17" i="16"/>
  <c r="BC17" i="16"/>
  <c r="BD17" i="16"/>
  <c r="BI17" i="16"/>
  <c r="BJ17" i="16"/>
  <c r="BL17" i="16"/>
  <c r="BM17" i="16"/>
  <c r="BN17" i="16"/>
  <c r="BT17" i="16" s="1"/>
  <c r="BR17" i="16"/>
  <c r="BS17" i="16"/>
  <c r="BX17" i="16"/>
  <c r="BY17" i="16"/>
  <c r="CD17" i="16"/>
  <c r="CE17" i="16"/>
  <c r="CG17" i="16"/>
  <c r="CH17" i="16"/>
  <c r="CI17" i="16"/>
  <c r="CM17" i="16"/>
  <c r="CN17" i="16"/>
  <c r="CS17" i="16"/>
  <c r="CT17" i="16"/>
  <c r="CY17" i="16"/>
  <c r="CZ17" i="16"/>
  <c r="DB17" i="16"/>
  <c r="DC17" i="16"/>
  <c r="DD17" i="16"/>
  <c r="DH17" i="16"/>
  <c r="DI17" i="16"/>
  <c r="DN17" i="16"/>
  <c r="DO17" i="16"/>
  <c r="DT17" i="16"/>
  <c r="DU17" i="16"/>
  <c r="DW17" i="16"/>
  <c r="DX17" i="16"/>
  <c r="DY17" i="16"/>
  <c r="E18" i="16"/>
  <c r="G18" i="16"/>
  <c r="H18" i="16"/>
  <c r="J18" i="16"/>
  <c r="AC18" i="16" s="1"/>
  <c r="O18" i="16"/>
  <c r="S18" i="16"/>
  <c r="T18" i="16"/>
  <c r="V18" i="16"/>
  <c r="W18" i="16"/>
  <c r="X18" i="16"/>
  <c r="AD18" i="16" s="1"/>
  <c r="AJ18" i="16" s="1"/>
  <c r="AB18" i="16"/>
  <c r="AH18" i="16"/>
  <c r="AI18" i="16"/>
  <c r="AN18" i="16"/>
  <c r="AO18" i="16"/>
  <c r="AQ18" i="16"/>
  <c r="AR18" i="16"/>
  <c r="AS18" i="16"/>
  <c r="AW18" i="16"/>
  <c r="AX18" i="16"/>
  <c r="BC18" i="16"/>
  <c r="BD18" i="16"/>
  <c r="BI18" i="16"/>
  <c r="BJ18" i="16"/>
  <c r="BL18" i="16"/>
  <c r="BM18" i="16"/>
  <c r="BN18" i="16"/>
  <c r="BT18" i="16" s="1"/>
  <c r="BR18" i="16"/>
  <c r="BS18" i="16"/>
  <c r="BX18" i="16"/>
  <c r="BY18" i="16"/>
  <c r="CD18" i="16"/>
  <c r="CE18" i="16"/>
  <c r="CG18" i="16"/>
  <c r="CH18" i="16"/>
  <c r="CI18" i="16"/>
  <c r="CO18" i="16" s="1"/>
  <c r="CU18" i="16" s="1"/>
  <c r="CM18" i="16"/>
  <c r="CN18" i="16"/>
  <c r="CS18" i="16"/>
  <c r="CT18" i="16"/>
  <c r="CY18" i="16"/>
  <c r="CZ18" i="16"/>
  <c r="DB18" i="16"/>
  <c r="DC18" i="16"/>
  <c r="DD18" i="16"/>
  <c r="DH18" i="16"/>
  <c r="DI18" i="16"/>
  <c r="DN18" i="16"/>
  <c r="DO18" i="16"/>
  <c r="DT18" i="16"/>
  <c r="DU18" i="16"/>
  <c r="DW18" i="16"/>
  <c r="DX18" i="16"/>
  <c r="DY18" i="16"/>
  <c r="EV18" i="16" s="1"/>
  <c r="E19" i="16"/>
  <c r="G19" i="16"/>
  <c r="H19" i="16"/>
  <c r="K19" i="16"/>
  <c r="O19" i="16"/>
  <c r="S19" i="16"/>
  <c r="T19" i="16"/>
  <c r="V19" i="16"/>
  <c r="W19" i="16"/>
  <c r="X19" i="16"/>
  <c r="AD19" i="16" s="1"/>
  <c r="AJ19" i="16" s="1"/>
  <c r="AB19" i="16"/>
  <c r="AC19" i="16"/>
  <c r="AH19" i="16"/>
  <c r="AI19" i="16"/>
  <c r="AN19" i="16"/>
  <c r="AO19" i="16"/>
  <c r="AQ19" i="16"/>
  <c r="AR19" i="16"/>
  <c r="AS19" i="16"/>
  <c r="AY19" i="16" s="1"/>
  <c r="AW19" i="16"/>
  <c r="AX19" i="16"/>
  <c r="BC19" i="16"/>
  <c r="BD19" i="16"/>
  <c r="BI19" i="16"/>
  <c r="BJ19" i="16"/>
  <c r="BL19" i="16"/>
  <c r="BM19" i="16"/>
  <c r="BN19" i="16"/>
  <c r="BR19" i="16"/>
  <c r="BS19" i="16"/>
  <c r="BX19" i="16"/>
  <c r="BY19" i="16"/>
  <c r="CD19" i="16"/>
  <c r="CE19" i="16"/>
  <c r="CG19" i="16"/>
  <c r="CH19" i="16"/>
  <c r="CI19" i="16"/>
  <c r="CM19" i="16"/>
  <c r="CN19" i="16"/>
  <c r="CS19" i="16"/>
  <c r="CT19" i="16"/>
  <c r="CY19" i="16"/>
  <c r="CZ19" i="16"/>
  <c r="DB19" i="16"/>
  <c r="DC19" i="16"/>
  <c r="DD19" i="16"/>
  <c r="DJ19" i="16" s="1"/>
  <c r="DP19" i="16" s="1"/>
  <c r="EM19" i="16" s="1"/>
  <c r="DH19" i="16"/>
  <c r="DI19" i="16"/>
  <c r="DN19" i="16"/>
  <c r="DO19" i="16"/>
  <c r="DT19" i="16"/>
  <c r="DU19" i="16"/>
  <c r="DW19" i="16"/>
  <c r="DX19" i="16"/>
  <c r="DY19" i="16"/>
  <c r="EE19" i="16" s="1"/>
  <c r="E20" i="16"/>
  <c r="G20" i="16"/>
  <c r="H20" i="16"/>
  <c r="L20" i="16" s="1"/>
  <c r="K20" i="16"/>
  <c r="O20" i="16"/>
  <c r="S20" i="16"/>
  <c r="V20" i="16"/>
  <c r="X20" i="16"/>
  <c r="AB20" i="16"/>
  <c r="AH20" i="16"/>
  <c r="AN20" i="16"/>
  <c r="AQ20" i="16"/>
  <c r="AS20" i="16"/>
  <c r="AY20" i="16" s="1"/>
  <c r="AW20" i="16"/>
  <c r="BC20" i="16"/>
  <c r="BI20" i="16"/>
  <c r="BL20" i="16"/>
  <c r="BN20" i="16"/>
  <c r="BT20" i="16" s="1"/>
  <c r="BZ20" i="16" s="1"/>
  <c r="CW20" i="16" s="1"/>
  <c r="BR20" i="16"/>
  <c r="BX20" i="16"/>
  <c r="BY20" i="16"/>
  <c r="CD20" i="16"/>
  <c r="CE20" i="16"/>
  <c r="CG20" i="16"/>
  <c r="CH20" i="16"/>
  <c r="CI20" i="16"/>
  <c r="CO20" i="16" s="1"/>
  <c r="CM20" i="16"/>
  <c r="CN20" i="16"/>
  <c r="CS20" i="16"/>
  <c r="CT20" i="16"/>
  <c r="CY20" i="16"/>
  <c r="CZ20" i="16"/>
  <c r="DB20" i="16"/>
  <c r="DC20" i="16"/>
  <c r="DD20" i="16"/>
  <c r="DJ20" i="16" s="1"/>
  <c r="DP20" i="16" s="1"/>
  <c r="DH20" i="16"/>
  <c r="DI20" i="16"/>
  <c r="DN20" i="16"/>
  <c r="DO20" i="16"/>
  <c r="DT20" i="16"/>
  <c r="DU20" i="16"/>
  <c r="DW20" i="16"/>
  <c r="DX20" i="16"/>
  <c r="DY20" i="16"/>
  <c r="EE20" i="16" s="1"/>
  <c r="E21" i="16"/>
  <c r="G21" i="16"/>
  <c r="H21" i="16"/>
  <c r="L21" i="16" s="1"/>
  <c r="P21" i="16" s="1"/>
  <c r="K21" i="16"/>
  <c r="O21" i="16"/>
  <c r="S21" i="16"/>
  <c r="T21" i="16"/>
  <c r="V21" i="16"/>
  <c r="W21" i="16"/>
  <c r="X21" i="16"/>
  <c r="AD21" i="16" s="1"/>
  <c r="AJ21" i="16" s="1"/>
  <c r="AB21" i="16"/>
  <c r="AC21" i="16"/>
  <c r="AH21" i="16"/>
  <c r="AI21" i="16"/>
  <c r="AN21" i="16"/>
  <c r="AO21" i="16"/>
  <c r="AQ21" i="16"/>
  <c r="AR21" i="16"/>
  <c r="AS21" i="16"/>
  <c r="AY21" i="16" s="1"/>
  <c r="BE21" i="16" s="1"/>
  <c r="AW21" i="16"/>
  <c r="AX21" i="16"/>
  <c r="BC21" i="16"/>
  <c r="BD21" i="16"/>
  <c r="BI21" i="16"/>
  <c r="BJ21" i="16"/>
  <c r="BL21" i="16"/>
  <c r="BM21" i="16"/>
  <c r="BN21" i="16"/>
  <c r="BT21" i="16" s="1"/>
  <c r="BR21" i="16"/>
  <c r="BS21" i="16"/>
  <c r="BX21" i="16"/>
  <c r="BY21" i="16"/>
  <c r="CD21" i="16"/>
  <c r="CE21" i="16"/>
  <c r="CG21" i="16"/>
  <c r="CH21" i="16"/>
  <c r="CI21" i="16"/>
  <c r="CO21" i="16" s="1"/>
  <c r="CU21" i="16" s="1"/>
  <c r="CM21" i="16"/>
  <c r="CN21" i="16"/>
  <c r="CS21" i="16"/>
  <c r="CT21" i="16"/>
  <c r="CY21" i="16"/>
  <c r="CZ21" i="16"/>
  <c r="DB21" i="16"/>
  <c r="DC21" i="16"/>
  <c r="DD21" i="16"/>
  <c r="DJ21" i="16" s="1"/>
  <c r="DH21" i="16"/>
  <c r="DI21" i="16"/>
  <c r="DN21" i="16"/>
  <c r="DO21" i="16"/>
  <c r="DT21" i="16"/>
  <c r="DU21" i="16"/>
  <c r="DW21" i="16"/>
  <c r="DX21" i="16"/>
  <c r="DY21" i="16"/>
  <c r="E22" i="16"/>
  <c r="G22" i="16"/>
  <c r="H22" i="16"/>
  <c r="L22" i="16" s="1"/>
  <c r="P22" i="16" s="1"/>
  <c r="K22" i="16"/>
  <c r="O22" i="16"/>
  <c r="S22" i="16"/>
  <c r="T22" i="16"/>
  <c r="V22" i="16"/>
  <c r="W22" i="16"/>
  <c r="X22" i="16"/>
  <c r="AB22" i="16"/>
  <c r="AC22" i="16"/>
  <c r="AH22" i="16"/>
  <c r="AI22" i="16"/>
  <c r="AN22" i="16"/>
  <c r="AO22" i="16"/>
  <c r="AQ22" i="16"/>
  <c r="AR22" i="16"/>
  <c r="AS22" i="16"/>
  <c r="AW22" i="16"/>
  <c r="AX22" i="16"/>
  <c r="BC22" i="16"/>
  <c r="BD22" i="16"/>
  <c r="BI22" i="16"/>
  <c r="BJ22" i="16"/>
  <c r="BL22" i="16"/>
  <c r="BM22" i="16"/>
  <c r="BN22" i="16"/>
  <c r="BT22" i="16" s="1"/>
  <c r="BZ22" i="16" s="1"/>
  <c r="BR22" i="16"/>
  <c r="BS22" i="16"/>
  <c r="BX22" i="16"/>
  <c r="BY22" i="16"/>
  <c r="CD22" i="16"/>
  <c r="CE22" i="16"/>
  <c r="CG22" i="16"/>
  <c r="CH22" i="16"/>
  <c r="CI22" i="16"/>
  <c r="CM22" i="16"/>
  <c r="CN22" i="16"/>
  <c r="CS22" i="16"/>
  <c r="CT22" i="16"/>
  <c r="CY22" i="16"/>
  <c r="CZ22" i="16"/>
  <c r="DB22" i="16"/>
  <c r="DC22" i="16"/>
  <c r="DH22" i="16"/>
  <c r="DI22" i="16"/>
  <c r="DN22" i="16"/>
  <c r="DO22" i="16"/>
  <c r="DQ22" i="16"/>
  <c r="DT22" i="16"/>
  <c r="DU22" i="16"/>
  <c r="DW22" i="16"/>
  <c r="DX22" i="16"/>
  <c r="DY22" i="16"/>
  <c r="EE22" i="16" s="1"/>
  <c r="E23" i="16"/>
  <c r="G23" i="16"/>
  <c r="H23" i="16"/>
  <c r="K23" i="16"/>
  <c r="O23" i="16"/>
  <c r="S23" i="16"/>
  <c r="T23" i="16"/>
  <c r="V23" i="16"/>
  <c r="W23" i="16"/>
  <c r="X23" i="16"/>
  <c r="AD23" i="16" s="1"/>
  <c r="AB23" i="16"/>
  <c r="AC23" i="16"/>
  <c r="AH23" i="16"/>
  <c r="AI23" i="16"/>
  <c r="AN23" i="16"/>
  <c r="AO23" i="16"/>
  <c r="AQ23" i="16"/>
  <c r="AR23" i="16"/>
  <c r="AS23" i="16"/>
  <c r="AW23" i="16"/>
  <c r="AX23" i="16"/>
  <c r="BC23" i="16"/>
  <c r="BD23" i="16"/>
  <c r="BI23" i="16"/>
  <c r="BJ23" i="16"/>
  <c r="BL23" i="16"/>
  <c r="BM23" i="16"/>
  <c r="BN23" i="16"/>
  <c r="BR23" i="16"/>
  <c r="BS23" i="16"/>
  <c r="BX23" i="16"/>
  <c r="BY23" i="16"/>
  <c r="CD23" i="16"/>
  <c r="CE23" i="16"/>
  <c r="CG23" i="16"/>
  <c r="CH23" i="16"/>
  <c r="CI23" i="16"/>
  <c r="CO23" i="16" s="1"/>
  <c r="CM23" i="16"/>
  <c r="CN23" i="16"/>
  <c r="CS23" i="16"/>
  <c r="CT23" i="16"/>
  <c r="CW23" i="16"/>
  <c r="CY23" i="16"/>
  <c r="CZ23" i="16"/>
  <c r="DB23" i="16"/>
  <c r="DC23" i="16"/>
  <c r="DD23" i="16"/>
  <c r="DH23" i="16"/>
  <c r="DI23" i="16"/>
  <c r="DN23" i="16"/>
  <c r="DO23" i="16"/>
  <c r="DT23" i="16"/>
  <c r="DU23" i="16"/>
  <c r="DW23" i="16"/>
  <c r="DX23" i="16"/>
  <c r="DY23" i="16"/>
  <c r="E24" i="16"/>
  <c r="G24" i="16"/>
  <c r="H24" i="16"/>
  <c r="K24" i="16"/>
  <c r="O24" i="16"/>
  <c r="S24" i="16"/>
  <c r="T24" i="16"/>
  <c r="V24" i="16"/>
  <c r="W24" i="16"/>
  <c r="X24" i="16"/>
  <c r="AD24" i="16" s="1"/>
  <c r="AJ24" i="16" s="1"/>
  <c r="AB24" i="16"/>
  <c r="AC24" i="16"/>
  <c r="AH24" i="16"/>
  <c r="AI24" i="16"/>
  <c r="AN24" i="16"/>
  <c r="AO24" i="16"/>
  <c r="AQ24" i="16"/>
  <c r="AR24" i="16"/>
  <c r="AS24" i="16"/>
  <c r="AW24" i="16"/>
  <c r="AX24" i="16"/>
  <c r="BC24" i="16"/>
  <c r="BD24" i="16"/>
  <c r="BI24" i="16"/>
  <c r="BJ24" i="16"/>
  <c r="BL24" i="16"/>
  <c r="BM24" i="16"/>
  <c r="BN24" i="16"/>
  <c r="BR24" i="16"/>
  <c r="BS24" i="16"/>
  <c r="BX24" i="16"/>
  <c r="BY24" i="16"/>
  <c r="CD24" i="16"/>
  <c r="CE24" i="16"/>
  <c r="CG24" i="16"/>
  <c r="CH24" i="16"/>
  <c r="CI24" i="16"/>
  <c r="CO24" i="16" s="1"/>
  <c r="CM24" i="16"/>
  <c r="CN24" i="16"/>
  <c r="CS24" i="16"/>
  <c r="CT24" i="16"/>
  <c r="CW24" i="16"/>
  <c r="CY24" i="16"/>
  <c r="CZ24" i="16"/>
  <c r="DB24" i="16"/>
  <c r="DC24" i="16"/>
  <c r="DD24" i="16"/>
  <c r="DH24" i="16"/>
  <c r="DI24" i="16"/>
  <c r="DN24" i="16"/>
  <c r="DO24" i="16"/>
  <c r="DT24" i="16"/>
  <c r="DU24" i="16"/>
  <c r="DW24" i="16"/>
  <c r="DX24" i="16"/>
  <c r="DY24" i="16"/>
  <c r="E25" i="16"/>
  <c r="G25" i="16"/>
  <c r="H25" i="16"/>
  <c r="L25" i="16" s="1"/>
  <c r="K25" i="16"/>
  <c r="O25" i="16"/>
  <c r="S25" i="16"/>
  <c r="T25" i="16"/>
  <c r="V25" i="16"/>
  <c r="W25" i="16"/>
  <c r="X25" i="16"/>
  <c r="AB25" i="16"/>
  <c r="AC25" i="16"/>
  <c r="AH25" i="16"/>
  <c r="AI25" i="16"/>
  <c r="AN25" i="16"/>
  <c r="AO25" i="16"/>
  <c r="AQ25" i="16"/>
  <c r="AR25" i="16"/>
  <c r="AS25" i="16"/>
  <c r="AY25" i="16" s="1"/>
  <c r="AW25" i="16"/>
  <c r="AX25" i="16"/>
  <c r="BC25" i="16"/>
  <c r="BD25" i="16"/>
  <c r="BI25" i="16"/>
  <c r="BJ25" i="16"/>
  <c r="BL25" i="16"/>
  <c r="BM25" i="16"/>
  <c r="BN25" i="16"/>
  <c r="BR25" i="16"/>
  <c r="BS25" i="16"/>
  <c r="BX25" i="16"/>
  <c r="BY25" i="16"/>
  <c r="CD25" i="16"/>
  <c r="CE25" i="16"/>
  <c r="CG25" i="16"/>
  <c r="CH25" i="16"/>
  <c r="CI25" i="16"/>
  <c r="CO25" i="16" s="1"/>
  <c r="CM25" i="16"/>
  <c r="CN25" i="16"/>
  <c r="CS25" i="16"/>
  <c r="CT25" i="16"/>
  <c r="CW25" i="16"/>
  <c r="CY25" i="16"/>
  <c r="CZ25" i="16"/>
  <c r="DB25" i="16"/>
  <c r="DC25" i="16"/>
  <c r="DD25" i="16"/>
  <c r="DE25" i="16" s="1"/>
  <c r="DH25" i="16"/>
  <c r="DI25" i="16"/>
  <c r="DN25" i="16"/>
  <c r="DO25" i="16"/>
  <c r="DT25" i="16"/>
  <c r="DU25" i="16"/>
  <c r="DW25" i="16"/>
  <c r="DX25" i="16"/>
  <c r="DY25" i="16"/>
  <c r="E26" i="16"/>
  <c r="G26" i="16"/>
  <c r="H26" i="16"/>
  <c r="K26" i="16"/>
  <c r="O26" i="16"/>
  <c r="S26" i="16"/>
  <c r="V26" i="16"/>
  <c r="X26" i="16"/>
  <c r="AB26" i="16"/>
  <c r="AC26" i="16"/>
  <c r="AH26" i="16"/>
  <c r="AN26" i="16"/>
  <c r="AQ26" i="16"/>
  <c r="AS26" i="16"/>
  <c r="AY26" i="16" s="1"/>
  <c r="BE26" i="16" s="1"/>
  <c r="AW26" i="16"/>
  <c r="BC26" i="16"/>
  <c r="BI26" i="16"/>
  <c r="BL26" i="16"/>
  <c r="BN26" i="16"/>
  <c r="BR26" i="16"/>
  <c r="BX26" i="16"/>
  <c r="CD26" i="16"/>
  <c r="CG26" i="16"/>
  <c r="CI26" i="16"/>
  <c r="CM26" i="16"/>
  <c r="CS26" i="16"/>
  <c r="CY26" i="16"/>
  <c r="DB26" i="16"/>
  <c r="DD26" i="16"/>
  <c r="DJ26" i="16" s="1"/>
  <c r="DP26" i="16" s="1"/>
  <c r="DQ26" i="16" s="1"/>
  <c r="DH26" i="16"/>
  <c r="DN26" i="16"/>
  <c r="DW26" i="16"/>
  <c r="DY26" i="16"/>
  <c r="EE26" i="16" s="1"/>
  <c r="E27" i="16"/>
  <c r="G27" i="16"/>
  <c r="H27" i="16"/>
  <c r="K27" i="16"/>
  <c r="O27" i="16"/>
  <c r="S27" i="16"/>
  <c r="T27" i="16"/>
  <c r="V27" i="16"/>
  <c r="W27" i="16"/>
  <c r="X27" i="16"/>
  <c r="AB27" i="16"/>
  <c r="AC27" i="16"/>
  <c r="AH27" i="16"/>
  <c r="AI27" i="16"/>
  <c r="AN27" i="16"/>
  <c r="AO27" i="16"/>
  <c r="AQ27" i="16"/>
  <c r="AR27" i="16"/>
  <c r="AS27" i="16"/>
  <c r="AW27" i="16"/>
  <c r="AX27" i="16"/>
  <c r="BC27" i="16"/>
  <c r="BD27" i="16"/>
  <c r="BI27" i="16"/>
  <c r="BJ27" i="16"/>
  <c r="BL27" i="16"/>
  <c r="BM27" i="16"/>
  <c r="BN27" i="16"/>
  <c r="BT27" i="16" s="1"/>
  <c r="BZ27" i="16" s="1"/>
  <c r="CW27" i="16" s="1"/>
  <c r="BR27" i="16"/>
  <c r="BS27" i="16"/>
  <c r="BX27" i="16"/>
  <c r="BY27" i="16"/>
  <c r="CD27" i="16"/>
  <c r="CE27" i="16"/>
  <c r="CG27" i="16"/>
  <c r="CH27" i="16"/>
  <c r="CI27" i="16"/>
  <c r="CO27" i="16" s="1"/>
  <c r="CM27" i="16"/>
  <c r="CN27" i="16"/>
  <c r="CS27" i="16"/>
  <c r="CT27" i="16"/>
  <c r="CY27" i="16"/>
  <c r="CZ27" i="16"/>
  <c r="DB27" i="16"/>
  <c r="DC27" i="16"/>
  <c r="DD27" i="16"/>
  <c r="DH27" i="16"/>
  <c r="DI27" i="16"/>
  <c r="DN27" i="16"/>
  <c r="DO27" i="16"/>
  <c r="DT27" i="16"/>
  <c r="DU27" i="16"/>
  <c r="DW27" i="16"/>
  <c r="DX27" i="16"/>
  <c r="DY27" i="16"/>
  <c r="EV27" i="16" s="1"/>
  <c r="E28" i="16"/>
  <c r="G28" i="16"/>
  <c r="H28" i="16"/>
  <c r="L28" i="16" s="1"/>
  <c r="K28" i="16"/>
  <c r="O28" i="16"/>
  <c r="S28" i="16"/>
  <c r="V28" i="16"/>
  <c r="W28" i="16"/>
  <c r="X28" i="16"/>
  <c r="AB28" i="16"/>
  <c r="AC28" i="16"/>
  <c r="AH28" i="16"/>
  <c r="AI28" i="16"/>
  <c r="AN28" i="16"/>
  <c r="AQ28" i="16"/>
  <c r="AS28" i="16"/>
  <c r="AW28" i="16"/>
  <c r="BC28" i="16"/>
  <c r="BI28" i="16"/>
  <c r="BL28" i="16"/>
  <c r="BN28" i="16"/>
  <c r="BT28" i="16" s="1"/>
  <c r="BZ28" i="16" s="1"/>
  <c r="BR28" i="16"/>
  <c r="BX28" i="16"/>
  <c r="CD28" i="16"/>
  <c r="CG28" i="16"/>
  <c r="CI28" i="16"/>
  <c r="CM28" i="16"/>
  <c r="CS28" i="16"/>
  <c r="CY28" i="16"/>
  <c r="DB28" i="16"/>
  <c r="DD28" i="16"/>
  <c r="DE28" i="16" s="1"/>
  <c r="DH28" i="16"/>
  <c r="DN28" i="16"/>
  <c r="DQ28" i="16"/>
  <c r="DW28" i="16"/>
  <c r="DY28" i="16"/>
  <c r="EE28" i="16" s="1"/>
  <c r="E30" i="16"/>
  <c r="G30" i="16"/>
  <c r="H30" i="16"/>
  <c r="K30" i="16"/>
  <c r="O30" i="16"/>
  <c r="S30" i="16"/>
  <c r="T30" i="16"/>
  <c r="V30" i="16"/>
  <c r="W30" i="16"/>
  <c r="X30" i="16"/>
  <c r="AD30" i="16" s="1"/>
  <c r="AJ30" i="16" s="1"/>
  <c r="AB30" i="16"/>
  <c r="AC30" i="16"/>
  <c r="AH30" i="16"/>
  <c r="AI30" i="16"/>
  <c r="AN30" i="16"/>
  <c r="AO30" i="16"/>
  <c r="AQ30" i="16"/>
  <c r="AR30" i="16"/>
  <c r="AS30" i="16"/>
  <c r="AY30" i="16" s="1"/>
  <c r="AW30" i="16"/>
  <c r="AX30" i="16"/>
  <c r="BC30" i="16"/>
  <c r="BD30" i="16"/>
  <c r="BI30" i="16"/>
  <c r="BJ30" i="16"/>
  <c r="BL30" i="16"/>
  <c r="BM30" i="16"/>
  <c r="BN30" i="16"/>
  <c r="BT30" i="16" s="1"/>
  <c r="BR30" i="16"/>
  <c r="BS30" i="16"/>
  <c r="BX30" i="16"/>
  <c r="BY30" i="16"/>
  <c r="CD30" i="16"/>
  <c r="CE30" i="16"/>
  <c r="CG30" i="16"/>
  <c r="CH30" i="16"/>
  <c r="CI30" i="16"/>
  <c r="CM30" i="16"/>
  <c r="CN30" i="16"/>
  <c r="CS30" i="16"/>
  <c r="CT30" i="16"/>
  <c r="CW30" i="16"/>
  <c r="CY30" i="16"/>
  <c r="CZ30" i="16"/>
  <c r="DB30" i="16"/>
  <c r="DC30" i="16"/>
  <c r="DD30" i="16"/>
  <c r="DE30" i="16" s="1"/>
  <c r="DH30" i="16"/>
  <c r="DI30" i="16"/>
  <c r="DN30" i="16"/>
  <c r="DO30" i="16"/>
  <c r="DQ30" i="16"/>
  <c r="DR30" i="16"/>
  <c r="DT30" i="16"/>
  <c r="DU30" i="16"/>
  <c r="DW30" i="16"/>
  <c r="DX30" i="16"/>
  <c r="DY30" i="16"/>
  <c r="EV30" i="16" s="1"/>
  <c r="E31" i="16"/>
  <c r="G31" i="16"/>
  <c r="H31" i="16"/>
  <c r="L31" i="16" s="1"/>
  <c r="K31" i="16"/>
  <c r="O31" i="16"/>
  <c r="S31" i="16"/>
  <c r="V31" i="16"/>
  <c r="X31" i="16"/>
  <c r="AD31" i="16" s="1"/>
  <c r="AJ31" i="16" s="1"/>
  <c r="AB31" i="16"/>
  <c r="AH31" i="16"/>
  <c r="AN31" i="16"/>
  <c r="AQ31" i="16"/>
  <c r="AR31" i="16"/>
  <c r="AS31" i="16"/>
  <c r="AY31" i="16" s="1"/>
  <c r="BE31" i="16" s="1"/>
  <c r="AW31" i="16"/>
  <c r="BC31" i="16"/>
  <c r="BD31" i="16"/>
  <c r="BI31" i="16"/>
  <c r="BL31" i="16"/>
  <c r="BR31" i="16"/>
  <c r="BX31" i="16"/>
  <c r="BZ31" i="16"/>
  <c r="CD31" i="16"/>
  <c r="CG31" i="16"/>
  <c r="CI31" i="16"/>
  <c r="CO31" i="16" s="1"/>
  <c r="CM31" i="16"/>
  <c r="CS31" i="16"/>
  <c r="CY31" i="16"/>
  <c r="DB31" i="16"/>
  <c r="DD31" i="16"/>
  <c r="DH31" i="16"/>
  <c r="DN31" i="16"/>
  <c r="DQ31" i="16"/>
  <c r="DW31" i="16"/>
  <c r="DY31" i="16"/>
  <c r="E33" i="16"/>
  <c r="G33" i="16"/>
  <c r="H33" i="16"/>
  <c r="L33" i="16" s="1"/>
  <c r="K33" i="16"/>
  <c r="O33" i="16"/>
  <c r="S33" i="16"/>
  <c r="T33" i="16"/>
  <c r="V33" i="16"/>
  <c r="W33" i="16"/>
  <c r="X33" i="16"/>
  <c r="AB33" i="16"/>
  <c r="AC33" i="16"/>
  <c r="AH33" i="16"/>
  <c r="AI33" i="16"/>
  <c r="AN33" i="16"/>
  <c r="AO33" i="16"/>
  <c r="AQ33" i="16"/>
  <c r="AR33" i="16"/>
  <c r="AS33" i="16"/>
  <c r="AY33" i="16" s="1"/>
  <c r="BE33" i="16" s="1"/>
  <c r="AW33" i="16"/>
  <c r="AX33" i="16"/>
  <c r="BC33" i="16"/>
  <c r="BD33" i="16"/>
  <c r="BI33" i="16"/>
  <c r="BJ33" i="16"/>
  <c r="BL33" i="16"/>
  <c r="BM33" i="16"/>
  <c r="BN33" i="16"/>
  <c r="BR33" i="16"/>
  <c r="BS33" i="16"/>
  <c r="BX33" i="16"/>
  <c r="BY33" i="16"/>
  <c r="CD33" i="16"/>
  <c r="CE33" i="16"/>
  <c r="CG33" i="16"/>
  <c r="CH33" i="16"/>
  <c r="CI33" i="16"/>
  <c r="CO33" i="16" s="1"/>
  <c r="CM33" i="16"/>
  <c r="CN33" i="16"/>
  <c r="CS33" i="16"/>
  <c r="CT33" i="16"/>
  <c r="CY33" i="16"/>
  <c r="CZ33" i="16"/>
  <c r="DB33" i="16"/>
  <c r="DC33" i="16"/>
  <c r="DD33" i="16"/>
  <c r="DH33" i="16"/>
  <c r="DI33" i="16"/>
  <c r="DN33" i="16"/>
  <c r="DO33" i="16"/>
  <c r="DQ33" i="16"/>
  <c r="DR33" i="16"/>
  <c r="DT33" i="16"/>
  <c r="DU33" i="16"/>
  <c r="DW33" i="16"/>
  <c r="DX33" i="16"/>
  <c r="DY33" i="16"/>
  <c r="EV33" i="16" s="1"/>
  <c r="E34" i="16"/>
  <c r="G34" i="16"/>
  <c r="H34" i="16"/>
  <c r="O34" i="16"/>
  <c r="S34" i="16"/>
  <c r="V34" i="16"/>
  <c r="X34" i="16"/>
  <c r="AB34" i="16"/>
  <c r="AH34" i="16"/>
  <c r="AI34" i="16"/>
  <c r="AN34" i="16"/>
  <c r="AQ34" i="16"/>
  <c r="AS34" i="16"/>
  <c r="AY34" i="16" s="1"/>
  <c r="AW34" i="16"/>
  <c r="BC34" i="16"/>
  <c r="BD34" i="16"/>
  <c r="BI34" i="16"/>
  <c r="BL34" i="16"/>
  <c r="BN34" i="16"/>
  <c r="BR34" i="16"/>
  <c r="BX34" i="16"/>
  <c r="BY34" i="16"/>
  <c r="CD34" i="16"/>
  <c r="CG34" i="16"/>
  <c r="CI34" i="16"/>
  <c r="CM34" i="16"/>
  <c r="CS34" i="16"/>
  <c r="CT34" i="16"/>
  <c r="CY34" i="16"/>
  <c r="DB34" i="16"/>
  <c r="DH34" i="16"/>
  <c r="DN34" i="16"/>
  <c r="DQ34" i="16"/>
  <c r="DW34" i="16"/>
  <c r="DY34" i="16"/>
  <c r="EE34" i="16" s="1"/>
  <c r="CI37" i="16"/>
  <c r="CH7" i="17"/>
  <c r="CH18" i="17"/>
  <c r="CK18" i="17"/>
  <c r="CK32" i="17"/>
  <c r="CH50" i="17"/>
  <c r="CH61" i="17"/>
  <c r="CK31" i="17"/>
  <c r="CH6" i="17"/>
  <c r="DV13" i="16"/>
  <c r="DV29" i="16" s="1"/>
  <c r="DV32" i="16" s="1"/>
  <c r="CH31" i="17"/>
  <c r="EB13" i="16"/>
  <c r="EB29" i="16" s="1"/>
  <c r="EB32" i="16" s="1"/>
  <c r="ED36" i="16"/>
  <c r="CE32" i="17"/>
  <c r="DX14" i="16" l="1"/>
  <c r="W7" i="16"/>
  <c r="AU18" i="16"/>
  <c r="DE8" i="16"/>
  <c r="AI10" i="16"/>
  <c r="CE7" i="16"/>
  <c r="EE12" i="16"/>
  <c r="FB12" i="16" s="1"/>
  <c r="AO7" i="16"/>
  <c r="CZ7" i="16"/>
  <c r="Y34" i="16"/>
  <c r="Y28" i="16"/>
  <c r="AD9" i="16"/>
  <c r="AJ9" i="16" s="1"/>
  <c r="BG9" i="16" s="1"/>
  <c r="DE31" i="16"/>
  <c r="Y26" i="16"/>
  <c r="CI10" i="16"/>
  <c r="CJ10" i="16" s="1"/>
  <c r="DE35" i="21"/>
  <c r="EB23" i="21"/>
  <c r="EB32" i="21"/>
  <c r="AE8" i="16"/>
  <c r="AE5" i="16"/>
  <c r="AE6" i="16"/>
  <c r="AE4" i="16"/>
  <c r="EE8" i="16"/>
  <c r="EF19" i="16" s="1"/>
  <c r="DZ6" i="16"/>
  <c r="DZ5" i="16"/>
  <c r="BO31" i="16"/>
  <c r="BO6" i="16"/>
  <c r="BO5" i="16"/>
  <c r="BO4" i="16"/>
  <c r="BT16" i="16"/>
  <c r="BZ16" i="16" s="1"/>
  <c r="CW16" i="16" s="1"/>
  <c r="AT8" i="16"/>
  <c r="AT6" i="16"/>
  <c r="AT5" i="16"/>
  <c r="AT4" i="16"/>
  <c r="I6" i="16"/>
  <c r="I5" i="16"/>
  <c r="I4" i="16"/>
  <c r="BD15" i="16"/>
  <c r="DE4" i="16"/>
  <c r="DE6" i="16"/>
  <c r="DE5" i="16"/>
  <c r="Y6" i="16"/>
  <c r="Y5" i="16"/>
  <c r="Y4" i="16"/>
  <c r="CJ5" i="16"/>
  <c r="CJ6" i="16"/>
  <c r="CJ4" i="16"/>
  <c r="BU6" i="15"/>
  <c r="BU5" i="15"/>
  <c r="BV9" i="15" s="1"/>
  <c r="CD6" i="15"/>
  <c r="CD5" i="15"/>
  <c r="CE9" i="15" s="1"/>
  <c r="CA6" i="15"/>
  <c r="CA5" i="15"/>
  <c r="CB9" i="15" s="1"/>
  <c r="BL6" i="15"/>
  <c r="BL5" i="15"/>
  <c r="BM9" i="15" s="1"/>
  <c r="AW6" i="15"/>
  <c r="AW5" i="15"/>
  <c r="CG6" i="15"/>
  <c r="CG5" i="15"/>
  <c r="CH9" i="15" s="1"/>
  <c r="BI6" i="15"/>
  <c r="BI5" i="15"/>
  <c r="BJ9" i="15" s="1"/>
  <c r="BR6" i="15"/>
  <c r="BR5" i="15"/>
  <c r="BS9" i="15" s="1"/>
  <c r="BX6" i="15"/>
  <c r="BX5" i="15"/>
  <c r="BY9" i="15" s="1"/>
  <c r="AR7" i="16"/>
  <c r="CH15" i="16"/>
  <c r="J15" i="16"/>
  <c r="K15" i="16" s="1"/>
  <c r="EK40" i="16"/>
  <c r="EH40" i="16"/>
  <c r="K18" i="16"/>
  <c r="BC14" i="16"/>
  <c r="Y19" i="16"/>
  <c r="CM14" i="16"/>
  <c r="DI14" i="16"/>
  <c r="EE30" i="16"/>
  <c r="CO9" i="16"/>
  <c r="CU9" i="16" s="1"/>
  <c r="DR9" i="16" s="1"/>
  <c r="DB15" i="16"/>
  <c r="AX14" i="16"/>
  <c r="DE26" i="16"/>
  <c r="DZ24" i="16"/>
  <c r="I17" i="16"/>
  <c r="DC15" i="16"/>
  <c r="BM15" i="16"/>
  <c r="CG15" i="16"/>
  <c r="BO26" i="16"/>
  <c r="EL13" i="16"/>
  <c r="EK29" i="16"/>
  <c r="EL29" i="16" s="1"/>
  <c r="DC7" i="16"/>
  <c r="X7" i="16"/>
  <c r="Y7" i="16" s="1"/>
  <c r="R13" i="16"/>
  <c r="R29" i="16" s="1"/>
  <c r="X14" i="16"/>
  <c r="Y14" i="16" s="1"/>
  <c r="Z8" i="16"/>
  <c r="I19" i="16"/>
  <c r="CE61" i="17"/>
  <c r="AT31" i="16"/>
  <c r="DE20" i="16"/>
  <c r="DE19" i="16"/>
  <c r="BP27" i="16"/>
  <c r="CK24" i="16"/>
  <c r="EA23" i="16"/>
  <c r="BO23" i="16"/>
  <c r="DE17" i="16"/>
  <c r="EA12" i="16"/>
  <c r="EA11" i="16"/>
  <c r="DM13" i="16"/>
  <c r="DM40" i="16" s="1"/>
  <c r="CZ10" i="16"/>
  <c r="BO12" i="16"/>
  <c r="AR15" i="16"/>
  <c r="AD11" i="16"/>
  <c r="AD10" i="16" s="1"/>
  <c r="AE10" i="16" s="1"/>
  <c r="CX13" i="16"/>
  <c r="CX29" i="16" s="1"/>
  <c r="BJ7" i="16"/>
  <c r="BD10" i="16"/>
  <c r="AR14" i="16"/>
  <c r="Y30" i="16"/>
  <c r="CQ27" i="16"/>
  <c r="CK22" i="16"/>
  <c r="Y20" i="16"/>
  <c r="DF18" i="16"/>
  <c r="CK16" i="16"/>
  <c r="CN10" i="16"/>
  <c r="AU9" i="16"/>
  <c r="I20" i="16"/>
  <c r="AT9" i="16"/>
  <c r="AN10" i="16"/>
  <c r="AT17" i="16"/>
  <c r="BM7" i="16"/>
  <c r="Z9" i="16"/>
  <c r="BY10" i="16"/>
  <c r="CM10" i="16"/>
  <c r="Y24" i="16"/>
  <c r="V7" i="16"/>
  <c r="AS7" i="16"/>
  <c r="AT7" i="16" s="1"/>
  <c r="I21" i="16"/>
  <c r="H7" i="16"/>
  <c r="I7" i="16" s="1"/>
  <c r="CH7" i="16"/>
  <c r="Z30" i="16"/>
  <c r="I26" i="16"/>
  <c r="I24" i="16"/>
  <c r="AT23" i="16"/>
  <c r="BP19" i="16"/>
  <c r="DI15" i="16"/>
  <c r="CT10" i="16"/>
  <c r="CB10" i="16"/>
  <c r="DD7" i="16"/>
  <c r="DE7" i="16" s="1"/>
  <c r="DV40" i="16"/>
  <c r="AQ7" i="16"/>
  <c r="AM13" i="16"/>
  <c r="AM40" i="16" s="1"/>
  <c r="R17" i="21" s="1"/>
  <c r="I9" i="16"/>
  <c r="BY14" i="16"/>
  <c r="I31" i="16"/>
  <c r="AE30" i="16"/>
  <c r="AY8" i="16"/>
  <c r="CO22" i="16"/>
  <c r="CU22" i="16" s="1"/>
  <c r="DR22" i="16" s="1"/>
  <c r="BP11" i="16"/>
  <c r="AT33" i="16"/>
  <c r="I33" i="16"/>
  <c r="AT28" i="16"/>
  <c r="AT22" i="16"/>
  <c r="AU17" i="16"/>
  <c r="DF8" i="16"/>
  <c r="L8" i="16"/>
  <c r="DC10" i="16"/>
  <c r="DA13" i="16"/>
  <c r="DA29" i="16" s="1"/>
  <c r="DX29" i="16" s="1"/>
  <c r="X10" i="16"/>
  <c r="Y10" i="16" s="1"/>
  <c r="AT21" i="16"/>
  <c r="DB10" i="16"/>
  <c r="AD20" i="16"/>
  <c r="AJ20" i="16" s="1"/>
  <c r="CE18" i="17"/>
  <c r="DO7" i="16"/>
  <c r="CU8" i="15"/>
  <c r="DR19" i="16"/>
  <c r="EH29" i="16"/>
  <c r="EI29" i="16" s="1"/>
  <c r="CK23" i="16"/>
  <c r="DZ33" i="16"/>
  <c r="CJ11" i="16"/>
  <c r="AY8" i="15"/>
  <c r="EG22" i="16"/>
  <c r="DF20" i="16"/>
  <c r="EI13" i="16"/>
  <c r="AU33" i="16"/>
  <c r="AY7" i="15"/>
  <c r="CC7" i="15"/>
  <c r="BP33" i="16"/>
  <c r="CE50" i="17"/>
  <c r="EL14" i="16"/>
  <c r="DJ25" i="16"/>
  <c r="DL25" i="16" s="1"/>
  <c r="AB7" i="16"/>
  <c r="AX10" i="16"/>
  <c r="CT15" i="16"/>
  <c r="DJ31" i="16"/>
  <c r="CR8" i="15"/>
  <c r="CL8" i="15"/>
  <c r="BW8" i="15"/>
  <c r="BT8" i="15"/>
  <c r="BN8" i="15"/>
  <c r="CC8" i="15"/>
  <c r="CR7" i="15"/>
  <c r="BW7" i="15"/>
  <c r="CO7" i="15"/>
  <c r="BQ7" i="15"/>
  <c r="CL7" i="15"/>
  <c r="BN7" i="15"/>
  <c r="CU7" i="15"/>
  <c r="BE16" i="16"/>
  <c r="AG13" i="16"/>
  <c r="AG29" i="16" s="1"/>
  <c r="AH29" i="16" s="1"/>
  <c r="Z22" i="16"/>
  <c r="EA9" i="16"/>
  <c r="CC31" i="17"/>
  <c r="CQ31" i="17" s="1"/>
  <c r="BT8" i="16"/>
  <c r="EI14" i="16"/>
  <c r="ED14" i="16"/>
  <c r="W10" i="16"/>
  <c r="Z33" i="16"/>
  <c r="EA8" i="16"/>
  <c r="CF8" i="15"/>
  <c r="AE31" i="16"/>
  <c r="EG20" i="16"/>
  <c r="EG19" i="16"/>
  <c r="AT34" i="16"/>
  <c r="AY22" i="16"/>
  <c r="BV22" i="16" s="1"/>
  <c r="CE10" i="16"/>
  <c r="DZ28" i="16"/>
  <c r="BK7" i="15"/>
  <c r="DC14" i="16"/>
  <c r="AU27" i="16"/>
  <c r="CJ21" i="16"/>
  <c r="CJ17" i="16"/>
  <c r="AF16" i="16"/>
  <c r="AJ16" i="16"/>
  <c r="AL16" i="16" s="1"/>
  <c r="DW13" i="16"/>
  <c r="DJ12" i="16"/>
  <c r="DP12" i="16" s="1"/>
  <c r="EM12" i="16" s="1"/>
  <c r="CJ18" i="16"/>
  <c r="I22" i="16"/>
  <c r="AB14" i="16"/>
  <c r="BS14" i="16"/>
  <c r="DZ17" i="16"/>
  <c r="AF21" i="16"/>
  <c r="BS7" i="16"/>
  <c r="CI7" i="16"/>
  <c r="CJ7" i="16" s="1"/>
  <c r="CT7" i="16"/>
  <c r="CO17" i="16"/>
  <c r="CQ17" i="16" s="1"/>
  <c r="BG31" i="16"/>
  <c r="BZ21" i="16"/>
  <c r="CW21" i="16" s="1"/>
  <c r="BV17" i="16"/>
  <c r="BZ17" i="16"/>
  <c r="CW17" i="16" s="1"/>
  <c r="AU16" i="16"/>
  <c r="BN15" i="16"/>
  <c r="BO15" i="16" s="1"/>
  <c r="CK19" i="16"/>
  <c r="W14" i="16"/>
  <c r="CI14" i="16"/>
  <c r="CJ14" i="16" s="1"/>
  <c r="Y16" i="16"/>
  <c r="BT26" i="16"/>
  <c r="BZ26" i="16" s="1"/>
  <c r="AI7" i="16"/>
  <c r="CJ8" i="16"/>
  <c r="CJ33" i="16"/>
  <c r="CJ27" i="16"/>
  <c r="CJ16" i="16"/>
  <c r="L19" i="16"/>
  <c r="P19" i="16" s="1"/>
  <c r="CJ12" i="16"/>
  <c r="BA31" i="16"/>
  <c r="AE18" i="16"/>
  <c r="CS10" i="16"/>
  <c r="CR13" i="16"/>
  <c r="CS13" i="16" s="1"/>
  <c r="DZ8" i="16"/>
  <c r="AT20" i="16"/>
  <c r="DZ30" i="16"/>
  <c r="AI15" i="16"/>
  <c r="AU22" i="16"/>
  <c r="DU14" i="16"/>
  <c r="DJ18" i="16"/>
  <c r="DL18" i="16" s="1"/>
  <c r="AC10" i="16"/>
  <c r="AT26" i="16"/>
  <c r="CK11" i="16"/>
  <c r="DZ9" i="16"/>
  <c r="BN10" i="16"/>
  <c r="DN10" i="16"/>
  <c r="AD34" i="16"/>
  <c r="AE34" i="16" s="1"/>
  <c r="CO8" i="16"/>
  <c r="CD10" i="16"/>
  <c r="CJ19" i="16"/>
  <c r="CJ25" i="16"/>
  <c r="CJ24" i="16"/>
  <c r="CJ23" i="16"/>
  <c r="N13" i="16"/>
  <c r="CK12" i="16"/>
  <c r="CP23" i="16"/>
  <c r="BA16" i="16"/>
  <c r="CC13" i="16"/>
  <c r="BS10" i="16"/>
  <c r="EA25" i="16"/>
  <c r="Y18" i="16"/>
  <c r="DZ34" i="16"/>
  <c r="DO15" i="16"/>
  <c r="CD14" i="16"/>
  <c r="CJ22" i="16"/>
  <c r="DD10" i="16"/>
  <c r="DE10" i="16" s="1"/>
  <c r="BO8" i="16"/>
  <c r="L24" i="16"/>
  <c r="AF24" i="16" s="1"/>
  <c r="DZ12" i="16"/>
  <c r="DO10" i="16"/>
  <c r="DY14" i="16"/>
  <c r="EV14" i="16" s="1"/>
  <c r="I28" i="16"/>
  <c r="CZ14" i="16"/>
  <c r="CN15" i="16"/>
  <c r="AY23" i="16"/>
  <c r="BQ13" i="16"/>
  <c r="BQ29" i="16" s="1"/>
  <c r="BR29" i="16" s="1"/>
  <c r="Y31" i="16"/>
  <c r="BO25" i="16"/>
  <c r="DI10" i="16"/>
  <c r="AU31" i="16"/>
  <c r="DE11" i="16"/>
  <c r="BO30" i="16"/>
  <c r="I25" i="16"/>
  <c r="BX7" i="16"/>
  <c r="CO16" i="16"/>
  <c r="AX15" i="16"/>
  <c r="Z19" i="16"/>
  <c r="ES32" i="16"/>
  <c r="DV35" i="16"/>
  <c r="DV36" i="16" s="1"/>
  <c r="ES36" i="16" s="1"/>
  <c r="CQ21" i="16"/>
  <c r="BA19" i="16"/>
  <c r="ES29" i="16"/>
  <c r="DW29" i="16"/>
  <c r="DL20" i="16"/>
  <c r="BN14" i="16"/>
  <c r="U13" i="16"/>
  <c r="BT11" i="16"/>
  <c r="DJ11" i="16"/>
  <c r="DP11" i="16" s="1"/>
  <c r="DP14" i="16" s="1"/>
  <c r="BT34" i="16"/>
  <c r="BZ34" i="16" s="1"/>
  <c r="BO34" i="16"/>
  <c r="BO33" i="16"/>
  <c r="BT33" i="16"/>
  <c r="BE30" i="16"/>
  <c r="DE27" i="16"/>
  <c r="DF27" i="16"/>
  <c r="Y27" i="16"/>
  <c r="AD27" i="16"/>
  <c r="AJ27" i="16" s="1"/>
  <c r="BP25" i="16"/>
  <c r="AT25" i="16"/>
  <c r="DE24" i="16"/>
  <c r="DF24" i="16"/>
  <c r="DJ24" i="16"/>
  <c r="DP24" i="16" s="1"/>
  <c r="DR24" i="16" s="1"/>
  <c r="AY24" i="16"/>
  <c r="AT24" i="16"/>
  <c r="DE23" i="16"/>
  <c r="DF23" i="16"/>
  <c r="I23" i="16"/>
  <c r="L23" i="16"/>
  <c r="AF23" i="16" s="1"/>
  <c r="Y22" i="16"/>
  <c r="AD22" i="16"/>
  <c r="AE22" i="16" s="1"/>
  <c r="BT19" i="16"/>
  <c r="BZ19" i="16" s="1"/>
  <c r="CW19" i="16" s="1"/>
  <c r="BO19" i="16"/>
  <c r="AT18" i="16"/>
  <c r="AY18" i="16"/>
  <c r="BV18" i="16" s="1"/>
  <c r="DJ16" i="16"/>
  <c r="DE16" i="16"/>
  <c r="DF16" i="16"/>
  <c r="AY12" i="16"/>
  <c r="AY10" i="16" s="1"/>
  <c r="AS10" i="16"/>
  <c r="AT10" i="16" s="1"/>
  <c r="Z12" i="16"/>
  <c r="I12" i="16"/>
  <c r="BI10" i="16"/>
  <c r="BH13" i="16"/>
  <c r="AQ10" i="16"/>
  <c r="AP13" i="16"/>
  <c r="AP40" i="16" s="1"/>
  <c r="CK9" i="16"/>
  <c r="BO9" i="16"/>
  <c r="BP9" i="16"/>
  <c r="DZ21" i="16"/>
  <c r="DZ20" i="16"/>
  <c r="BO27" i="16"/>
  <c r="BO28" i="16"/>
  <c r="DJ9" i="16"/>
  <c r="DF9" i="16"/>
  <c r="DE9" i="16"/>
  <c r="CM7" i="16"/>
  <c r="CL13" i="16"/>
  <c r="CL29" i="16" s="1"/>
  <c r="CM29" i="16" s="1"/>
  <c r="AW7" i="16"/>
  <c r="AV13" i="16"/>
  <c r="K7" i="16"/>
  <c r="J13" i="16"/>
  <c r="J40" i="16" s="1"/>
  <c r="BT7" i="15"/>
  <c r="CF7" i="15"/>
  <c r="BN7" i="16"/>
  <c r="DZ26" i="16"/>
  <c r="ES13" i="16"/>
  <c r="BO20" i="16"/>
  <c r="DF25" i="16"/>
  <c r="BJ10" i="16"/>
  <c r="DZ18" i="16"/>
  <c r="DF11" i="16"/>
  <c r="L26" i="16"/>
  <c r="BT9" i="16"/>
  <c r="AX7" i="16"/>
  <c r="DI7" i="16"/>
  <c r="BO22" i="16"/>
  <c r="BV30" i="16"/>
  <c r="CJ31" i="16"/>
  <c r="T15" i="16"/>
  <c r="BM14" i="16"/>
  <c r="DF12" i="16"/>
  <c r="BP12" i="16"/>
  <c r="BK8" i="15"/>
  <c r="Z23" i="16"/>
  <c r="CI15" i="16"/>
  <c r="CK25" i="16"/>
  <c r="X15" i="16"/>
  <c r="Y15" i="16" s="1"/>
  <c r="EY29" i="16"/>
  <c r="EC29" i="16"/>
  <c r="EY13" i="16"/>
  <c r="EC13" i="16"/>
  <c r="EB40" i="16"/>
  <c r="FB19" i="16"/>
  <c r="FB22" i="16"/>
  <c r="BA21" i="16"/>
  <c r="P20" i="16"/>
  <c r="BE25" i="16"/>
  <c r="P33" i="16"/>
  <c r="CJ34" i="16"/>
  <c r="CO34" i="16"/>
  <c r="J34" i="16"/>
  <c r="K34" i="16" s="1"/>
  <c r="I34" i="16"/>
  <c r="DE33" i="16"/>
  <c r="EA33" i="16"/>
  <c r="Y33" i="16"/>
  <c r="AD33" i="16"/>
  <c r="EE31" i="16"/>
  <c r="DZ31" i="16"/>
  <c r="DF30" i="16"/>
  <c r="EA30" i="16"/>
  <c r="DJ30" i="16"/>
  <c r="CJ30" i="16"/>
  <c r="CK30" i="16"/>
  <c r="AT30" i="16"/>
  <c r="BP30" i="16"/>
  <c r="I30" i="16"/>
  <c r="L30" i="16"/>
  <c r="DW32" i="16"/>
  <c r="BG21" i="16"/>
  <c r="BE19" i="16"/>
  <c r="CQ20" i="16"/>
  <c r="BV21" i="16"/>
  <c r="AE24" i="16"/>
  <c r="DZ27" i="16"/>
  <c r="BT25" i="16"/>
  <c r="CQ25" i="16" s="1"/>
  <c r="AD26" i="16"/>
  <c r="BZ18" i="16"/>
  <c r="CW18" i="16" s="1"/>
  <c r="AY28" i="16"/>
  <c r="FB20" i="16"/>
  <c r="CQ18" i="16"/>
  <c r="AJ8" i="16"/>
  <c r="AJ23" i="16"/>
  <c r="AE23" i="16"/>
  <c r="DP21" i="16"/>
  <c r="DR21" i="16" s="1"/>
  <c r="DL21" i="16"/>
  <c r="CJ28" i="16"/>
  <c r="CO28" i="16"/>
  <c r="AY27" i="16"/>
  <c r="AT27" i="16"/>
  <c r="I27" i="16"/>
  <c r="L27" i="16"/>
  <c r="CO26" i="16"/>
  <c r="CJ26" i="16"/>
  <c r="EV25" i="16"/>
  <c r="EE25" i="16"/>
  <c r="DZ25" i="16"/>
  <c r="Y25" i="16"/>
  <c r="Z25" i="16"/>
  <c r="AD25" i="16"/>
  <c r="AF25" i="16" s="1"/>
  <c r="EV24" i="16"/>
  <c r="EE24" i="16"/>
  <c r="BO24" i="16"/>
  <c r="BP24" i="16"/>
  <c r="BT24" i="16"/>
  <c r="CQ24" i="16" s="1"/>
  <c r="Z24" i="16"/>
  <c r="AU24" i="16"/>
  <c r="EV23" i="16"/>
  <c r="DZ23" i="16"/>
  <c r="BP23" i="16"/>
  <c r="BT23" i="16"/>
  <c r="CQ23" i="16" s="1"/>
  <c r="Y23" i="16"/>
  <c r="AU23" i="16"/>
  <c r="EV22" i="16"/>
  <c r="DZ22" i="16"/>
  <c r="EA22" i="16"/>
  <c r="EA21" i="16"/>
  <c r="DE21" i="16"/>
  <c r="DF21" i="16"/>
  <c r="BO21" i="16"/>
  <c r="BP21" i="16"/>
  <c r="CK21" i="16"/>
  <c r="Y21" i="16"/>
  <c r="AU21" i="16"/>
  <c r="Z21" i="16"/>
  <c r="EV20" i="16"/>
  <c r="EA20" i="16"/>
  <c r="CJ20" i="16"/>
  <c r="CK20" i="16"/>
  <c r="EV19" i="16"/>
  <c r="EA19" i="16"/>
  <c r="DZ19" i="16"/>
  <c r="CO19" i="16"/>
  <c r="DF19" i="16"/>
  <c r="AT19" i="16"/>
  <c r="AU19" i="16"/>
  <c r="DE18" i="16"/>
  <c r="EA18" i="16"/>
  <c r="BO18" i="16"/>
  <c r="BP18" i="16"/>
  <c r="CK18" i="16"/>
  <c r="I18" i="16"/>
  <c r="L18" i="16"/>
  <c r="Z18" i="16"/>
  <c r="EA17" i="16"/>
  <c r="DJ17" i="16"/>
  <c r="DP17" i="16" s="1"/>
  <c r="EM17" i="16" s="1"/>
  <c r="DD15" i="16"/>
  <c r="BO17" i="16"/>
  <c r="BP17" i="16"/>
  <c r="Y17" i="16"/>
  <c r="AD17" i="16"/>
  <c r="Z17" i="16"/>
  <c r="EV16" i="16"/>
  <c r="DZ16" i="16"/>
  <c r="EA16" i="16"/>
  <c r="AT16" i="16"/>
  <c r="BP16" i="16"/>
  <c r="AS15" i="16"/>
  <c r="I16" i="16"/>
  <c r="Z16" i="16"/>
  <c r="H15" i="16"/>
  <c r="I15" i="16" s="1"/>
  <c r="DF22" i="16"/>
  <c r="DE22" i="16"/>
  <c r="CZ15" i="16"/>
  <c r="CD15" i="16"/>
  <c r="CE15" i="16"/>
  <c r="BR15" i="16"/>
  <c r="BS15" i="16"/>
  <c r="BJ15" i="16"/>
  <c r="AN15" i="16"/>
  <c r="AO15" i="16"/>
  <c r="G15" i="16"/>
  <c r="W15" i="16"/>
  <c r="EJ14" i="16"/>
  <c r="DO14" i="16"/>
  <c r="CT14" i="16"/>
  <c r="CS14" i="16"/>
  <c r="CG14" i="16"/>
  <c r="CH14" i="16"/>
  <c r="AN14" i="16"/>
  <c r="BJ14" i="16"/>
  <c r="AO14" i="16"/>
  <c r="Y12" i="16"/>
  <c r="AU12" i="16"/>
  <c r="EV11" i="16"/>
  <c r="DZ11" i="16"/>
  <c r="EE11" i="16"/>
  <c r="AT11" i="16"/>
  <c r="AU11" i="16"/>
  <c r="AL21" i="16"/>
  <c r="AF12" i="16"/>
  <c r="AU25" i="16"/>
  <c r="DQ19" i="16"/>
  <c r="EA27" i="16"/>
  <c r="DD14" i="16"/>
  <c r="DE14" i="16" s="1"/>
  <c r="DR20" i="16"/>
  <c r="EM20" i="16"/>
  <c r="AE16" i="16"/>
  <c r="AL12" i="16"/>
  <c r="BA30" i="16"/>
  <c r="AE19" i="16"/>
  <c r="AE12" i="16"/>
  <c r="Z28" i="16"/>
  <c r="DF33" i="16"/>
  <c r="AI14" i="16"/>
  <c r="DS13" i="16"/>
  <c r="EP13" i="16" s="1"/>
  <c r="BW13" i="16"/>
  <c r="BB13" i="16"/>
  <c r="F13" i="16"/>
  <c r="DE12" i="16"/>
  <c r="CO12" i="16"/>
  <c r="BM10" i="16"/>
  <c r="AS14" i="16"/>
  <c r="AT14" i="16" s="1"/>
  <c r="P25" i="16"/>
  <c r="DQ20" i="16"/>
  <c r="AD28" i="16"/>
  <c r="AF28" i="16" s="1"/>
  <c r="DJ27" i="16"/>
  <c r="Z27" i="16"/>
  <c r="AU30" i="16"/>
  <c r="CK27" i="16"/>
  <c r="EA24" i="16"/>
  <c r="DG13" i="16"/>
  <c r="CF13" i="16"/>
  <c r="BK13" i="16"/>
  <c r="AA13" i="16"/>
  <c r="AT12" i="16"/>
  <c r="DN15" i="16"/>
  <c r="EJ15" i="16"/>
  <c r="DJ8" i="16"/>
  <c r="Y8" i="16"/>
  <c r="DJ33" i="16"/>
  <c r="DL33" i="16" s="1"/>
  <c r="CO30" i="16"/>
  <c r="AE21" i="16"/>
  <c r="DH15" i="16"/>
  <c r="ED15" i="16"/>
  <c r="CK8" i="16"/>
  <c r="I8" i="16"/>
  <c r="S7" i="16"/>
  <c r="T7" i="16"/>
  <c r="D14" i="16"/>
  <c r="E14" i="16" s="1"/>
  <c r="E11" i="16"/>
  <c r="D10" i="16"/>
  <c r="T10" i="16" s="1"/>
  <c r="EE33" i="16"/>
  <c r="EJ7" i="16"/>
  <c r="EJ10" i="16"/>
  <c r="EI7" i="16"/>
  <c r="EI10" i="16"/>
  <c r="DF17" i="16"/>
  <c r="CH10" i="16"/>
  <c r="BP8" i="16"/>
  <c r="ED7" i="16"/>
  <c r="ED10" i="16"/>
  <c r="EC14" i="16"/>
  <c r="EC7" i="16"/>
  <c r="EC10" i="16"/>
  <c r="EC15" i="16"/>
  <c r="CN6" i="17"/>
  <c r="H11" i="16"/>
  <c r="Z11" i="16" s="1"/>
  <c r="P9" i="16"/>
  <c r="EC32" i="16"/>
  <c r="EY32" i="16"/>
  <c r="CW10" i="16"/>
  <c r="AU8" i="16"/>
  <c r="EP15" i="16"/>
  <c r="DT15" i="16"/>
  <c r="DU15" i="16"/>
  <c r="EP10" i="16"/>
  <c r="DU10" i="16"/>
  <c r="DT10" i="16"/>
  <c r="CK33" i="16"/>
  <c r="DJ23" i="16"/>
  <c r="DL23" i="16" s="1"/>
  <c r="BP22" i="16"/>
  <c r="CK17" i="16"/>
  <c r="BY15" i="16"/>
  <c r="BC15" i="16"/>
  <c r="AL30" i="16"/>
  <c r="BE34" i="16"/>
  <c r="P28" i="16"/>
  <c r="BE20" i="16"/>
  <c r="EE21" i="16"/>
  <c r="FB21" i="16" s="1"/>
  <c r="EV21" i="16"/>
  <c r="EE17" i="16"/>
  <c r="FB17" i="16" s="1"/>
  <c r="EV17" i="16"/>
  <c r="DW14" i="16"/>
  <c r="ES14" i="16"/>
  <c r="EE27" i="16"/>
  <c r="FB27" i="16" s="1"/>
  <c r="EE23" i="16"/>
  <c r="FB23" i="16" s="1"/>
  <c r="EE18" i="16"/>
  <c r="FB18" i="16" s="1"/>
  <c r="DN14" i="16"/>
  <c r="EE9" i="16"/>
  <c r="FB9" i="16" s="1"/>
  <c r="EM7" i="16"/>
  <c r="EV8" i="16"/>
  <c r="BD7" i="16"/>
  <c r="CI7" i="15"/>
  <c r="CK61" i="17"/>
  <c r="CK50" i="17"/>
  <c r="DY15" i="16"/>
  <c r="DW15" i="16"/>
  <c r="DY10" i="16"/>
  <c r="DY7" i="16"/>
  <c r="EV7" i="16" s="1"/>
  <c r="DW7" i="16"/>
  <c r="DT7" i="16"/>
  <c r="BZ7" i="15"/>
  <c r="EI15" i="16"/>
  <c r="EL15" i="16"/>
  <c r="EL10" i="16"/>
  <c r="EL7" i="16"/>
  <c r="CI8" i="15"/>
  <c r="EP14" i="16"/>
  <c r="EE16" i="16"/>
  <c r="FB16" i="16" s="1"/>
  <c r="DX7" i="16"/>
  <c r="DU7" i="16"/>
  <c r="BZ8" i="15"/>
  <c r="EB35" i="16"/>
  <c r="EY35" i="16" s="1"/>
  <c r="EO14" i="16"/>
  <c r="EO13" i="16"/>
  <c r="EN40" i="16"/>
  <c r="DE17" i="21" s="1"/>
  <c r="DE14" i="21" s="1"/>
  <c r="EN29" i="16"/>
  <c r="FK29" i="16" s="1"/>
  <c r="FB8" i="16" l="1"/>
  <c r="EF26" i="16"/>
  <c r="BA9" i="16"/>
  <c r="DL22" i="16"/>
  <c r="EF20" i="16"/>
  <c r="EF22" i="16"/>
  <c r="AE9" i="16"/>
  <c r="EF12" i="16"/>
  <c r="AF9" i="16"/>
  <c r="AL9" i="16"/>
  <c r="AD7" i="16"/>
  <c r="AD13" i="16" s="1"/>
  <c r="DZ4" i="16"/>
  <c r="EF8" i="16"/>
  <c r="EF28" i="16"/>
  <c r="EE10" i="16"/>
  <c r="FB10" i="16" s="1"/>
  <c r="EF31" i="16"/>
  <c r="EF30" i="16"/>
  <c r="EF34" i="16"/>
  <c r="CK10" i="16"/>
  <c r="DW40" i="16"/>
  <c r="CM17" i="21"/>
  <c r="CM14" i="21" s="1"/>
  <c r="DM39" i="16"/>
  <c r="DN39" i="16" s="1"/>
  <c r="CD17" i="21"/>
  <c r="CD14" i="21" s="1"/>
  <c r="EH39" i="16"/>
  <c r="FE39" i="16" s="1"/>
  <c r="CY17" i="21"/>
  <c r="CY14" i="21" s="1"/>
  <c r="EL40" i="16"/>
  <c r="DB17" i="21"/>
  <c r="DB14" i="21" s="1"/>
  <c r="EY40" i="16"/>
  <c r="CS17" i="21"/>
  <c r="CS14" i="21" s="1"/>
  <c r="AP39" i="16"/>
  <c r="AQ39" i="16" s="1"/>
  <c r="T17" i="21"/>
  <c r="BV16" i="16"/>
  <c r="BX20" i="21"/>
  <c r="BR49" i="15"/>
  <c r="BO20" i="21"/>
  <c r="BL49" i="15"/>
  <c r="BY7" i="15"/>
  <c r="CJ20" i="21"/>
  <c r="BX49" i="15"/>
  <c r="BI49" i="15"/>
  <c r="BI20" i="21"/>
  <c r="AX7" i="15"/>
  <c r="AW49" i="15"/>
  <c r="AP20" i="21"/>
  <c r="CM20" i="21"/>
  <c r="CA49" i="15"/>
  <c r="CD20" i="21"/>
  <c r="BU49" i="15"/>
  <c r="CH8" i="15"/>
  <c r="CY20" i="21"/>
  <c r="CG49" i="15"/>
  <c r="CE7" i="15"/>
  <c r="CS20" i="21"/>
  <c r="CD49" i="15"/>
  <c r="EB35" i="21"/>
  <c r="AK31" i="16"/>
  <c r="AK6" i="16"/>
  <c r="AK5" i="16"/>
  <c r="AK4" i="16"/>
  <c r="BU21" i="16"/>
  <c r="BU6" i="16"/>
  <c r="BU5" i="16"/>
  <c r="BU4" i="16"/>
  <c r="CP21" i="16"/>
  <c r="CP5" i="16"/>
  <c r="CP6" i="16"/>
  <c r="CP4" i="16"/>
  <c r="CB16" i="16"/>
  <c r="AZ25" i="16"/>
  <c r="AZ5" i="16"/>
  <c r="AZ6" i="16"/>
  <c r="AZ4" i="16"/>
  <c r="DK26" i="16"/>
  <c r="DK6" i="16"/>
  <c r="DK5" i="16"/>
  <c r="DK4" i="16"/>
  <c r="AF8" i="16"/>
  <c r="M6" i="16"/>
  <c r="M5" i="16"/>
  <c r="M4" i="16"/>
  <c r="EF5" i="16"/>
  <c r="EF6" i="16"/>
  <c r="AX8" i="15"/>
  <c r="CH7" i="15"/>
  <c r="BS14" i="15"/>
  <c r="BS10" i="15"/>
  <c r="BS17" i="15"/>
  <c r="BS11" i="15"/>
  <c r="BS15" i="15"/>
  <c r="BS12" i="15"/>
  <c r="BS5" i="15"/>
  <c r="BS18" i="15"/>
  <c r="BS13" i="15"/>
  <c r="BS16" i="15"/>
  <c r="BT5" i="15"/>
  <c r="BJ15" i="15"/>
  <c r="BJ11" i="15"/>
  <c r="BJ13" i="15"/>
  <c r="BJ18" i="15"/>
  <c r="BJ12" i="15"/>
  <c r="BJ5" i="15"/>
  <c r="BJ14" i="15"/>
  <c r="BJ10" i="15"/>
  <c r="BJ17" i="15"/>
  <c r="BJ16" i="15"/>
  <c r="BK5" i="15"/>
  <c r="CB18" i="15"/>
  <c r="CB13" i="15"/>
  <c r="CB5" i="15"/>
  <c r="CB14" i="15"/>
  <c r="CB12" i="15"/>
  <c r="CB10" i="15"/>
  <c r="CB17" i="15"/>
  <c r="CB15" i="15"/>
  <c r="CB11" i="15"/>
  <c r="CB16" i="15"/>
  <c r="CC5" i="15"/>
  <c r="CB8" i="15"/>
  <c r="CO5" i="15"/>
  <c r="BV15" i="15"/>
  <c r="BV11" i="15"/>
  <c r="BV18" i="15"/>
  <c r="BV12" i="15"/>
  <c r="BV5" i="15"/>
  <c r="BV17" i="15"/>
  <c r="BV10" i="15"/>
  <c r="BV14" i="15"/>
  <c r="BV13" i="15"/>
  <c r="BV16" i="15"/>
  <c r="BW5" i="15"/>
  <c r="BJ6" i="15"/>
  <c r="BK6" i="15"/>
  <c r="CB6" i="15"/>
  <c r="CC6" i="15"/>
  <c r="CO6" i="15"/>
  <c r="BV6" i="15"/>
  <c r="BW6" i="15"/>
  <c r="BV8" i="15"/>
  <c r="BS7" i="15"/>
  <c r="BJ7" i="15"/>
  <c r="AX18" i="15"/>
  <c r="AX13" i="15"/>
  <c r="AX5" i="15"/>
  <c r="AX17" i="15"/>
  <c r="AX11" i="15"/>
  <c r="AX15" i="15"/>
  <c r="AX10" i="15"/>
  <c r="AX14" i="15"/>
  <c r="AX12" i="15"/>
  <c r="AX16" i="15"/>
  <c r="AY5" i="15"/>
  <c r="BM6" i="15"/>
  <c r="BN6" i="15"/>
  <c r="CB7" i="15"/>
  <c r="BV7" i="15"/>
  <c r="BY6" i="15"/>
  <c r="BZ6" i="15"/>
  <c r="CL6" i="15"/>
  <c r="CH6" i="15"/>
  <c r="CG50" i="15"/>
  <c r="CI6" i="15"/>
  <c r="CU6" i="15"/>
  <c r="CE14" i="15"/>
  <c r="CE10" i="15"/>
  <c r="CE15" i="15"/>
  <c r="CE13" i="15"/>
  <c r="CE17" i="15"/>
  <c r="CE12" i="15"/>
  <c r="CE5" i="15"/>
  <c r="CE11" i="15"/>
  <c r="CE18" i="15"/>
  <c r="CE16" i="15"/>
  <c r="CF5" i="15"/>
  <c r="CR5" i="15"/>
  <c r="BS6" i="15"/>
  <c r="BT6" i="15"/>
  <c r="BM17" i="15"/>
  <c r="BM12" i="15"/>
  <c r="BM14" i="15"/>
  <c r="BM13" i="15"/>
  <c r="BM10" i="15"/>
  <c r="BM18" i="15"/>
  <c r="BM15" i="15"/>
  <c r="BM11" i="15"/>
  <c r="BM5" i="15"/>
  <c r="BM16" i="15"/>
  <c r="BN5" i="15"/>
  <c r="CE6" i="15"/>
  <c r="CF6" i="15"/>
  <c r="CR6" i="15"/>
  <c r="BY17" i="15"/>
  <c r="BY12" i="15"/>
  <c r="BY13" i="15"/>
  <c r="BY18" i="15"/>
  <c r="BY11" i="15"/>
  <c r="BY5" i="15"/>
  <c r="BY14" i="15"/>
  <c r="BY10" i="15"/>
  <c r="BY15" i="15"/>
  <c r="BY16" i="15"/>
  <c r="BZ5" i="15"/>
  <c r="CL5" i="15"/>
  <c r="CE8" i="15"/>
  <c r="BM8" i="15"/>
  <c r="CH15" i="15"/>
  <c r="CH11" i="15"/>
  <c r="CH17" i="15"/>
  <c r="CH10" i="15"/>
  <c r="CH14" i="15"/>
  <c r="CH12" i="15"/>
  <c r="CH5" i="15"/>
  <c r="CH18" i="15"/>
  <c r="CH13" i="15"/>
  <c r="CH16" i="15"/>
  <c r="CI5" i="15"/>
  <c r="CU5" i="15"/>
  <c r="AX6" i="15"/>
  <c r="AY6" i="15"/>
  <c r="BM7" i="15"/>
  <c r="BY8" i="15"/>
  <c r="BJ8" i="15"/>
  <c r="BS8" i="15"/>
  <c r="S13" i="16"/>
  <c r="AC15" i="16"/>
  <c r="CP16" i="16"/>
  <c r="EK32" i="16"/>
  <c r="FH32" i="16" s="1"/>
  <c r="AZ11" i="16"/>
  <c r="AZ33" i="16"/>
  <c r="AZ16" i="16"/>
  <c r="DX13" i="16"/>
  <c r="AZ8" i="16"/>
  <c r="DN40" i="16"/>
  <c r="BA11" i="16"/>
  <c r="AZ20" i="16"/>
  <c r="AZ34" i="16"/>
  <c r="BU20" i="16"/>
  <c r="FH29" i="16"/>
  <c r="CP17" i="16"/>
  <c r="AD14" i="16"/>
  <c r="AE14" i="16" s="1"/>
  <c r="AE11" i="16"/>
  <c r="FB30" i="16"/>
  <c r="AZ31" i="16"/>
  <c r="AZ19" i="16"/>
  <c r="AJ11" i="16"/>
  <c r="AK11" i="16" s="1"/>
  <c r="DB13" i="16"/>
  <c r="AZ9" i="16"/>
  <c r="AZ30" i="16"/>
  <c r="EJ13" i="16"/>
  <c r="BT7" i="16"/>
  <c r="BU28" i="16"/>
  <c r="BV8" i="16"/>
  <c r="FH40" i="16"/>
  <c r="BU30" i="16"/>
  <c r="BU11" i="16"/>
  <c r="BU17" i="16"/>
  <c r="BZ8" i="16"/>
  <c r="CA28" i="16" s="1"/>
  <c r="BU27" i="16"/>
  <c r="BU31" i="16"/>
  <c r="AK23" i="16"/>
  <c r="BU12" i="16"/>
  <c r="P8" i="16"/>
  <c r="BA10" i="16"/>
  <c r="EJ40" i="16"/>
  <c r="DL9" i="16"/>
  <c r="AK27" i="16"/>
  <c r="CZ13" i="16"/>
  <c r="EI40" i="16"/>
  <c r="FE40" i="16"/>
  <c r="EM24" i="16"/>
  <c r="BA8" i="16"/>
  <c r="AY14" i="16"/>
  <c r="AZ14" i="16" s="1"/>
  <c r="DA40" i="16"/>
  <c r="AY7" i="16"/>
  <c r="AY13" i="16" s="1"/>
  <c r="DM29" i="16"/>
  <c r="EJ29" i="16" s="1"/>
  <c r="AE20" i="16"/>
  <c r="BE8" i="16"/>
  <c r="BF9" i="16" s="1"/>
  <c r="FE29" i="16"/>
  <c r="BU8" i="16"/>
  <c r="BU22" i="16"/>
  <c r="EG30" i="16"/>
  <c r="AZ21" i="16"/>
  <c r="BU18" i="16"/>
  <c r="DN13" i="16"/>
  <c r="CR40" i="16"/>
  <c r="BU16" i="16"/>
  <c r="AZ17" i="16"/>
  <c r="AZ26" i="16"/>
  <c r="AM29" i="16"/>
  <c r="AM32" i="16" s="1"/>
  <c r="EK39" i="16"/>
  <c r="EL39" i="16" s="1"/>
  <c r="CQ22" i="16"/>
  <c r="ES35" i="16"/>
  <c r="CQ9" i="16"/>
  <c r="AQ40" i="16"/>
  <c r="AR13" i="16"/>
  <c r="AU7" i="16"/>
  <c r="DV39" i="16"/>
  <c r="ES39" i="16" s="1"/>
  <c r="M22" i="16"/>
  <c r="BG16" i="16"/>
  <c r="DL24" i="16"/>
  <c r="Z7" i="16"/>
  <c r="ES40" i="16"/>
  <c r="CW22" i="16"/>
  <c r="AE27" i="16"/>
  <c r="X13" i="16"/>
  <c r="X40" i="16" s="1"/>
  <c r="S29" i="16"/>
  <c r="R32" i="16"/>
  <c r="R35" i="16" s="1"/>
  <c r="CP24" i="16"/>
  <c r="CP33" i="16"/>
  <c r="BV12" i="16"/>
  <c r="AN13" i="16"/>
  <c r="BV9" i="16"/>
  <c r="CP9" i="16"/>
  <c r="DL16" i="16"/>
  <c r="R40" i="16"/>
  <c r="DW35" i="16"/>
  <c r="L34" i="16"/>
  <c r="P34" i="16" s="1"/>
  <c r="AK9" i="16"/>
  <c r="DX36" i="16"/>
  <c r="BT14" i="16"/>
  <c r="BU14" i="16" s="1"/>
  <c r="AK16" i="16"/>
  <c r="CP20" i="16"/>
  <c r="CL40" i="16"/>
  <c r="CQ16" i="16"/>
  <c r="AO13" i="16"/>
  <c r="DP25" i="16"/>
  <c r="DQ25" i="16" s="1"/>
  <c r="CB21" i="16"/>
  <c r="CP25" i="16"/>
  <c r="DP18" i="16"/>
  <c r="EM18" i="16" s="1"/>
  <c r="M9" i="16"/>
  <c r="CP12" i="16"/>
  <c r="DF10" i="16"/>
  <c r="AH13" i="16"/>
  <c r="CQ8" i="16"/>
  <c r="DL17" i="16"/>
  <c r="AZ12" i="16"/>
  <c r="CP18" i="16"/>
  <c r="CP27" i="16"/>
  <c r="DQ12" i="16"/>
  <c r="AF19" i="16"/>
  <c r="CP22" i="16"/>
  <c r="CP31" i="16"/>
  <c r="CO14" i="16"/>
  <c r="CP14" i="16" s="1"/>
  <c r="CP26" i="16"/>
  <c r="M20" i="16"/>
  <c r="CY13" i="16"/>
  <c r="CX40" i="16"/>
  <c r="BO17" i="21" s="1"/>
  <c r="BO14" i="21" s="1"/>
  <c r="L7" i="16"/>
  <c r="M7" i="16" s="1"/>
  <c r="CI13" i="16"/>
  <c r="CJ13" i="16" s="1"/>
  <c r="DF7" i="16"/>
  <c r="M33" i="16"/>
  <c r="M16" i="16"/>
  <c r="AI13" i="16"/>
  <c r="Q24" i="16"/>
  <c r="M28" i="16"/>
  <c r="M8" i="16"/>
  <c r="AG40" i="16"/>
  <c r="M26" i="16"/>
  <c r="M21" i="16"/>
  <c r="AG32" i="16"/>
  <c r="AH32" i="16" s="1"/>
  <c r="M24" i="16"/>
  <c r="EA7" i="16"/>
  <c r="M25" i="16"/>
  <c r="CB30" i="16"/>
  <c r="DR17" i="16"/>
  <c r="M31" i="16"/>
  <c r="DQ17" i="16"/>
  <c r="AK8" i="16"/>
  <c r="M12" i="16"/>
  <c r="M17" i="16"/>
  <c r="BU26" i="16"/>
  <c r="CE31" i="17"/>
  <c r="EH32" i="16"/>
  <c r="FE32" i="16" s="1"/>
  <c r="BU34" i="16"/>
  <c r="T14" i="16"/>
  <c r="DQ11" i="16"/>
  <c r="AU10" i="16"/>
  <c r="N29" i="16"/>
  <c r="O29" i="16" s="1"/>
  <c r="AJ34" i="16"/>
  <c r="AK34" i="16" s="1"/>
  <c r="AZ22" i="16"/>
  <c r="BG30" i="16"/>
  <c r="EM11" i="16"/>
  <c r="EM10" i="16" s="1"/>
  <c r="BS13" i="16"/>
  <c r="CO15" i="16"/>
  <c r="CP15" i="16" s="1"/>
  <c r="DZ15" i="16"/>
  <c r="BA22" i="16"/>
  <c r="DR12" i="16"/>
  <c r="P26" i="16"/>
  <c r="DK9" i="16"/>
  <c r="DQ24" i="16"/>
  <c r="EE14" i="16"/>
  <c r="FB14" i="16" s="1"/>
  <c r="EA14" i="16"/>
  <c r="CK15" i="16"/>
  <c r="BR13" i="16"/>
  <c r="DZ7" i="16"/>
  <c r="BQ40" i="16"/>
  <c r="EG12" i="16"/>
  <c r="DK17" i="16"/>
  <c r="BU23" i="16"/>
  <c r="BA12" i="16"/>
  <c r="CN29" i="16"/>
  <c r="BE22" i="16"/>
  <c r="BQ32" i="16"/>
  <c r="BQ35" i="16" s="1"/>
  <c r="BQ36" i="16" s="1"/>
  <c r="CJ15" i="16"/>
  <c r="AL19" i="16"/>
  <c r="AZ23" i="16"/>
  <c r="BE23" i="16"/>
  <c r="L15" i="16"/>
  <c r="M15" i="16" s="1"/>
  <c r="DK12" i="16"/>
  <c r="DF14" i="16"/>
  <c r="N40" i="16"/>
  <c r="O40" i="16" s="1"/>
  <c r="CM13" i="16"/>
  <c r="CL32" i="16"/>
  <c r="CL35" i="16" s="1"/>
  <c r="AY15" i="16"/>
  <c r="AZ15" i="16" s="1"/>
  <c r="AJ7" i="16"/>
  <c r="AK7" i="16" s="1"/>
  <c r="DK20" i="16"/>
  <c r="DK34" i="16"/>
  <c r="AK24" i="16"/>
  <c r="DZ14" i="16"/>
  <c r="AP29" i="16"/>
  <c r="AQ29" i="16" s="1"/>
  <c r="J29" i="16"/>
  <c r="K29" i="16" s="1"/>
  <c r="M19" i="16"/>
  <c r="CD13" i="16"/>
  <c r="CC40" i="16"/>
  <c r="AT17" i="21" s="1"/>
  <c r="AT14" i="21" s="1"/>
  <c r="CC29" i="16"/>
  <c r="CU8" i="16"/>
  <c r="CP8" i="16"/>
  <c r="CP11" i="16"/>
  <c r="CO7" i="16"/>
  <c r="CP7" i="16" s="1"/>
  <c r="CB17" i="16"/>
  <c r="DJ14" i="16"/>
  <c r="AK30" i="16"/>
  <c r="DK21" i="16"/>
  <c r="CU26" i="16"/>
  <c r="AK21" i="16"/>
  <c r="AK20" i="16"/>
  <c r="AK18" i="16"/>
  <c r="AK19" i="16"/>
  <c r="AK12" i="16"/>
  <c r="BA23" i="16"/>
  <c r="O13" i="16"/>
  <c r="CN13" i="16"/>
  <c r="K13" i="16"/>
  <c r="AQ13" i="16"/>
  <c r="DD13" i="16"/>
  <c r="CR29" i="16"/>
  <c r="DO13" i="16"/>
  <c r="BO10" i="16"/>
  <c r="BN13" i="16"/>
  <c r="BP7" i="16"/>
  <c r="AV29" i="16"/>
  <c r="AV40" i="16"/>
  <c r="X17" i="21" s="1"/>
  <c r="BH40" i="16"/>
  <c r="AF17" i="21" s="1"/>
  <c r="AF14" i="21" s="1"/>
  <c r="BI13" i="16"/>
  <c r="BJ13" i="16"/>
  <c r="AZ24" i="16"/>
  <c r="BA24" i="16"/>
  <c r="BE24" i="16"/>
  <c r="BZ33" i="16"/>
  <c r="BV33" i="16"/>
  <c r="BT10" i="16"/>
  <c r="BU10" i="16" s="1"/>
  <c r="CQ11" i="16"/>
  <c r="EF11" i="16"/>
  <c r="DJ7" i="16"/>
  <c r="DK7" i="16" s="1"/>
  <c r="DK31" i="16"/>
  <c r="DK30" i="16"/>
  <c r="DK8" i="16"/>
  <c r="DK11" i="16"/>
  <c r="DK33" i="16"/>
  <c r="DK18" i="16"/>
  <c r="BU19" i="16"/>
  <c r="AU14" i="16"/>
  <c r="DP10" i="16"/>
  <c r="DQ10" i="16" s="1"/>
  <c r="CB19" i="16"/>
  <c r="AW13" i="16"/>
  <c r="BV19" i="16"/>
  <c r="AS13" i="16"/>
  <c r="AT13" i="16" s="1"/>
  <c r="BE18" i="16"/>
  <c r="BA18" i="16"/>
  <c r="AZ18" i="16"/>
  <c r="AJ22" i="16"/>
  <c r="AF22" i="16"/>
  <c r="V13" i="16"/>
  <c r="U29" i="16"/>
  <c r="U40" i="16"/>
  <c r="F17" i="21" s="1"/>
  <c r="DL11" i="16"/>
  <c r="AM39" i="16"/>
  <c r="AN40" i="16"/>
  <c r="DK22" i="16"/>
  <c r="DK27" i="16"/>
  <c r="EG8" i="16"/>
  <c r="DK16" i="16"/>
  <c r="DK25" i="16"/>
  <c r="CQ33" i="16"/>
  <c r="BZ15" i="16"/>
  <c r="DR11" i="16"/>
  <c r="CK7" i="16"/>
  <c r="BU33" i="16"/>
  <c r="J39" i="16"/>
  <c r="K39" i="16" s="1"/>
  <c r="K40" i="16"/>
  <c r="BP10" i="16"/>
  <c r="DK24" i="16"/>
  <c r="DL8" i="16"/>
  <c r="DK28" i="16"/>
  <c r="DK19" i="16"/>
  <c r="CE13" i="16"/>
  <c r="BH29" i="16"/>
  <c r="BI29" i="16" s="1"/>
  <c r="BO7" i="16"/>
  <c r="BV11" i="16"/>
  <c r="DJ10" i="16"/>
  <c r="DK10" i="16" s="1"/>
  <c r="BZ9" i="16"/>
  <c r="BU9" i="16"/>
  <c r="P23" i="16"/>
  <c r="M23" i="16"/>
  <c r="CK14" i="16"/>
  <c r="BO14" i="16"/>
  <c r="BP14" i="16"/>
  <c r="AT15" i="16"/>
  <c r="AU15" i="16"/>
  <c r="FB24" i="16"/>
  <c r="EF24" i="16"/>
  <c r="EG24" i="16"/>
  <c r="AJ25" i="16"/>
  <c r="AK25" i="16" s="1"/>
  <c r="AE25" i="16"/>
  <c r="FB25" i="16"/>
  <c r="EF25" i="16"/>
  <c r="EG25" i="16"/>
  <c r="M27" i="16"/>
  <c r="P27" i="16"/>
  <c r="AF27" i="16"/>
  <c r="CP28" i="16"/>
  <c r="CU28" i="16"/>
  <c r="BE28" i="16"/>
  <c r="AZ28" i="16"/>
  <c r="AF30" i="16"/>
  <c r="M30" i="16"/>
  <c r="CB25" i="16"/>
  <c r="Z15" i="16"/>
  <c r="FB11" i="16"/>
  <c r="EG11" i="16"/>
  <c r="CY29" i="16"/>
  <c r="CX32" i="16"/>
  <c r="AJ17" i="16"/>
  <c r="AF17" i="16"/>
  <c r="BA17" i="16"/>
  <c r="AE17" i="16"/>
  <c r="DE15" i="16"/>
  <c r="DF15" i="16"/>
  <c r="P18" i="16"/>
  <c r="M18" i="16"/>
  <c r="AF18" i="16"/>
  <c r="DL19" i="16"/>
  <c r="CP19" i="16"/>
  <c r="CQ19" i="16"/>
  <c r="BV23" i="16"/>
  <c r="BT15" i="16"/>
  <c r="BV24" i="16"/>
  <c r="BU24" i="16"/>
  <c r="BA27" i="16"/>
  <c r="AZ27" i="16"/>
  <c r="BE27" i="16"/>
  <c r="BV27" i="16"/>
  <c r="EM21" i="16"/>
  <c r="DQ21" i="16"/>
  <c r="AJ26" i="16"/>
  <c r="AF26" i="16"/>
  <c r="AE26" i="16"/>
  <c r="BU25" i="16"/>
  <c r="BV25" i="16"/>
  <c r="BG19" i="16"/>
  <c r="AJ33" i="16"/>
  <c r="BA33" i="16"/>
  <c r="AF33" i="16"/>
  <c r="AE33" i="16"/>
  <c r="CP34" i="16"/>
  <c r="CU34" i="16"/>
  <c r="DB29" i="16"/>
  <c r="DA32" i="16"/>
  <c r="EB39" i="16"/>
  <c r="EC40" i="16"/>
  <c r="BP15" i="16"/>
  <c r="BA25" i="16"/>
  <c r="BC13" i="16"/>
  <c r="BB29" i="16"/>
  <c r="BB40" i="16"/>
  <c r="AB17" i="21" s="1"/>
  <c r="BD13" i="16"/>
  <c r="DS40" i="16"/>
  <c r="DT13" i="16"/>
  <c r="DS29" i="16"/>
  <c r="DU13" i="16"/>
  <c r="DL12" i="16"/>
  <c r="CO10" i="16"/>
  <c r="CQ12" i="16"/>
  <c r="W13" i="16"/>
  <c r="G13" i="16"/>
  <c r="F40" i="16"/>
  <c r="F29" i="16"/>
  <c r="BX13" i="16"/>
  <c r="BW40" i="16"/>
  <c r="AP17" i="21" s="1"/>
  <c r="AP14" i="21" s="1"/>
  <c r="BY13" i="16"/>
  <c r="BW29" i="16"/>
  <c r="CT13" i="16"/>
  <c r="AZ10" i="16"/>
  <c r="AA29" i="16"/>
  <c r="AA40" i="16"/>
  <c r="J17" i="21" s="1"/>
  <c r="AC13" i="16"/>
  <c r="AX13" i="16"/>
  <c r="AB13" i="16"/>
  <c r="CF29" i="16"/>
  <c r="CG13" i="16"/>
  <c r="DC13" i="16"/>
  <c r="CF40" i="16"/>
  <c r="AW17" i="21" s="1"/>
  <c r="AW14" i="21" s="1"/>
  <c r="CH13" i="16"/>
  <c r="DP27" i="16"/>
  <c r="DL27" i="16"/>
  <c r="BL13" i="16"/>
  <c r="BM13" i="16"/>
  <c r="BK40" i="16"/>
  <c r="AH17" i="21" s="1"/>
  <c r="AH14" i="21" s="1"/>
  <c r="BK29" i="16"/>
  <c r="DG29" i="16"/>
  <c r="DI13" i="16"/>
  <c r="DH13" i="16"/>
  <c r="DG40" i="16"/>
  <c r="BX17" i="21" s="1"/>
  <c r="BX14" i="21" s="1"/>
  <c r="ED13" i="16"/>
  <c r="AE28" i="16"/>
  <c r="AD15" i="16"/>
  <c r="AJ28" i="16"/>
  <c r="AL28" i="16" s="1"/>
  <c r="DQ14" i="16"/>
  <c r="EM14" i="16"/>
  <c r="FK40" i="16"/>
  <c r="CP30" i="16"/>
  <c r="DL30" i="16"/>
  <c r="CQ30" i="16"/>
  <c r="D13" i="16"/>
  <c r="E10" i="16"/>
  <c r="FB33" i="16"/>
  <c r="EG33" i="16"/>
  <c r="EF33" i="16"/>
  <c r="EO40" i="16"/>
  <c r="H10" i="16"/>
  <c r="I10" i="16" s="1"/>
  <c r="L11" i="16"/>
  <c r="I11" i="16"/>
  <c r="H14" i="16"/>
  <c r="I14" i="16" s="1"/>
  <c r="DP23" i="16"/>
  <c r="DK23" i="16"/>
  <c r="DJ15" i="16"/>
  <c r="EA10" i="16"/>
  <c r="DZ10" i="16"/>
  <c r="EV10" i="16"/>
  <c r="EA15" i="16"/>
  <c r="EV15" i="16"/>
  <c r="CN32" i="17"/>
  <c r="EF9" i="16"/>
  <c r="EF7" i="16" s="1"/>
  <c r="EG9" i="16"/>
  <c r="EG23" i="16"/>
  <c r="EF23" i="16"/>
  <c r="EG17" i="16"/>
  <c r="EF17" i="16"/>
  <c r="EF21" i="16"/>
  <c r="EG21" i="16"/>
  <c r="CB20" i="16"/>
  <c r="CB34" i="16"/>
  <c r="EU7" i="16"/>
  <c r="EE7" i="16"/>
  <c r="DY13" i="16"/>
  <c r="EV13" i="16" s="1"/>
  <c r="EG18" i="16"/>
  <c r="EF18" i="16"/>
  <c r="EG27" i="16"/>
  <c r="EF27" i="16"/>
  <c r="EE15" i="16"/>
  <c r="EG16" i="16"/>
  <c r="EF16" i="16"/>
  <c r="EC35" i="16"/>
  <c r="EO29" i="16"/>
  <c r="EN32" i="16"/>
  <c r="FK32" i="16" s="1"/>
  <c r="EN39" i="16"/>
  <c r="FK39" i="16" s="1"/>
  <c r="EF10" i="16" l="1"/>
  <c r="CA22" i="16"/>
  <c r="EI39" i="16"/>
  <c r="AE7" i="16"/>
  <c r="BZ14" i="16"/>
  <c r="CA14" i="16" s="1"/>
  <c r="X39" i="16"/>
  <c r="Y39" i="16" s="1"/>
  <c r="H17" i="21"/>
  <c r="CR39" i="16"/>
  <c r="CS39" i="16" s="1"/>
  <c r="BI17" i="21"/>
  <c r="BI14" i="21" s="1"/>
  <c r="DX40" i="16"/>
  <c r="BR17" i="21"/>
  <c r="BR14" i="21" s="1"/>
  <c r="CA18" i="16"/>
  <c r="EP40" i="16"/>
  <c r="CJ17" i="21"/>
  <c r="CJ14" i="21" s="1"/>
  <c r="CA21" i="16"/>
  <c r="EJ39" i="16"/>
  <c r="CL39" i="16"/>
  <c r="CM39" i="16" s="1"/>
  <c r="BC17" i="21"/>
  <c r="BC14" i="21" s="1"/>
  <c r="S40" i="16"/>
  <c r="D17" i="21"/>
  <c r="BQ39" i="16"/>
  <c r="BR39" i="16" s="1"/>
  <c r="AL17" i="21"/>
  <c r="AL14" i="21" s="1"/>
  <c r="AG39" i="16"/>
  <c r="AH39" i="16" s="1"/>
  <c r="N17" i="21"/>
  <c r="CA8" i="16"/>
  <c r="CA26" i="16"/>
  <c r="CA24" i="16"/>
  <c r="CA23" i="16"/>
  <c r="CA31" i="16"/>
  <c r="CQ15" i="16"/>
  <c r="BV49" i="15"/>
  <c r="BW49" i="15"/>
  <c r="AP23" i="21"/>
  <c r="AP32" i="21"/>
  <c r="AR20" i="21"/>
  <c r="AR32" i="21" s="1"/>
  <c r="BJ49" i="15"/>
  <c r="BK49" i="15"/>
  <c r="BZ49" i="15"/>
  <c r="BM49" i="15"/>
  <c r="BN49" i="15"/>
  <c r="CI49" i="15"/>
  <c r="CH49" i="15"/>
  <c r="CU49" i="15"/>
  <c r="CD23" i="21"/>
  <c r="CG20" i="21"/>
  <c r="CD32" i="21"/>
  <c r="CF20" i="21"/>
  <c r="AX49" i="15"/>
  <c r="AY49" i="15"/>
  <c r="BY49" i="15"/>
  <c r="CL49" i="15"/>
  <c r="BO32" i="21"/>
  <c r="BQ32" i="21" s="1"/>
  <c r="BQ20" i="21"/>
  <c r="BO23" i="21"/>
  <c r="CF49" i="15"/>
  <c r="CE49" i="15"/>
  <c r="CR49" i="15"/>
  <c r="DA20" i="21"/>
  <c r="CY32" i="21"/>
  <c r="DB20" i="21"/>
  <c r="CY23" i="21"/>
  <c r="DV20" i="21"/>
  <c r="CB49" i="15"/>
  <c r="CC49" i="15"/>
  <c r="CO49" i="15"/>
  <c r="CJ32" i="21"/>
  <c r="CJ23" i="21"/>
  <c r="CL20" i="21"/>
  <c r="DG20" i="21"/>
  <c r="BS49" i="15"/>
  <c r="BT49" i="15"/>
  <c r="CS32" i="21"/>
  <c r="CV20" i="21"/>
  <c r="CU20" i="21"/>
  <c r="CS23" i="21"/>
  <c r="DP20" i="21"/>
  <c r="CM32" i="21"/>
  <c r="CP20" i="21"/>
  <c r="CM23" i="21"/>
  <c r="CO20" i="21"/>
  <c r="DJ20" i="21"/>
  <c r="BL20" i="21"/>
  <c r="BI32" i="21"/>
  <c r="BK20" i="21"/>
  <c r="BI23" i="21"/>
  <c r="BX23" i="21"/>
  <c r="BZ20" i="21"/>
  <c r="CA20" i="21"/>
  <c r="BX32" i="21"/>
  <c r="BZ32" i="21" s="1"/>
  <c r="CW8" i="16"/>
  <c r="CV5" i="16"/>
  <c r="CV6" i="16"/>
  <c r="CV4" i="16"/>
  <c r="BF33" i="16"/>
  <c r="BF5" i="16"/>
  <c r="BF6" i="16"/>
  <c r="BF4" i="16"/>
  <c r="Q12" i="16"/>
  <c r="Q5" i="16"/>
  <c r="Q6" i="16"/>
  <c r="Q4" i="16"/>
  <c r="EF4" i="16"/>
  <c r="CA20" i="16"/>
  <c r="CA6" i="16"/>
  <c r="CA5" i="16"/>
  <c r="CA4" i="16"/>
  <c r="CR50" i="15"/>
  <c r="CH47" i="15"/>
  <c r="CH50" i="15"/>
  <c r="CI50" i="15"/>
  <c r="CU50" i="15"/>
  <c r="CL50" i="15"/>
  <c r="CO50" i="15"/>
  <c r="DW39" i="16"/>
  <c r="Q21" i="16"/>
  <c r="Q23" i="16"/>
  <c r="EK35" i="16"/>
  <c r="FH35" i="16" s="1"/>
  <c r="EL32" i="16"/>
  <c r="P7" i="16"/>
  <c r="Q7" i="16" s="1"/>
  <c r="Q16" i="16"/>
  <c r="Q8" i="16"/>
  <c r="Q22" i="16"/>
  <c r="AJ14" i="16"/>
  <c r="AK14" i="16" s="1"/>
  <c r="M34" i="16"/>
  <c r="AN32" i="16"/>
  <c r="AM35" i="16"/>
  <c r="AN35" i="16" s="1"/>
  <c r="BA7" i="16"/>
  <c r="AJ10" i="16"/>
  <c r="AK10" i="16" s="1"/>
  <c r="CS40" i="16"/>
  <c r="BG11" i="16"/>
  <c r="BV7" i="16"/>
  <c r="EF14" i="16"/>
  <c r="DN29" i="16"/>
  <c r="Q9" i="16"/>
  <c r="BF28" i="16"/>
  <c r="BF20" i="16"/>
  <c r="CA30" i="16"/>
  <c r="CA12" i="16"/>
  <c r="CA25" i="16"/>
  <c r="CA10" i="16"/>
  <c r="CA16" i="16"/>
  <c r="CA34" i="16"/>
  <c r="CA27" i="16"/>
  <c r="CA17" i="16"/>
  <c r="CA19" i="16"/>
  <c r="Q25" i="16"/>
  <c r="DB40" i="16"/>
  <c r="BA14" i="16"/>
  <c r="BU7" i="16"/>
  <c r="CA15" i="16"/>
  <c r="Y40" i="16"/>
  <c r="CA11" i="16"/>
  <c r="BF10" i="16"/>
  <c r="BF22" i="16"/>
  <c r="Q20" i="16"/>
  <c r="Q30" i="16"/>
  <c r="Q28" i="16"/>
  <c r="Q19" i="16"/>
  <c r="Q26" i="16"/>
  <c r="BZ7" i="16"/>
  <c r="BZ13" i="16" s="1"/>
  <c r="EG14" i="16"/>
  <c r="Q33" i="16"/>
  <c r="AL8" i="16"/>
  <c r="Q17" i="16"/>
  <c r="BR35" i="16"/>
  <c r="DM32" i="16"/>
  <c r="DN32" i="16" s="1"/>
  <c r="AZ7" i="16"/>
  <c r="DO40" i="16"/>
  <c r="CN35" i="16"/>
  <c r="CI40" i="16"/>
  <c r="DO29" i="16"/>
  <c r="CV26" i="16"/>
  <c r="BE7" i="16"/>
  <c r="BF12" i="16"/>
  <c r="CB8" i="16"/>
  <c r="AY29" i="16"/>
  <c r="AY32" i="16" s="1"/>
  <c r="BF19" i="16"/>
  <c r="BF25" i="16"/>
  <c r="BF11" i="16"/>
  <c r="BF31" i="16"/>
  <c r="BF26" i="16"/>
  <c r="BF34" i="16"/>
  <c r="DA39" i="16"/>
  <c r="DB39" i="16" s="1"/>
  <c r="CM32" i="16"/>
  <c r="CS29" i="16"/>
  <c r="CK13" i="16"/>
  <c r="BF16" i="16"/>
  <c r="BF8" i="16"/>
  <c r="EH35" i="16"/>
  <c r="FE35" i="16" s="1"/>
  <c r="BF21" i="16"/>
  <c r="R39" i="16"/>
  <c r="S39" i="16" s="1"/>
  <c r="BG8" i="16"/>
  <c r="BF17" i="16"/>
  <c r="BE14" i="16"/>
  <c r="BF14" i="16" s="1"/>
  <c r="BF30" i="16"/>
  <c r="FH39" i="16"/>
  <c r="AO29" i="16"/>
  <c r="AN29" i="16"/>
  <c r="Y13" i="16"/>
  <c r="BV14" i="16"/>
  <c r="CI29" i="16"/>
  <c r="CI32" i="16" s="1"/>
  <c r="AI29" i="16"/>
  <c r="AG35" i="16"/>
  <c r="AG36" i="16" s="1"/>
  <c r="N32" i="16"/>
  <c r="O32" i="16" s="1"/>
  <c r="EI32" i="16"/>
  <c r="DR18" i="16"/>
  <c r="S32" i="16"/>
  <c r="BR40" i="16"/>
  <c r="DR10" i="16"/>
  <c r="BG22" i="16"/>
  <c r="X29" i="16"/>
  <c r="Y29" i="16" s="1"/>
  <c r="EG10" i="16"/>
  <c r="DR25" i="16"/>
  <c r="AO32" i="16"/>
  <c r="CM40" i="16"/>
  <c r="AO40" i="16"/>
  <c r="EM25" i="16"/>
  <c r="AF7" i="16"/>
  <c r="CQ14" i="16"/>
  <c r="DQ18" i="16"/>
  <c r="AH40" i="16"/>
  <c r="BV15" i="16"/>
  <c r="CY40" i="16"/>
  <c r="CX39" i="16"/>
  <c r="CY39" i="16" s="1"/>
  <c r="AR29" i="16"/>
  <c r="DL14" i="16"/>
  <c r="CA9" i="16"/>
  <c r="AS29" i="16"/>
  <c r="AS32" i="16" s="1"/>
  <c r="CN32" i="16"/>
  <c r="BT13" i="16"/>
  <c r="BU13" i="16" s="1"/>
  <c r="CR32" i="16"/>
  <c r="CS32" i="16" s="1"/>
  <c r="BA15" i="16"/>
  <c r="BV10" i="16"/>
  <c r="BR32" i="16"/>
  <c r="H13" i="16"/>
  <c r="H29" i="16" s="1"/>
  <c r="BG34" i="16"/>
  <c r="DP13" i="16"/>
  <c r="DP40" i="16" s="1"/>
  <c r="CG17" i="21" s="1"/>
  <c r="CG14" i="21" s="1"/>
  <c r="AF15" i="16"/>
  <c r="AL25" i="16"/>
  <c r="CV28" i="16"/>
  <c r="CB22" i="16"/>
  <c r="AL23" i="16"/>
  <c r="P15" i="16"/>
  <c r="Q15" i="16" s="1"/>
  <c r="CE29" i="16"/>
  <c r="EG7" i="16"/>
  <c r="DK14" i="16"/>
  <c r="CN40" i="16"/>
  <c r="BP13" i="16"/>
  <c r="CB23" i="16"/>
  <c r="BF23" i="16"/>
  <c r="CD40" i="16"/>
  <c r="CC39" i="16"/>
  <c r="CZ40" i="16"/>
  <c r="CU15" i="16"/>
  <c r="CW15" i="16" s="1"/>
  <c r="AP32" i="16"/>
  <c r="AQ32" i="16" s="1"/>
  <c r="AS40" i="16"/>
  <c r="BH32" i="16"/>
  <c r="BI32" i="16" s="1"/>
  <c r="N39" i="16"/>
  <c r="O39" i="16" s="1"/>
  <c r="J32" i="16"/>
  <c r="K32" i="16" s="1"/>
  <c r="CC32" i="16"/>
  <c r="CZ32" i="16" s="1"/>
  <c r="CD29" i="16"/>
  <c r="AI40" i="16"/>
  <c r="BJ29" i="16"/>
  <c r="DJ13" i="16"/>
  <c r="DJ29" i="16" s="1"/>
  <c r="AU13" i="16"/>
  <c r="BG23" i="16"/>
  <c r="CZ29" i="16"/>
  <c r="CQ7" i="16"/>
  <c r="DF13" i="16"/>
  <c r="DD29" i="16"/>
  <c r="DE13" i="16"/>
  <c r="DD40" i="16"/>
  <c r="BU17" i="21" s="1"/>
  <c r="BU14" i="21" s="1"/>
  <c r="CU14" i="16"/>
  <c r="CV25" i="16"/>
  <c r="CV33" i="16"/>
  <c r="CV20" i="16"/>
  <c r="CV8" i="16"/>
  <c r="CV17" i="16"/>
  <c r="CV30" i="16"/>
  <c r="CV19" i="16"/>
  <c r="CV27" i="16"/>
  <c r="CV21" i="16"/>
  <c r="CV16" i="16"/>
  <c r="CV22" i="16"/>
  <c r="CV31" i="16"/>
  <c r="CU7" i="16"/>
  <c r="CV10" i="16"/>
  <c r="CV11" i="16"/>
  <c r="CV18" i="16"/>
  <c r="CV12" i="16"/>
  <c r="CV23" i="16"/>
  <c r="CV9" i="16"/>
  <c r="DR8" i="16"/>
  <c r="CV24" i="16"/>
  <c r="BF18" i="16"/>
  <c r="BG18" i="16"/>
  <c r="CB18" i="16"/>
  <c r="CW33" i="16"/>
  <c r="CB33" i="16"/>
  <c r="AV32" i="16"/>
  <c r="AW29" i="16"/>
  <c r="BS29" i="16"/>
  <c r="EA13" i="16"/>
  <c r="DL7" i="16"/>
  <c r="CA33" i="16"/>
  <c r="AN39" i="16"/>
  <c r="V40" i="16"/>
  <c r="U39" i="16"/>
  <c r="AR40" i="16"/>
  <c r="AK22" i="16"/>
  <c r="AL22" i="16"/>
  <c r="BF24" i="16"/>
  <c r="BG24" i="16"/>
  <c r="CB24" i="16"/>
  <c r="BE15" i="16"/>
  <c r="BG25" i="16"/>
  <c r="U32" i="16"/>
  <c r="V29" i="16"/>
  <c r="BH39" i="16"/>
  <c r="CE40" i="16"/>
  <c r="BJ40" i="16"/>
  <c r="BI40" i="16"/>
  <c r="BN29" i="16"/>
  <c r="BO13" i="16"/>
  <c r="BN40" i="16"/>
  <c r="AJ17" i="21" s="1"/>
  <c r="AJ14" i="21" s="1"/>
  <c r="Z10" i="16"/>
  <c r="CW9" i="16"/>
  <c r="CB9" i="16"/>
  <c r="AV39" i="16"/>
  <c r="AW39" i="16" s="1"/>
  <c r="AW40" i="16"/>
  <c r="BS40" i="16"/>
  <c r="DY40" i="16"/>
  <c r="DB32" i="16"/>
  <c r="DA35" i="16"/>
  <c r="DX32" i="16"/>
  <c r="AL33" i="16"/>
  <c r="AK33" i="16"/>
  <c r="BG33" i="16"/>
  <c r="AK26" i="16"/>
  <c r="AL26" i="16"/>
  <c r="BG27" i="16"/>
  <c r="BF27" i="16"/>
  <c r="CB27" i="16"/>
  <c r="Q18" i="16"/>
  <c r="AL18" i="16"/>
  <c r="BG17" i="16"/>
  <c r="AK17" i="16"/>
  <c r="AL17" i="16"/>
  <c r="CY32" i="16"/>
  <c r="CX35" i="16"/>
  <c r="R36" i="16"/>
  <c r="S35" i="16"/>
  <c r="Q27" i="16"/>
  <c r="AL27" i="16"/>
  <c r="EY39" i="16"/>
  <c r="EC39" i="16"/>
  <c r="CW34" i="16"/>
  <c r="CV34" i="16"/>
  <c r="AD40" i="16"/>
  <c r="L17" i="21" s="1"/>
  <c r="AE13" i="16"/>
  <c r="BU15" i="16"/>
  <c r="CL36" i="16"/>
  <c r="CM35" i="16"/>
  <c r="AZ13" i="16"/>
  <c r="BA13" i="16"/>
  <c r="AY40" i="16"/>
  <c r="Z17" i="21" s="1"/>
  <c r="W40" i="16"/>
  <c r="F39" i="16"/>
  <c r="G40" i="16"/>
  <c r="CP10" i="16"/>
  <c r="DL10" i="16"/>
  <c r="CQ10" i="16"/>
  <c r="CO13" i="16"/>
  <c r="DT29" i="16"/>
  <c r="DS32" i="16"/>
  <c r="EP32" i="16" s="1"/>
  <c r="DU29" i="16"/>
  <c r="DS39" i="16"/>
  <c r="EP39" i="16" s="1"/>
  <c r="DU40" i="16"/>
  <c r="DT40" i="16"/>
  <c r="BB39" i="16"/>
  <c r="BD40" i="16"/>
  <c r="BC40" i="16"/>
  <c r="BW32" i="16"/>
  <c r="BX29" i="16"/>
  <c r="BY29" i="16"/>
  <c r="CT29" i="16"/>
  <c r="BW39" i="16"/>
  <c r="BY40" i="16"/>
  <c r="BX40" i="16"/>
  <c r="CT40" i="16"/>
  <c r="F32" i="16"/>
  <c r="W29" i="16"/>
  <c r="G29" i="16"/>
  <c r="BC29" i="16"/>
  <c r="BB32" i="16"/>
  <c r="BD29" i="16"/>
  <c r="EP29" i="16"/>
  <c r="AD29" i="16"/>
  <c r="AE15" i="16"/>
  <c r="DI29" i="16"/>
  <c r="DH29" i="16"/>
  <c r="ED29" i="16"/>
  <c r="DG32" i="16"/>
  <c r="BK39" i="16"/>
  <c r="BM40" i="16"/>
  <c r="BL40" i="16"/>
  <c r="EM27" i="16"/>
  <c r="DQ27" i="16"/>
  <c r="DR27" i="16"/>
  <c r="CG40" i="16"/>
  <c r="CF39" i="16"/>
  <c r="DC40" i="16"/>
  <c r="CH40" i="16"/>
  <c r="AA32" i="16"/>
  <c r="AX29" i="16"/>
  <c r="AC29" i="16"/>
  <c r="AB29" i="16"/>
  <c r="AK28" i="16"/>
  <c r="AJ15" i="16"/>
  <c r="AK15" i="16" s="1"/>
  <c r="DG39" i="16"/>
  <c r="DH40" i="16"/>
  <c r="DI40" i="16"/>
  <c r="ED40" i="16"/>
  <c r="CH29" i="16"/>
  <c r="BK32" i="16"/>
  <c r="BL29" i="16"/>
  <c r="BM29" i="16"/>
  <c r="CF32" i="16"/>
  <c r="DC29" i="16"/>
  <c r="CG29" i="16"/>
  <c r="AB40" i="16"/>
  <c r="AC40" i="16"/>
  <c r="AA39" i="16"/>
  <c r="AX40" i="16"/>
  <c r="FB15" i="16"/>
  <c r="EG15" i="16"/>
  <c r="E13" i="16"/>
  <c r="T13" i="16"/>
  <c r="D40" i="16"/>
  <c r="D29" i="16"/>
  <c r="Z14" i="16"/>
  <c r="DZ13" i="16"/>
  <c r="DY29" i="16"/>
  <c r="EV29" i="16" s="1"/>
  <c r="EO39" i="16"/>
  <c r="M11" i="16"/>
  <c r="L14" i="16"/>
  <c r="L10" i="16"/>
  <c r="P11" i="16"/>
  <c r="AF11" i="16"/>
  <c r="DL15" i="16"/>
  <c r="DK15" i="16"/>
  <c r="DQ23" i="16"/>
  <c r="DP15" i="16"/>
  <c r="EM15" i="16" s="1"/>
  <c r="DR23" i="16"/>
  <c r="EM23" i="16"/>
  <c r="EF15" i="16"/>
  <c r="EE13" i="16"/>
  <c r="FB13" i="16" s="1"/>
  <c r="FB7" i="16"/>
  <c r="CN31" i="17"/>
  <c r="AL34" i="16"/>
  <c r="Q34" i="16"/>
  <c r="EO32" i="16"/>
  <c r="EN35" i="16"/>
  <c r="AM36" i="16" l="1"/>
  <c r="AO35" i="16"/>
  <c r="BG14" i="16"/>
  <c r="CW14" i="16"/>
  <c r="H40" i="16"/>
  <c r="Z40" i="16" s="1"/>
  <c r="DO39" i="16"/>
  <c r="AL7" i="16"/>
  <c r="CN39" i="16"/>
  <c r="DY39" i="16"/>
  <c r="EV39" i="16" s="1"/>
  <c r="CP17" i="21"/>
  <c r="CP14" i="21" s="1"/>
  <c r="BG10" i="16"/>
  <c r="AT40" i="16"/>
  <c r="V17" i="21"/>
  <c r="AJ13" i="16"/>
  <c r="AJ40" i="16" s="1"/>
  <c r="P17" i="21" s="1"/>
  <c r="CW7" i="16"/>
  <c r="CJ40" i="16"/>
  <c r="AZ17" i="21"/>
  <c r="AZ14" i="21" s="1"/>
  <c r="BK32" i="21"/>
  <c r="CP23" i="21"/>
  <c r="CM35" i="21"/>
  <c r="CO23" i="21"/>
  <c r="DJ23" i="21"/>
  <c r="CV23" i="21"/>
  <c r="CU23" i="21"/>
  <c r="CS35" i="21"/>
  <c r="DP23" i="21"/>
  <c r="CL23" i="21"/>
  <c r="CJ35" i="21"/>
  <c r="DG23" i="21"/>
  <c r="DA32" i="21"/>
  <c r="DV32" i="21"/>
  <c r="CA23" i="21"/>
  <c r="BZ23" i="21"/>
  <c r="BX35" i="21"/>
  <c r="BZ35" i="21" s="1"/>
  <c r="BN20" i="21"/>
  <c r="BL32" i="21"/>
  <c r="BN32" i="21" s="1"/>
  <c r="CP32" i="21"/>
  <c r="CR20" i="21"/>
  <c r="DM20" i="21"/>
  <c r="CL32" i="21"/>
  <c r="DG32" i="21"/>
  <c r="BQ23" i="21"/>
  <c r="BO35" i="21"/>
  <c r="BQ35" i="21" s="1"/>
  <c r="CF32" i="21"/>
  <c r="BI35" i="21"/>
  <c r="BL23" i="21"/>
  <c r="BK23" i="21"/>
  <c r="CO32" i="21"/>
  <c r="DJ32" i="21"/>
  <c r="CV32" i="21"/>
  <c r="CX20" i="21"/>
  <c r="DS20" i="21"/>
  <c r="CY35" i="21"/>
  <c r="DB23" i="21"/>
  <c r="DA23" i="21"/>
  <c r="DV23" i="21"/>
  <c r="CI20" i="21"/>
  <c r="CG32" i="21"/>
  <c r="AR23" i="21"/>
  <c r="AR35" i="21" s="1"/>
  <c r="AP35" i="21"/>
  <c r="CA32" i="21"/>
  <c r="CC32" i="21" s="1"/>
  <c r="CC20" i="21"/>
  <c r="CU32" i="21"/>
  <c r="DP32" i="21"/>
  <c r="DY20" i="21"/>
  <c r="DB32" i="21"/>
  <c r="DD20" i="21"/>
  <c r="CG23" i="21"/>
  <c r="CG35" i="21" s="1"/>
  <c r="CF23" i="21"/>
  <c r="CD35" i="21"/>
  <c r="EL35" i="16"/>
  <c r="AH35" i="16"/>
  <c r="I13" i="16"/>
  <c r="EI35" i="16"/>
  <c r="X32" i="16"/>
  <c r="Y32" i="16" s="1"/>
  <c r="EJ32" i="16"/>
  <c r="N35" i="16"/>
  <c r="O35" i="16" s="1"/>
  <c r="CK40" i="16"/>
  <c r="DM35" i="16"/>
  <c r="EJ35" i="16" s="1"/>
  <c r="CI39" i="16"/>
  <c r="CJ39" i="16" s="1"/>
  <c r="AZ29" i="16"/>
  <c r="AK13" i="16"/>
  <c r="CA7" i="16"/>
  <c r="CB7" i="16"/>
  <c r="DX39" i="16"/>
  <c r="AO39" i="16"/>
  <c r="CJ29" i="16"/>
  <c r="CK29" i="16"/>
  <c r="BF7" i="16"/>
  <c r="BE13" i="16"/>
  <c r="BE29" i="16" s="1"/>
  <c r="BG7" i="16"/>
  <c r="CB14" i="16"/>
  <c r="BA29" i="16"/>
  <c r="AI32" i="16"/>
  <c r="DQ13" i="16"/>
  <c r="CB15" i="16"/>
  <c r="EM13" i="16"/>
  <c r="AP35" i="16"/>
  <c r="AP36" i="16" s="1"/>
  <c r="J35" i="16"/>
  <c r="J36" i="16" s="1"/>
  <c r="DZ40" i="16"/>
  <c r="BV13" i="16"/>
  <c r="EV40" i="16"/>
  <c r="DO32" i="16"/>
  <c r="EA40" i="16"/>
  <c r="BT29" i="16"/>
  <c r="BU29" i="16" s="1"/>
  <c r="AT29" i="16"/>
  <c r="AU40" i="16"/>
  <c r="CR35" i="16"/>
  <c r="Z13" i="16"/>
  <c r="AU29" i="16"/>
  <c r="AS39" i="16"/>
  <c r="AT39" i="16" s="1"/>
  <c r="BT40" i="16"/>
  <c r="BJ32" i="16"/>
  <c r="DL13" i="16"/>
  <c r="AR32" i="16"/>
  <c r="BS39" i="16"/>
  <c r="AI39" i="16"/>
  <c r="DD39" i="16"/>
  <c r="DE40" i="16"/>
  <c r="DF40" i="16"/>
  <c r="CD39" i="16"/>
  <c r="CZ39" i="16"/>
  <c r="EA29" i="16"/>
  <c r="BF15" i="16"/>
  <c r="DJ40" i="16"/>
  <c r="CV15" i="16"/>
  <c r="BH35" i="16"/>
  <c r="BH36" i="16" s="1"/>
  <c r="DR7" i="16"/>
  <c r="CV7" i="16"/>
  <c r="CU13" i="16"/>
  <c r="CW13" i="16" s="1"/>
  <c r="DF29" i="16"/>
  <c r="DE29" i="16"/>
  <c r="DD32" i="16"/>
  <c r="DF32" i="16" s="1"/>
  <c r="CD32" i="16"/>
  <c r="CC35" i="16"/>
  <c r="CE35" i="16" s="1"/>
  <c r="DK13" i="16"/>
  <c r="CE32" i="16"/>
  <c r="DZ29" i="16"/>
  <c r="CV14" i="16"/>
  <c r="DR14" i="16"/>
  <c r="BN32" i="16"/>
  <c r="BP32" i="16" s="1"/>
  <c r="BO29" i="16"/>
  <c r="BJ39" i="16"/>
  <c r="BI39" i="16"/>
  <c r="CE39" i="16"/>
  <c r="V39" i="16"/>
  <c r="AR39" i="16"/>
  <c r="AW32" i="16"/>
  <c r="AV35" i="16"/>
  <c r="BS32" i="16"/>
  <c r="DY32" i="16"/>
  <c r="EV32" i="16" s="1"/>
  <c r="BP29" i="16"/>
  <c r="BO40" i="16"/>
  <c r="BP40" i="16"/>
  <c r="BN39" i="16"/>
  <c r="BO39" i="16" s="1"/>
  <c r="V32" i="16"/>
  <c r="U35" i="16"/>
  <c r="AL15" i="16"/>
  <c r="CI35" i="16"/>
  <c r="CJ32" i="16"/>
  <c r="CX36" i="16"/>
  <c r="CY35" i="16"/>
  <c r="AT32" i="16"/>
  <c r="AS35" i="16"/>
  <c r="AD39" i="16"/>
  <c r="AE39" i="16" s="1"/>
  <c r="AE40" i="16"/>
  <c r="DB35" i="16"/>
  <c r="DX35" i="16"/>
  <c r="BG15" i="16"/>
  <c r="AJ29" i="16"/>
  <c r="AK29" i="16" s="1"/>
  <c r="BW35" i="16"/>
  <c r="BX32" i="16"/>
  <c r="BY32" i="16"/>
  <c r="CT32" i="16"/>
  <c r="DU39" i="16"/>
  <c r="DT39" i="16"/>
  <c r="DT32" i="16"/>
  <c r="DS35" i="16"/>
  <c r="EP35" i="16" s="1"/>
  <c r="DU32" i="16"/>
  <c r="CO29" i="16"/>
  <c r="DL29" i="16" s="1"/>
  <c r="CQ13" i="16"/>
  <c r="CP13" i="16"/>
  <c r="CO40" i="16"/>
  <c r="BF17" i="21" s="1"/>
  <c r="BF14" i="21" s="1"/>
  <c r="G39" i="16"/>
  <c r="W39" i="16"/>
  <c r="AY39" i="16"/>
  <c r="AZ40" i="16"/>
  <c r="BA40" i="16"/>
  <c r="BB35" i="16"/>
  <c r="BD32" i="16"/>
  <c r="BC32" i="16"/>
  <c r="G32" i="16"/>
  <c r="W32" i="16"/>
  <c r="F35" i="16"/>
  <c r="BX39" i="16"/>
  <c r="BY39" i="16"/>
  <c r="CT39" i="16"/>
  <c r="BC39" i="16"/>
  <c r="BD39" i="16"/>
  <c r="AX39" i="16"/>
  <c r="AB39" i="16"/>
  <c r="AC39" i="16"/>
  <c r="CG32" i="16"/>
  <c r="CF35" i="16"/>
  <c r="DC32" i="16"/>
  <c r="CH32" i="16"/>
  <c r="DI39" i="16"/>
  <c r="ED39" i="16"/>
  <c r="DH39" i="16"/>
  <c r="CH39" i="16"/>
  <c r="DC39" i="16"/>
  <c r="CG39" i="16"/>
  <c r="DH32" i="16"/>
  <c r="DI32" i="16"/>
  <c r="DG35" i="16"/>
  <c r="ED32" i="16"/>
  <c r="EM40" i="16"/>
  <c r="DQ40" i="16"/>
  <c r="DP39" i="16"/>
  <c r="BL32" i="16"/>
  <c r="BK35" i="16"/>
  <c r="BM32" i="16"/>
  <c r="AA35" i="16"/>
  <c r="AC32" i="16"/>
  <c r="AB32" i="16"/>
  <c r="AX32" i="16"/>
  <c r="BL39" i="16"/>
  <c r="BM39" i="16"/>
  <c r="AE29" i="16"/>
  <c r="AD32" i="16"/>
  <c r="BA32" i="16" s="1"/>
  <c r="EN36" i="16"/>
  <c r="FK35" i="16"/>
  <c r="EF13" i="16"/>
  <c r="T29" i="16"/>
  <c r="D32" i="16"/>
  <c r="E29" i="16"/>
  <c r="D39" i="16"/>
  <c r="T40" i="16"/>
  <c r="E40" i="16"/>
  <c r="BZ40" i="16"/>
  <c r="AR17" i="21" s="1"/>
  <c r="AR14" i="21" s="1"/>
  <c r="BZ29" i="16"/>
  <c r="CA13" i="16"/>
  <c r="EE40" i="16"/>
  <c r="CV17" i="21" s="1"/>
  <c r="CV14" i="21" s="1"/>
  <c r="Q11" i="16"/>
  <c r="P10" i="16"/>
  <c r="P14" i="16"/>
  <c r="AL11" i="16"/>
  <c r="AF14" i="16"/>
  <c r="M14" i="16"/>
  <c r="M10" i="16"/>
  <c r="AF10" i="16"/>
  <c r="L13" i="16"/>
  <c r="EG13" i="16"/>
  <c r="EE29" i="16"/>
  <c r="DP29" i="16"/>
  <c r="DQ15" i="16"/>
  <c r="DR15" i="16"/>
  <c r="DK29" i="16"/>
  <c r="DJ32" i="16"/>
  <c r="AZ32" i="16"/>
  <c r="AY35" i="16"/>
  <c r="AK40" i="16"/>
  <c r="Z29" i="16"/>
  <c r="I29" i="16"/>
  <c r="H32" i="16"/>
  <c r="EO35" i="16"/>
  <c r="H39" i="16" l="1"/>
  <c r="AJ39" i="16"/>
  <c r="I40" i="16"/>
  <c r="EA39" i="16"/>
  <c r="DZ39" i="16"/>
  <c r="N36" i="16"/>
  <c r="DN35" i="16"/>
  <c r="DK40" i="16"/>
  <c r="CA17" i="21"/>
  <c r="CA14" i="21" s="1"/>
  <c r="BV40" i="16"/>
  <c r="AN17" i="21"/>
  <c r="AN14" i="21" s="1"/>
  <c r="X35" i="16"/>
  <c r="X36" i="16" s="1"/>
  <c r="BG13" i="16"/>
  <c r="BK35" i="21"/>
  <c r="CF35" i="21"/>
  <c r="CI32" i="21"/>
  <c r="CX32" i="21"/>
  <c r="DS32" i="21"/>
  <c r="CA35" i="21"/>
  <c r="CC35" i="21" s="1"/>
  <c r="CC23" i="21"/>
  <c r="CL35" i="21"/>
  <c r="DG35" i="21"/>
  <c r="CO35" i="21"/>
  <c r="DJ35" i="21"/>
  <c r="DD32" i="21"/>
  <c r="DY32" i="21"/>
  <c r="DD23" i="21"/>
  <c r="DB35" i="21"/>
  <c r="DY23" i="21"/>
  <c r="CI23" i="21"/>
  <c r="BL35" i="21"/>
  <c r="BN35" i="21" s="1"/>
  <c r="BN23" i="21"/>
  <c r="DA35" i="21"/>
  <c r="DV35" i="21"/>
  <c r="CR32" i="21"/>
  <c r="DM32" i="21"/>
  <c r="CU35" i="21"/>
  <c r="DP35" i="21"/>
  <c r="CV35" i="21"/>
  <c r="CX23" i="21"/>
  <c r="DS23" i="21"/>
  <c r="CR23" i="21"/>
  <c r="CP35" i="21"/>
  <c r="DM23" i="21"/>
  <c r="AI35" i="16"/>
  <c r="AQ35" i="16"/>
  <c r="AU32" i="16"/>
  <c r="DO35" i="16"/>
  <c r="CB13" i="16"/>
  <c r="AU39" i="16"/>
  <c r="BF29" i="16"/>
  <c r="CB29" i="16"/>
  <c r="BE32" i="16"/>
  <c r="BF32" i="16" s="1"/>
  <c r="BV29" i="16"/>
  <c r="BT32" i="16"/>
  <c r="BV32" i="16" s="1"/>
  <c r="BF13" i="16"/>
  <c r="BE40" i="16"/>
  <c r="AD17" i="21" s="1"/>
  <c r="K35" i="16"/>
  <c r="CZ35" i="16"/>
  <c r="CS35" i="16"/>
  <c r="BI35" i="16"/>
  <c r="DL40" i="16"/>
  <c r="DZ32" i="16"/>
  <c r="BJ35" i="16"/>
  <c r="BU40" i="16"/>
  <c r="BT39" i="16"/>
  <c r="BU39" i="16" s="1"/>
  <c r="CK39" i="16"/>
  <c r="DY35" i="16"/>
  <c r="EV35" i="16" s="1"/>
  <c r="BP39" i="16"/>
  <c r="CU29" i="16"/>
  <c r="CU32" i="16" s="1"/>
  <c r="EG40" i="16"/>
  <c r="AJ32" i="16"/>
  <c r="AJ35" i="16" s="1"/>
  <c r="CC36" i="16"/>
  <c r="CD35" i="16"/>
  <c r="DE32" i="16"/>
  <c r="DD35" i="16"/>
  <c r="DE35" i="16" s="1"/>
  <c r="DF39" i="16"/>
  <c r="DE39" i="16"/>
  <c r="EA32" i="16"/>
  <c r="DJ39" i="16"/>
  <c r="CV13" i="16"/>
  <c r="CU40" i="16"/>
  <c r="DR13" i="16"/>
  <c r="CK32" i="16"/>
  <c r="V35" i="16"/>
  <c r="U36" i="16"/>
  <c r="AV36" i="16"/>
  <c r="BS35" i="16"/>
  <c r="AW35" i="16"/>
  <c r="AR35" i="16"/>
  <c r="BO32" i="16"/>
  <c r="BN35" i="16"/>
  <c r="BG29" i="16"/>
  <c r="AT35" i="16"/>
  <c r="AS36" i="16"/>
  <c r="CI36" i="16"/>
  <c r="CJ35" i="16"/>
  <c r="F36" i="16"/>
  <c r="W35" i="16"/>
  <c r="G35" i="16"/>
  <c r="CQ29" i="16"/>
  <c r="CP29" i="16"/>
  <c r="CO32" i="16"/>
  <c r="DL32" i="16" s="1"/>
  <c r="DS36" i="16"/>
  <c r="DY36" i="16" s="1"/>
  <c r="EA36" i="16" s="1"/>
  <c r="DT35" i="16"/>
  <c r="DU35" i="16"/>
  <c r="BC35" i="16"/>
  <c r="BB36" i="16"/>
  <c r="BD35" i="16"/>
  <c r="AZ39" i="16"/>
  <c r="BA39" i="16"/>
  <c r="CQ40" i="16"/>
  <c r="CO39" i="16"/>
  <c r="CP40" i="16"/>
  <c r="BW36" i="16"/>
  <c r="CT35" i="16"/>
  <c r="BX35" i="16"/>
  <c r="BY35" i="16"/>
  <c r="AE32" i="16"/>
  <c r="AD35" i="16"/>
  <c r="BA35" i="16" s="1"/>
  <c r="BL35" i="16"/>
  <c r="BM35" i="16"/>
  <c r="BK36" i="16"/>
  <c r="DH35" i="16"/>
  <c r="DI35" i="16"/>
  <c r="ED35" i="16"/>
  <c r="CG35" i="16"/>
  <c r="DC35" i="16"/>
  <c r="CF36" i="16"/>
  <c r="CH35" i="16"/>
  <c r="AB35" i="16"/>
  <c r="AX35" i="16"/>
  <c r="AA36" i="16"/>
  <c r="AC35" i="16"/>
  <c r="EM39" i="16"/>
  <c r="DQ39" i="16"/>
  <c r="ET36" i="16"/>
  <c r="FK36" i="16"/>
  <c r="EE39" i="16"/>
  <c r="EF39" i="16" s="1"/>
  <c r="E39" i="16"/>
  <c r="T39" i="16"/>
  <c r="T32" i="16"/>
  <c r="E32" i="16"/>
  <c r="D35" i="16"/>
  <c r="BZ32" i="16"/>
  <c r="CA29" i="16"/>
  <c r="BZ39" i="16"/>
  <c r="CA40" i="16"/>
  <c r="FB40" i="16"/>
  <c r="EF40" i="16"/>
  <c r="FH36" i="16"/>
  <c r="Q10" i="16"/>
  <c r="AL10" i="16"/>
  <c r="P13" i="16"/>
  <c r="AF13" i="16"/>
  <c r="M13" i="16"/>
  <c r="L40" i="16"/>
  <c r="L29" i="16"/>
  <c r="Q14" i="16"/>
  <c r="AL14" i="16"/>
  <c r="FB29" i="16"/>
  <c r="EF29" i="16"/>
  <c r="EE32" i="16"/>
  <c r="EG29" i="16"/>
  <c r="EM29" i="16"/>
  <c r="DP32" i="16"/>
  <c r="DQ29" i="16"/>
  <c r="DK32" i="16"/>
  <c r="DJ35" i="16"/>
  <c r="AK39" i="16"/>
  <c r="AY36" i="16"/>
  <c r="AZ35" i="16"/>
  <c r="EO36" i="16"/>
  <c r="Z32" i="16"/>
  <c r="I32" i="16"/>
  <c r="H35" i="16"/>
  <c r="Z39" i="16"/>
  <c r="I39" i="16"/>
  <c r="CW40" i="16" l="1"/>
  <c r="BL17" i="21"/>
  <c r="BL14" i="21" s="1"/>
  <c r="Y35" i="16"/>
  <c r="AU35" i="16"/>
  <c r="CR35" i="21"/>
  <c r="DM35" i="21"/>
  <c r="CI35" i="21"/>
  <c r="CX35" i="21"/>
  <c r="DS35" i="21"/>
  <c r="DD35" i="21"/>
  <c r="DY35" i="21"/>
  <c r="BU32" i="16"/>
  <c r="BE35" i="16"/>
  <c r="BF35" i="16" s="1"/>
  <c r="CB32" i="16"/>
  <c r="BT35" i="16"/>
  <c r="BV35" i="16" s="1"/>
  <c r="BG32" i="16"/>
  <c r="BE39" i="16"/>
  <c r="CB39" i="16" s="1"/>
  <c r="BF40" i="16"/>
  <c r="BG40" i="16"/>
  <c r="CB40" i="16"/>
  <c r="DR29" i="16"/>
  <c r="CW29" i="16"/>
  <c r="CV29" i="16"/>
  <c r="DZ35" i="16"/>
  <c r="DL39" i="16"/>
  <c r="BV39" i="16"/>
  <c r="DK39" i="16"/>
  <c r="EA35" i="16"/>
  <c r="DR40" i="16"/>
  <c r="CU39" i="16"/>
  <c r="CW39" i="16" s="1"/>
  <c r="CV40" i="16"/>
  <c r="EP36" i="16"/>
  <c r="CU35" i="16"/>
  <c r="CV32" i="16"/>
  <c r="AK32" i="16"/>
  <c r="DF35" i="16"/>
  <c r="BN36" i="16"/>
  <c r="BO35" i="16"/>
  <c r="FB39" i="16"/>
  <c r="BP35" i="16"/>
  <c r="CK35" i="16"/>
  <c r="EZ36" i="16"/>
  <c r="FW36" i="16" s="1"/>
  <c r="FQ36" i="16"/>
  <c r="EG39" i="16"/>
  <c r="CP39" i="16"/>
  <c r="CQ39" i="16"/>
  <c r="CO35" i="16"/>
  <c r="DL35" i="16" s="1"/>
  <c r="CQ32" i="16"/>
  <c r="CP32" i="16"/>
  <c r="AE35" i="16"/>
  <c r="AD36" i="16"/>
  <c r="D36" i="16"/>
  <c r="T35" i="16"/>
  <c r="E35" i="16"/>
  <c r="CA32" i="16"/>
  <c r="BZ35" i="16"/>
  <c r="CW32" i="16"/>
  <c r="CA39" i="16"/>
  <c r="L39" i="16"/>
  <c r="M40" i="16"/>
  <c r="AF40" i="16"/>
  <c r="M29" i="16"/>
  <c r="AF29" i="16"/>
  <c r="L32" i="16"/>
  <c r="P40" i="16"/>
  <c r="AL13" i="16"/>
  <c r="Q13" i="16"/>
  <c r="P29" i="16"/>
  <c r="DP35" i="16"/>
  <c r="EM32" i="16"/>
  <c r="DQ32" i="16"/>
  <c r="DR32" i="16"/>
  <c r="FB32" i="16"/>
  <c r="EF32" i="16"/>
  <c r="EG32" i="16"/>
  <c r="EE35" i="16"/>
  <c r="EV36" i="16"/>
  <c r="EU36" i="16"/>
  <c r="AK35" i="16"/>
  <c r="AJ36" i="16"/>
  <c r="DK35" i="16"/>
  <c r="Z35" i="16"/>
  <c r="I35" i="16"/>
  <c r="H36" i="16"/>
  <c r="BE36" i="16" l="1"/>
  <c r="BG35" i="16"/>
  <c r="CB35" i="16"/>
  <c r="FB36" i="16"/>
  <c r="BU35" i="16"/>
  <c r="BT36" i="16"/>
  <c r="BF39" i="16"/>
  <c r="BG39" i="16"/>
  <c r="FA36" i="16"/>
  <c r="CU36" i="16"/>
  <c r="CV35" i="16"/>
  <c r="CV39" i="16"/>
  <c r="DR39" i="16"/>
  <c r="CP35" i="16"/>
  <c r="CO36" i="16"/>
  <c r="CQ35" i="16"/>
  <c r="CA35" i="16"/>
  <c r="BZ36" i="16"/>
  <c r="CW35" i="16"/>
  <c r="AL40" i="16"/>
  <c r="Q40" i="16"/>
  <c r="P39" i="16"/>
  <c r="M39" i="16"/>
  <c r="AF39" i="16"/>
  <c r="Q29" i="16"/>
  <c r="AL29" i="16"/>
  <c r="P32" i="16"/>
  <c r="M32" i="16"/>
  <c r="AF32" i="16"/>
  <c r="L35" i="16"/>
  <c r="FB35" i="16"/>
  <c r="EG35" i="16"/>
  <c r="EF35" i="16"/>
  <c r="DR35" i="16"/>
  <c r="DQ35" i="16"/>
  <c r="EM35" i="16"/>
  <c r="Q32" i="16" l="1"/>
  <c r="AL32" i="16"/>
  <c r="P35" i="16"/>
  <c r="AF35" i="16"/>
  <c r="M35" i="16"/>
  <c r="L36" i="16"/>
  <c r="AL39" i="16"/>
  <c r="Q39" i="16"/>
  <c r="P36" i="16" l="1"/>
  <c r="Q35" i="16"/>
  <c r="AL35" i="16"/>
  <c r="CK7" i="17" l="1"/>
  <c r="CK6" i="17" l="1"/>
  <c r="CQ7" i="17"/>
  <c r="CC6" i="17" l="1"/>
  <c r="CD48" i="17" s="1"/>
  <c r="CE7" i="17"/>
  <c r="CD63" i="17" l="1"/>
  <c r="CD15" i="17"/>
  <c r="CD16" i="17"/>
  <c r="CD22" i="17"/>
  <c r="CD47" i="17"/>
  <c r="CD34" i="17"/>
  <c r="CD36" i="17"/>
  <c r="CD52" i="17"/>
  <c r="CD60" i="17"/>
  <c r="CD10" i="17"/>
  <c r="CD12" i="17"/>
  <c r="CD14" i="17"/>
  <c r="CD17" i="17"/>
  <c r="CD27" i="17"/>
  <c r="CD29" i="17"/>
  <c r="CD20" i="17"/>
  <c r="CD23" i="17"/>
  <c r="CD24" i="17"/>
  <c r="CD35" i="17"/>
  <c r="CD38" i="17"/>
  <c r="CD39" i="17"/>
  <c r="CD42" i="17"/>
  <c r="CD43" i="17"/>
  <c r="CD44" i="17"/>
  <c r="CD45" i="17"/>
  <c r="CD46" i="17"/>
  <c r="CD49" i="17"/>
  <c r="CD53" i="17"/>
  <c r="CD56" i="17"/>
  <c r="CD64" i="17"/>
  <c r="CD65" i="17"/>
  <c r="CD66" i="17"/>
  <c r="CD67" i="17"/>
  <c r="CD55" i="17"/>
  <c r="CD13" i="17"/>
  <c r="CD11" i="17"/>
  <c r="CD40" i="17"/>
  <c r="CD37" i="17"/>
  <c r="CD7" i="17"/>
  <c r="CD6" i="17"/>
  <c r="CQ6" i="17"/>
  <c r="CD8" i="17"/>
  <c r="CD19" i="17"/>
  <c r="CD31" i="17"/>
  <c r="CD61" i="17"/>
  <c r="CD18" i="17"/>
  <c r="CD62" i="17"/>
  <c r="CD50" i="17"/>
  <c r="CD32" i="17"/>
  <c r="CE6" i="17"/>
  <c r="CD51" i="17"/>
  <c r="CD33" i="17"/>
  <c r="CD26" i="17"/>
  <c r="FW8" i="16" l="1"/>
  <c r="HU33" i="21"/>
  <c r="HW21" i="21"/>
  <c r="HX21" i="21"/>
  <c r="HW22" i="21"/>
  <c r="HU34" i="21"/>
  <c r="HX22" i="21"/>
  <c r="HU23" i="21"/>
  <c r="HO33" i="21"/>
  <c r="HQ33" i="21" s="1"/>
  <c r="HQ21" i="21"/>
  <c r="HR21" i="21"/>
  <c r="HO23" i="21"/>
  <c r="HR23" i="21" s="1"/>
  <c r="IO23" i="21" s="1"/>
  <c r="HX33" i="21" l="1"/>
  <c r="IU21" i="21"/>
  <c r="HW34" i="21"/>
  <c r="IR34" i="21"/>
  <c r="HW23" i="21"/>
  <c r="HZ22" i="21"/>
  <c r="IU22" i="21"/>
  <c r="HW33" i="21"/>
  <c r="IR33" i="21"/>
  <c r="HT21" i="21"/>
  <c r="IO21" i="21"/>
  <c r="HU35" i="21"/>
  <c r="HX34" i="21"/>
  <c r="HR33" i="21"/>
  <c r="HZ21" i="21"/>
  <c r="HX23" i="21"/>
  <c r="IU23" i="21" s="1"/>
  <c r="HT23" i="21"/>
  <c r="HR35" i="21"/>
  <c r="HQ23" i="21"/>
  <c r="HO35" i="21"/>
  <c r="HQ35" i="21" s="1"/>
  <c r="FC13" i="15"/>
  <c r="FA8" i="15"/>
  <c r="HZ34" i="21" l="1"/>
  <c r="IU34" i="21"/>
  <c r="HW35" i="21"/>
  <c r="IR35" i="21"/>
  <c r="HZ33" i="21"/>
  <c r="IU33" i="21"/>
  <c r="HT35" i="21"/>
  <c r="IO35" i="21"/>
  <c r="HT33" i="21"/>
  <c r="IO33" i="21"/>
  <c r="HZ23" i="21"/>
  <c r="HX35" i="21"/>
  <c r="FA6" i="15"/>
  <c r="FC8" i="15"/>
  <c r="FA5" i="15"/>
  <c r="HZ35" i="21" l="1"/>
  <c r="IU35" i="21"/>
  <c r="FB9" i="15"/>
  <c r="FB26" i="15"/>
  <c r="FB24" i="15"/>
  <c r="FB25" i="15"/>
  <c r="FB5" i="15"/>
  <c r="FB11" i="15"/>
  <c r="FB13" i="15"/>
  <c r="FB7" i="15"/>
  <c r="FB15" i="15"/>
  <c r="FB16" i="15"/>
  <c r="FA49" i="15"/>
  <c r="FB17" i="15"/>
  <c r="FB10" i="15"/>
  <c r="FB12" i="15"/>
  <c r="FB14" i="15"/>
  <c r="FC5" i="15"/>
  <c r="FB18" i="15"/>
  <c r="FB6" i="15"/>
  <c r="FC6" i="15"/>
  <c r="FA50" i="15"/>
  <c r="FB8" i="15"/>
  <c r="FB50" i="15" l="1"/>
  <c r="FC50" i="15"/>
  <c r="FB47" i="15"/>
  <c r="FB49" i="15"/>
  <c r="FC49" i="15"/>
  <c r="IC5" i="21"/>
  <c r="IB5" i="21"/>
  <c r="IA4" i="21"/>
  <c r="IA13" i="21" l="1"/>
  <c r="IC13" i="21" s="1"/>
  <c r="IX4" i="21"/>
  <c r="IB4" i="21"/>
  <c r="IC4" i="21"/>
  <c r="JJ39" i="16" l="1"/>
  <c r="JL39" i="16" s="1"/>
  <c r="IB13" i="21"/>
  <c r="IX13" i="21"/>
  <c r="IA14" i="21"/>
  <c r="IC21" i="21"/>
  <c r="IA33" i="21"/>
  <c r="IC22" i="21"/>
  <c r="IA23" i="21"/>
  <c r="IC23" i="21" s="1"/>
  <c r="IA34" i="21"/>
  <c r="JK39" i="16" l="1"/>
  <c r="KG39" i="16"/>
  <c r="IC34" i="21"/>
  <c r="IC33" i="21"/>
  <c r="IX33" i="21"/>
  <c r="IA35" i="21"/>
  <c r="IC35" i="21" l="1"/>
  <c r="IX35" i="21"/>
  <c r="FL27" i="15"/>
  <c r="FL23" i="15"/>
  <c r="FL16" i="15"/>
  <c r="FL28" i="15"/>
  <c r="FJ20" i="15"/>
  <c r="FX20" i="15" s="1"/>
  <c r="FL22" i="15"/>
  <c r="FL7" i="15"/>
  <c r="FJ21" i="15"/>
  <c r="FX21" i="15" s="1"/>
  <c r="FJ5" i="15"/>
  <c r="FJ6" i="15"/>
  <c r="FX6" i="15" s="1"/>
  <c r="FK7" i="15" l="1"/>
  <c r="FX5" i="15"/>
  <c r="FK11" i="15"/>
  <c r="FK17" i="15"/>
  <c r="FK10" i="15"/>
  <c r="FK12" i="15"/>
  <c r="FK18" i="15"/>
  <c r="FL5" i="15"/>
  <c r="FK5" i="15"/>
  <c r="FK25" i="15"/>
  <c r="FK26" i="15"/>
  <c r="FK24" i="15"/>
  <c r="FK13" i="15"/>
  <c r="FK15" i="15"/>
  <c r="FK9" i="15"/>
  <c r="FK14" i="15"/>
  <c r="FK8" i="15"/>
  <c r="FK28" i="15"/>
  <c r="FK23" i="15"/>
  <c r="FK6" i="15"/>
  <c r="FL6" i="15"/>
  <c r="FK21" i="15"/>
  <c r="FL21" i="15"/>
  <c r="FK22" i="15"/>
  <c r="FK20" i="15"/>
  <c r="FL20" i="15"/>
  <c r="FK16" i="15"/>
  <c r="FK27" i="15"/>
  <c r="CU16" i="4"/>
  <c r="CU15" i="4"/>
  <c r="CU14" i="4"/>
  <c r="CU13" i="4"/>
  <c r="CU12" i="4"/>
  <c r="CU45" i="4" l="1"/>
  <c r="CU47" i="4" l="1"/>
  <c r="CU36" i="4" l="1"/>
  <c r="FL34" i="15" l="1"/>
  <c r="FL36" i="15"/>
  <c r="FK36" i="15"/>
  <c r="FL47" i="15"/>
  <c r="FL33" i="15"/>
  <c r="FJ32" i="15"/>
  <c r="FX32" i="15" s="1"/>
  <c r="FJ31" i="15"/>
  <c r="FK33" i="15" l="1"/>
  <c r="FX31" i="15"/>
  <c r="IJ34" i="21"/>
  <c r="IL22" i="21"/>
  <c r="FJ49" i="15"/>
  <c r="FX49" i="15" s="1"/>
  <c r="FL31" i="15"/>
  <c r="FK31" i="15"/>
  <c r="IJ33" i="21"/>
  <c r="IL21" i="21"/>
  <c r="FJ50" i="15"/>
  <c r="FX50" i="15" s="1"/>
  <c r="FK32" i="15"/>
  <c r="FL32" i="15"/>
  <c r="FK34" i="15"/>
  <c r="IL20" i="21"/>
  <c r="IL33" i="21" l="1"/>
  <c r="JG33" i="21"/>
  <c r="IL34" i="21"/>
  <c r="FL50" i="15"/>
  <c r="FK50" i="15"/>
  <c r="FK47" i="15"/>
  <c r="FL49" i="15"/>
  <c r="FK49" i="15"/>
  <c r="IL32" i="21"/>
  <c r="IJ23" i="21"/>
  <c r="JG23" i="21" s="1"/>
  <c r="IJ35" i="21" l="1"/>
  <c r="IL23" i="21"/>
  <c r="CU11" i="4"/>
  <c r="IL35" i="21" l="1"/>
  <c r="JG35" i="21"/>
  <c r="FO14" i="15"/>
  <c r="FM5" i="15" l="1"/>
  <c r="FO7" i="15"/>
  <c r="FM6" i="15"/>
  <c r="GA6" i="15" s="1"/>
  <c r="FO15" i="15"/>
  <c r="FO27" i="15"/>
  <c r="FO8" i="15"/>
  <c r="FO28" i="15"/>
  <c r="FO34" i="15"/>
  <c r="FO23" i="15"/>
  <c r="FO16" i="15"/>
  <c r="FO22" i="15"/>
  <c r="IP21" i="21"/>
  <c r="FM20" i="15"/>
  <c r="GA20" i="15" s="1"/>
  <c r="FM21" i="15"/>
  <c r="GA21" i="15" s="1"/>
  <c r="IR21" i="21" l="1"/>
  <c r="JM21" i="21"/>
  <c r="FN15" i="15"/>
  <c r="GA5" i="15"/>
  <c r="FN16" i="15"/>
  <c r="FN8" i="15"/>
  <c r="FN23" i="15"/>
  <c r="FN28" i="15"/>
  <c r="FO33" i="15"/>
  <c r="FM31" i="15"/>
  <c r="GA31" i="15" s="1"/>
  <c r="FM32" i="15"/>
  <c r="GA32" i="15" s="1"/>
  <c r="IP22" i="21"/>
  <c r="IR20" i="21"/>
  <c r="FN20" i="15"/>
  <c r="FO20" i="15"/>
  <c r="FN14" i="15"/>
  <c r="FN18" i="15"/>
  <c r="FN17" i="15"/>
  <c r="FN13" i="15"/>
  <c r="FN25" i="15"/>
  <c r="FN12" i="15"/>
  <c r="FN26" i="15"/>
  <c r="FN9" i="15"/>
  <c r="FN10" i="15"/>
  <c r="FN11" i="15"/>
  <c r="FN24" i="15"/>
  <c r="FN5" i="15"/>
  <c r="FO5" i="15"/>
  <c r="FN22" i="15"/>
  <c r="FN6" i="15"/>
  <c r="FO6" i="15"/>
  <c r="FN21" i="15"/>
  <c r="FO21" i="15"/>
  <c r="FN27" i="15"/>
  <c r="FN7" i="15"/>
  <c r="IR22" i="21" l="1"/>
  <c r="JM22" i="21"/>
  <c r="FM49" i="15"/>
  <c r="IP23" i="21"/>
  <c r="JM23" i="21" s="1"/>
  <c r="FN36" i="15"/>
  <c r="FO36" i="15"/>
  <c r="FN32" i="15"/>
  <c r="FO32" i="15"/>
  <c r="FN31" i="15"/>
  <c r="FO31" i="15"/>
  <c r="FN34" i="15"/>
  <c r="FN33" i="15"/>
  <c r="FN49" i="15" l="1"/>
  <c r="GA49" i="15"/>
  <c r="FO49" i="15"/>
  <c r="IP24" i="21"/>
  <c r="IR23" i="21"/>
  <c r="FO47" i="15"/>
  <c r="FM50" i="15"/>
  <c r="FN47" i="15" l="1"/>
  <c r="GA50" i="15"/>
  <c r="FN50" i="15"/>
  <c r="FO50" i="15"/>
  <c r="CW16" i="4" l="1"/>
  <c r="CW15" i="4"/>
  <c r="CW14" i="4"/>
  <c r="CW13" i="4"/>
  <c r="CV11" i="4" l="1"/>
  <c r="CW11" i="4" s="1"/>
  <c r="CW12" i="4"/>
  <c r="CX11" i="4" l="1"/>
  <c r="IX20" i="21" l="1"/>
  <c r="IX21" i="21"/>
  <c r="IX22" i="21" l="1"/>
  <c r="IV23" i="21"/>
  <c r="JS23" i="21" s="1"/>
  <c r="FR33" i="15"/>
  <c r="FP31" i="15"/>
  <c r="GD31" i="15" s="1"/>
  <c r="FP32" i="15"/>
  <c r="GD32" i="15" s="1"/>
  <c r="FP50" i="15" l="1"/>
  <c r="GD50" i="15" s="1"/>
  <c r="FR32" i="15"/>
  <c r="FQ32" i="15"/>
  <c r="FP49" i="15"/>
  <c r="GD49" i="15" s="1"/>
  <c r="FR31" i="15"/>
  <c r="FQ31" i="15"/>
  <c r="FQ34" i="15"/>
  <c r="FQ33" i="15"/>
  <c r="FR49" i="15" l="1"/>
  <c r="FQ49" i="15"/>
  <c r="FR50" i="15"/>
  <c r="FQ50" i="15"/>
  <c r="FQ47" i="15"/>
  <c r="KK16" i="16"/>
  <c r="LH16" i="16" s="1"/>
  <c r="KI16" i="16"/>
  <c r="KJ16" i="16"/>
  <c r="KI15" i="16" l="1"/>
  <c r="LE15" i="16"/>
  <c r="KL16" i="16"/>
  <c r="KM16" i="16"/>
  <c r="KJ15" i="16"/>
  <c r="LE29" i="16"/>
  <c r="KI29" i="16" l="1"/>
  <c r="KJ29" i="16"/>
  <c r="KH32" i="16"/>
  <c r="LE32" i="16" s="1"/>
  <c r="KI32" i="16" l="1"/>
  <c r="KJ32" i="16"/>
  <c r="KH35" i="16"/>
  <c r="LE35" i="16" l="1"/>
  <c r="KJ35" i="16"/>
  <c r="KH36" i="16"/>
  <c r="LE36" i="16" s="1"/>
  <c r="KI35" i="16"/>
  <c r="KJ36" i="16" l="1"/>
  <c r="KI36" i="16"/>
  <c r="FU33" i="15" l="1"/>
  <c r="FS32" i="15"/>
  <c r="FU32" i="15" l="1"/>
  <c r="GG32" i="15"/>
  <c r="FT31" i="15"/>
  <c r="FU31" i="15"/>
  <c r="FT34" i="15"/>
  <c r="FT32" i="15"/>
  <c r="FT33" i="15"/>
  <c r="FU25" i="15"/>
  <c r="FS23" i="15"/>
  <c r="FU23" i="15" l="1"/>
  <c r="GG23" i="15"/>
  <c r="JB22" i="21"/>
  <c r="JY22" i="21" s="1"/>
  <c r="JA22" i="21"/>
  <c r="FS20" i="15"/>
  <c r="GG20" i="15" s="1"/>
  <c r="FS21" i="15"/>
  <c r="FS50" i="15" l="1"/>
  <c r="GG50" i="15" s="1"/>
  <c r="GG21" i="15"/>
  <c r="FU20" i="15"/>
  <c r="IY21" i="21"/>
  <c r="JV21" i="21" s="1"/>
  <c r="JD22" i="21"/>
  <c r="FU21" i="15"/>
  <c r="FU13" i="15"/>
  <c r="IY33" i="21" l="1"/>
  <c r="JB21" i="21"/>
  <c r="JY21" i="21" s="1"/>
  <c r="JA21" i="21"/>
  <c r="FU6" i="15"/>
  <c r="FU8" i="15"/>
  <c r="FS5" i="15"/>
  <c r="IY20" i="21" l="1"/>
  <c r="JV20" i="21" s="1"/>
  <c r="GG5" i="15"/>
  <c r="JA33" i="21"/>
  <c r="JV33" i="21"/>
  <c r="JD21" i="21"/>
  <c r="JB33" i="21"/>
  <c r="FT6" i="15"/>
  <c r="FT8" i="15"/>
  <c r="FT20" i="15"/>
  <c r="FT12" i="15"/>
  <c r="FT14" i="15"/>
  <c r="FT25" i="15"/>
  <c r="FU5" i="15"/>
  <c r="FT13" i="15"/>
  <c r="FT18" i="15"/>
  <c r="FT28" i="15"/>
  <c r="FT21" i="15"/>
  <c r="FT15" i="15"/>
  <c r="FT9" i="15"/>
  <c r="FT24" i="15"/>
  <c r="FS49" i="15"/>
  <c r="GG49" i="15" s="1"/>
  <c r="FT23" i="15"/>
  <c r="FT11" i="15"/>
  <c r="FT27" i="15"/>
  <c r="FT5" i="15"/>
  <c r="FT10" i="15"/>
  <c r="FT26" i="15"/>
  <c r="FT7" i="15"/>
  <c r="FT22" i="15"/>
  <c r="FT17" i="15"/>
  <c r="FT16" i="15"/>
  <c r="FT50" i="15"/>
  <c r="FU50" i="15"/>
  <c r="FT47" i="15"/>
  <c r="JD33" i="21" l="1"/>
  <c r="JY33" i="21"/>
  <c r="IY23" i="21"/>
  <c r="JV23" i="21" s="1"/>
  <c r="JB20" i="21"/>
  <c r="JY20" i="21" s="1"/>
  <c r="JA20" i="21"/>
  <c r="IY32" i="21"/>
  <c r="FU49" i="15"/>
  <c r="FT49" i="15"/>
  <c r="JA32" i="21" l="1"/>
  <c r="JV32" i="21"/>
  <c r="JB32" i="21"/>
  <c r="JD20" i="21"/>
  <c r="JB23" i="21"/>
  <c r="JY23" i="21" s="1"/>
  <c r="JA23" i="21"/>
  <c r="IY35" i="21"/>
  <c r="JA35" i="21" l="1"/>
  <c r="JV35" i="21"/>
  <c r="JD32" i="21"/>
  <c r="JY32" i="21"/>
  <c r="JD23" i="21"/>
  <c r="JB35" i="21"/>
  <c r="JD35" i="21" l="1"/>
  <c r="JY35" i="21"/>
  <c r="KP22" i="16"/>
  <c r="KQ22" i="16"/>
  <c r="KW22" i="16" l="1"/>
  <c r="LN22" i="16"/>
  <c r="KS22" i="16"/>
  <c r="KY22" i="16" l="1"/>
  <c r="LT22" i="16"/>
  <c r="FT9" i="17"/>
  <c r="FT15" i="17"/>
  <c r="FT23" i="17"/>
  <c r="FT33" i="17"/>
  <c r="FR32" i="17"/>
  <c r="GF32" i="17" s="1"/>
  <c r="FT47" i="17"/>
  <c r="FT45" i="17"/>
  <c r="FT51" i="17"/>
  <c r="FR50" i="17"/>
  <c r="GF50" i="17" s="1"/>
  <c r="FT56" i="17"/>
  <c r="FT64" i="17"/>
  <c r="FT10" i="17"/>
  <c r="FT16" i="17"/>
  <c r="FT27" i="17"/>
  <c r="FT35" i="17"/>
  <c r="FT44" i="17"/>
  <c r="FT46" i="17"/>
  <c r="FT52" i="17"/>
  <c r="FT60" i="17"/>
  <c r="FT65" i="17"/>
  <c r="FT11" i="17"/>
  <c r="FR12" i="17"/>
  <c r="GF12" i="17" s="1"/>
  <c r="FT20" i="17"/>
  <c r="FR18" i="17"/>
  <c r="GF18" i="17" s="1"/>
  <c r="FT34" i="17"/>
  <c r="FT42" i="17"/>
  <c r="FT48" i="17"/>
  <c r="FT53" i="17"/>
  <c r="FT62" i="17"/>
  <c r="FR61" i="17"/>
  <c r="GF61" i="17" s="1"/>
  <c r="FT66" i="17"/>
  <c r="FT8" i="17"/>
  <c r="FR7" i="17"/>
  <c r="GF7" i="17" s="1"/>
  <c r="FT14" i="17"/>
  <c r="FT24" i="17"/>
  <c r="FT29" i="17"/>
  <c r="FT37" i="17"/>
  <c r="FR38" i="17"/>
  <c r="GF38" i="17" s="1"/>
  <c r="FT43" i="17"/>
  <c r="FT49" i="17"/>
  <c r="FT55" i="17"/>
  <c r="FT63" i="17"/>
  <c r="FT67" i="17"/>
  <c r="FT38" i="17" l="1"/>
  <c r="FT12" i="17"/>
  <c r="FR31" i="17"/>
  <c r="GF31" i="17" s="1"/>
  <c r="FT32" i="17"/>
  <c r="FR6" i="17"/>
  <c r="FT7" i="17"/>
  <c r="FT18" i="17"/>
  <c r="FT50" i="17"/>
  <c r="FT61" i="17"/>
  <c r="FS28" i="17" l="1"/>
  <c r="GF6" i="17"/>
  <c r="FS18" i="17"/>
  <c r="FS41" i="17"/>
  <c r="FS50" i="17"/>
  <c r="FS61" i="17"/>
  <c r="FS7" i="17"/>
  <c r="FS17" i="17"/>
  <c r="FS6" i="17"/>
  <c r="FS22" i="17"/>
  <c r="FS25" i="17"/>
  <c r="FS21" i="17"/>
  <c r="FS40" i="17"/>
  <c r="FS19" i="17"/>
  <c r="FS26" i="17"/>
  <c r="FS59" i="17"/>
  <c r="FS58" i="17"/>
  <c r="FS13" i="17"/>
  <c r="FS36" i="17"/>
  <c r="FS39" i="17"/>
  <c r="FT6" i="17"/>
  <c r="FS33" i="17"/>
  <c r="FS45" i="17"/>
  <c r="FS11" i="17"/>
  <c r="FS66" i="17"/>
  <c r="FS37" i="17"/>
  <c r="FS49" i="17"/>
  <c r="FS63" i="17"/>
  <c r="FS43" i="17"/>
  <c r="FS55" i="17"/>
  <c r="FS9" i="17"/>
  <c r="FS23" i="17"/>
  <c r="FS56" i="17"/>
  <c r="FS10" i="17"/>
  <c r="FS27" i="17"/>
  <c r="FS44" i="17"/>
  <c r="FS52" i="17"/>
  <c r="FS65" i="17"/>
  <c r="FS34" i="17"/>
  <c r="FS48" i="17"/>
  <c r="FS14" i="17"/>
  <c r="FS29" i="17"/>
  <c r="FS67" i="17"/>
  <c r="FS47" i="17"/>
  <c r="FS62" i="17"/>
  <c r="FS15" i="17"/>
  <c r="FS51" i="17"/>
  <c r="FS64" i="17"/>
  <c r="FS16" i="17"/>
  <c r="FS35" i="17"/>
  <c r="FS46" i="17"/>
  <c r="FS60" i="17"/>
  <c r="FS20" i="17"/>
  <c r="FS42" i="17"/>
  <c r="FS53" i="17"/>
  <c r="FS8" i="17"/>
  <c r="FS24" i="17"/>
  <c r="FS12" i="17"/>
  <c r="FS32" i="17"/>
  <c r="FR69" i="17"/>
  <c r="FS31" i="17"/>
  <c r="FT31" i="17"/>
  <c r="FS38" i="17"/>
  <c r="KO20" i="16" l="1"/>
  <c r="KO26" i="16"/>
  <c r="KO5" i="16"/>
  <c r="KO18" i="16"/>
  <c r="KO6" i="16"/>
  <c r="KO4" i="16"/>
  <c r="KN14" i="16"/>
  <c r="LK14" i="16" s="1"/>
  <c r="JE16" i="21"/>
  <c r="KO24" i="16"/>
  <c r="KO28" i="16"/>
  <c r="KO30" i="16"/>
  <c r="KO31" i="16"/>
  <c r="KO8" i="16"/>
  <c r="KO19" i="16"/>
  <c r="KO34" i="16"/>
  <c r="KP8" i="16"/>
  <c r="KO25" i="16"/>
  <c r="KQ8" i="16"/>
  <c r="KO22" i="16"/>
  <c r="KP9" i="16"/>
  <c r="KO9" i="16"/>
  <c r="KQ9" i="16"/>
  <c r="KP11" i="16"/>
  <c r="KO11" i="16"/>
  <c r="KQ11" i="16"/>
  <c r="KP12" i="16"/>
  <c r="KO12" i="16"/>
  <c r="KQ12" i="16"/>
  <c r="KP21" i="16"/>
  <c r="KO21" i="16"/>
  <c r="KQ21" i="16"/>
  <c r="KP33" i="16"/>
  <c r="KO33" i="16"/>
  <c r="KQ33" i="16"/>
  <c r="KW33" i="16" s="1"/>
  <c r="KW21" i="16" l="1"/>
  <c r="LN21" i="16"/>
  <c r="KW9" i="16"/>
  <c r="LN9" i="16"/>
  <c r="KW8" i="16"/>
  <c r="LN8" i="16"/>
  <c r="KW12" i="16"/>
  <c r="LN12" i="16"/>
  <c r="KW11" i="16"/>
  <c r="LN11" i="16"/>
  <c r="KY33" i="16"/>
  <c r="KX33" i="16"/>
  <c r="JN16" i="21"/>
  <c r="KX28" i="16"/>
  <c r="KX26" i="16"/>
  <c r="KX25" i="16"/>
  <c r="KX6" i="16"/>
  <c r="KX31" i="16"/>
  <c r="KX34" i="16"/>
  <c r="KX4" i="16"/>
  <c r="KX22" i="16"/>
  <c r="KR12" i="16"/>
  <c r="KS12" i="16"/>
  <c r="KO14" i="16"/>
  <c r="KQ14" i="16"/>
  <c r="KP14" i="16"/>
  <c r="KR21" i="16"/>
  <c r="KS21" i="16"/>
  <c r="KR33" i="16"/>
  <c r="KS33" i="16"/>
  <c r="KO10" i="16"/>
  <c r="KQ10" i="16"/>
  <c r="KP10" i="16"/>
  <c r="KN13" i="16"/>
  <c r="LK13" i="16" s="1"/>
  <c r="KO7" i="16"/>
  <c r="KQ7" i="16"/>
  <c r="KP7" i="16"/>
  <c r="KR11" i="16"/>
  <c r="KS11" i="16"/>
  <c r="KR9" i="16"/>
  <c r="KS9" i="16"/>
  <c r="JH16" i="21"/>
  <c r="KR6" i="16"/>
  <c r="KR40" i="16"/>
  <c r="KR18" i="16"/>
  <c r="KR5" i="16"/>
  <c r="KR28" i="16"/>
  <c r="KR24" i="16"/>
  <c r="KR25" i="16"/>
  <c r="KR31" i="16"/>
  <c r="KR34" i="16"/>
  <c r="KR30" i="16"/>
  <c r="KR26" i="16"/>
  <c r="KR20" i="16"/>
  <c r="KR8" i="16"/>
  <c r="KR19" i="16"/>
  <c r="KR4" i="16"/>
  <c r="KS8" i="16"/>
  <c r="KR22" i="16"/>
  <c r="JF5" i="21"/>
  <c r="JF12" i="21"/>
  <c r="JF4" i="21"/>
  <c r="JF10" i="21"/>
  <c r="JF13" i="21"/>
  <c r="JF6" i="21"/>
  <c r="JF9" i="21"/>
  <c r="JF8" i="21"/>
  <c r="KY12" i="16" l="1"/>
  <c r="LT12" i="16"/>
  <c r="KY9" i="16"/>
  <c r="LT9" i="16"/>
  <c r="KY11" i="16"/>
  <c r="LT11" i="16"/>
  <c r="KX8" i="16"/>
  <c r="LT8" i="16"/>
  <c r="KY21" i="16"/>
  <c r="LT21" i="16"/>
  <c r="KX18" i="16"/>
  <c r="KX21" i="16"/>
  <c r="KX30" i="16"/>
  <c r="KX20" i="16"/>
  <c r="KY8" i="16"/>
  <c r="KX11" i="16"/>
  <c r="KX24" i="16"/>
  <c r="KX5" i="16"/>
  <c r="KX19" i="16"/>
  <c r="KX12" i="16"/>
  <c r="KX9" i="16"/>
  <c r="KW14" i="16"/>
  <c r="LN14" i="16"/>
  <c r="KW7" i="16"/>
  <c r="LN7" i="16"/>
  <c r="KW10" i="16"/>
  <c r="LN10" i="16"/>
  <c r="KN29" i="16"/>
  <c r="JO6" i="21"/>
  <c r="JO9" i="21"/>
  <c r="JO12" i="21"/>
  <c r="JO10" i="21"/>
  <c r="JO5" i="21"/>
  <c r="JO4" i="21"/>
  <c r="JO8" i="21"/>
  <c r="JO13" i="21"/>
  <c r="KR14" i="16"/>
  <c r="KS14" i="16"/>
  <c r="KR7" i="16"/>
  <c r="KS7" i="16"/>
  <c r="KR10" i="16"/>
  <c r="KS10" i="16"/>
  <c r="JI9" i="21"/>
  <c r="JI10" i="21"/>
  <c r="JI6" i="21"/>
  <c r="JI4" i="21"/>
  <c r="JI12" i="21"/>
  <c r="JI8" i="21"/>
  <c r="JI5" i="21"/>
  <c r="JI13" i="21"/>
  <c r="KO13" i="16"/>
  <c r="KQ13" i="16"/>
  <c r="LN13" i="16" s="1"/>
  <c r="KP13" i="16"/>
  <c r="KX10" i="16" l="1"/>
  <c r="LT10" i="16"/>
  <c r="KY14" i="16"/>
  <c r="LT14" i="16"/>
  <c r="KX7" i="16"/>
  <c r="LT7" i="16"/>
  <c r="KX14" i="16"/>
  <c r="KY10" i="16"/>
  <c r="KY7" i="16"/>
  <c r="KN39" i="16"/>
  <c r="JE17" i="21"/>
  <c r="JE14" i="21" s="1"/>
  <c r="KP40" i="16"/>
  <c r="KO40" i="16"/>
  <c r="KW13" i="16"/>
  <c r="KR13" i="16"/>
  <c r="KS13" i="16"/>
  <c r="KY13" i="16" l="1"/>
  <c r="LT13" i="16"/>
  <c r="KQ39" i="16"/>
  <c r="KX13" i="16"/>
  <c r="KP39" i="16"/>
  <c r="KO39" i="16"/>
  <c r="DB16" i="4"/>
  <c r="DD16" i="4" s="1"/>
  <c r="DB15" i="4"/>
  <c r="DD15" i="4" s="1"/>
  <c r="DB14" i="4"/>
  <c r="DD14" i="4" s="1"/>
  <c r="DB13" i="4"/>
  <c r="DD13" i="4" s="1"/>
  <c r="KS39" i="16" l="1"/>
  <c r="KR39" i="16"/>
  <c r="DA11" i="4"/>
  <c r="DB12" i="4"/>
  <c r="DB11" i="4" l="1"/>
  <c r="DD12" i="4"/>
  <c r="DD11" i="4" s="1"/>
  <c r="KP27" i="16"/>
  <c r="KO27" i="16"/>
  <c r="KQ27" i="16"/>
  <c r="KW27" i="16" s="1"/>
  <c r="KX27" i="16" l="1"/>
  <c r="KY27" i="16"/>
  <c r="KR27" i="16"/>
  <c r="KS27" i="16"/>
  <c r="KP23" i="16" l="1"/>
  <c r="KO23" i="16"/>
  <c r="KQ23" i="16"/>
  <c r="KW23" i="16" l="1"/>
  <c r="LN23" i="16"/>
  <c r="KR23" i="16"/>
  <c r="KS23" i="16"/>
  <c r="KX23" i="16" l="1"/>
  <c r="LT23" i="16"/>
  <c r="KY23" i="16"/>
  <c r="KP16" i="16"/>
  <c r="KO16" i="16"/>
  <c r="KQ16" i="16"/>
  <c r="KO17" i="16"/>
  <c r="KP17" i="16"/>
  <c r="KW16" i="16" l="1"/>
  <c r="KS16" i="16"/>
  <c r="KR16" i="16"/>
  <c r="KO15" i="16"/>
  <c r="KP15" i="16"/>
  <c r="KY16" i="16" l="1"/>
  <c r="KX16" i="16"/>
  <c r="KO29" i="16"/>
  <c r="KN32" i="16"/>
  <c r="KP29" i="16"/>
  <c r="KO32" i="16" l="1"/>
  <c r="KN35" i="16"/>
  <c r="KP32" i="16"/>
  <c r="KN36" i="16" l="1"/>
  <c r="KO35" i="16"/>
  <c r="KP35" i="16"/>
  <c r="KO36" i="16" l="1"/>
  <c r="KP36" i="16"/>
  <c r="CY45" i="4" l="1"/>
  <c r="CY41" i="4"/>
  <c r="CX34" i="4"/>
  <c r="CX4" i="4"/>
  <c r="CY4" i="4" l="1"/>
  <c r="CY34" i="4"/>
  <c r="CZ34" i="4" s="1"/>
  <c r="DA41" i="4"/>
  <c r="CZ41" i="4"/>
  <c r="CZ45" i="4"/>
  <c r="DA32" i="4" l="1"/>
  <c r="DA5" i="4" s="1"/>
  <c r="CZ4" i="4"/>
  <c r="CV34" i="4"/>
  <c r="CX32" i="4"/>
  <c r="CX5" i="4" s="1"/>
  <c r="CV32" i="4"/>
  <c r="CW32" i="4" s="1"/>
  <c r="CV4" i="4"/>
  <c r="CW4" i="4" s="1"/>
  <c r="CW34" i="4" l="1"/>
  <c r="DD32" i="4"/>
  <c r="DD5" i="4" s="1"/>
  <c r="CV5" i="4"/>
  <c r="CW5" i="4" s="1"/>
  <c r="DB32" i="4"/>
  <c r="DB5" i="4" s="1"/>
  <c r="CY32" i="4"/>
  <c r="CY5" i="4" s="1"/>
  <c r="CZ32" i="4"/>
  <c r="CZ5" i="4" s="1"/>
  <c r="KK17" i="16" l="1"/>
  <c r="LH17" i="16" s="1"/>
  <c r="KG17" i="16"/>
  <c r="KF17" i="16"/>
  <c r="KF15" i="16" l="1"/>
  <c r="KG15" i="16"/>
  <c r="KK15" i="16"/>
  <c r="KL17" i="16"/>
  <c r="KM17" i="16"/>
  <c r="KQ17" i="16"/>
  <c r="KL15" i="16" l="1"/>
  <c r="KQ15" i="16"/>
  <c r="KM15" i="16"/>
  <c r="KW17" i="16"/>
  <c r="KS17" i="16"/>
  <c r="KR17" i="16"/>
  <c r="KE32" i="16"/>
  <c r="KF29" i="16"/>
  <c r="KG29" i="16"/>
  <c r="KK29" i="16"/>
  <c r="KX17" i="16" l="1"/>
  <c r="KY17" i="16"/>
  <c r="KE35" i="16"/>
  <c r="KK32" i="16"/>
  <c r="KF32" i="16"/>
  <c r="KG32" i="16"/>
  <c r="KL29" i="16"/>
  <c r="KQ29" i="16"/>
  <c r="KM29" i="16"/>
  <c r="KW15" i="16"/>
  <c r="KR15" i="16"/>
  <c r="KS15" i="16"/>
  <c r="KW29" i="16" l="1"/>
  <c r="KS29" i="16"/>
  <c r="KR29" i="16"/>
  <c r="KL32" i="16"/>
  <c r="KM32" i="16"/>
  <c r="KQ32" i="16"/>
  <c r="KF35" i="16"/>
  <c r="KE36" i="16"/>
  <c r="KG35" i="16"/>
  <c r="KK35" i="16"/>
  <c r="KX15" i="16"/>
  <c r="KY15" i="16"/>
  <c r="KF36" i="16" l="1"/>
  <c r="KG36" i="16"/>
  <c r="KK36" i="16"/>
  <c r="KQ35" i="16"/>
  <c r="KM35" i="16"/>
  <c r="KL35" i="16"/>
  <c r="KR32" i="16"/>
  <c r="KS32" i="16"/>
  <c r="KW32" i="16"/>
  <c r="KY29" i="16"/>
  <c r="KX29" i="16"/>
  <c r="KS35" i="16" l="1"/>
  <c r="KW35" i="16"/>
  <c r="KR35" i="16"/>
  <c r="KQ36" i="16"/>
  <c r="KM36" i="16"/>
  <c r="KL36" i="16"/>
  <c r="KY32" i="16"/>
  <c r="KX32" i="16"/>
  <c r="KW36" i="16" l="1"/>
  <c r="KR36" i="16"/>
  <c r="KS36" i="16"/>
  <c r="KY35" i="16"/>
  <c r="KX35" i="16"/>
  <c r="KY36" i="16" l="1"/>
  <c r="KX36" i="16"/>
  <c r="LA17" i="16" l="1"/>
  <c r="LF15" i="16"/>
  <c r="LH15" i="16" s="1"/>
  <c r="LB17" i="16"/>
  <c r="LG15" i="16" l="1"/>
  <c r="LA15" i="16"/>
  <c r="LF29" i="16"/>
  <c r="LH29" i="16" s="1"/>
  <c r="LB15" i="16"/>
  <c r="LG29" i="16" l="1"/>
  <c r="LA29" i="16"/>
  <c r="LF32" i="16"/>
  <c r="LH32" i="16" s="1"/>
  <c r="LB29" i="16"/>
  <c r="LG32" i="16" l="1"/>
  <c r="LA32" i="16"/>
  <c r="LB32" i="16"/>
  <c r="LF35" i="16" l="1"/>
  <c r="LH35" i="16" s="1"/>
  <c r="LA35" i="16"/>
  <c r="LB35" i="16"/>
  <c r="LF36" i="16" l="1"/>
  <c r="LG36" i="16" s="1"/>
  <c r="LG35" i="16"/>
  <c r="LA36" i="16"/>
  <c r="LB36" i="16"/>
  <c r="LH36" i="16" l="1"/>
  <c r="LK16" i="16" l="1"/>
  <c r="LJ16" i="16"/>
  <c r="LL16" i="16"/>
  <c r="LR16" i="16" s="1"/>
  <c r="LK17" i="16"/>
  <c r="LJ17" i="16"/>
  <c r="LL17" i="16"/>
  <c r="LR17" i="16" s="1"/>
  <c r="LS16" i="16" l="1"/>
  <c r="LT16" i="16"/>
  <c r="LS17" i="16"/>
  <c r="LT17" i="16"/>
  <c r="LM17" i="16"/>
  <c r="LN17" i="16"/>
  <c r="LM16" i="16"/>
  <c r="LN16" i="16"/>
  <c r="GJ47" i="15" l="1"/>
  <c r="LL37" i="16" l="1"/>
  <c r="LK27" i="16" l="1"/>
  <c r="LJ27" i="16"/>
  <c r="LL27" i="16"/>
  <c r="LR27" i="16" s="1"/>
  <c r="LI15" i="16"/>
  <c r="LJ33" i="16"/>
  <c r="LL33" i="16"/>
  <c r="LR33" i="16" s="1"/>
  <c r="LK33" i="16"/>
  <c r="LT27" i="16" l="1"/>
  <c r="LS27" i="16"/>
  <c r="LT33" i="16"/>
  <c r="LS33" i="16"/>
  <c r="LJ15" i="16"/>
  <c r="LK15" i="16"/>
  <c r="LI29" i="16"/>
  <c r="LL15" i="16"/>
  <c r="LR15" i="16" s="1"/>
  <c r="LM27" i="16"/>
  <c r="LN27" i="16"/>
  <c r="LM33" i="16"/>
  <c r="LN33" i="16"/>
  <c r="LS15" i="16" l="1"/>
  <c r="LT15" i="16"/>
  <c r="LM15" i="16"/>
  <c r="LN15" i="16"/>
  <c r="LJ29" i="16"/>
  <c r="LL29" i="16"/>
  <c r="LR29" i="16" s="1"/>
  <c r="LK29" i="16"/>
  <c r="LI32" i="16"/>
  <c r="LS29" i="16" l="1"/>
  <c r="LT29" i="16"/>
  <c r="LN29" i="16"/>
  <c r="LM29" i="16"/>
  <c r="LK32" i="16"/>
  <c r="LI35" i="16"/>
  <c r="LJ32" i="16"/>
  <c r="LL32" i="16"/>
  <c r="LR32" i="16" s="1"/>
  <c r="LS32" i="16" l="1"/>
  <c r="LT32" i="16"/>
  <c r="LI36" i="16"/>
  <c r="LJ35" i="16"/>
  <c r="LK35" i="16"/>
  <c r="LL35" i="16"/>
  <c r="LR35" i="16" s="1"/>
  <c r="LM32" i="16"/>
  <c r="LN32" i="16"/>
  <c r="LS35" i="16" l="1"/>
  <c r="LT35" i="16"/>
  <c r="LN35" i="16"/>
  <c r="LM35" i="16"/>
  <c r="LL36" i="16"/>
  <c r="LR36" i="16" s="1"/>
  <c r="LK36" i="16"/>
  <c r="LJ36" i="16"/>
  <c r="LS36" i="16" l="1"/>
  <c r="LT36" i="16"/>
  <c r="LN36" i="16"/>
  <c r="LM36" i="16"/>
  <c r="DH58" i="4" l="1"/>
  <c r="DH47" i="4"/>
  <c r="DI47" i="4" l="1"/>
  <c r="DK46" i="4"/>
  <c r="DK47" i="4" s="1"/>
  <c r="DI58" i="4"/>
  <c r="DK57" i="4"/>
  <c r="DK58" i="4" s="1"/>
  <c r="DI51" i="4"/>
  <c r="DH52" i="4"/>
  <c r="DI44" i="4"/>
  <c r="DH56" i="4"/>
  <c r="DI55" i="4"/>
  <c r="DI56" i="4" s="1"/>
  <c r="DH45" i="4"/>
  <c r="DI52" i="4" l="1"/>
  <c r="DJ52" i="4"/>
  <c r="DI36" i="4"/>
  <c r="DK35" i="4"/>
  <c r="DK36" i="4" s="1"/>
  <c r="DH36" i="4"/>
  <c r="DI40" i="4"/>
  <c r="DH41" i="4"/>
  <c r="DH32" i="4"/>
  <c r="DI41" i="4" l="1"/>
  <c r="DJ41" i="4"/>
  <c r="DH5" i="4"/>
  <c r="DH34" i="4"/>
  <c r="DI33" i="4"/>
  <c r="DH8" i="4"/>
  <c r="DI31" i="4"/>
  <c r="DH4" i="4"/>
  <c r="DI45" i="4"/>
  <c r="DI32" i="4" l="1"/>
  <c r="DI5" i="4" s="1"/>
  <c r="DJ32" i="4"/>
  <c r="DJ5" i="4" s="1"/>
  <c r="DI4" i="4"/>
  <c r="DI8" i="4"/>
  <c r="DI34" i="4"/>
  <c r="DI16" i="4" l="1"/>
  <c r="DK16" i="4" s="1"/>
  <c r="DI15" i="4"/>
  <c r="DK15" i="4" s="1"/>
  <c r="DI14" i="4"/>
  <c r="DK14" i="4" s="1"/>
  <c r="DI13" i="4"/>
  <c r="DK13" i="4" s="1"/>
  <c r="DH11" i="4" l="1"/>
  <c r="DI12" i="4"/>
  <c r="DI11" i="4" l="1"/>
  <c r="DK12" i="4"/>
  <c r="DK11" i="4" s="1"/>
  <c r="GJ15" i="15" l="1"/>
  <c r="GJ28" i="15"/>
  <c r="GJ27" i="15"/>
  <c r="GH20" i="15"/>
  <c r="GJ14" i="15"/>
  <c r="GH21" i="15" l="1"/>
  <c r="GJ21" i="15" s="1"/>
  <c r="GJ20" i="15"/>
  <c r="GJ22" i="15"/>
  <c r="GH6" i="15"/>
  <c r="GH5" i="15"/>
  <c r="GJ7" i="15"/>
  <c r="GI18" i="15" l="1"/>
  <c r="GI5" i="15"/>
  <c r="GH49" i="15"/>
  <c r="GI11" i="15"/>
  <c r="GI9" i="15"/>
  <c r="GI25" i="15"/>
  <c r="GI26" i="15"/>
  <c r="GI10" i="15"/>
  <c r="GJ5" i="15"/>
  <c r="GI12" i="15"/>
  <c r="GI17" i="15"/>
  <c r="GI16" i="15"/>
  <c r="GI8" i="15"/>
  <c r="GI24" i="15"/>
  <c r="GI13" i="15"/>
  <c r="GI23" i="15"/>
  <c r="GI27" i="15"/>
  <c r="GI14" i="15"/>
  <c r="GI15" i="15"/>
  <c r="GI28" i="15"/>
  <c r="GI20" i="15"/>
  <c r="GI7" i="15"/>
  <c r="GI22" i="15"/>
  <c r="GI6" i="15"/>
  <c r="GJ6" i="15"/>
  <c r="GI21" i="15"/>
  <c r="GI49" i="15" l="1"/>
  <c r="GJ49" i="15"/>
  <c r="KB6" i="21" l="1"/>
  <c r="KC6" i="21"/>
  <c r="KA6" i="21"/>
  <c r="KC9" i="21"/>
  <c r="KB9" i="21"/>
  <c r="JZ8" i="21"/>
  <c r="KA9" i="21"/>
  <c r="KC10" i="21"/>
  <c r="KB10" i="21"/>
  <c r="KA10" i="21"/>
  <c r="KA5" i="21"/>
  <c r="KC5" i="21"/>
  <c r="KB5" i="21"/>
  <c r="JZ4" i="21"/>
  <c r="KA12" i="21"/>
  <c r="KB12" i="21"/>
  <c r="KC12" i="21"/>
  <c r="JZ13" i="21" l="1"/>
  <c r="KA13" i="21" s="1"/>
  <c r="KE12" i="21"/>
  <c r="KD12" i="21"/>
  <c r="KD9" i="21"/>
  <c r="KC8" i="21"/>
  <c r="KE9" i="21"/>
  <c r="KD5" i="21"/>
  <c r="KC4" i="21"/>
  <c r="KE5" i="21"/>
  <c r="KA8" i="21"/>
  <c r="KB8" i="21"/>
  <c r="KD6" i="21"/>
  <c r="KE6" i="21"/>
  <c r="KB4" i="21"/>
  <c r="KA4" i="21"/>
  <c r="KD10" i="21"/>
  <c r="KE10" i="21"/>
  <c r="KB13" i="21" l="1"/>
  <c r="KD4" i="21"/>
  <c r="KE4" i="21"/>
  <c r="KE8" i="21"/>
  <c r="KD8" i="21"/>
  <c r="KC13" i="21"/>
  <c r="KD13" i="21" l="1"/>
  <c r="KE13" i="21"/>
  <c r="KB21" i="21" l="1"/>
  <c r="KC21" i="21"/>
  <c r="JZ33" i="21"/>
  <c r="KB33" i="21" s="1"/>
  <c r="KE21" i="21" l="1"/>
  <c r="KC33" i="21"/>
  <c r="KE33" i="21" s="1"/>
  <c r="GH1" i="15"/>
  <c r="KB20" i="21"/>
  <c r="JZ23" i="21"/>
  <c r="KC20" i="21"/>
  <c r="JZ32" i="21"/>
  <c r="KB32" i="21" s="1"/>
  <c r="GJ36" i="15"/>
  <c r="GI36" i="15"/>
  <c r="GH50" i="15"/>
  <c r="GI47" i="15" l="1"/>
  <c r="GI50" i="15"/>
  <c r="GJ50" i="15"/>
  <c r="KC32" i="21"/>
  <c r="KE32" i="21" s="1"/>
  <c r="KE20" i="21"/>
  <c r="KC23" i="21"/>
  <c r="KB23" i="21"/>
  <c r="JZ35" i="21"/>
  <c r="KB35" i="21" s="1"/>
  <c r="KC35" i="21" l="1"/>
  <c r="KE35" i="21" s="1"/>
  <c r="KE23" i="21"/>
  <c r="LK40" i="16" l="1"/>
  <c r="LL40" i="16"/>
  <c r="LJ40" i="16"/>
  <c r="JZ17" i="21"/>
  <c r="JZ14" i="21" s="1"/>
  <c r="LI39" i="16"/>
  <c r="KC17" i="21" l="1"/>
  <c r="KC14" i="21" s="1"/>
  <c r="LN40" i="16"/>
  <c r="LM40" i="16"/>
  <c r="LJ39" i="16"/>
  <c r="LL39" i="16"/>
  <c r="LK39" i="16"/>
  <c r="LM39" i="16" l="1"/>
  <c r="LN39" i="16"/>
  <c r="KH6" i="21" l="1"/>
  <c r="KG6" i="21"/>
  <c r="KI6" i="21"/>
  <c r="KH9" i="21"/>
  <c r="KF8" i="21"/>
  <c r="KG9" i="21"/>
  <c r="KI9" i="21"/>
  <c r="KH10" i="21"/>
  <c r="KG10" i="21"/>
  <c r="KI10" i="21"/>
  <c r="KG12" i="21"/>
  <c r="KH12" i="21"/>
  <c r="KI12" i="21"/>
  <c r="KF4" i="21"/>
  <c r="KH5" i="21"/>
  <c r="KG5" i="21"/>
  <c r="KI5" i="21"/>
  <c r="KH4" i="21" l="1"/>
  <c r="KG4" i="21"/>
  <c r="KK12" i="21"/>
  <c r="KJ12" i="21"/>
  <c r="KK5" i="21"/>
  <c r="KI4" i="21"/>
  <c r="KJ5" i="21"/>
  <c r="KJ10" i="21"/>
  <c r="KK10" i="21"/>
  <c r="KJ9" i="21"/>
  <c r="KI8" i="21"/>
  <c r="KK9" i="21"/>
  <c r="KJ6" i="21"/>
  <c r="KK6" i="21"/>
  <c r="KF13" i="21"/>
  <c r="KH8" i="21"/>
  <c r="KG8" i="21"/>
  <c r="KJ4" i="21" l="1"/>
  <c r="KK4" i="21"/>
  <c r="KG13" i="21"/>
  <c r="KH13" i="21"/>
  <c r="KJ8" i="21"/>
  <c r="KK8" i="21"/>
  <c r="KI13" i="21"/>
  <c r="KK13" i="21" l="1"/>
  <c r="KJ13" i="21"/>
  <c r="GM47" i="15" l="1"/>
  <c r="GL36" i="15" l="1"/>
  <c r="GM36" i="15"/>
  <c r="KI21" i="21" l="1"/>
  <c r="KH21" i="21"/>
  <c r="KF33" i="21"/>
  <c r="KH33" i="21" s="1"/>
  <c r="GK20" i="15"/>
  <c r="GM27" i="15"/>
  <c r="KF23" i="21"/>
  <c r="KI20" i="21"/>
  <c r="KH20" i="21"/>
  <c r="KF32" i="21"/>
  <c r="KH32" i="21" s="1"/>
  <c r="GM14" i="15"/>
  <c r="GM20" i="15" l="1"/>
  <c r="GM22" i="15"/>
  <c r="KK20" i="21"/>
  <c r="KI23" i="21"/>
  <c r="KI32" i="21"/>
  <c r="KK32" i="21" s="1"/>
  <c r="GK21" i="15"/>
  <c r="GM7" i="15"/>
  <c r="GK6" i="15"/>
  <c r="GK5" i="15"/>
  <c r="KH23" i="21"/>
  <c r="KF35" i="21"/>
  <c r="KH35" i="21" s="1"/>
  <c r="KK21" i="21"/>
  <c r="KI33" i="21"/>
  <c r="KK33" i="21" s="1"/>
  <c r="GL20" i="15" l="1"/>
  <c r="GK49" i="15"/>
  <c r="GL6" i="15"/>
  <c r="GK50" i="15"/>
  <c r="GM6" i="15"/>
  <c r="KK23" i="21"/>
  <c r="KI35" i="21"/>
  <c r="KK35" i="21" s="1"/>
  <c r="GL22" i="15"/>
  <c r="GL7" i="15"/>
  <c r="GL21" i="15"/>
  <c r="GM21" i="15"/>
  <c r="GK1" i="15"/>
  <c r="GL15" i="15"/>
  <c r="GL16" i="15"/>
  <c r="GL28" i="15"/>
  <c r="GL5" i="15"/>
  <c r="GL26" i="15"/>
  <c r="GL25" i="15"/>
  <c r="GL8" i="15"/>
  <c r="GL11" i="15"/>
  <c r="GL24" i="15"/>
  <c r="GL13" i="15"/>
  <c r="GL17" i="15"/>
  <c r="GL12" i="15"/>
  <c r="GL23" i="15"/>
  <c r="GL10" i="15"/>
  <c r="GL18" i="15"/>
  <c r="GL9" i="15"/>
  <c r="GM5" i="15"/>
  <c r="GL27" i="15"/>
  <c r="GL14" i="15"/>
  <c r="GL49" i="15" l="1"/>
  <c r="GM49" i="15"/>
  <c r="GL50" i="15"/>
  <c r="GM50" i="15"/>
  <c r="GL47" i="15"/>
  <c r="KF17" i="21" l="1"/>
  <c r="KF14" i="21" s="1"/>
  <c r="LR40" i="16"/>
  <c r="LO39" i="16"/>
  <c r="LP40" i="16"/>
  <c r="LP39" i="16" l="1"/>
  <c r="LR39" i="16"/>
  <c r="LS39" i="16" s="1"/>
  <c r="LQ40" i="16"/>
  <c r="KV40" i="16"/>
  <c r="JK17" i="21"/>
  <c r="JK14" i="21" s="1"/>
  <c r="KU40" i="16"/>
  <c r="KW40" i="16"/>
  <c r="LT40" i="16" s="1"/>
  <c r="KT39" i="16"/>
  <c r="KI17" i="21"/>
  <c r="KI14" i="21" s="1"/>
  <c r="LS40" i="16"/>
  <c r="LQ39" i="16" l="1"/>
  <c r="KV39" i="16"/>
  <c r="KU39" i="16"/>
  <c r="KW39" i="16"/>
  <c r="JN17" i="21"/>
  <c r="JN14" i="21" s="1"/>
  <c r="KY40" i="16"/>
  <c r="KX40" i="16"/>
  <c r="LT39" i="16" l="1"/>
  <c r="KY39" i="16"/>
  <c r="KX39"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Melina Afonso Rodrigues</author>
  </authors>
  <commentList>
    <comment ref="JY16" authorId="0" shapeId="0" xr:uid="{00000000-0006-0000-0200-000001000000}">
      <text>
        <r>
          <rPr>
            <b/>
            <sz val="9"/>
            <color indexed="81"/>
            <rFont val="Segoe UI"/>
            <family val="2"/>
          </rPr>
          <t>Melina Afonso Rodrigues:</t>
        </r>
        <r>
          <rPr>
            <sz val="9"/>
            <color indexed="81"/>
            <rFont val="Segoe UI"/>
            <family val="2"/>
          </rPr>
          <t xml:space="preserve">
Não considera depreciação e amortização</t>
        </r>
      </text>
    </comment>
    <comment ref="JY17" authorId="0" shapeId="0" xr:uid="{00000000-0006-0000-0200-000002000000}">
      <text>
        <r>
          <rPr>
            <b/>
            <sz val="9"/>
            <color indexed="81"/>
            <rFont val="Segoe UI"/>
            <family val="2"/>
          </rPr>
          <t>Melina Afonso Rodrigues:</t>
        </r>
        <r>
          <rPr>
            <sz val="9"/>
            <color indexed="81"/>
            <rFont val="Segoe UI"/>
            <family val="2"/>
          </rPr>
          <t xml:space="preserve">
não considera Remuneraçao dos adms e depreciação e amortização
</t>
        </r>
      </text>
    </comment>
    <comment ref="JY18" authorId="0" shapeId="0" xr:uid="{00000000-0006-0000-0200-000003000000}">
      <text>
        <r>
          <rPr>
            <sz val="8"/>
            <color indexed="81"/>
            <rFont val="Segoe UI"/>
            <family val="2"/>
          </rPr>
          <t>A partir do 4T18, a remuneração dos administradores é reconhecida como parte da remuneração variavel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Melina Afonso Rodrigues</author>
  </authors>
  <commentList>
    <comment ref="CT32" authorId="0" shapeId="0" xr:uid="{00000000-0006-0000-0500-000001000000}">
      <text>
        <r>
          <rPr>
            <sz val="9"/>
            <color indexed="81"/>
            <rFont val="Segoe UI"/>
            <family val="2"/>
          </rPr>
          <t>Inlcuding 03 Ashua's store.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Melina Afonso Rodrigues</author>
    <author>Carla Flores Sffair</author>
    <author>Felipe Gaspar Oliveira</author>
  </authors>
  <commentList>
    <comment ref="K66" authorId="0" shapeId="0" xr:uid="{00000000-0006-0000-0600-000001000000}">
      <text>
        <r>
          <rPr>
            <sz val="9"/>
            <color indexed="81"/>
            <rFont val="Segoe UI"/>
            <family val="2"/>
          </rPr>
          <t>02 Camicado store closed, on 1Q19</t>
        </r>
      </text>
    </comment>
    <comment ref="L88" authorId="0" shapeId="0" xr:uid="{00000000-0006-0000-0600-000002000000}">
      <text>
        <r>
          <rPr>
            <sz val="9"/>
            <color indexed="81"/>
            <rFont val="Segoe UI"/>
            <family val="2"/>
          </rPr>
          <t>04 Youcom closed on 3Q18</t>
        </r>
      </text>
    </comment>
    <comment ref="K121" authorId="1" shapeId="0" xr:uid="{00000000-0006-0000-0600-000003000000}">
      <text>
        <r>
          <rPr>
            <sz val="9"/>
            <color indexed="81"/>
            <rFont val="Segoe UI"/>
            <family val="2"/>
          </rPr>
          <t>5 Renner stores closed in 1Q18</t>
        </r>
      </text>
    </comment>
    <comment ref="K124" authorId="2" shapeId="0" xr:uid="{00000000-0006-0000-0600-000004000000}">
      <text>
        <r>
          <rPr>
            <sz val="9"/>
            <color indexed="81"/>
            <rFont val="Segoe UI"/>
            <family val="2"/>
          </rPr>
          <t>2 Youcom stores closed on 1Q18</t>
        </r>
      </text>
    </comment>
    <comment ref="K187" authorId="2" shapeId="0" xr:uid="{00000000-0006-0000-0600-000005000000}">
      <text>
        <r>
          <rPr>
            <b/>
            <sz val="9"/>
            <color indexed="81"/>
            <rFont val="Segoe UI"/>
            <family val="2"/>
          </rPr>
          <t>Felipe Gaspar Oliveira:</t>
        </r>
        <r>
          <rPr>
            <sz val="9"/>
            <color indexed="81"/>
            <rFont val="Segoe UI"/>
            <family val="2"/>
          </rPr>
          <t xml:space="preserve">
2 Camicado stores closed on 1Q17</t>
        </r>
      </text>
    </comment>
    <comment ref="K306" authorId="2" shapeId="0" xr:uid="{00000000-0006-0000-0600-000006000000}">
      <text>
        <r>
          <rPr>
            <sz val="9"/>
            <color indexed="81"/>
            <rFont val="Segoe UI"/>
            <family val="2"/>
          </rPr>
          <t>1 store closed on 1Q15</t>
        </r>
      </text>
    </comment>
    <comment ref="L306" authorId="2" shapeId="0" xr:uid="{00000000-0006-0000-0600-000007000000}">
      <text>
        <r>
          <rPr>
            <sz val="9"/>
            <color indexed="81"/>
            <rFont val="Segoe UI"/>
            <family val="2"/>
          </rPr>
          <t>1 store closed on 1Q15</t>
        </r>
      </text>
    </comment>
    <comment ref="B397" authorId="2" shapeId="0" xr:uid="{00000000-0006-0000-0600-000008000000}">
      <text>
        <r>
          <rPr>
            <sz val="9"/>
            <color indexed="81"/>
            <rFont val="Segoe UI"/>
            <family val="2"/>
          </rPr>
          <t>Blue Steel</t>
        </r>
      </text>
    </comment>
    <comment ref="B400" authorId="2" shapeId="0" xr:uid="{00000000-0006-0000-0600-000009000000}">
      <text>
        <r>
          <rPr>
            <sz val="9"/>
            <color indexed="81"/>
            <rFont val="Segoe UI"/>
            <family val="2"/>
          </rPr>
          <t>Blue Steel</t>
        </r>
      </text>
    </comment>
    <comment ref="B404" authorId="2" shapeId="0" xr:uid="{00000000-0006-0000-0600-00000A000000}">
      <text>
        <r>
          <rPr>
            <sz val="9"/>
            <color indexed="81"/>
            <rFont val="Segoe UI"/>
            <family val="2"/>
          </rPr>
          <t>Blue Steel</t>
        </r>
      </text>
    </comment>
    <comment ref="B411" authorId="2" shapeId="0" xr:uid="{00000000-0006-0000-0600-00000B000000}">
      <text>
        <r>
          <rPr>
            <sz val="9"/>
            <color indexed="81"/>
            <rFont val="Segoe UI"/>
            <family val="2"/>
          </rPr>
          <t>Blue Steel</t>
        </r>
      </text>
    </comment>
    <comment ref="B462" authorId="2" shapeId="0" xr:uid="{00000000-0006-0000-0600-00000C000000}">
      <text>
        <r>
          <rPr>
            <sz val="9"/>
            <color indexed="81"/>
            <rFont val="Segoe UI"/>
            <family val="2"/>
          </rPr>
          <t>Blue Steel</t>
        </r>
      </text>
    </comment>
    <comment ref="B467" authorId="2" shapeId="0" xr:uid="{00000000-0006-0000-0600-00000D000000}">
      <text>
        <r>
          <rPr>
            <sz val="9"/>
            <color indexed="81"/>
            <rFont val="Segoe UI"/>
            <family val="2"/>
          </rPr>
          <t>Blue Steel</t>
        </r>
      </text>
    </comment>
    <comment ref="L477" authorId="2" shapeId="0" xr:uid="{00000000-0006-0000-0600-00000E000000}">
      <text>
        <r>
          <rPr>
            <b/>
            <sz val="9"/>
            <color indexed="81"/>
            <rFont val="Segoe UI"/>
            <family val="2"/>
          </rPr>
          <t>Felipe Gaspar Oliveira:</t>
        </r>
        <r>
          <rPr>
            <sz val="9"/>
            <color indexed="81"/>
            <rFont val="Segoe UI"/>
            <family val="2"/>
          </rPr>
          <t xml:space="preserve">
Camicado foi adquirida com 27 lojas </t>
        </r>
      </text>
    </comment>
    <comment ref="B478" authorId="2" shapeId="0" xr:uid="{00000000-0006-0000-0600-00000F000000}">
      <text>
        <r>
          <rPr>
            <sz val="9"/>
            <color indexed="81"/>
            <rFont val="Segoe UI"/>
            <family val="2"/>
          </rPr>
          <t>Blue Steel</t>
        </r>
      </text>
    </comment>
    <comment ref="E619" authorId="2" shapeId="0" xr:uid="{00000000-0006-0000-0600-000010000000}">
      <text>
        <r>
          <rPr>
            <sz val="9"/>
            <color indexed="81"/>
            <rFont val="Segoe UI"/>
            <family val="2"/>
          </rPr>
          <t>+6 = antes de 2011</t>
        </r>
      </text>
    </comment>
    <comment ref="F619" authorId="0" shapeId="0" xr:uid="{00000000-0006-0000-0600-000011000000}">
      <text>
        <r>
          <rPr>
            <sz val="9"/>
            <color indexed="81"/>
            <rFont val="Segoe UI"/>
            <family val="2"/>
          </rPr>
          <t xml:space="preserve">-1 = fechamento Bourbon Wallig
</t>
        </r>
      </text>
    </comment>
    <comment ref="D620" authorId="1" shapeId="0" xr:uid="{00000000-0006-0000-0600-000012000000}">
      <text>
        <r>
          <rPr>
            <sz val="9"/>
            <color indexed="81"/>
            <rFont val="Segoe UI"/>
            <family val="2"/>
          </rPr>
          <t>-2
Fechamento Sh Monte Carmo Betim
Fechamento Praça Uberaba Sh.
Fechamento Viscond e Pirajá</t>
        </r>
      </text>
    </comment>
    <comment ref="E620" authorId="2" shapeId="0" xr:uid="{00000000-0006-0000-0600-000013000000}">
      <text>
        <r>
          <rPr>
            <sz val="9"/>
            <color indexed="81"/>
            <rFont val="Segoe UI"/>
            <family val="2"/>
          </rPr>
          <t>+19 = antes de 2011
- 1 = fechamento Aricanduva
- 1 = fechamento West Plaza
- 1 = fechamento Interlagos
-1 = Santana
-1 Contagem
Total -&gt; 16</t>
        </r>
      </text>
    </comment>
    <comment ref="F620" authorId="2" shapeId="0" xr:uid="{00000000-0006-0000-0600-000014000000}">
      <text>
        <r>
          <rPr>
            <sz val="9"/>
            <color indexed="81"/>
            <rFont val="Segoe UI"/>
            <family val="2"/>
          </rPr>
          <t>- 1 = fechamento Shoping Contagem
- 1 = fechamento Ribeirão Shopping
- 1 = fechamento West Plaza
- 1 = fechamento Iguatemi São José do Rio Preto
- 1 = Shopping Taboão da Serra
-1 = fechamento Campinas Center
Total -&gt; - 6</t>
        </r>
      </text>
    </comment>
    <comment ref="D621" authorId="1" shapeId="0" xr:uid="{00000000-0006-0000-0600-000015000000}">
      <text>
        <r>
          <rPr>
            <sz val="9"/>
            <color indexed="81"/>
            <rFont val="Segoe UI"/>
            <family val="2"/>
          </rPr>
          <t>-1
Fechamento Sh. Portal Goiania</t>
        </r>
      </text>
    </comment>
    <comment ref="E621" authorId="2" shapeId="0" xr:uid="{00000000-0006-0000-0600-000016000000}">
      <text>
        <r>
          <rPr>
            <sz val="9"/>
            <color indexed="81"/>
            <rFont val="Segoe UI"/>
            <family val="2"/>
          </rPr>
          <t>+2 = antes de 2011
-1 = fechamento Passeio das Águas</t>
        </r>
      </text>
    </comment>
    <comment ref="D622" authorId="1" shapeId="0" xr:uid="{00000000-0006-0000-0600-000017000000}">
      <text>
        <r>
          <rPr>
            <sz val="9"/>
            <color indexed="81"/>
            <rFont val="Segoe UI"/>
            <family val="2"/>
          </rPr>
          <t>-2
Fechamento Imperatriz Recife
Fechamento Centro Natal</t>
        </r>
      </text>
    </comment>
    <comment ref="E636" authorId="2" shapeId="0" xr:uid="{00000000-0006-0000-0600-000018000000}">
      <text>
        <r>
          <rPr>
            <sz val="9"/>
            <color indexed="81"/>
            <rFont val="Segoe UI"/>
            <family val="2"/>
          </rPr>
          <t>+1 = antes de 2011</t>
        </r>
      </text>
    </comment>
    <comment ref="D638" authorId="1" shapeId="0" xr:uid="{00000000-0006-0000-0600-000019000000}">
      <text>
        <r>
          <rPr>
            <sz val="9"/>
            <color indexed="81"/>
            <rFont val="Segoe UI"/>
            <family val="2"/>
          </rPr>
          <t>-1 Fechamento Sh. Portal Goiania</t>
        </r>
      </text>
    </comment>
    <comment ref="E638" authorId="2" shapeId="0" xr:uid="{00000000-0006-0000-0600-00001A000000}">
      <text>
        <r>
          <rPr>
            <sz val="9"/>
            <color indexed="81"/>
            <rFont val="Segoe UI"/>
            <family val="2"/>
          </rPr>
          <t>+1 = antes de 2011
-1 = fechamento Passeio das Águas</t>
        </r>
      </text>
    </comment>
    <comment ref="D640" authorId="1" shapeId="0" xr:uid="{00000000-0006-0000-0600-00001B000000}">
      <text>
        <r>
          <rPr>
            <sz val="9"/>
            <color indexed="81"/>
            <rFont val="Segoe UI"/>
            <family val="2"/>
          </rPr>
          <t>-1 Fechamento Sh. Monte Carlo Betim
-1 Fechamento Praça Uberaba Sh.</t>
        </r>
      </text>
    </comment>
    <comment ref="E640" authorId="2" shapeId="0" xr:uid="{00000000-0006-0000-0600-00001C000000}">
      <text>
        <r>
          <rPr>
            <sz val="9"/>
            <color indexed="81"/>
            <rFont val="Segoe UI"/>
            <family val="2"/>
          </rPr>
          <t>+1 = antes de 2011</t>
        </r>
      </text>
    </comment>
    <comment ref="F640" authorId="2" shapeId="0" xr:uid="{00000000-0006-0000-0600-00001D000000}">
      <text>
        <r>
          <rPr>
            <sz val="9"/>
            <color indexed="81"/>
            <rFont val="Segoe UI"/>
            <family val="2"/>
          </rPr>
          <t>- 1 = fechamento Shoping Contagem</t>
        </r>
      </text>
    </comment>
    <comment ref="D645" authorId="1" shapeId="0" xr:uid="{00000000-0006-0000-0600-00001E000000}">
      <text>
        <r>
          <rPr>
            <sz val="9"/>
            <color indexed="81"/>
            <rFont val="Segoe UI"/>
            <family val="2"/>
          </rPr>
          <t>-1 Fechamento Imperatriz Recife</t>
        </r>
      </text>
    </comment>
    <comment ref="E647" authorId="2" shapeId="0" xr:uid="{00000000-0006-0000-0600-00001F000000}">
      <text>
        <r>
          <rPr>
            <sz val="9"/>
            <color indexed="81"/>
            <rFont val="Segoe UI"/>
            <family val="2"/>
          </rPr>
          <t>+3 = antes de 2011</t>
        </r>
      </text>
    </comment>
    <comment ref="E648" authorId="2" shapeId="0" xr:uid="{00000000-0006-0000-0600-000020000000}">
      <text>
        <r>
          <rPr>
            <sz val="9"/>
            <color indexed="81"/>
            <rFont val="Segoe UI"/>
            <family val="2"/>
          </rPr>
          <t>+3 = antes de 2011</t>
        </r>
      </text>
    </comment>
    <comment ref="D649" authorId="1" shapeId="0" xr:uid="{00000000-0006-0000-0600-000021000000}">
      <text>
        <r>
          <rPr>
            <sz val="9"/>
            <color indexed="81"/>
            <rFont val="Segoe UI"/>
            <family val="2"/>
          </rPr>
          <t>-1 Fechamento Centro Natal</t>
        </r>
      </text>
    </comment>
    <comment ref="E652" authorId="2" shapeId="0" xr:uid="{00000000-0006-0000-0600-000022000000}">
      <text>
        <r>
          <rPr>
            <sz val="9"/>
            <color indexed="81"/>
            <rFont val="Segoe UI"/>
            <family val="2"/>
          </rPr>
          <t>+3 = antes de 2011</t>
        </r>
      </text>
    </comment>
    <comment ref="F652" authorId="0" shapeId="0" xr:uid="{00000000-0006-0000-0600-000023000000}">
      <text>
        <r>
          <rPr>
            <sz val="9"/>
            <color indexed="81"/>
            <rFont val="Segoe UI"/>
            <family val="2"/>
          </rPr>
          <t xml:space="preserve">-1 = fechamento Bourbon Wallig
</t>
        </r>
      </text>
    </comment>
    <comment ref="E655" authorId="2" shapeId="0" xr:uid="{00000000-0006-0000-0600-000024000000}">
      <text>
        <r>
          <rPr>
            <sz val="9"/>
            <color indexed="81"/>
            <rFont val="Segoe UI"/>
            <family val="2"/>
          </rPr>
          <t>+15 = antes de 2011
- 1 = fechamento Aricanduva
- 1 = fechamento West Plaza
- 1 = fechamento Interlagos
12 = TOTAL</t>
        </r>
      </text>
    </comment>
    <comment ref="F655" authorId="2" shapeId="0" xr:uid="{00000000-0006-0000-0600-000025000000}">
      <text>
        <r>
          <rPr>
            <sz val="9"/>
            <color indexed="81"/>
            <rFont val="Segoe UI"/>
            <family val="2"/>
          </rPr>
          <t>- 1 = fechamento Ribeirão Shopping
- 1 = fechamento West Plaza
- 1 = fechamento Iguatemi São José do Rio Preto
- 1 = Shopping Taboão da Serra
- 1 = fechamento Campinas Center</t>
        </r>
      </text>
    </comment>
  </commentList>
</comments>
</file>

<file path=xl/sharedStrings.xml><?xml version="1.0" encoding="utf-8"?>
<sst xmlns="http://schemas.openxmlformats.org/spreadsheetml/2006/main" count="11986" uniqueCount="1532">
  <si>
    <t>Vendas</t>
  </si>
  <si>
    <t>Outros Resultados Operacionais</t>
  </si>
  <si>
    <t>( = ) Gross Profit</t>
  </si>
  <si>
    <t>1TQ05</t>
  </si>
  <si>
    <t>AV</t>
  </si>
  <si>
    <t>2TQ05</t>
  </si>
  <si>
    <t>3TQ05</t>
  </si>
  <si>
    <t>4TQ05</t>
  </si>
  <si>
    <t>1TQ06</t>
  </si>
  <si>
    <t>AH</t>
  </si>
  <si>
    <t>2TQ06</t>
  </si>
  <si>
    <t>3TQ06</t>
  </si>
  <si>
    <t>4TQ06</t>
  </si>
  <si>
    <t>1TQ07</t>
  </si>
  <si>
    <t>2TQ07</t>
  </si>
  <si>
    <t>Liabilities and Shareholder's Equity</t>
  </si>
  <si>
    <t>Ativo</t>
  </si>
  <si>
    <t>Total Assets</t>
  </si>
  <si>
    <t>Ativo Total</t>
  </si>
  <si>
    <t>Caixa e Equivalentes de Caixa</t>
  </si>
  <si>
    <t>Trade Accounts Receivable</t>
  </si>
  <si>
    <t>Contas a Receber de Clientes</t>
  </si>
  <si>
    <t>Inventories</t>
  </si>
  <si>
    <t>Estoques</t>
  </si>
  <si>
    <t xml:space="preserve">      Estoques</t>
  </si>
  <si>
    <t xml:space="preserve">      Importações em Andamento</t>
  </si>
  <si>
    <t>Recoverable Taxes</t>
  </si>
  <si>
    <t>Impostos a Recuperar</t>
  </si>
  <si>
    <t>Other Accounts Receivable</t>
  </si>
  <si>
    <t>Outras Contas a Receber</t>
  </si>
  <si>
    <t>Prepaid Expenses</t>
  </si>
  <si>
    <t>Despesas Antecipadas</t>
  </si>
  <si>
    <t>Judicial Deposits</t>
  </si>
  <si>
    <t>Depósitos Judiciais</t>
  </si>
  <si>
    <t>Tributos Diferidos</t>
  </si>
  <si>
    <t>Ativo não circulante mantido para venda</t>
  </si>
  <si>
    <t>Investments</t>
  </si>
  <si>
    <t>Investimentos</t>
  </si>
  <si>
    <t>Empréstimos e Financiamentos</t>
  </si>
  <si>
    <t>Suppliers</t>
  </si>
  <si>
    <t>Fornecedores</t>
  </si>
  <si>
    <t xml:space="preserve">      Fornecedores Comerciais</t>
  </si>
  <si>
    <t xml:space="preserve">      Antecipações de Pagamentos</t>
  </si>
  <si>
    <t xml:space="preserve">      Fornecedores Uso e Consumo</t>
  </si>
  <si>
    <t>Taxes and Contributions Payable</t>
  </si>
  <si>
    <t>Impostos e Contribuições a Recolher</t>
  </si>
  <si>
    <t>Accrued Salaries and Vacations Payable</t>
  </si>
  <si>
    <t>Salários e Férias a Pagar</t>
  </si>
  <si>
    <t>Other Accounts Payable</t>
  </si>
  <si>
    <t>Outras Obrigações</t>
  </si>
  <si>
    <t>Aluguéis a Pagar</t>
  </si>
  <si>
    <t>Obrigações Estatutárias</t>
  </si>
  <si>
    <t>Provisão para riscos cíveis e trabalhistas</t>
  </si>
  <si>
    <t>Shareholder's Equity</t>
  </si>
  <si>
    <t>Patrimônio Líquido</t>
  </si>
  <si>
    <t>Capital Social</t>
  </si>
  <si>
    <t>Capital Reserve</t>
  </si>
  <si>
    <t>Reservas de Capital</t>
  </si>
  <si>
    <t>Profit Reserve</t>
  </si>
  <si>
    <t>Reservas de Lucros</t>
  </si>
  <si>
    <t>Ajustes Avaliação Patrimonial</t>
  </si>
  <si>
    <t>DADOS OPERACIONAIS</t>
  </si>
  <si>
    <t>6M05</t>
  </si>
  <si>
    <t>9M05</t>
  </si>
  <si>
    <t>6M06</t>
  </si>
  <si>
    <t>9M06</t>
  </si>
  <si>
    <t>6M07</t>
  </si>
  <si>
    <t>9M07</t>
  </si>
  <si>
    <t>6M08</t>
  </si>
  <si>
    <t>9M08</t>
  </si>
  <si>
    <t>6M09</t>
  </si>
  <si>
    <t>9M09</t>
  </si>
  <si>
    <t>6M10</t>
  </si>
  <si>
    <t>9M10</t>
  </si>
  <si>
    <t>Crescimento Mesmas Lojas (Rec. Líq %)</t>
  </si>
  <si>
    <t>Número de Cartões no final do período (mm)</t>
  </si>
  <si>
    <t>Quantidade de cartões emitidos no período (mil)</t>
  </si>
  <si>
    <t>na</t>
  </si>
  <si>
    <t>Carteira EP (R$ MM)</t>
  </si>
  <si>
    <t>HISTÓRICO DO PAGAMENTO DE DIVIDENDOS</t>
  </si>
  <si>
    <t>Forma de Pagamento</t>
  </si>
  <si>
    <t>Data de Aprovação</t>
  </si>
  <si>
    <t>Data de Pagamento</t>
  </si>
  <si>
    <t>Total (R$)</t>
  </si>
  <si>
    <t>Yield</t>
  </si>
  <si>
    <t>Form of Payment</t>
  </si>
  <si>
    <t>Date of Approval</t>
  </si>
  <si>
    <t>Date of Payment</t>
  </si>
  <si>
    <t>Total 2010</t>
  </si>
  <si>
    <t>Total 2009</t>
  </si>
  <si>
    <t>Total 2008</t>
  </si>
  <si>
    <t>Total 2007</t>
  </si>
  <si>
    <t>Total 2006</t>
  </si>
  <si>
    <t>Total 2005</t>
  </si>
  <si>
    <t>Total</t>
  </si>
  <si>
    <t>3TQ07</t>
  </si>
  <si>
    <t>4TQ07</t>
  </si>
  <si>
    <t>1TQ08</t>
  </si>
  <si>
    <t>2TQ08</t>
  </si>
  <si>
    <t>3TQ08</t>
  </si>
  <si>
    <t>4TQ08</t>
  </si>
  <si>
    <t>1TQ09</t>
  </si>
  <si>
    <t>2TQ09</t>
  </si>
  <si>
    <t>3TQ09</t>
  </si>
  <si>
    <t>4TQ09</t>
  </si>
  <si>
    <t>1TQ10</t>
  </si>
  <si>
    <t>2TQ10</t>
  </si>
  <si>
    <t>3TQ10</t>
  </si>
  <si>
    <t>Net Revenues from Merchandise Sales</t>
  </si>
  <si>
    <t>Receita Líquida das Vendas de Mercadorias</t>
  </si>
  <si>
    <t>4TQ10</t>
  </si>
  <si>
    <t>Lucros / Prejuízos Acumulados</t>
  </si>
  <si>
    <t>-</t>
  </si>
  <si>
    <t>Receita Operacional Líquida Total</t>
  </si>
  <si>
    <t>( = ) Lucro Bruto Total</t>
  </si>
  <si>
    <t>( = ) Gross Profit from Retailing Operation</t>
  </si>
  <si>
    <t>( = ) Lucro Bruto da Operação de Varejo</t>
  </si>
  <si>
    <t>Tributárias</t>
  </si>
  <si>
    <t xml:space="preserve">    Stock Option Plan</t>
  </si>
  <si>
    <t>Plano de Opção de Compra de Ações</t>
  </si>
  <si>
    <t xml:space="preserve">    Losses on Receivables, Net      </t>
  </si>
  <si>
    <t>Perdas em Crédito, Líquidas</t>
  </si>
  <si>
    <t xml:space="preserve">    Financial Services Expenses </t>
  </si>
  <si>
    <t>Despesas Produtos / Serviços Financeiros</t>
  </si>
  <si>
    <t xml:space="preserve">    Depreciation and Amortization</t>
  </si>
  <si>
    <t>Depreciações e amortizações</t>
  </si>
  <si>
    <t xml:space="preserve">    Other Operating Income</t>
  </si>
  <si>
    <t>Resultado de Equivalência Patrimonial</t>
  </si>
  <si>
    <t xml:space="preserve">    Extraordinary Expenses</t>
  </si>
  <si>
    <t>Despesa Extraordinária</t>
  </si>
  <si>
    <t>( = ) Lucro Operacional após o Resultado Financeiro</t>
  </si>
  <si>
    <t xml:space="preserve"> Resultado da Venda ou Baixa de Ativos Fixos</t>
  </si>
  <si>
    <t>Income and Social Contribution Taxes</t>
  </si>
  <si>
    <t>Imposto de Renda e Contribuição Social</t>
  </si>
  <si>
    <t>Participações Estatutárias</t>
  </si>
  <si>
    <t xml:space="preserve">( = ) Net Income </t>
  </si>
  <si>
    <t>( = ) Lucro Líquido do Período</t>
  </si>
  <si>
    <t>Earnings per Share</t>
  </si>
  <si>
    <t xml:space="preserve">Passivo Total </t>
  </si>
  <si>
    <t>Assets</t>
  </si>
  <si>
    <t>Long Term Assets Mantained for Sale</t>
  </si>
  <si>
    <t>Commercial Suppliers</t>
  </si>
  <si>
    <t>Antecipation of Payments</t>
  </si>
  <si>
    <t>Suppliers of Material for Consumption</t>
  </si>
  <si>
    <t>Provisão para Riscos Tributários e Cíveis</t>
  </si>
  <si>
    <t>( - ) Custos das Vendas e Serviços</t>
  </si>
  <si>
    <t>Statutory Participation</t>
  </si>
  <si>
    <t xml:space="preserve">    Financial Result, Net</t>
  </si>
  <si>
    <t>Financiamentos - Operações Serviços Financeiros</t>
  </si>
  <si>
    <t>Financiamentos - Operações Serviços Financeiros FIDC</t>
  </si>
  <si>
    <t>Passivo e Patrimônio Líquido</t>
  </si>
  <si>
    <t xml:space="preserve">( - ) Costs of Sales and Services </t>
  </si>
  <si>
    <t>Resultado Financeiro, Líquido</t>
  </si>
  <si>
    <t>( = ) Operating Income after Financial Result</t>
  </si>
  <si>
    <t>Custo das Mercadorias Vendidas</t>
  </si>
  <si>
    <t>Custos Serviços Financeiros</t>
  </si>
  <si>
    <t xml:space="preserve">Property and Equipment </t>
  </si>
  <si>
    <t>Intangible</t>
  </si>
  <si>
    <t>Imobilizado</t>
  </si>
  <si>
    <t>Intangível</t>
  </si>
  <si>
    <t>DIVIDEND PAYMENT HISTORY</t>
  </si>
  <si>
    <t>Costs of Goods Sold</t>
  </si>
  <si>
    <t>Costs of Financial Services</t>
  </si>
  <si>
    <t>Resultados não-recorrentes</t>
  </si>
  <si>
    <t>Receita Líquida de Produtos / Serviços Financeiros</t>
  </si>
  <si>
    <t>Circulante</t>
  </si>
  <si>
    <t>Noncurrent</t>
  </si>
  <si>
    <t>Não Circulante</t>
  </si>
  <si>
    <t xml:space="preserve">     Inventories </t>
  </si>
  <si>
    <t xml:space="preserve">     Imports in Transit</t>
  </si>
  <si>
    <t>Capital</t>
  </si>
  <si>
    <t>APR. 22, 2010</t>
  </si>
  <si>
    <t>DEC. 16, 2010</t>
  </si>
  <si>
    <t>DEC. 17, 2009</t>
  </si>
  <si>
    <t>APR. 15, 2009</t>
  </si>
  <si>
    <t>DEC. 16, 2008</t>
  </si>
  <si>
    <t>MAR. 31, 2008</t>
  </si>
  <si>
    <t>DEC. 27, 2007</t>
  </si>
  <si>
    <t>APR. 2, 2007</t>
  </si>
  <si>
    <t>DEC. 27, 2006</t>
  </si>
  <si>
    <t>JUL. 27, 2006</t>
  </si>
  <si>
    <t>MAR.21, 2006</t>
  </si>
  <si>
    <t>DEC. 28, 2005</t>
  </si>
  <si>
    <t>NOV.16, 2005</t>
  </si>
  <si>
    <t>APR. 30, 2010</t>
  </si>
  <si>
    <t>APR. 24, 2009</t>
  </si>
  <si>
    <t>APR. 10, 2008</t>
  </si>
  <si>
    <t>JAN.08, 2008</t>
  </si>
  <si>
    <t xml:space="preserve">APR.13, 2007 </t>
  </si>
  <si>
    <t>JAN.08, 2007</t>
  </si>
  <si>
    <t>AUG. 08, 2006</t>
  </si>
  <si>
    <t>MAR. 30, 2006</t>
  </si>
  <si>
    <t>JAN.09, 2006</t>
  </si>
  <si>
    <t>NOV. 28, 2005</t>
  </si>
  <si>
    <t>Interest-bearing credit sales - 0+8 (%)</t>
  </si>
  <si>
    <t>Interest-free credit sales - 0+5 (%)</t>
  </si>
  <si>
    <t>Participação do Cartão Renner (%)</t>
  </si>
  <si>
    <t>Participação Vendas sem Encargos - 0+5 (%)</t>
  </si>
  <si>
    <t>Participação Vendas com Encargos - 0+8 (%)</t>
  </si>
  <si>
    <t>Outros Cartões de Crédito (%)</t>
  </si>
  <si>
    <t>Other Credit Cards  (%)</t>
  </si>
  <si>
    <t>Cash Payments  (%)</t>
  </si>
  <si>
    <t>Pagamentos à Vista  (%)</t>
  </si>
  <si>
    <t>Personal Loan Portfolio (R$ MM)</t>
  </si>
  <si>
    <t>Net Revenues from Financial Products/Services</t>
  </si>
  <si>
    <t>( - ) Operating Expenses</t>
  </si>
  <si>
    <t>( - ) Despesas Operacionais</t>
  </si>
  <si>
    <r>
      <t>DEMONSTRATIVO DE RESULTADOS</t>
    </r>
    <r>
      <rPr>
        <b/>
        <sz val="8"/>
        <color indexed="9"/>
        <rFont val="Century Gothic"/>
        <family val="2"/>
      </rPr>
      <t xml:space="preserve"> (R$ mil)</t>
    </r>
  </si>
  <si>
    <t>Non-recurring Results</t>
  </si>
  <si>
    <t>Quantidade de ações ao final do exercício (milhares)</t>
  </si>
  <si>
    <t>( = ) Lucro Antes do Imposto de Renda, CSLL e Part.Estatutárias</t>
  </si>
  <si>
    <t>( = ) Income Before Income, Soc. Cont. Taxes and Statutory Participation</t>
  </si>
  <si>
    <t>Despesas Oper. (Cartão Renner e Serv. Financ.)</t>
  </si>
  <si>
    <t>Credit Losses, Net of Recoveries</t>
  </si>
  <si>
    <t>Receitas, Líquidas do Funding e Impostos</t>
  </si>
  <si>
    <r>
      <t>RESULTADO DE SERVIÇOS FINANCEIROS</t>
    </r>
    <r>
      <rPr>
        <b/>
        <sz val="8"/>
        <color indexed="9"/>
        <rFont val="Century Gothic"/>
        <family val="2"/>
      </rPr>
      <t xml:space="preserve"> (R$ mil)</t>
    </r>
  </si>
  <si>
    <t>Perdas em Créditos, Líquidas das Recuperações</t>
  </si>
  <si>
    <t xml:space="preserve">    Employee Profit Sharing</t>
  </si>
  <si>
    <t>Participação dos Empregados</t>
  </si>
  <si>
    <t>Total 2011</t>
  </si>
  <si>
    <t>1TQ11</t>
  </si>
  <si>
    <t>MAR. 14, 2011</t>
  </si>
  <si>
    <t>APR. 20, 2011</t>
  </si>
  <si>
    <t xml:space="preserve">    Equity Pick-ups</t>
  </si>
  <si>
    <t>Gerais e Administrativas</t>
  </si>
  <si>
    <t>Remuneração dos Administradores</t>
  </si>
  <si>
    <t>Dec.09</t>
  </si>
  <si>
    <t>Dec.10</t>
  </si>
  <si>
    <t>Dec.08</t>
  </si>
  <si>
    <t>Dec.07</t>
  </si>
  <si>
    <t>Mar.11</t>
  </si>
  <si>
    <t>Mar.05</t>
  </si>
  <si>
    <t>Jun.05</t>
  </si>
  <si>
    <t>Sep.05</t>
  </si>
  <si>
    <t>Dec.05</t>
  </si>
  <si>
    <t>Mar.06</t>
  </si>
  <si>
    <t>Jun.06</t>
  </si>
  <si>
    <t>Sep.06</t>
  </si>
  <si>
    <t>Dec.06</t>
  </si>
  <si>
    <t>Mar.07</t>
  </si>
  <si>
    <t>Jun.07</t>
  </si>
  <si>
    <t>Sep.07</t>
  </si>
  <si>
    <t>Jun.08</t>
  </si>
  <si>
    <t>Sep.08</t>
  </si>
  <si>
    <t>Mar.09</t>
  </si>
  <si>
    <t>Jun.09</t>
  </si>
  <si>
    <t>Sep.09</t>
  </si>
  <si>
    <t>Mar.10</t>
  </si>
  <si>
    <t>Jun.10</t>
  </si>
  <si>
    <t>Sep.10</t>
  </si>
  <si>
    <t>Mar.08</t>
  </si>
  <si>
    <t>To fall due from 1 to 30 days</t>
  </si>
  <si>
    <t>To fall due from 31 to 60 days</t>
  </si>
  <si>
    <t>2TQ11</t>
  </si>
  <si>
    <t>6M11</t>
  </si>
  <si>
    <t>Number of Cards Issued (thousand)</t>
  </si>
  <si>
    <t>Jun.11</t>
  </si>
  <si>
    <t>Lucro líquido por ação - R$</t>
  </si>
  <si>
    <t>JUN. 26, 2011</t>
  </si>
  <si>
    <t>Dividend per Share (R$)</t>
  </si>
  <si>
    <t>Set.10</t>
  </si>
  <si>
    <t>Set.09</t>
  </si>
  <si>
    <t>Set.08</t>
  </si>
  <si>
    <t>Set.07</t>
  </si>
  <si>
    <t>Set.06</t>
  </si>
  <si>
    <t>Set.05</t>
  </si>
  <si>
    <t>BALANÇO PATRIMONIAL CONSOLIDADO (R$ mil)</t>
  </si>
  <si>
    <t>Renner Card Average Ticket (R$)</t>
  </si>
  <si>
    <t>Company's Average Ticket (R$)</t>
  </si>
  <si>
    <t>Ticket Médio da Companhia (R$)</t>
  </si>
  <si>
    <t>Total Liabilities and Shareholder's Equity</t>
  </si>
  <si>
    <t>Rentals Payable</t>
  </si>
  <si>
    <t xml:space="preserve">Current </t>
  </si>
  <si>
    <t xml:space="preserve">Noncurrent </t>
  </si>
  <si>
    <t xml:space="preserve"> Liabilities Under Bylaws</t>
  </si>
  <si>
    <t xml:space="preserve">Carrying Value Adjustmens </t>
  </si>
  <si>
    <t>Retained Earnings/ Accumulated Deficit</t>
  </si>
  <si>
    <t xml:space="preserve"> BALANCE SHEET (R$ ,000) - CONSOLIDATED</t>
  </si>
  <si>
    <t xml:space="preserve">FINANCIAL STATEMENT (R$ ,000) - CONSOLIDATED </t>
  </si>
  <si>
    <t>Revenues, Net from Funding and Taxes</t>
  </si>
  <si>
    <t>Net Revenues from Merchandise Sales (Consolidated)</t>
  </si>
  <si>
    <t>Receita Líquida das Vendas de Mercadorias (Consolidado)</t>
  </si>
  <si>
    <t>Sep.11</t>
  </si>
  <si>
    <t>3TQ11</t>
  </si>
  <si>
    <t>9M11</t>
  </si>
  <si>
    <t>Dec.11</t>
  </si>
  <si>
    <t>4T11</t>
  </si>
  <si>
    <t>4TQ11</t>
  </si>
  <si>
    <t>SEP. 23, 2011</t>
  </si>
  <si>
    <t>Imports Financing</t>
  </si>
  <si>
    <t>DEC. 19, 2011</t>
  </si>
  <si>
    <t>Financiamentos - importações</t>
  </si>
  <si>
    <t>1TQ12</t>
  </si>
  <si>
    <t>1QT12</t>
  </si>
  <si>
    <t>Mar.12</t>
  </si>
  <si>
    <t>Total 2012</t>
  </si>
  <si>
    <t>MAR. 14, 2012</t>
  </si>
  <si>
    <t>ABR.27.2012</t>
  </si>
  <si>
    <t>Jun.12</t>
  </si>
  <si>
    <t>2TQ12</t>
  </si>
  <si>
    <t>6M12</t>
  </si>
  <si>
    <t>JUN. 19, 2012</t>
  </si>
  <si>
    <t>SEP. 19, 2012</t>
  </si>
  <si>
    <t>Set.12</t>
  </si>
  <si>
    <t>Financiamento Arrendamento Mercantil</t>
  </si>
  <si>
    <t>3TQ12</t>
  </si>
  <si>
    <t>9M12</t>
  </si>
  <si>
    <t>DEZ. 19, 2012</t>
  </si>
  <si>
    <t>4TQ12</t>
  </si>
  <si>
    <t>( = ) Adjusted EBITDA from Retailing Operation</t>
  </si>
  <si>
    <t>( = ) Adjusted total EBITDA</t>
  </si>
  <si>
    <t>( = ) EBITDA Ajustado da Operação de Varejo</t>
  </si>
  <si>
    <t xml:space="preserve">( = ) EBITDA Ajustado Total </t>
  </si>
  <si>
    <t>OPERATING DATA</t>
  </si>
  <si>
    <t>Mar.13</t>
  </si>
  <si>
    <t>Total 2013</t>
  </si>
  <si>
    <t>1TQ13</t>
  </si>
  <si>
    <t>ABR.26.2013</t>
  </si>
  <si>
    <t>MAR. 15, 2013</t>
  </si>
  <si>
    <t>APR. 18, 2013</t>
  </si>
  <si>
    <t>APR. 20, 2012</t>
  </si>
  <si>
    <t>APR. 11, 2011</t>
  </si>
  <si>
    <t>Dec.12</t>
  </si>
  <si>
    <t>JUN. 19, 2013</t>
  </si>
  <si>
    <t>2TQ13</t>
  </si>
  <si>
    <t>6M13</t>
  </si>
  <si>
    <t>Jun.13</t>
  </si>
  <si>
    <t>Set.13</t>
  </si>
  <si>
    <t>3TQ13</t>
  </si>
  <si>
    <t>9M13</t>
  </si>
  <si>
    <t>Sep.13</t>
  </si>
  <si>
    <t>SEP. 18, 2013</t>
  </si>
  <si>
    <t>Dec.13</t>
  </si>
  <si>
    <t>4TQ13</t>
  </si>
  <si>
    <t>DEC. 18, 2013</t>
  </si>
  <si>
    <t>*Includes Camicado since 2013</t>
  </si>
  <si>
    <t>1TQ14</t>
  </si>
  <si>
    <t>Mar.14</t>
  </si>
  <si>
    <t>Number of Renner Stores</t>
  </si>
  <si>
    <t>MAR. 18, 2014</t>
  </si>
  <si>
    <t>Total 2014</t>
  </si>
  <si>
    <t>APR. 17, 2014</t>
  </si>
  <si>
    <t>APR.28.2014</t>
  </si>
  <si>
    <t>Obligations with Card Administrators</t>
  </si>
  <si>
    <t>Financing Lease</t>
  </si>
  <si>
    <t>2TQ14</t>
  </si>
  <si>
    <t>6M14</t>
  </si>
  <si>
    <t>Jun.14</t>
  </si>
  <si>
    <t>JUN. 17, 2014</t>
  </si>
  <si>
    <t>3TQ14</t>
  </si>
  <si>
    <t>9M14</t>
  </si>
  <si>
    <t>Set.14</t>
  </si>
  <si>
    <t>SEP. 17, 2014</t>
  </si>
  <si>
    <t xml:space="preserve"> </t>
  </si>
  <si>
    <t xml:space="preserve"> -</t>
  </si>
  <si>
    <t>Loans, Financing and Debentures</t>
  </si>
  <si>
    <t>4TQ14</t>
  </si>
  <si>
    <t>DEC, 17, 2014</t>
  </si>
  <si>
    <t>Dec.14</t>
  </si>
  <si>
    <t>Net Operating Revenues</t>
  </si>
  <si>
    <t>Number of Camicado Stores</t>
  </si>
  <si>
    <t>1TQ15</t>
  </si>
  <si>
    <t>Mar.15</t>
  </si>
  <si>
    <t>Derivatives</t>
  </si>
  <si>
    <t>Private Label</t>
  </si>
  <si>
    <t>Co-branded Card</t>
  </si>
  <si>
    <t>Personal Loans and Other Financial Services</t>
  </si>
  <si>
    <t>MAR. 18, 2015</t>
  </si>
  <si>
    <t>* Includes Blue Steel stores from 1TQ11 to 3TQ13</t>
  </si>
  <si>
    <t>APR.24.2015</t>
  </si>
  <si>
    <t>JUN. 18, 2015</t>
  </si>
  <si>
    <t>2TQ15</t>
  </si>
  <si>
    <t>6M15</t>
  </si>
  <si>
    <t>Jun.15</t>
  </si>
  <si>
    <t>Derivativos</t>
  </si>
  <si>
    <t>Obrigações com Administradora de Cartões</t>
  </si>
  <si>
    <t>Cartão Private Label Renner</t>
  </si>
  <si>
    <t>Número de Lojas Renner</t>
  </si>
  <si>
    <t>Número de Lojas Camicado</t>
  </si>
  <si>
    <t>Número de Lojas Youcom</t>
  </si>
  <si>
    <t>Área de Vendas Renner (mil m2)</t>
  </si>
  <si>
    <t>Área de Vendas Camicado (mil m2)</t>
  </si>
  <si>
    <t>Área de Vendas Youcom (mil m2)</t>
  </si>
  <si>
    <t>A Vencer</t>
  </si>
  <si>
    <t>Vencidos de 1 a 30 dias</t>
  </si>
  <si>
    <t xml:space="preserve">    Vencidos de 31 a 60 dias</t>
  </si>
  <si>
    <t xml:space="preserve">    Vencidos de 61 a 90 dias</t>
  </si>
  <si>
    <t xml:space="preserve">    Vencidos de 91 a 180 dias</t>
  </si>
  <si>
    <t>AVP (Ajuste a Valor Presente)</t>
  </si>
  <si>
    <t>Number of Youcom Stores</t>
  </si>
  <si>
    <t>Ticket Médio Cartão Renner (R$)</t>
  </si>
  <si>
    <t>Financing - Financial Products Operations</t>
  </si>
  <si>
    <t xml:space="preserve">Financing - Financial Products Operations </t>
  </si>
  <si>
    <t>3TQ15</t>
  </si>
  <si>
    <t>9M15</t>
  </si>
  <si>
    <t>Set.15</t>
  </si>
  <si>
    <t>4TQ15</t>
  </si>
  <si>
    <t>Dec.15</t>
  </si>
  <si>
    <t>Total 2015</t>
  </si>
  <si>
    <t>SEP. 23, 2015</t>
  </si>
  <si>
    <t>DEC. 17, 2015</t>
  </si>
  <si>
    <t>Sep.15</t>
  </si>
  <si>
    <t>Sep.14</t>
  </si>
  <si>
    <t>Private Label Portfolio (R$ MM)</t>
  </si>
  <si>
    <t>Co-branded Card Portfolio (R$ MM)</t>
  </si>
  <si>
    <t>Carteira Meu Cartão (R$ MM)</t>
  </si>
  <si>
    <t>Carteira Cartão Renner (R$ MM)</t>
  </si>
  <si>
    <t>Tamanho Médio de Loja Renner (mil m2)</t>
  </si>
  <si>
    <t>Tamanho Médio de Loja Camicado (mil m2)</t>
  </si>
  <si>
    <t>Tamanho Médio de Loja Youcom (mil m2)</t>
  </si>
  <si>
    <t xml:space="preserve">Percentual de Vencidos sobre a Carteira </t>
  </si>
  <si>
    <t>Perdas, Líquidas das Recuperações sobre a Carteira</t>
  </si>
  <si>
    <t>Carteira (R$ mil)</t>
  </si>
  <si>
    <t>Selling Area of Camicado (thousand m2)</t>
  </si>
  <si>
    <t>Selling Area of Youcom (thousand m2)</t>
  </si>
  <si>
    <t>RENNER</t>
  </si>
  <si>
    <t>CAMICADO</t>
  </si>
  <si>
    <t>YOUCOM</t>
  </si>
  <si>
    <t>Selling Area of Renner Stores (thousand m2)</t>
  </si>
  <si>
    <t>Number of Stores (Renner + Camicado + Youcom)</t>
  </si>
  <si>
    <t>Número de Lojas (Renner + Camicado + Youcom)</t>
  </si>
  <si>
    <t>Receita Líquida Renner (mil)</t>
  </si>
  <si>
    <t>Net Revenue Growth of Renner Stores (%)</t>
  </si>
  <si>
    <t>Crescimento da Receita Líquida da Renner (%)</t>
  </si>
  <si>
    <t>Gross Margin of Renner Stores (%)</t>
  </si>
  <si>
    <t>Margem Bruta da Renner (%)</t>
  </si>
  <si>
    <t>Net Revenue Growth of Camicado (%)</t>
  </si>
  <si>
    <t>Gross Margin of Camicado (%)</t>
  </si>
  <si>
    <t>Receita Líquida Camicado (mil)</t>
  </si>
  <si>
    <t>Crescimento da Receita Líquida da Camicado (%)</t>
  </si>
  <si>
    <t>Margem Bruta da Camicado (%)</t>
  </si>
  <si>
    <t>Receita Líquida Youcom (mil)</t>
  </si>
  <si>
    <t>Crescimento da Receita Líquida da Youcom (%)</t>
  </si>
  <si>
    <t>Margem Bruta da Youcom (%)</t>
  </si>
  <si>
    <t>Net Revenue Growth of Youcom (%)</t>
  </si>
  <si>
    <t>Gross Margin of Youcom (%)</t>
  </si>
  <si>
    <t>CREDIT LOSSES OVER THE PORTFOLIO, NET OF RECOVERIES</t>
  </si>
  <si>
    <t>Novas lojas</t>
  </si>
  <si>
    <t>Remodelação de instalações</t>
  </si>
  <si>
    <t>Sistemas e equipamentos de tecnologia</t>
  </si>
  <si>
    <t>Centro de Distribuição</t>
  </si>
  <si>
    <t>New Stores</t>
  </si>
  <si>
    <t>Remodelling of Installations</t>
  </si>
  <si>
    <t>IT Equipament &amp; Systems</t>
  </si>
  <si>
    <t>Distribution Center</t>
  </si>
  <si>
    <t>Others Investments</t>
  </si>
  <si>
    <t>Outros Investimentos</t>
  </si>
  <si>
    <t>CAPEX (Investments) (R$ MM)</t>
  </si>
  <si>
    <t>CAPEX (Investimentos)  (R$ MM)</t>
  </si>
  <si>
    <t>Renner Card Penetration (Priv. Label + Co-B.) (%)</t>
  </si>
  <si>
    <t>Treasury Shares</t>
  </si>
  <si>
    <t>Ações em Tesouraria</t>
  </si>
  <si>
    <t>APR. 16, 2015</t>
  </si>
  <si>
    <t>Number of Cards at the End of Period (MM)</t>
  </si>
  <si>
    <r>
      <t>RESULT FROM FINANCIAL PRODUCTS BREAKDOWN</t>
    </r>
    <r>
      <rPr>
        <b/>
        <sz val="8"/>
        <color indexed="9"/>
        <rFont val="Century Gothic"/>
        <family val="2"/>
      </rPr>
      <t xml:space="preserve"> (R$ ,000)</t>
    </r>
  </si>
  <si>
    <t>1TQ16</t>
  </si>
  <si>
    <t>Mar.16</t>
  </si>
  <si>
    <t>Total 2016</t>
  </si>
  <si>
    <t>Região</t>
  </si>
  <si>
    <t>Estado</t>
  </si>
  <si>
    <t>Renner</t>
  </si>
  <si>
    <t>RS</t>
  </si>
  <si>
    <t>SP</t>
  </si>
  <si>
    <t>MT</t>
  </si>
  <si>
    <t>BA</t>
  </si>
  <si>
    <t>PE</t>
  </si>
  <si>
    <t>RJ</t>
  </si>
  <si>
    <t>GO</t>
  </si>
  <si>
    <t>Rio Grande</t>
  </si>
  <si>
    <t>São Paulo</t>
  </si>
  <si>
    <t>Lorena</t>
  </si>
  <si>
    <t>Várzea Grande</t>
  </si>
  <si>
    <t>Camaçari</t>
  </si>
  <si>
    <t>Recife</t>
  </si>
  <si>
    <t>Guaratinguetá</t>
  </si>
  <si>
    <t>Angra dos Reis</t>
  </si>
  <si>
    <t>Valparaíso</t>
  </si>
  <si>
    <t>Barretos</t>
  </si>
  <si>
    <t>Uruguaiana</t>
  </si>
  <si>
    <t>Partage Shopping Rio Grande</t>
  </si>
  <si>
    <t>Loja Av. Ibirapuera</t>
  </si>
  <si>
    <t>Eco Valle Shopping</t>
  </si>
  <si>
    <t xml:space="preserve">Várzea Grande Shopping </t>
  </si>
  <si>
    <t>Boulevard Shopping Camaçari</t>
  </si>
  <si>
    <t>Tacaruna Shopping</t>
  </si>
  <si>
    <t>Buriti Shopping Guará</t>
  </si>
  <si>
    <t>Shopping Piratas Mall</t>
  </si>
  <si>
    <t>Shopping Sul</t>
  </si>
  <si>
    <t>North Shopping Barretos</t>
  </si>
  <si>
    <t>Loja de Uruguaiana</t>
  </si>
  <si>
    <t>Camicado</t>
  </si>
  <si>
    <t>Youcom</t>
  </si>
  <si>
    <t>Rio de Janeiro</t>
  </si>
  <si>
    <t>Guarulhos</t>
  </si>
  <si>
    <t>Jaraguá do Sul</t>
  </si>
  <si>
    <t>Porto Alegre</t>
  </si>
  <si>
    <t>Tatuapé</t>
  </si>
  <si>
    <t>Santa Bárbara D'Oeste</t>
  </si>
  <si>
    <t>São José do Rio Preto</t>
  </si>
  <si>
    <t>Palhoça</t>
  </si>
  <si>
    <t>Araraquara</t>
  </si>
  <si>
    <t>Fortaleza</t>
  </si>
  <si>
    <t>Uberaba</t>
  </si>
  <si>
    <t>Belém</t>
  </si>
  <si>
    <t>Ipatinga</t>
  </si>
  <si>
    <t>Teresina</t>
  </si>
  <si>
    <t>Fotaleza</t>
  </si>
  <si>
    <t>Niterói</t>
  </si>
  <si>
    <t>Cuiabá</t>
  </si>
  <si>
    <t>Salvador</t>
  </si>
  <si>
    <t>Novo Hamburgo</t>
  </si>
  <si>
    <t>Santo André</t>
  </si>
  <si>
    <t>Balneário Camboriú</t>
  </si>
  <si>
    <t>São José</t>
  </si>
  <si>
    <t>São Bernardo do Campo</t>
  </si>
  <si>
    <t>São José dos Campos</t>
  </si>
  <si>
    <t>Taboão da Serra</t>
  </si>
  <si>
    <t xml:space="preserve">Jundiaí </t>
  </si>
  <si>
    <t>Joinville</t>
  </si>
  <si>
    <t>Serra</t>
  </si>
  <si>
    <t>Betim</t>
  </si>
  <si>
    <t>Mossoró</t>
  </si>
  <si>
    <t xml:space="preserve">São José do Rio Preto </t>
  </si>
  <si>
    <t xml:space="preserve">Rio de Janeiro </t>
  </si>
  <si>
    <t>Criacica</t>
  </si>
  <si>
    <t xml:space="preserve">São Luis </t>
  </si>
  <si>
    <t>Botucatu</t>
  </si>
  <si>
    <t>Florianópolis</t>
  </si>
  <si>
    <t>Mogi das Cruzes</t>
  </si>
  <si>
    <t>São Carlos</t>
  </si>
  <si>
    <t>Vila Velha</t>
  </si>
  <si>
    <t>Lajeado</t>
  </si>
  <si>
    <t>Itajaí</t>
  </si>
  <si>
    <t>Rio Claro</t>
  </si>
  <si>
    <t>Belo Horizonte</t>
  </si>
  <si>
    <t>Araçatuba</t>
  </si>
  <si>
    <t>Lages</t>
  </si>
  <si>
    <t>Rio Verde</t>
  </si>
  <si>
    <t>Boa Vista</t>
  </si>
  <si>
    <t>Manaus</t>
  </si>
  <si>
    <t>Rio Janeiro</t>
  </si>
  <si>
    <t>João Pessoa</t>
  </si>
  <si>
    <t>Arapiraca</t>
  </si>
  <si>
    <t xml:space="preserve">Contagem </t>
  </si>
  <si>
    <t xml:space="preserve">São Paulo </t>
  </si>
  <si>
    <t>Goiânia</t>
  </si>
  <si>
    <t>Campo Grande</t>
  </si>
  <si>
    <t>Brasília</t>
  </si>
  <si>
    <t>Ribeirão Preto</t>
  </si>
  <si>
    <t>Caxias do Sul</t>
  </si>
  <si>
    <t>Pelotas</t>
  </si>
  <si>
    <t>Pouso Alegre</t>
  </si>
  <si>
    <t>Londrina</t>
  </si>
  <si>
    <t>Maraba</t>
  </si>
  <si>
    <t>Presidente Prudente</t>
  </si>
  <si>
    <t>Macapá</t>
  </si>
  <si>
    <t>Sorocaba</t>
  </si>
  <si>
    <t>Maceió</t>
  </si>
  <si>
    <t>Gravataí</t>
  </si>
  <si>
    <t>Contagem</t>
  </si>
  <si>
    <t>Natal</t>
  </si>
  <si>
    <t>Pindamonhangaba</t>
  </si>
  <si>
    <t>Santos</t>
  </si>
  <si>
    <t>Iguatemi Esplanada</t>
  </si>
  <si>
    <t>Shopping Ribeirão</t>
  </si>
  <si>
    <t xml:space="preserve">Palladium Shopping Center </t>
  </si>
  <si>
    <t>Campinas</t>
  </si>
  <si>
    <t>Barueri</t>
  </si>
  <si>
    <t>Votorantin</t>
  </si>
  <si>
    <t>Itaboraí Plaza</t>
  </si>
  <si>
    <t>Parque Shopping Maia</t>
  </si>
  <si>
    <t>Jaraguá do Sul Park Shopping</t>
  </si>
  <si>
    <t>Rua Padre Chagas</t>
  </si>
  <si>
    <t xml:space="preserve">Shopping Jardim Guadalupe </t>
  </si>
  <si>
    <t>Via Vale Garden Shopping</t>
  </si>
  <si>
    <t>Tivoli Shopping Center</t>
  </si>
  <si>
    <t>Carioca Shopping</t>
  </si>
  <si>
    <t xml:space="preserve"> Plaza Shopping Avenida</t>
  </si>
  <si>
    <t>Shopping Via Catarina</t>
  </si>
  <si>
    <t>Shopping Jaraguá</t>
  </si>
  <si>
    <t>Rua Barão do Rio Branco</t>
  </si>
  <si>
    <t>Praça Uberaba Shopping Center</t>
  </si>
  <si>
    <t>Shopping Bosque Grão Pará</t>
  </si>
  <si>
    <t>Shopping Vale do Aço</t>
  </si>
  <si>
    <t>Shopping Rio Poty</t>
  </si>
  <si>
    <t>Shopping Iguatemi Fortaleza</t>
  </si>
  <si>
    <t>Plaza Shopping</t>
  </si>
  <si>
    <t>Shopping Américas</t>
  </si>
  <si>
    <t>Riomar Recife</t>
  </si>
  <si>
    <t>Pantanal Shopping</t>
  </si>
  <si>
    <t>Shopping Recife</t>
  </si>
  <si>
    <t>Salvador Shopping</t>
  </si>
  <si>
    <t>Shopping Bourbon Pompeia</t>
  </si>
  <si>
    <t>Shopping Poty</t>
  </si>
  <si>
    <t>Shopping ABC</t>
  </si>
  <si>
    <t>Bourbon NH</t>
  </si>
  <si>
    <t>Grand Plaza Shopping</t>
  </si>
  <si>
    <t>Shopping Metrô Tucuruvi</t>
  </si>
  <si>
    <t>Shopping Balneário</t>
  </si>
  <si>
    <t>Shopping Itaguaçu</t>
  </si>
  <si>
    <t>Shopping West Plaza</t>
  </si>
  <si>
    <t>São Bernardo Plaza Shopping</t>
  </si>
  <si>
    <t>Vale Sul Shopping</t>
  </si>
  <si>
    <t>Shopping Taboão</t>
  </si>
  <si>
    <t>Maxi Shopping Jundiaí</t>
  </si>
  <si>
    <t>Mueller Shopping Joinville</t>
  </si>
  <si>
    <t xml:space="preserve">Shopping Montserrat </t>
  </si>
  <si>
    <t>Monte Carmo Shopping</t>
  </si>
  <si>
    <t xml:space="preserve">West Shopping </t>
  </si>
  <si>
    <t>Shopping Center Iguatemi São José do Rio Preto</t>
  </si>
  <si>
    <t>Américas Shopping</t>
  </si>
  <si>
    <t>Shopping Moxuara</t>
  </si>
  <si>
    <t>São Luis Shopping</t>
  </si>
  <si>
    <t>Shopping Botucatu</t>
  </si>
  <si>
    <t>Floripa Shopping</t>
  </si>
  <si>
    <t>Mogi Shopping Center</t>
  </si>
  <si>
    <t>Loja Sete de Setembro</t>
  </si>
  <si>
    <t>Iguatemi São Carlos</t>
  </si>
  <si>
    <t>Shopping Vila Velha</t>
  </si>
  <si>
    <t>Shopping Lajeado</t>
  </si>
  <si>
    <t xml:space="preserve">Itajaí Shopping </t>
  </si>
  <si>
    <t>Shopping Center Rio Claro</t>
  </si>
  <si>
    <t>Riomar Shopping Fortaleza</t>
  </si>
  <si>
    <t>Shopping Cidade</t>
  </si>
  <si>
    <t>Shopping Praça Nova Araçatuba</t>
  </si>
  <si>
    <t>Lages Garden Shopping</t>
  </si>
  <si>
    <t>Buriti Shopping Rio Verde</t>
  </si>
  <si>
    <t>Shopping Pátio Roraima</t>
  </si>
  <si>
    <t>Terraço Shopping</t>
  </si>
  <si>
    <t>Sumauma Park Shopping</t>
  </si>
  <si>
    <t>Shopping Manaus Via Norte</t>
  </si>
  <si>
    <t>Colinas Shopping</t>
  </si>
  <si>
    <t>Loja Largo do Machado</t>
  </si>
  <si>
    <t>Mangabeira Shopping Center</t>
  </si>
  <si>
    <t>Roraima Garden Shopping</t>
  </si>
  <si>
    <t>Patio Arapiraca Garden Shopping</t>
  </si>
  <si>
    <t>Manaus Centro</t>
  </si>
  <si>
    <t xml:space="preserve"> Shopping Metropolitano Barra </t>
  </si>
  <si>
    <t xml:space="preserve">Mooca Plaza Shopping </t>
  </si>
  <si>
    <t>Tiete Plaza</t>
  </si>
  <si>
    <t>Iguatemi Rio Preto</t>
  </si>
  <si>
    <t>Passeio das Águas Shopping</t>
  </si>
  <si>
    <t>BH Shopping</t>
  </si>
  <si>
    <t>Shopping Campo Grande</t>
  </si>
  <si>
    <t>Shopping Beiramar</t>
  </si>
  <si>
    <t>Ribeirão Shopping</t>
  </si>
  <si>
    <t>Iguatemi São José do Rio Preto</t>
  </si>
  <si>
    <t>Barra Shopping Sul</t>
  </si>
  <si>
    <t>Shopping Anália Franco</t>
  </si>
  <si>
    <t>Iguatemi Caxias</t>
  </si>
  <si>
    <t>Mooca Shopping</t>
  </si>
  <si>
    <t>Shopping Pelotas</t>
  </si>
  <si>
    <t>Shopping Boulevard BH</t>
  </si>
  <si>
    <t>Shopping Center Plaza Sul</t>
  </si>
  <si>
    <t>Tietê Plaza Shopping</t>
  </si>
  <si>
    <t>Shopping Total</t>
  </si>
  <si>
    <t>Serrasul Shopping</t>
  </si>
  <si>
    <t>Boulevard Londrina Shopping</t>
  </si>
  <si>
    <t>Shopping Center Pátio Marabá</t>
  </si>
  <si>
    <t>Prudenshopping</t>
  </si>
  <si>
    <t>Teresina Shopping</t>
  </si>
  <si>
    <t>Metropolitan Shopping Betim</t>
  </si>
  <si>
    <t>Amapá Garden Shopping</t>
  </si>
  <si>
    <t>Shopping Ponta Negra</t>
  </si>
  <si>
    <t>Shopping Bosque dos Ipês</t>
  </si>
  <si>
    <t>Shopping Cidade - Sorocaba</t>
  </si>
  <si>
    <t>Shopping Passeio das Águas</t>
  </si>
  <si>
    <t>Rio Anil Shopping</t>
  </si>
  <si>
    <t>Parque Shopping Maceió</t>
  </si>
  <si>
    <t>North Shopping Jóquei</t>
  </si>
  <si>
    <t>Shopping JK</t>
  </si>
  <si>
    <t>Shopping Pátio Cianê</t>
  </si>
  <si>
    <t>Shopping Gravataí</t>
  </si>
  <si>
    <t>Pátio Maceió</t>
  </si>
  <si>
    <t>Shopping Contagem</t>
  </si>
  <si>
    <t>Shopping Parangába</t>
  </si>
  <si>
    <t>Natal Shopping</t>
  </si>
  <si>
    <t>Parque Shopping Sulcap</t>
  </si>
  <si>
    <t>Golden Square Shopping</t>
  </si>
  <si>
    <t>Pátio Pinda Shopping</t>
  </si>
  <si>
    <t>Shopping Metropolitano Barra</t>
  </si>
  <si>
    <t>Praiamar Shopping Center</t>
  </si>
  <si>
    <t>Iguatemi Brasília</t>
  </si>
  <si>
    <t>Curitiba</t>
  </si>
  <si>
    <t>Bourbon Shopping Wallig</t>
  </si>
  <si>
    <t>Shopping Center Iguatemi Campinas</t>
  </si>
  <si>
    <t>Shopping Tamboré</t>
  </si>
  <si>
    <t>Shopping Ibirapuera</t>
  </si>
  <si>
    <t>Shopping Center Norte</t>
  </si>
  <si>
    <t>Shopping Center Vale</t>
  </si>
  <si>
    <t>Shopping Frei Caneca</t>
  </si>
  <si>
    <t>Shopping Praia de Belas</t>
  </si>
  <si>
    <t>Shopping Center Iguatemi Esplanada</t>
  </si>
  <si>
    <t>Loja Rua dos Andradas</t>
  </si>
  <si>
    <t>Uberlândia Shopping</t>
  </si>
  <si>
    <t>Shopping Estação BH</t>
  </si>
  <si>
    <t>Parque Shopping Belém</t>
  </si>
  <si>
    <t>Shopping Vale Sul</t>
  </si>
  <si>
    <t>Loja N.S. de Copacabana</t>
  </si>
  <si>
    <t>Shopping Bela Vista</t>
  </si>
  <si>
    <t>Shopping Santa Úrsula</t>
  </si>
  <si>
    <t>North Shopping Caruaru</t>
  </si>
  <si>
    <t>JundiaíShopping</t>
  </si>
  <si>
    <t>Continente Park Shopping</t>
  </si>
  <si>
    <t>Riomar Shopping</t>
  </si>
  <si>
    <t>Shopping Nova America</t>
  </si>
  <si>
    <t>Shopping Jardim das Américas</t>
  </si>
  <si>
    <t>Portal Shopping</t>
  </si>
  <si>
    <t>Loja Centro de Vitória</t>
  </si>
  <si>
    <t>Mauá Plaza Shopping</t>
  </si>
  <si>
    <t>Shopping Center Nações - Bauru</t>
  </si>
  <si>
    <t>Novo Shopping Novo Hamburgo</t>
  </si>
  <si>
    <t>Shopping Center Neumarket Blumenau</t>
  </si>
  <si>
    <t>Super Shopping Osasco</t>
  </si>
  <si>
    <t>Shopping Center Uberlândia </t>
  </si>
  <si>
    <t>Center Vale Shopping</t>
  </si>
  <si>
    <t>Polo Shopping Indaiatuba</t>
  </si>
  <si>
    <t>Blumenau Norte Shopping</t>
  </si>
  <si>
    <t>Norte Sul</t>
  </si>
  <si>
    <t>Shopping Riomar</t>
  </si>
  <si>
    <t>Boulevard Shopping Campos</t>
  </si>
  <si>
    <t>Novo Shopping Center</t>
  </si>
  <si>
    <t>Shopping Center Iguatemi Brasília</t>
  </si>
  <si>
    <t>Shopping Center Patiomix Resende</t>
  </si>
  <si>
    <t xml:space="preserve"> Shopping Cidade</t>
  </si>
  <si>
    <t>Shopping Center Uberaba</t>
  </si>
  <si>
    <t>Shopping Pátio Chapecó</t>
  </si>
  <si>
    <t>Loja Centro de Natal</t>
  </si>
  <si>
    <t>Loja Erechim</t>
  </si>
  <si>
    <t>Bourbon Shopping Ipiranga</t>
  </si>
  <si>
    <t>Loja Centro de Marília</t>
  </si>
  <si>
    <t>Via Verde Shopping</t>
  </si>
  <si>
    <t>Shopping Vila Olímpia</t>
  </si>
  <si>
    <t>Park Shopping São Caetano</t>
  </si>
  <si>
    <t xml:space="preserve">Shopping Center Mooca  </t>
  </si>
  <si>
    <t>Parque Shopping Baruerí</t>
  </si>
  <si>
    <t>Palladium Shopping Center</t>
  </si>
  <si>
    <t>Shopping Boa Vista</t>
  </si>
  <si>
    <t>Montes Claros Shopping Center</t>
  </si>
  <si>
    <t>Shopping Conquista Sul</t>
  </si>
  <si>
    <t>Shopping Mestre Álvaro</t>
  </si>
  <si>
    <t xml:space="preserve">Shopping Praça da Moça </t>
  </si>
  <si>
    <t>Jacareí Shopping Center</t>
  </si>
  <si>
    <t>Cataratas JL Shopping</t>
  </si>
  <si>
    <t>Pátio Limeira Shopping</t>
  </si>
  <si>
    <t>Shopping da Ilha</t>
  </si>
  <si>
    <t>Shopping São Caetano</t>
  </si>
  <si>
    <t>Shopping Vitória</t>
  </si>
  <si>
    <t>SC</t>
  </si>
  <si>
    <t>CE</t>
  </si>
  <si>
    <t>MG</t>
  </si>
  <si>
    <t>PA</t>
  </si>
  <si>
    <t>PI</t>
  </si>
  <si>
    <t>ES</t>
  </si>
  <si>
    <t>RN</t>
  </si>
  <si>
    <t>MA</t>
  </si>
  <si>
    <t>RR</t>
  </si>
  <si>
    <t>DF</t>
  </si>
  <si>
    <t>AM</t>
  </si>
  <si>
    <t>PB</t>
  </si>
  <si>
    <t>AL</t>
  </si>
  <si>
    <t>MS</t>
  </si>
  <si>
    <t>PR</t>
  </si>
  <si>
    <t>AP</t>
  </si>
  <si>
    <t>SE</t>
  </si>
  <si>
    <t>RO</t>
  </si>
  <si>
    <t>AC</t>
  </si>
  <si>
    <t>TO</t>
  </si>
  <si>
    <t>Quarter</t>
  </si>
  <si>
    <t>Region</t>
  </si>
  <si>
    <t>State</t>
  </si>
  <si>
    <t>City</t>
  </si>
  <si>
    <t>Uberlândia</t>
  </si>
  <si>
    <t>Caruaru</t>
  </si>
  <si>
    <t>Jundiaí</t>
  </si>
  <si>
    <t>Vitória</t>
  </si>
  <si>
    <t>Mauá</t>
  </si>
  <si>
    <t>Baurú</t>
  </si>
  <si>
    <t>Itaguaçu</t>
  </si>
  <si>
    <t>Blumenau</t>
  </si>
  <si>
    <t>Erechim</t>
  </si>
  <si>
    <t>Osasco</t>
  </si>
  <si>
    <t>Indaiatuba</t>
  </si>
  <si>
    <t>Marília</t>
  </si>
  <si>
    <t>São Caetano</t>
  </si>
  <si>
    <t>Diadema</t>
  </si>
  <si>
    <t>Jacareí</t>
  </si>
  <si>
    <t>Limeira</t>
  </si>
  <si>
    <t>Campos dos Goytacazes</t>
  </si>
  <si>
    <t>Resende</t>
  </si>
  <si>
    <t>Aracaju</t>
  </si>
  <si>
    <t>Feira de Santana</t>
  </si>
  <si>
    <t>Chapecó</t>
  </si>
  <si>
    <t>Rio Branco</t>
  </si>
  <si>
    <t>Ponta Grossa</t>
  </si>
  <si>
    <t>Montes Claros</t>
  </si>
  <si>
    <t>Vitória da Conquista</t>
  </si>
  <si>
    <t>Foz do Iguaçú</t>
  </si>
  <si>
    <t>São Luís</t>
  </si>
  <si>
    <t>Jundiaí Shopping</t>
  </si>
  <si>
    <t>Boulevard Shopping Feira de Santana</t>
  </si>
  <si>
    <t>ParkShopping Campo Grande</t>
  </si>
  <si>
    <t>Goiabeiras Shopping Center</t>
  </si>
  <si>
    <t>Bourbon ShoppingSão Paulo</t>
  </si>
  <si>
    <t>Shopping Parque das Bandeiras</t>
  </si>
  <si>
    <t>South</t>
  </si>
  <si>
    <t>Southeast</t>
  </si>
  <si>
    <t>North</t>
  </si>
  <si>
    <t>Northeast</t>
  </si>
  <si>
    <t>Midwest</t>
  </si>
  <si>
    <r>
      <t>Total Area (m</t>
    </r>
    <r>
      <rPr>
        <b/>
        <vertAlign val="superscript"/>
        <sz val="9"/>
        <color theme="0"/>
        <rFont val="Century Gothic"/>
        <family val="2"/>
      </rPr>
      <t>2</t>
    </r>
    <r>
      <rPr>
        <b/>
        <sz val="9"/>
        <color theme="0"/>
        <rFont val="Century Gothic"/>
        <family val="2"/>
      </rPr>
      <t>)</t>
    </r>
  </si>
  <si>
    <t># of Stores Accumulated</t>
  </si>
  <si>
    <t>Anchieta Garden Shopping</t>
  </si>
  <si>
    <t>MAR. 15, 2016</t>
  </si>
  <si>
    <t>R$ 0,3628*</t>
  </si>
  <si>
    <t>Juazeiro</t>
  </si>
  <si>
    <t>Juá Garden Shopping</t>
  </si>
  <si>
    <t>Shopping Light</t>
  </si>
  <si>
    <t>Shopping SP Market</t>
  </si>
  <si>
    <t>2TQ16</t>
  </si>
  <si>
    <t>Piracicaba</t>
  </si>
  <si>
    <t>Shopping Piracicaba</t>
  </si>
  <si>
    <t># of Stores Accumulated per Type</t>
  </si>
  <si>
    <t>Shopping Santana Park</t>
  </si>
  <si>
    <t>Nações Shopping</t>
  </si>
  <si>
    <t>Criciúma</t>
  </si>
  <si>
    <t>APR. 20, 2016</t>
  </si>
  <si>
    <t>APR.29.2016</t>
  </si>
  <si>
    <t>Varginha</t>
  </si>
  <si>
    <t>Via Café Garden Shopping</t>
  </si>
  <si>
    <t>Shopping Cerrado</t>
  </si>
  <si>
    <t>Paulista</t>
  </si>
  <si>
    <t>Paulista North Way Shopping</t>
  </si>
  <si>
    <t>Cantareira Norte Shopping</t>
  </si>
  <si>
    <t>Nova Iguaçu</t>
  </si>
  <si>
    <t>Shopping Nova Iguaçu</t>
  </si>
  <si>
    <t>Shopping Iguatemi</t>
  </si>
  <si>
    <t>Location</t>
  </si>
  <si>
    <t>Payout</t>
  </si>
  <si>
    <t>Shopping Metrô Boulevard Tatuapé</t>
  </si>
  <si>
    <t>Canoas</t>
  </si>
  <si>
    <t>Canoas Shopping</t>
  </si>
  <si>
    <t>Itaú Power Shopping</t>
  </si>
  <si>
    <t>Campinas Shopping</t>
  </si>
  <si>
    <t>Parque Dom Pedro Shopping</t>
  </si>
  <si>
    <t>Jun.16</t>
  </si>
  <si>
    <t>6M16</t>
  </si>
  <si>
    <t>Foz do Iguaçu</t>
  </si>
  <si>
    <t>Palladium Shopping Center - Foz do Iguaçu</t>
  </si>
  <si>
    <t>Itu</t>
  </si>
  <si>
    <t>Plaza Shopping Itu</t>
  </si>
  <si>
    <t>Patio Cianê Shopping</t>
  </si>
  <si>
    <t>Shopping União de Osasco</t>
  </si>
  <si>
    <t>Shopping Palladium</t>
  </si>
  <si>
    <t>Franca</t>
  </si>
  <si>
    <t>Santa Maria</t>
  </si>
  <si>
    <t>São Gonçalo</t>
  </si>
  <si>
    <t>Cotia</t>
  </si>
  <si>
    <t>Palmas</t>
  </si>
  <si>
    <t>Suzano</t>
  </si>
  <si>
    <t>Passo Fundo</t>
  </si>
  <si>
    <t>Bauru</t>
  </si>
  <si>
    <t>Anápolis</t>
  </si>
  <si>
    <t>Duque de Caxias</t>
  </si>
  <si>
    <t>Porto Velho</t>
  </si>
  <si>
    <t>Aparecida de Goiânia</t>
  </si>
  <si>
    <t>São José dos Pinhais</t>
  </si>
  <si>
    <t>Taubaté</t>
  </si>
  <si>
    <t>São João do Meriti</t>
  </si>
  <si>
    <t>Maringá</t>
  </si>
  <si>
    <t>Juiz de Fora</t>
  </si>
  <si>
    <t>Cabedelo</t>
  </si>
  <si>
    <t>Cascavel</t>
  </si>
  <si>
    <t>Tubarão</t>
  </si>
  <si>
    <t>Cachoeirinha</t>
  </si>
  <si>
    <t>Jaboatão dos Guararapes</t>
  </si>
  <si>
    <t>São Leopoldo</t>
  </si>
  <si>
    <t>Volta Redonda</t>
  </si>
  <si>
    <t>Franca Shopping</t>
  </si>
  <si>
    <t>Royal Plaza Santa Maria</t>
  </si>
  <si>
    <t>Boulevard São Gonçalo</t>
  </si>
  <si>
    <t>Shopping Paralela</t>
  </si>
  <si>
    <t>Shopping Granja Viana</t>
  </si>
  <si>
    <t>San Pelegrino Mall</t>
  </si>
  <si>
    <t>Norte Shopping Salvador</t>
  </si>
  <si>
    <t>Boulevard BH</t>
  </si>
  <si>
    <t>Shopping Capim Dourado</t>
  </si>
  <si>
    <t>Shopping Raposo Tavares</t>
  </si>
  <si>
    <t>Shopping West Campo Grande</t>
  </si>
  <si>
    <t>Loja Avenida Paulista</t>
  </si>
  <si>
    <t>Shopping Joinville Garten</t>
  </si>
  <si>
    <t>Maceió Shopping</t>
  </si>
  <si>
    <t>Boulevard Belém Shopping</t>
  </si>
  <si>
    <t>Suzano Shopping Center</t>
  </si>
  <si>
    <t>Shopping Bella Citta</t>
  </si>
  <si>
    <t>Shopping Boulevard Brasilia</t>
  </si>
  <si>
    <t>Bauru Shopping</t>
  </si>
  <si>
    <t>Shopping Goiânia</t>
  </si>
  <si>
    <t>Shopping Midway Mall</t>
  </si>
  <si>
    <t xml:space="preserve">Manauara Shopping </t>
  </si>
  <si>
    <t>Praia da Costa</t>
  </si>
  <si>
    <t>Brasil Park Shopping</t>
  </si>
  <si>
    <t>Caxias Shopping</t>
  </si>
  <si>
    <t>Porto Velho Shopping</t>
  </si>
  <si>
    <t>Campinas Shopping Center</t>
  </si>
  <si>
    <t>Shopping Buriti</t>
  </si>
  <si>
    <t>São José dos Pinhais Shopping</t>
  </si>
  <si>
    <t>Shopping Taubaté</t>
  </si>
  <si>
    <t>Shopping Grande Rio</t>
  </si>
  <si>
    <t>Shopping Maringá Park</t>
  </si>
  <si>
    <t>Shopping Independência</t>
  </si>
  <si>
    <t>Shopping Bourbon Pompéia</t>
  </si>
  <si>
    <t>Shopping Manaíra</t>
  </si>
  <si>
    <t>Shopping Prataviera</t>
  </si>
  <si>
    <t>Shopping Barra Salvador</t>
  </si>
  <si>
    <t>Shopping JL Cascavel</t>
  </si>
  <si>
    <t>Shopping Balneário Camboriu</t>
  </si>
  <si>
    <t>Santana Parque Shopping</t>
  </si>
  <si>
    <t>Brasília Shopping</t>
  </si>
  <si>
    <t>Minas Shopping</t>
  </si>
  <si>
    <t>Shopping Jardins</t>
  </si>
  <si>
    <t>Shopping Amazonas</t>
  </si>
  <si>
    <t>Shopping Tijuca</t>
  </si>
  <si>
    <t xml:space="preserve">Shopping Iguatemi </t>
  </si>
  <si>
    <t>Shopping Bougainville</t>
  </si>
  <si>
    <t>Shopping Leblon</t>
  </si>
  <si>
    <t xml:space="preserve">Shopping da Bahia </t>
  </si>
  <si>
    <t>Shopping Via Parque</t>
  </si>
  <si>
    <t>Shopping Farol</t>
  </si>
  <si>
    <t>Shopping Jardim Sul</t>
  </si>
  <si>
    <t>Shopping do Vale</t>
  </si>
  <si>
    <t xml:space="preserve">North Shopping </t>
  </si>
  <si>
    <t>Shopping Estação</t>
  </si>
  <si>
    <t>Loja Imperatriz</t>
  </si>
  <si>
    <t>Shopping Guararapes</t>
  </si>
  <si>
    <t>Shopping Bourbon São Leopoldo</t>
  </si>
  <si>
    <t>Shopping Londrina</t>
  </si>
  <si>
    <t>Shopping Pantanal</t>
  </si>
  <si>
    <t>Shopping Dom Pedro</t>
  </si>
  <si>
    <t>Shopping Bahia</t>
  </si>
  <si>
    <t>Shopping Itaú Power</t>
  </si>
  <si>
    <t>Shopping Barigui</t>
  </si>
  <si>
    <t>Norte Shopping</t>
  </si>
  <si>
    <t>Shopping Leste Aricanduva</t>
  </si>
  <si>
    <t>Shopping Rio Preto</t>
  </si>
  <si>
    <t>Boulevard Rio Shopping</t>
  </si>
  <si>
    <t>Pátio Brasil Shopping</t>
  </si>
  <si>
    <t>Shopping Del Rey</t>
  </si>
  <si>
    <t>Shopping Center Itaguaçu</t>
  </si>
  <si>
    <t>Taguatinga Shopping</t>
  </si>
  <si>
    <t>Center Shopping</t>
  </si>
  <si>
    <t>Shopping Metrô Tatuapé</t>
  </si>
  <si>
    <t>Shopping Interlagos</t>
  </si>
  <si>
    <t>Mueller Shop. Center de Curitiba</t>
  </si>
  <si>
    <t>Flamboyant Shop. Center</t>
  </si>
  <si>
    <t>Morumbi Shopping</t>
  </si>
  <si>
    <t>Loja centro de Campinas</t>
  </si>
  <si>
    <t>West Plaza Shop. Center</t>
  </si>
  <si>
    <t>Plaza Sul Shopping Center</t>
  </si>
  <si>
    <t>Miramar Shopping Center</t>
  </si>
  <si>
    <t>Sider Shopping Center</t>
  </si>
  <si>
    <t>Park Shopping</t>
  </si>
  <si>
    <t>Barra Shopping</t>
  </si>
  <si>
    <t>Rio Sul Shopping</t>
  </si>
  <si>
    <t>Madureira Shopping Rio</t>
  </si>
  <si>
    <t>Ilha Plaza Shopping</t>
  </si>
  <si>
    <t>Central Plaza Shopping</t>
  </si>
  <si>
    <t>Centervale Shopping</t>
  </si>
  <si>
    <t>Internacional Guarulhos S.C</t>
  </si>
  <si>
    <t>Loja centro de Curitiba</t>
  </si>
  <si>
    <t>Shopping Eldorado</t>
  </si>
  <si>
    <t>Shopping Esplanada</t>
  </si>
  <si>
    <t>Shopping Canoas</t>
  </si>
  <si>
    <t>Shopping Neumarket</t>
  </si>
  <si>
    <t>Shopping Continental</t>
  </si>
  <si>
    <t>Shopping Metrópole</t>
  </si>
  <si>
    <t>Shopping Curitiba</t>
  </si>
  <si>
    <t>Shopping Mueller</t>
  </si>
  <si>
    <t>Beira Mar Shopping</t>
  </si>
  <si>
    <t>Novo Shopping</t>
  </si>
  <si>
    <t>Loja Rio Grande</t>
  </si>
  <si>
    <t>Iguatemi Shopping Center</t>
  </si>
  <si>
    <t>Loja Santa Maria</t>
  </si>
  <si>
    <t>Otávio Rocha</t>
  </si>
  <si>
    <t>Centro Comercial Canoas</t>
  </si>
  <si>
    <t>Shopping João Pessoa</t>
  </si>
  <si>
    <t>Loja Pelotas</t>
  </si>
  <si>
    <t>Street</t>
  </si>
  <si>
    <t>Shopping Mall / Street</t>
  </si>
  <si>
    <t>Shopping Mall</t>
  </si>
  <si>
    <t>4TQ70</t>
  </si>
  <si>
    <t>4TQ99</t>
  </si>
  <si>
    <t>4TQ04</t>
  </si>
  <si>
    <t>4TQ03</t>
  </si>
  <si>
    <t>4TQ01</t>
  </si>
  <si>
    <t>4TQ00</t>
  </si>
  <si>
    <t>4TQ98</t>
  </si>
  <si>
    <t>4TQ96</t>
  </si>
  <si>
    <t>4TQ94</t>
  </si>
  <si>
    <t>4TQ77</t>
  </si>
  <si>
    <t>4TQ91</t>
  </si>
  <si>
    <t>3TQ04</t>
  </si>
  <si>
    <t>3TQ01</t>
  </si>
  <si>
    <t>3TQ00</t>
  </si>
  <si>
    <t>3TQ99</t>
  </si>
  <si>
    <t>3TQ98</t>
  </si>
  <si>
    <t>3TQ96</t>
  </si>
  <si>
    <t>3TQ95</t>
  </si>
  <si>
    <t>3TQ85</t>
  </si>
  <si>
    <t>3TQ80</t>
  </si>
  <si>
    <t>2TQ04</t>
  </si>
  <si>
    <t>2TQ03</t>
  </si>
  <si>
    <t>2TQ67</t>
  </si>
  <si>
    <t>2TQ01</t>
  </si>
  <si>
    <t>2TQ00</t>
  </si>
  <si>
    <t>2TQ99</t>
  </si>
  <si>
    <t>2TQ98</t>
  </si>
  <si>
    <t>2TQ97</t>
  </si>
  <si>
    <t>2TQ93</t>
  </si>
  <si>
    <t>2TQ83</t>
  </si>
  <si>
    <t>2TQ76</t>
  </si>
  <si>
    <t>1TQ04</t>
  </si>
  <si>
    <t>1TQ01</t>
  </si>
  <si>
    <t>1TQ00</t>
  </si>
  <si>
    <t>Gross Operating Revenues</t>
  </si>
  <si>
    <t>Gross Revenues from Merchandise Sales</t>
  </si>
  <si>
    <t>Gross Revenues from Financial Products/Services</t>
  </si>
  <si>
    <r>
      <t xml:space="preserve">CONTAS A RECEBER DE CLIENTES </t>
    </r>
    <r>
      <rPr>
        <b/>
        <sz val="8"/>
        <color theme="0"/>
        <rFont val="Century Gothic"/>
        <family val="2"/>
      </rPr>
      <t>(R$ .000) - nominal</t>
    </r>
  </si>
  <si>
    <t>Cartão Renner (Private Label) - Carteira Total (Ajustada a Valor Presente)</t>
  </si>
  <si>
    <t>Cartão Renner (Private Label) - Carteira Líquida</t>
  </si>
  <si>
    <t>Renner Card (Private Label) - Total Portfolio (Adjusted to Present Value)</t>
  </si>
  <si>
    <t>Renner Card (Private Label) - Net Portfolio</t>
  </si>
  <si>
    <r>
      <t>ACCOUNTS RECEIVABLES</t>
    </r>
    <r>
      <rPr>
        <b/>
        <sz val="8"/>
        <color theme="0"/>
        <rFont val="Century Gothic"/>
        <family val="2"/>
      </rPr>
      <t xml:space="preserve"> (R$ ,000) - nominal</t>
    </r>
  </si>
  <si>
    <t>Others</t>
  </si>
  <si>
    <t>Outros</t>
  </si>
  <si>
    <t>Rendas a apropriar - títulos cedidos – FIDC Lojas Renner</t>
  </si>
  <si>
    <t>Posições com saldo credor</t>
  </si>
  <si>
    <t>Vencidos</t>
  </si>
  <si>
    <t>Unappropriated income - securities assigned – FIDC</t>
  </si>
  <si>
    <t>Credit balance positions</t>
  </si>
  <si>
    <t>APV (Adjustment to Present Value)</t>
  </si>
  <si>
    <t>Not Yet Due</t>
  </si>
  <si>
    <t>Overdue</t>
  </si>
  <si>
    <t>Overdue from 1 to 30 days</t>
  </si>
  <si>
    <t xml:space="preserve">    Overdue from 31 to 60 days</t>
  </si>
  <si>
    <t xml:space="preserve">    Overdue from 61 to 90 days</t>
  </si>
  <si>
    <t xml:space="preserve">    Overdue from 91 to 180 days</t>
  </si>
  <si>
    <t>Meu Cartão (Co-Branded) - Carteira Líquida</t>
  </si>
  <si>
    <t>Meu Cartão (Co-Branded) - Net Portfolio</t>
  </si>
  <si>
    <t>Comissões e Operações a Receber</t>
  </si>
  <si>
    <t>Provisão para Perdas em Crédito - EP</t>
  </si>
  <si>
    <t>Fees and Transactions Receivable</t>
  </si>
  <si>
    <t>Personal Loans (Quick Withdrawal)- Total Portfolio</t>
  </si>
  <si>
    <t>Personal Loans (Quick Withdrawal) - Net Portfolio</t>
  </si>
  <si>
    <t>Total Third-Party Credit Card Companies</t>
  </si>
  <si>
    <t xml:space="preserve">Administradora de Cartões de Terceiros </t>
  </si>
  <si>
    <t>A vencer de 1 a 30 dias</t>
  </si>
  <si>
    <t>A vencer de 31 a 60 dias</t>
  </si>
  <si>
    <t>A vencer acima de 60 dias</t>
  </si>
  <si>
    <t>Ajuste a valor presente cartões de Terceiros</t>
  </si>
  <si>
    <t>Administradora de Cartões de Terceiros  - Camicado</t>
  </si>
  <si>
    <t>Third-Party Credit Card</t>
  </si>
  <si>
    <t>Third-Party Credit Card - Camicado</t>
  </si>
  <si>
    <t>To fall due over 60 days</t>
  </si>
  <si>
    <t>Carteira de Crédito Total, Líquida</t>
  </si>
  <si>
    <t>Total Credit Portfolio, Net</t>
  </si>
  <si>
    <t>Total Credit Portfolio (PL + Co-Branded + Personal Loans)</t>
  </si>
  <si>
    <t>Carteira de Crédito Total (PL + Co-Branded + Emprést. Pessoal)</t>
  </si>
  <si>
    <t>Cartão Bandeira Renner</t>
  </si>
  <si>
    <t>Empréstimos Pessoais e outros Serv. Financeiros</t>
  </si>
  <si>
    <t>Empréstimos Pessoais e Outros Serviços Financ.</t>
  </si>
  <si>
    <t>STORES 
LIST</t>
  </si>
  <si>
    <t>Opening Date</t>
  </si>
  <si>
    <t>Adjusted total EBITDA</t>
  </si>
  <si>
    <t>EBITDA Ajustado Total</t>
  </si>
  <si>
    <t>% Adjusted total EBITDA</t>
  </si>
  <si>
    <t>% EBITDA Ajustado Total</t>
  </si>
  <si>
    <t>3TQ16</t>
  </si>
  <si>
    <t>% OF PAST DUES OVER PORTFOLIO</t>
  </si>
  <si>
    <t>JUN. 22, 2016</t>
  </si>
  <si>
    <t>Shopping Jardim Norte Juiz de Fora</t>
  </si>
  <si>
    <t>9M16</t>
  </si>
  <si>
    <t>(1) Carteira do Meu Cartão utilizado na Renner (fatura). Valor já incluso na Carteira Total do Meu Cartão.</t>
  </si>
  <si>
    <t>Average Selling Area of Renner Stores (thousand m2)</t>
  </si>
  <si>
    <t>Deferred Taxes</t>
  </si>
  <si>
    <t xml:space="preserve">Not Yet Due </t>
  </si>
  <si>
    <t>Loja Visconde de Pirajá</t>
  </si>
  <si>
    <t>Recreio Shopping</t>
  </si>
  <si>
    <t>São Luís Shopping</t>
  </si>
  <si>
    <t>Net Revenue of Renner Stores (R$ MM)</t>
  </si>
  <si>
    <t>Net Revenue of Camicado (R$ MM)</t>
  </si>
  <si>
    <t>Net Revenue of Youcom (R$ MM)</t>
  </si>
  <si>
    <t xml:space="preserve">LISTA DE LOJAS </t>
  </si>
  <si>
    <t>Data de Abertura</t>
  </si>
  <si>
    <t>Trimestre</t>
  </si>
  <si>
    <t>Cidade</t>
  </si>
  <si>
    <t>Localização</t>
  </si>
  <si>
    <t>Shoppind / Rua</t>
  </si>
  <si>
    <r>
      <t>Área Total (m</t>
    </r>
    <r>
      <rPr>
        <b/>
        <vertAlign val="superscript"/>
        <sz val="9"/>
        <color theme="0"/>
        <rFont val="Century Gothic"/>
        <family val="2"/>
      </rPr>
      <t>2</t>
    </r>
    <r>
      <rPr>
        <b/>
        <sz val="9"/>
        <color theme="0"/>
        <rFont val="Century Gothic"/>
        <family val="2"/>
      </rPr>
      <t>)</t>
    </r>
  </si>
  <si>
    <t>Nº de Lojas Acumulado por Tipo</t>
  </si>
  <si>
    <t xml:space="preserve">Nº Lojas Acumuladas </t>
  </si>
  <si>
    <t>BALANCE SHEET - CONSOLIDATED / BALANÇO PATRIMONIAL CONSOLIDADO</t>
  </si>
  <si>
    <t>FINANCIAL PRODUCTS / PRODUTOS FINANCEIROS</t>
  </si>
  <si>
    <t>ACCOUNTS RECEIVABLES / RECEBÍVEIS</t>
  </si>
  <si>
    <t>OPERATING DATA / DADOS OPERACIONAIS</t>
  </si>
  <si>
    <t>STORES LIST / LISTA DE LOJAS</t>
  </si>
  <si>
    <t>DIVIDENDS / DIVIDENDOS</t>
  </si>
  <si>
    <t>INCOME STATEMENT - CONSOLIDATED / DRE CONSOLIDADO</t>
  </si>
  <si>
    <t>INDEX / ÍNDICE</t>
  </si>
  <si>
    <t>HISTORICAL RESULTS / DADOS HISTÓRICOS</t>
  </si>
  <si>
    <t>JSCP / Interest on Equity Capital</t>
  </si>
  <si>
    <t xml:space="preserve">Dividendos / Dividends </t>
  </si>
  <si>
    <t>Dividend Yeld (%) = Dividendo por Ação/Preço por Ação (Dividend per share/ Share price)</t>
  </si>
  <si>
    <t>Pay-Out (%) = Dividendo Pago / Lucro Líquido Ajustado (Dividend Paid/Adjusted Net Income)</t>
  </si>
  <si>
    <t>* Dividendo por ação ajustado pelo desdobramento (1:5) em 24 Set 2015 (Dividend per share adjusted by the split (1:5) in Sep 24, 2015)</t>
  </si>
  <si>
    <t>Bento Gonçalves</t>
  </si>
  <si>
    <t>Boulevard Vila Velha</t>
  </si>
  <si>
    <t>Centro de Bento Gonçalves</t>
  </si>
  <si>
    <t>SEP. 21, 2016</t>
  </si>
  <si>
    <t>Dividendo por ação</t>
  </si>
  <si>
    <t>Same Store Sales ( %)*</t>
  </si>
  <si>
    <t>Capão da Canoa</t>
  </si>
  <si>
    <t>Loja Capão da Canoa</t>
  </si>
  <si>
    <t>Atrium Shopping</t>
  </si>
  <si>
    <t>4TQ16</t>
  </si>
  <si>
    <t>Partage Shopping Campina Grande</t>
  </si>
  <si>
    <t>Campina Grande</t>
  </si>
  <si>
    <t>Galleria Shopping</t>
  </si>
  <si>
    <t>Sep.16</t>
  </si>
  <si>
    <t>Balneário Shopping</t>
  </si>
  <si>
    <t>Shopping da Bahia</t>
  </si>
  <si>
    <t>Morumbi Town Shopping</t>
  </si>
  <si>
    <t>CAPA/COVER</t>
  </si>
  <si>
    <t>Center Shopping Rio</t>
  </si>
  <si>
    <t>Boulevard Shopping Belém</t>
  </si>
  <si>
    <t>Carapicuíba</t>
  </si>
  <si>
    <t>Shopping RioMar Kennedy</t>
  </si>
  <si>
    <t>Plaza Shopping Carapicuíba</t>
  </si>
  <si>
    <t>Teresópolis</t>
  </si>
  <si>
    <t>Teresópolis Shopping Center</t>
  </si>
  <si>
    <t>Shopping Pátio Paulista</t>
  </si>
  <si>
    <t>Plaza Casa Forte</t>
  </si>
  <si>
    <t>Flamboyant Shopping Center</t>
  </si>
  <si>
    <t>Bragança Garden Shopping</t>
  </si>
  <si>
    <t>Bragança Paulista</t>
  </si>
  <si>
    <t>Maringá Park Shopping Center</t>
  </si>
  <si>
    <t>Shopping São José</t>
  </si>
  <si>
    <t>Abertura de Lojas Youcom</t>
  </si>
  <si>
    <t>Abertura de Lojas Camicado</t>
  </si>
  <si>
    <t>Abertura de Lojas Renner</t>
  </si>
  <si>
    <t>Abertura de Lojas (Renner + Camicado + Youcom)</t>
  </si>
  <si>
    <t>Prazo Médio de Estoque (dias)</t>
  </si>
  <si>
    <t>Prazo Médio de Cliente Líq, Op. Varejo (dias)</t>
  </si>
  <si>
    <t>Prazo Médio de Fornecedores (dias)</t>
  </si>
  <si>
    <t>Days Payable Outstanding</t>
  </si>
  <si>
    <t xml:space="preserve">Days Sales Outstanding </t>
  </si>
  <si>
    <t xml:space="preserve">Days Inventory Outstanding </t>
  </si>
  <si>
    <t>Grand Shopping Messejana</t>
  </si>
  <si>
    <t>DEC. 12, 2016</t>
  </si>
  <si>
    <t>Manaíra Shopping</t>
  </si>
  <si>
    <t>Dec.16</t>
  </si>
  <si>
    <t>Por Região</t>
  </si>
  <si>
    <t>Por Estado</t>
  </si>
  <si>
    <t>1TQ17</t>
  </si>
  <si>
    <t>Shopping Penha</t>
  </si>
  <si>
    <t>Garten Shopping</t>
  </si>
  <si>
    <t>Parauapebas</t>
  </si>
  <si>
    <t>Governador Valadares</t>
  </si>
  <si>
    <t>Partage Shopping</t>
  </si>
  <si>
    <t>GV Shopping</t>
  </si>
  <si>
    <t>Linhares</t>
  </si>
  <si>
    <t>Shopping PátioMix Linhares</t>
  </si>
  <si>
    <t>2TQ17</t>
  </si>
  <si>
    <t>Iguatemi Alphaville</t>
  </si>
  <si>
    <t>Center Shopping Uberlândia</t>
  </si>
  <si>
    <t>Mar.17</t>
  </si>
  <si>
    <t>APR. 19, 2017</t>
  </si>
  <si>
    <t>APR.28.2017</t>
  </si>
  <si>
    <t>Total 2017</t>
  </si>
  <si>
    <t>MAR. 16, 2017</t>
  </si>
  <si>
    <t>Net Openings (Renner + Camicado + Youcom)</t>
  </si>
  <si>
    <t>Net Openings of Camicado Stores</t>
  </si>
  <si>
    <t>Net Openings of Youcom Stores</t>
  </si>
  <si>
    <t>Meu Cartão (Co-Branded) - Total Portfolio  (Adjusted to Present Value)</t>
  </si>
  <si>
    <t>Itaquaquecetuba</t>
  </si>
  <si>
    <t>Itaquá Garden Shopping</t>
  </si>
  <si>
    <t>Bella Città Shopping</t>
  </si>
  <si>
    <t>Net Openings of Renner Stores</t>
  </si>
  <si>
    <t>Pátio Batel</t>
  </si>
  <si>
    <t>Casa &amp; Gourmet Shopping</t>
  </si>
  <si>
    <t>Independência Shopping</t>
  </si>
  <si>
    <t>Guaíba</t>
  </si>
  <si>
    <t>Itabuna</t>
  </si>
  <si>
    <t xml:space="preserve">Shopping Jequitibá </t>
  </si>
  <si>
    <t xml:space="preserve">Midway Mall </t>
  </si>
  <si>
    <t>Loja Centro de Teresina</t>
  </si>
  <si>
    <t>Shopping Butantã</t>
  </si>
  <si>
    <t>JUN. 20, 2017</t>
  </si>
  <si>
    <t>3TQ17</t>
  </si>
  <si>
    <t>Santa Cruz do Sul</t>
  </si>
  <si>
    <t>Loja Centro Santa Cruz do Sul</t>
  </si>
  <si>
    <t>Jun.17</t>
  </si>
  <si>
    <t>6M17</t>
  </si>
  <si>
    <t>Jardim Pamplona Shopping</t>
  </si>
  <si>
    <t>Pátio Belém</t>
  </si>
  <si>
    <t>Miramar Shopping</t>
  </si>
  <si>
    <t>Rua Domingos de Moraes</t>
  </si>
  <si>
    <t>Shopping Rio Design Barra</t>
  </si>
  <si>
    <t>Bourbon Shopping São Leopoldo</t>
  </si>
  <si>
    <t>Shopping Praça Nova Santa Maria</t>
  </si>
  <si>
    <t>Catuaí Shopping Londrina</t>
  </si>
  <si>
    <t>Montevidéu</t>
  </si>
  <si>
    <t>Uruguay</t>
  </si>
  <si>
    <t>URU</t>
  </si>
  <si>
    <t>Avenida 18 de Julio</t>
  </si>
  <si>
    <t>Gramado</t>
  </si>
  <si>
    <t>Avenida Borges de Medeiros</t>
  </si>
  <si>
    <t>Shopping Metrô Santa Cruz</t>
  </si>
  <si>
    <t>ViaShopping Barreiro</t>
  </si>
  <si>
    <t>Golden Shopping Calhau</t>
  </si>
  <si>
    <t>4TQ17</t>
  </si>
  <si>
    <t>Shopping Via Sul</t>
  </si>
  <si>
    <t>Diamond Mall</t>
  </si>
  <si>
    <t>9M17</t>
  </si>
  <si>
    <t>Set.17</t>
  </si>
  <si>
    <t>SET. 19, 2017</t>
  </si>
  <si>
    <t>Cash &amp; Cash Equivalents</t>
  </si>
  <si>
    <t>Aplicações Financeiras</t>
  </si>
  <si>
    <t>Short-Term Investments</t>
  </si>
  <si>
    <t>Catuaí Shopping Maringá</t>
  </si>
  <si>
    <t>Shopping Pátio Savassi</t>
  </si>
  <si>
    <t>Shopping Metrô Itaquera</t>
  </si>
  <si>
    <t>Cassol Centerlar</t>
  </si>
  <si>
    <t>Castanheira Shopping Center</t>
  </si>
  <si>
    <t>JK Iguatemi</t>
  </si>
  <si>
    <t>Taubaté Shopping</t>
  </si>
  <si>
    <t>ParkShopping Canoas</t>
  </si>
  <si>
    <t>Internacional Shopping Guarulhos</t>
  </si>
  <si>
    <t>Shopping La Plage</t>
  </si>
  <si>
    <t>Guarujá</t>
  </si>
  <si>
    <t>Punta Carretas Shopping</t>
  </si>
  <si>
    <t>Shopping DF Plaza</t>
  </si>
  <si>
    <t>Costa Urbana Shopping</t>
  </si>
  <si>
    <t>Shopping Metrópole Ananindeua</t>
  </si>
  <si>
    <t>Ananindeua</t>
  </si>
  <si>
    <t>DEC. 14, 2017</t>
  </si>
  <si>
    <t>Dez.17</t>
  </si>
  <si>
    <t>Total BR</t>
  </si>
  <si>
    <t xml:space="preserve">Result on Sales, Write-off of or Impairment of Fixed Assets </t>
  </si>
  <si>
    <t>conf.</t>
  </si>
  <si>
    <t>Top Shopping</t>
  </si>
  <si>
    <t>1TQ18</t>
  </si>
  <si>
    <t>Goiânia Shopping</t>
  </si>
  <si>
    <t>Parnaíba</t>
  </si>
  <si>
    <t>Parnaíba Shopping</t>
  </si>
  <si>
    <t>Buriti Shopping</t>
  </si>
  <si>
    <t>2TQ18</t>
  </si>
  <si>
    <t>6M18</t>
  </si>
  <si>
    <t>APR. 19, 2018</t>
  </si>
  <si>
    <t>APR.27.2018</t>
  </si>
  <si>
    <t xml:space="preserve">Iguatemi Florianópolis </t>
  </si>
  <si>
    <t>Mar.18</t>
  </si>
  <si>
    <t>MAR. 15, 2018</t>
  </si>
  <si>
    <t>Shopping Boulevard Vitória da Conquista</t>
  </si>
  <si>
    <t>Guarapuava</t>
  </si>
  <si>
    <t>Shopping Cidade dos Lagos</t>
  </si>
  <si>
    <t>Boulevard Brasília</t>
  </si>
  <si>
    <t>Loja de Guaíba</t>
  </si>
  <si>
    <t xml:space="preserve">Camaragibe </t>
  </si>
  <si>
    <t>Camará Shopping Center</t>
  </si>
  <si>
    <t>Valinhos</t>
  </si>
  <si>
    <t>Shopping Valinhos</t>
  </si>
  <si>
    <t>Dourados</t>
  </si>
  <si>
    <t>Avenida Shopping Dourados</t>
  </si>
  <si>
    <t>Rivera</t>
  </si>
  <si>
    <t>Shopping Melancia</t>
  </si>
  <si>
    <t>Portones Shopping</t>
  </si>
  <si>
    <t>Olinda</t>
  </si>
  <si>
    <t>Shopping Patteo Olinda</t>
  </si>
  <si>
    <t>3Q18</t>
  </si>
  <si>
    <t>Shopping Conjunto Nacional</t>
  </si>
  <si>
    <t>Total 2018</t>
  </si>
  <si>
    <t>JUN. 19, 2018</t>
  </si>
  <si>
    <t>Jun.18</t>
  </si>
  <si>
    <t>Imposto de renda e contribuição social diferidos</t>
  </si>
  <si>
    <t>2QT18</t>
  </si>
  <si>
    <t>Meu Cartão (Co-Branded) - Carteira Total (Ajustada a Valor Presente)</t>
  </si>
  <si>
    <t>Perdas Estimadas de Crédito - Varejo</t>
  </si>
  <si>
    <t>Empréstimo Pessoal (Saque Rápido) - Carteira Total</t>
  </si>
  <si>
    <t>Empréstimo Pessoal (Saque Rápido) - Carteira Líquida</t>
  </si>
  <si>
    <t>Estimated Credit Losses</t>
  </si>
  <si>
    <t>ROIC LTM ( %)</t>
  </si>
  <si>
    <t>Closed</t>
  </si>
  <si>
    <t>Shopping Manauara</t>
  </si>
  <si>
    <t>Itapetininga</t>
  </si>
  <si>
    <t>Itapê Shopping</t>
  </si>
  <si>
    <t>Ashua</t>
  </si>
  <si>
    <t>Shopping Tucuruvi</t>
  </si>
  <si>
    <t>Shopping Uberaba</t>
  </si>
  <si>
    <t>Imperatriz</t>
  </si>
  <si>
    <t>Shopping Imperial</t>
  </si>
  <si>
    <t>Recreio Shopping Center</t>
  </si>
  <si>
    <t>Divinópolis</t>
  </si>
  <si>
    <t>Shopping Pátio Divinópolis</t>
  </si>
  <si>
    <t>Neumarkt Shopping</t>
  </si>
  <si>
    <t> Partage Shopping</t>
  </si>
  <si>
    <t>Riomar Aracajú</t>
  </si>
  <si>
    <t>4Q18</t>
  </si>
  <si>
    <t>Overdue from 1 to 90 days</t>
  </si>
  <si>
    <t xml:space="preserve">    Overdue from 181 to 360 days</t>
  </si>
  <si>
    <t>SEP . 19. 2018</t>
  </si>
  <si>
    <t>Set.18</t>
  </si>
  <si>
    <t>3QT18</t>
  </si>
  <si>
    <t>3TQ18</t>
  </si>
  <si>
    <t>9M18</t>
  </si>
  <si>
    <t>9MT18</t>
  </si>
  <si>
    <t>9MQ18</t>
  </si>
  <si>
    <t>Cuiaba</t>
  </si>
  <si>
    <t>Shopping Estação Cuiabá</t>
  </si>
  <si>
    <t>Shopping Palladium Ponta Grossa</t>
  </si>
  <si>
    <t>Deferred Income Tax and Social Contribution</t>
  </si>
  <si>
    <t>Punta del Leste</t>
  </si>
  <si>
    <t>Praia Grande</t>
  </si>
  <si>
    <t>Parnavaí</t>
  </si>
  <si>
    <t>Passo Fundo Shopping</t>
  </si>
  <si>
    <t>Shoping Cidade Parnavai</t>
  </si>
  <si>
    <t>Litoral Plaza Shopping</t>
  </si>
  <si>
    <t>Punta Shopping</t>
  </si>
  <si>
    <t>Poços de Caldas</t>
  </si>
  <si>
    <t>Barbacena</t>
  </si>
  <si>
    <t>Rondonópolis</t>
  </si>
  <si>
    <t>Rondon Plaza Shopping</t>
  </si>
  <si>
    <t>Parque Barbacena Shopping</t>
  </si>
  <si>
    <t>Conjunto Nacional</t>
  </si>
  <si>
    <t>Shopping Poços de Caldas</t>
  </si>
  <si>
    <t>Santarem</t>
  </si>
  <si>
    <t>Florianopolis</t>
  </si>
  <si>
    <t>Las Piedras</t>
  </si>
  <si>
    <t>Rio Tapajós Shopping</t>
  </si>
  <si>
    <t>Lojas Centro Florianópolis</t>
  </si>
  <si>
    <t>DEC . 19. 2018</t>
  </si>
  <si>
    <t>Dec.18</t>
  </si>
  <si>
    <t xml:space="preserve">    Selling(*)</t>
  </si>
  <si>
    <t xml:space="preserve">    General and Administrative (*)</t>
  </si>
  <si>
    <t xml:space="preserve">    Management Compensation (*)</t>
  </si>
  <si>
    <t xml:space="preserve">    Taxes (*)</t>
  </si>
  <si>
    <t>closed</t>
  </si>
  <si>
    <t>Number of shares at the end of the period(,000)**</t>
  </si>
  <si>
    <t>* In the Income Statements for the fiscal year ending December 31, 2017, the expenses with Depreciation and Amortization, Tax Expenses and Management Profit Sharing, previously shown in the “Other Operating Income” item, were reclassified under Selling, General and Administrative Expenses.  To facilitate analysis, Depreciation and Amortization Expenses have been excluded.</t>
  </si>
  <si>
    <t>** Number of shares at the end of the period, not adjusted by corporate events</t>
  </si>
  <si>
    <t>APR.18, 2019</t>
  </si>
  <si>
    <t>Brasilia Shopping</t>
  </si>
  <si>
    <t>Shopping Praia da Costa</t>
  </si>
  <si>
    <t>Shopping Passo Fundo</t>
  </si>
  <si>
    <t>Shopping Tacaruna</t>
  </si>
  <si>
    <t>Jaú</t>
  </si>
  <si>
    <t>Brasilia</t>
  </si>
  <si>
    <t>Patio Belém</t>
  </si>
  <si>
    <t>1Q19</t>
  </si>
  <si>
    <t>Mar.19</t>
  </si>
  <si>
    <t>1TQ19</t>
  </si>
  <si>
    <t>Right of use</t>
  </si>
  <si>
    <t>2Q19</t>
  </si>
  <si>
    <t>APR.29.2019</t>
  </si>
  <si>
    <t>Até 10 dias após a AGO de 2020 / Up to 10 days after 2020 AGM</t>
  </si>
  <si>
    <t>Shopping Cidade Jardim Fashion</t>
  </si>
  <si>
    <t>Bangu Shopping</t>
  </si>
  <si>
    <t>Shopping Catuaí Maringá</t>
  </si>
  <si>
    <t>Jockey Plaza</t>
  </si>
  <si>
    <t>Sobral</t>
  </si>
  <si>
    <t>Jaú Shopping</t>
  </si>
  <si>
    <t>Sobral Shopping</t>
  </si>
  <si>
    <t>Capim Dourado Shopping</t>
  </si>
  <si>
    <t>6M19</t>
  </si>
  <si>
    <t>Average Selling Area of Youcom Stores (thousand m2)</t>
  </si>
  <si>
    <t>Jun.19</t>
  </si>
  <si>
    <t>2TQ19</t>
  </si>
  <si>
    <t>MAR. 18, 2019</t>
  </si>
  <si>
    <t>JUN. 19, 2019</t>
  </si>
  <si>
    <t>Total 2019</t>
  </si>
  <si>
    <t>PORTFOLIO (R$ ,000) - Adjusted to Present Value</t>
  </si>
  <si>
    <t xml:space="preserve">    Overdue from 91 to 360 days</t>
  </si>
  <si>
    <t>Ourinhos</t>
  </si>
  <si>
    <t>Center Ourinhos</t>
  </si>
  <si>
    <t>Cruz Alta</t>
  </si>
  <si>
    <t>Loja de Cruz Alta</t>
  </si>
  <si>
    <t>Loja Rua Oscar Freire</t>
  </si>
  <si>
    <t>3TQ19</t>
  </si>
  <si>
    <t>SP Market</t>
  </si>
  <si>
    <t>São José do Ribamar</t>
  </si>
  <si>
    <t>Shopping Pátio Norte</t>
  </si>
  <si>
    <t>Cachoeiro de Itapemirim</t>
  </si>
  <si>
    <t>Aracaju Parque Shopping</t>
  </si>
  <si>
    <t>SET. 19, 2019</t>
  </si>
  <si>
    <t>9M19</t>
  </si>
  <si>
    <t>3Q19</t>
  </si>
  <si>
    <t>Set.19</t>
  </si>
  <si>
    <t>4Q19</t>
  </si>
  <si>
    <t>Jockey Plaza Shopping Center</t>
  </si>
  <si>
    <t>Iguatemi Porto Alegre</t>
  </si>
  <si>
    <t>Closed 3T19</t>
  </si>
  <si>
    <t> 201,6</t>
  </si>
  <si>
    <t>Beiramar Shopping</t>
  </si>
  <si>
    <t>Shopping Sete Lagoas</t>
  </si>
  <si>
    <t>Sumaré</t>
  </si>
  <si>
    <t xml:space="preserve">Shopping Park Sul </t>
  </si>
  <si>
    <t>Sete Lagoas</t>
  </si>
  <si>
    <t>Shopping ParkCity Sumaré</t>
  </si>
  <si>
    <t>Shopping Barra Sul</t>
  </si>
  <si>
    <t>Cadima Shopping</t>
  </si>
  <si>
    <t>Loja de Tramandaí</t>
  </si>
  <si>
    <t>Tramandaí</t>
  </si>
  <si>
    <t>Shopping D</t>
  </si>
  <si>
    <t>Nova Friburgo</t>
  </si>
  <si>
    <t>Park Shopping Brasília</t>
  </si>
  <si>
    <t>Loja de Santo Ângelo</t>
  </si>
  <si>
    <t>Santo Ângelo</t>
  </si>
  <si>
    <t>Shopping Tres Cruces</t>
  </si>
  <si>
    <t>Aeroporto Salgado Filho</t>
  </si>
  <si>
    <t>Shopping Três Lagoas</t>
  </si>
  <si>
    <t>Patio Olmos</t>
  </si>
  <si>
    <t>Paseo Del Jockey</t>
  </si>
  <si>
    <t>Calle Florida</t>
  </si>
  <si>
    <t>Avenida Santa Fe</t>
  </si>
  <si>
    <t>Buenos Aires</t>
  </si>
  <si>
    <t>Córdoba</t>
  </si>
  <si>
    <t>Argentina</t>
  </si>
  <si>
    <t>ARG</t>
  </si>
  <si>
    <t>Shopping Nuevocentro</t>
  </si>
  <si>
    <t>Três Lagoas</t>
  </si>
  <si>
    <t>Closed 4Q19</t>
  </si>
  <si>
    <t>Dez.19</t>
  </si>
  <si>
    <t>4TQ19</t>
  </si>
  <si>
    <t>DEZ. 18, 2019</t>
  </si>
  <si>
    <t xml:space="preserve">      Aluguéis a Pagar</t>
  </si>
  <si>
    <t>APR.29, 2020 AGM</t>
  </si>
  <si>
    <t>1Q20</t>
  </si>
  <si>
    <t>Mar.20</t>
  </si>
  <si>
    <t>1TQ20</t>
  </si>
  <si>
    <t>Selling Area of Total Stores (thousand m2)</t>
  </si>
  <si>
    <t>Store Openings (Renner + Camicado + Youcom)</t>
  </si>
  <si>
    <t>Store Closures (Renner + Camicado + Youcom)</t>
  </si>
  <si>
    <t xml:space="preserve">Store Openings </t>
  </si>
  <si>
    <t xml:space="preserve">Store Closures </t>
  </si>
  <si>
    <t>MAR. 16, 2020</t>
  </si>
  <si>
    <t>Lauro de Freitas</t>
  </si>
  <si>
    <t>375,95</t>
  </si>
  <si>
    <t>Closed 1Q20</t>
  </si>
  <si>
    <t>MAI.08.2020</t>
  </si>
  <si>
    <t>IFRS 16</t>
  </si>
  <si>
    <t>23,9%</t>
  </si>
  <si>
    <t>Parque Shopping Bahia</t>
  </si>
  <si>
    <t>3Q20</t>
  </si>
  <si>
    <t>Jatahy Shopping</t>
  </si>
  <si>
    <t>Jataí</t>
  </si>
  <si>
    <t>Tangará da Serra</t>
  </si>
  <si>
    <t>Tangará Shopping Center</t>
  </si>
  <si>
    <t>JUN. 16, 2020</t>
  </si>
  <si>
    <t>2Q20</t>
  </si>
  <si>
    <t>6M20</t>
  </si>
  <si>
    <t>Jun.20</t>
  </si>
  <si>
    <t>Reserve for Riscos cíveis e trabalhistas</t>
  </si>
  <si>
    <t>Sorriso</t>
  </si>
  <si>
    <t>Park Shopping Sorriso</t>
  </si>
  <si>
    <t>Aeroporto Guarulhos</t>
  </si>
  <si>
    <t>Sep.20</t>
  </si>
  <si>
    <t>9M20</t>
  </si>
  <si>
    <t>3Q17</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</si>
  <si>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</si>
  <si>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</si>
  <si>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</si>
  <si>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</si>
  <si>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</si>
  <si>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</si>
  <si>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</si>
  <si>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</si>
  <si>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</si>
  <si>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</si>
  <si>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</si>
  <si>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</si>
  <si>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</si>
  <si>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</si>
  <si>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</si>
  <si>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</si>
  <si>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</si>
  <si>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</si>
  <si>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</si>
  <si>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</si>
  <si>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</si>
  <si>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</si>
  <si>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</si>
  <si>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</si>
  <si>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</si>
  <si>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</si>
  <si>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</si>
  <si>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</si>
  <si>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</si>
  <si>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</si>
  <si>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</si>
  <si>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</si>
  <si>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</si>
  <si>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</si>
  <si>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</si>
  <si>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</si>
  <si>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</si>
  <si>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</si>
  <si>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</si>
  <si>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</si>
  <si>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</si>
  <si>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</si>
  <si>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</si>
  <si>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</si>
  <si>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</si>
  <si>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</si>
  <si>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</si>
  <si>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</si>
  <si>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</si>
  <si>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4Q17</t>
  </si>
  <si>
    <t>1Q18</t>
  </si>
  <si>
    <t>2Q18</t>
  </si>
  <si>
    <t>4Q20</t>
  </si>
  <si>
    <t>Village Mall</t>
  </si>
  <si>
    <t>SEP. 17, 2020</t>
  </si>
  <si>
    <t>Closed 4Q20</t>
  </si>
  <si>
    <t>DEZ. 15, 2020</t>
  </si>
  <si>
    <t>4T20</t>
  </si>
  <si>
    <t>Dec.20</t>
  </si>
  <si>
    <t>Reserve for Risks</t>
  </si>
  <si>
    <t>Dez.20</t>
  </si>
  <si>
    <t xml:space="preserve">Operating Expenses </t>
  </si>
  <si>
    <t>1Q21</t>
  </si>
  <si>
    <t>Shopping Ribeirão Preto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</si>
</sst>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8">
    <numFmt numFmtId="42" formatCode="_-&quot;R$&quot;\ * #,##0_-;\-&quot;R$&quot;\ * #,##0_-;_-&quot;R$&quot;\ * &quot;-&quot;_-;_-@_-"/>
    <numFmt numFmtId="44" formatCode="_-&quot;R$&quot;\ * #,##0.00_-;\-&quot;R$&quot;\ * #,##0.00_-;_-&quot;R$&quot;\ * &quot;-&quot;??_-;_-@_-"/>
    <numFmt numFmtId="164" formatCode="&quot;R$&quot;\ #,##0.00_);\(&quot;R$&quot;\ #,##0.00\)"/>
    <numFmt numFmtId="165" formatCode="&quot;R$&quot;\ #,##0.00_);[Red]\(&quot;R$&quot;\ #,##0.00\)"/>
    <numFmt numFmtId="166" formatCode="_(* #,##0_);_(* \(#,##0\);_(* &quot;-&quot;_);_(@_)"/>
    <numFmt numFmtId="167" formatCode="_(&quot;R$&quot;\ * #,##0.00_);_(&quot;R$&quot;\ * \(#,##0.00\);_(&quot;R$&quot;\ * &quot;-&quot;??_);_(@_)"/>
    <numFmt numFmtId="168" formatCode="_(* #,##0.00_);_(* \(#,##0.00\);_(* &quot;-&quot;??_);_(@_)"/>
    <numFmt numFmtId="169" formatCode="&quot;R$&quot;#,##0.00;\-&quot;R$&quot;#,##0.00"/>
    <numFmt numFmtId="170" formatCode="_-&quot;R$&quot;* #,##0_-;\-&quot;R$&quot;* #,##0_-;_-&quot;R$&quot;* &quot;-&quot;_-;_-@_-"/>
    <numFmt numFmtId="171" formatCode="_-&quot;R$&quot;* #,##0.00_-;\-&quot;R$&quot;* #,##0.00_-;_-&quot;R$&quot;* &quot;-&quot;??_-;_-@_-"/>
    <numFmt numFmtId="172" formatCode="&quot;R$ &quot;#,##0.00_);\(&quot;R$ &quot;#,##0.00\)"/>
    <numFmt numFmtId="173" formatCode="_(* #,##0_);_(* \(#,##0\);_(* &quot;-&quot;??_);_(@_)"/>
    <numFmt numFmtId="174" formatCode="0.0%"/>
    <numFmt numFmtId="175" formatCode="[$€]#,##0.00_);[Red]\([$€]#,##0.00\)"/>
    <numFmt numFmtId="176" formatCode="#,##0.0"/>
    <numFmt numFmtId="177" formatCode="_(* #,##0.0_);_(* \(#,##0.0\);_(* &quot;-&quot;_);_(@_)"/>
    <numFmt numFmtId="178" formatCode="&quot;R$ &quot;#,##0.0000_);\(&quot;R$ &quot;#,##0.0000\)"/>
    <numFmt numFmtId="179" formatCode="_(* #,##0.0000_);_(* \(#,##0.0000\);_(* &quot;-&quot;????_);_(@_)"/>
    <numFmt numFmtId="180" formatCode="_(* #,##0.0000_);_(* \(#,##0.0000\);_(* &quot;-&quot;_);_(@_)"/>
    <numFmt numFmtId="181" formatCode="#,##0.0000_);\(#,##0.0000\)"/>
    <numFmt numFmtId="182" formatCode="&quot;R$&quot;#,##0.0000_);\(&quot;R$&quot;#,##0.0000\)"/>
    <numFmt numFmtId="183" formatCode="&quot;R$&quot;#,##0.00000_);\(&quot;R$&quot;#,##0.00000\)"/>
    <numFmt numFmtId="184" formatCode="&quot;R$ &quot;#,##0.00000_);\(&quot;R$ &quot;#,##0.00000\)"/>
    <numFmt numFmtId="185" formatCode="_-* #,##0_-;\-* #,##0_-;_-* &quot;-&quot;??_-;_-@_-"/>
    <numFmt numFmtId="186" formatCode="0.0000"/>
    <numFmt numFmtId="187" formatCode="0.0\p\.\p\."/>
    <numFmt numFmtId="188" formatCode="_-* #,##0.0_-;\-* #,##0.0_-;_-* &quot;-&quot;??_-;_-@_-"/>
    <numFmt numFmtId="189" formatCode="_-* #,##0.000_-;\-* #,##0.000_-;_-* &quot;-&quot;??_-;_-@_-"/>
    <numFmt numFmtId="190" formatCode="_-* #,##0.0_-;\-* #,##0.0_-;_-* &quot;-&quot;?_-;_-@_-"/>
    <numFmt numFmtId="191" formatCode="&quot;R$&quot;\ #,##0.0000;\-&quot;R$&quot;\ #,##0.0000"/>
    <numFmt numFmtId="192" formatCode="0.0"/>
    <numFmt numFmtId="193" formatCode="_(* #,##0.000_);_(* \(#,##0.000\);_(* &quot;-&quot;_);_(@_)"/>
    <numFmt numFmtId="194" formatCode="_-* #,##0.000_-;\-* #,##0.000_-;_-* &quot;-&quot;_-;_-@_-"/>
    <numFmt numFmtId="195" formatCode="&quot;R$ &quot;#,##0.000000_);\(&quot;R$ &quot;#,##0.000000\)"/>
    <numFmt numFmtId="196" formatCode="_(* #,##0.00_);_(* \(#,##0.00\);_(* &quot;-&quot;_);_(@_)"/>
    <numFmt numFmtId="197" formatCode="_([$€-2]* #,##0.00_);_([$€-2]* \(#,##0.00\);_([$€-2]* &quot;-&quot;??_)"/>
    <numFmt numFmtId="198" formatCode="_(* #,##0.0_);_(* \(#,##0.0\);_(* &quot;-&quot;??_);_(@_)"/>
    <numFmt numFmtId="199" formatCode="&quot;R$ &quot;#,##0_);[Red]\(&quot;R$ &quot;#,##0\)"/>
    <numFmt numFmtId="200" formatCode="_(&quot;R$ &quot;* #,##0_);_(&quot;R$ &quot;* \(#,##0\);_(&quot;R$ &quot;* &quot;-&quot;_);_(@_)"/>
    <numFmt numFmtId="201" formatCode="_(&quot;R$ &quot;* #,##0.00_);_(&quot;R$ &quot;* \(#,##0.00\);_(&quot;R$ &quot;* &quot;-&quot;??_);_(@_)"/>
    <numFmt numFmtId="202" formatCode="\£\ #,##0_);[Red]\(\£\ #,##0\)"/>
    <numFmt numFmtId="203" formatCode="\¥\ #,##0_);[Red]\(\¥\ #,##0\)"/>
    <numFmt numFmtId="204" formatCode="m\-d\-yy"/>
    <numFmt numFmtId="205" formatCode="[Blue]#,##0_);[Red]\(#,##0\)"/>
    <numFmt numFmtId="206" formatCode="_(* #,##0.0_);_(* \(#,##0.0\);_(* &quot;-&quot;?_);@_)"/>
    <numFmt numFmtId="207" formatCode="\•\ \ @"/>
    <numFmt numFmtId="208" formatCode="###0_);[Red]\(###0\)"/>
    <numFmt numFmtId="209" formatCode="\$#,##0.00_);\(\$#,##0.00\)"/>
    <numFmt numFmtId="210" formatCode="&quot;Cr$&quot;\ #,##0_);[Red]\(&quot;Cr$&quot;\ #,##0\)"/>
    <numFmt numFmtId="211" formatCode="&quot;R$&quot;#,##0.0_);[Red]\(&quot;R$&quot;#,##0.0\)"/>
    <numFmt numFmtId="212" formatCode="&quot;R$&quot;#,##0\ ;\(&quot;R$&quot;#,##0\)"/>
    <numFmt numFmtId="213" formatCode="\$#,##0_);\(\$#,##0\)"/>
    <numFmt numFmtId="214" formatCode="_(\ #,##0_);_(\ \(#,##0\);_(\ &quot;-&quot;??_);_(@_)"/>
    <numFmt numFmtId="215" formatCode="\ \ _•\–\ \ \ \ @"/>
    <numFmt numFmtId="216" formatCode="#,##0.0_);[Red]\(#,##0.0\)"/>
    <numFmt numFmtId="217" formatCode="mmm\-d\-yyyy"/>
    <numFmt numFmtId="218" formatCode="mmm\-yyyy"/>
    <numFmt numFmtId="219" formatCode="mmmm\ d\,\ yyyy"/>
    <numFmt numFmtId="220" formatCode="d\-mmm\-yyyy"/>
    <numFmt numFmtId="221" formatCode="d\-mmm\-yyyy\ \ h:mm"/>
    <numFmt numFmtId="222" formatCode="dd\ mmm\ yyyy_);;&quot;-  &quot;;&quot; &quot;@"/>
    <numFmt numFmtId="223" formatCode="dd\ mmm\ yy_);;&quot;-  &quot;;&quot; &quot;@"/>
    <numFmt numFmtId="224" formatCode="_-* #,##0\ _D_M_-;\-* #,##0\ _D_M_-;_-* &quot;-&quot;\ _D_M_-;_-@_-"/>
    <numFmt numFmtId="225" formatCode="_([$€]* #,##0.00_);_([$€]* \(#,##0.00\);_([$€]* &quot;-&quot;??_);_(@_)"/>
    <numFmt numFmtId="226" formatCode="#,##0."/>
    <numFmt numFmtId="227" formatCode="#,##0.0000_);\(#,##0.0000\);&quot;-  &quot;;&quot; &quot;@"/>
    <numFmt numFmtId="228" formatCode="###0_);\(###0\)"/>
    <numFmt numFmtId="229" formatCode="#,##0.00&quot; $&quot;;\-#,##0.00&quot; $&quot;"/>
    <numFmt numFmtId="230" formatCode="0.00_)"/>
    <numFmt numFmtId="231" formatCode="_-* #,##0_-;_-* #,##0\-;_-* &quot;-&quot;_-;_-@_-"/>
    <numFmt numFmtId="232" formatCode="_-* #,##0.00_-;_-* #,##0.00\-;_-* &quot;-&quot;??_-;_-@_-"/>
    <numFmt numFmtId="233" formatCode="mmmm\-yy"/>
    <numFmt numFmtId="234" formatCode="#,###.##000"/>
    <numFmt numFmtId="235" formatCode="#,##0.0000000000000000000_);\(#,##0.0000000000000000000\)"/>
    <numFmt numFmtId="236" formatCode="#,##0\x;\(#,##0\x\)"/>
    <numFmt numFmtId="237" formatCode="#,##0%;\(#,##0%\)"/>
    <numFmt numFmtId="238" formatCode="_(&quot;Cr$&quot;\ * #,##0_);_(&quot;Cr$&quot;\ * \(#,##0\);_(&quot;Cr$&quot;\ * &quot;-&quot;_);_(@_)"/>
    <numFmt numFmtId="239" formatCode="#,##0.0_);[Red]\(#,##0.0\);&quot;N/A &quot;"/>
    <numFmt numFmtId="240" formatCode="#,##0.000_);[Red]\(#,##0.000\)"/>
    <numFmt numFmtId="241" formatCode="#,##0.0_)\ \ ;[Red]\(#,##0.0\)\ \ "/>
    <numFmt numFmtId="242" formatCode="mmmm/yyyy"/>
    <numFmt numFmtId="243" formatCode="0.0%&quot;NetPPE/sales&quot;"/>
    <numFmt numFmtId="244" formatCode="0.0%&quot;NWI/Sls&quot;"/>
    <numFmt numFmtId="245" formatCode=";;;"/>
    <numFmt numFmtId="246" formatCode="0%;[Red]\(0%\)"/>
    <numFmt numFmtId="247" formatCode="0.0%;[Red]\(0.0%\)"/>
    <numFmt numFmtId="248" formatCode="0.0%&quot;Sales&quot;"/>
    <numFmt numFmtId="249" formatCode="_ * #,##0_ ;_ * \-#,##0_ ;_ * &quot;-&quot;_ ;_ @_ "/>
    <numFmt numFmtId="250" formatCode="#,##0&quot;£&quot;_);[Red]\(#,##0&quot;£&quot;\)"/>
    <numFmt numFmtId="251" formatCode="#,##0_);\(#,##0\);&quot;-  &quot;;&quot; &quot;@"/>
    <numFmt numFmtId="252" formatCode="_ * #,##0.00_ ;_ * \-#,##0.00_ ;_ * &quot;-&quot;??_ ;_ @_ "/>
    <numFmt numFmtId="253" formatCode="\+0%"/>
    <numFmt numFmtId="254" formatCode="0.0&quot; meses&quot;"/>
    <numFmt numFmtId="255" formatCode="0.0%&quot; a.a.&quot;"/>
    <numFmt numFmtId="256" formatCode="#,##0.00\x"/>
    <numFmt numFmtId="257" formatCode="#,###;\(#,###\);\-\-\-\-"/>
    <numFmt numFmtId="258" formatCode="General_)"/>
    <numFmt numFmtId="259" formatCode="0____"/>
    <numFmt numFmtId="260" formatCode="_-&quot;F&quot;\ * #,##0_-;_-&quot;F&quot;\ * #,##0\-;_-&quot;F&quot;\ * &quot;-&quot;_-;_-@_-"/>
    <numFmt numFmtId="261" formatCode="_-&quot;F&quot;\ * #,##0.00_-;_-&quot;F&quot;\ * #,##0.00\-;_-&quot;F&quot;\ * &quot;-&quot;??_-;_-@_-"/>
    <numFmt numFmtId="262" formatCode="_-* #,##0\ &quot;DM&quot;_-;\-* #,##0\ &quot;DM&quot;_-;_-* &quot;-&quot;\ &quot;DM&quot;_-;_-@_-"/>
    <numFmt numFmtId="263" formatCode="_-* #,##0.00\ &quot;DM&quot;_-;\-* #,##0.00\ &quot;DM&quot;_-;_-* &quot;-&quot;??\ &quot;DM&quot;_-;_-@_-"/>
    <numFmt numFmtId="264" formatCode="_-&quot;£&quot;* #,##0_-;\-&quot;£&quot;* #,##0_-;_-&quot;£&quot;* &quot;-&quot;_-;_-@_-"/>
    <numFmt numFmtId="265" formatCode="_-&quot;£&quot;* #,##0.00_-;\-&quot;£&quot;* #,##0.00_-;_-&quot;£&quot;* &quot;-&quot;??_-;_-@_-"/>
    <numFmt numFmtId="266" formatCode="#,##0.000"/>
    <numFmt numFmtId="267" formatCode="_-* #,##0.0000_-;\-* #,##0.0000_-;_-* &quot;-&quot;??_-;_-@_-"/>
    <numFmt numFmtId="268" formatCode="&quot;R$ &quot;#,##0_);\(&quot;R$ &quot;#,##0\)"/>
    <numFmt numFmtId="269" formatCode="0.0_)\%;\(0.0\)\%;0.0_)\%;@_)_%"/>
    <numFmt numFmtId="270" formatCode="#,##0.0_)_%;\(#,##0.0\)_%;0.0_)_%;@_)_%"/>
    <numFmt numFmtId="271" formatCode="#,##0.0_);\(#,##0.0\);#,##0.0_);@_)"/>
    <numFmt numFmtId="272" formatCode="&quot;R$&quot;_(#,##0.00_);&quot;R$&quot;\(#,##0.00\);&quot;R$&quot;_(0.00_);@_)"/>
    <numFmt numFmtId="273" formatCode="#,##0.00_);\(#,##0.00\);0.00_);@_)"/>
    <numFmt numFmtId="274" formatCode="\€_(#,##0.00_);\€\(#,##0.00\);\€_(0.00_);@_)"/>
    <numFmt numFmtId="275" formatCode="#,##0_)\x;\(#,##0\)\x;0_)\x;@_)_x"/>
    <numFmt numFmtId="276" formatCode="#,##0_)_x;\(#,##0\)_x;0_)_x;@_)_x"/>
    <numFmt numFmtId="277" formatCode="_-&quot;R$ &quot;* #,##0_-;\-&quot;R$ &quot;* #,##0_-;_-&quot;R$ &quot;* &quot;-&quot;_-;_-@_-"/>
    <numFmt numFmtId="278" formatCode="mmmyy"/>
    <numFmt numFmtId="279" formatCode="[Blue]_(* #,##0_);[Red]_(* \(#,##0\);_(* &quot;-&quot;_);_(@_)"/>
    <numFmt numFmtId="280" formatCode="[Blue]_(* #,##0.0_);[Red]_(* \(#,##0.0\);_(* &quot;-&quot;_);_(@_)"/>
    <numFmt numFmtId="281" formatCode="_(* #,##0.00_);[Red]_(* \(#,##0.00\);_(* &quot;-&quot;_);_(@_)"/>
    <numFmt numFmtId="282" formatCode="_(* #,##0,_);[Red]_(* \(#,##0,\);_(* &quot;-&quot;_);_(@_)"/>
    <numFmt numFmtId="283" formatCode="&quot;£&quot;#,##0;[Red]\-&quot;£&quot;#,##0"/>
    <numFmt numFmtId="284" formatCode="_([$€]\ * #,##0.00_);_([$€]\ * \(#,##0.00\);_([$€]\ * &quot;-&quot;??_);_(@_)"/>
    <numFmt numFmtId="285" formatCode="#,#00"/>
    <numFmt numFmtId="286" formatCode="#,##0.0;\(#,##0.0\)"/>
    <numFmt numFmtId="287" formatCode="#,##0.000;\(#,##0.000\)"/>
    <numFmt numFmtId="288" formatCode="#,##0.0\x;\(#,##0.0\)\x"/>
    <numFmt numFmtId="289" formatCode="0%;\(0%\)"/>
    <numFmt numFmtId="290" formatCode="%#,#00"/>
    <numFmt numFmtId="291" formatCode="#.##000"/>
    <numFmt numFmtId="292" formatCode="mm/dd/yy"/>
    <numFmt numFmtId="293" formatCode="#,##0.00%"/>
    <numFmt numFmtId="294" formatCode="_(&quot;R$&quot;* #,##0.0_);_(&quot;R$&quot;* \(#,##0.0\);_(* &quot;-&quot;_);_(@_)"/>
    <numFmt numFmtId="295" formatCode="mmm"/>
    <numFmt numFmtId="296" formatCode="#,"/>
    <numFmt numFmtId="297" formatCode="_(&quot;R$ &quot;* #,##0_);_(&quot;R$ &quot;* \(#,##0\);_(&quot;R$ &quot;* &quot;-&quot;??_);_(@_)"/>
    <numFmt numFmtId="298" formatCode="_-* #,##0.00\ _€_-;\-* #,##0.00\ _€_-;_-* &quot;-&quot;??\ _€_-;_-@_-"/>
    <numFmt numFmtId="299" formatCode="mmm\.\ dd\,\ yyyy"/>
  </numFmts>
  <fonts count="270">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name val="Geneva"/>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8"/>
      <name val="Arial"/>
      <family val="2"/>
    </font>
    <font>
      <u/>
      <sz val="10"/>
      <color indexed="12"/>
      <name val="Arial"/>
      <family val="2"/>
    </font>
    <font>
      <sz val="10"/>
      <name val="Arial"/>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i/>
      <sz val="8"/>
      <name val="Century Gothic"/>
      <family val="2"/>
    </font>
    <font>
      <sz val="9"/>
      <name val="Century Gothic"/>
      <family val="2"/>
    </font>
    <font>
      <b/>
      <sz val="8"/>
      <name val="Century Gothic"/>
      <family val="2"/>
    </font>
    <font>
      <b/>
      <sz val="9"/>
      <name val="Century Gothic"/>
      <family val="2"/>
    </font>
    <font>
      <sz val="8"/>
      <name val="Century Gothic"/>
      <family val="2"/>
    </font>
    <font>
      <b/>
      <sz val="8.5"/>
      <name val="Century Gothic"/>
      <family val="2"/>
    </font>
    <font>
      <sz val="8.5"/>
      <name val="Century Gothic"/>
      <family val="2"/>
    </font>
    <font>
      <sz val="10"/>
      <name val="Century Gothic"/>
      <family val="2"/>
    </font>
    <font>
      <sz val="8"/>
      <color indexed="55"/>
      <name val="Century Gothic"/>
      <family val="2"/>
    </font>
    <font>
      <b/>
      <sz val="9"/>
      <color indexed="9"/>
      <name val="Century Gothic"/>
      <family val="2"/>
    </font>
    <font>
      <sz val="9"/>
      <color indexed="10"/>
      <name val="Century Gothic"/>
      <family val="2"/>
    </font>
    <font>
      <b/>
      <sz val="8.5"/>
      <color indexed="9"/>
      <name val="Century Gothic"/>
      <family val="2"/>
    </font>
    <font>
      <b/>
      <sz val="8"/>
      <color indexed="9"/>
      <name val="Century Gothic"/>
      <family val="2"/>
    </font>
    <font>
      <b/>
      <u/>
      <sz val="8"/>
      <color indexed="9"/>
      <name val="Century Gothic"/>
      <family val="2"/>
    </font>
    <font>
      <b/>
      <sz val="10"/>
      <name val="Century Gothic"/>
      <family val="2"/>
    </font>
    <font>
      <b/>
      <sz val="8"/>
      <color indexed="9"/>
      <name val="Century Gothic"/>
      <family val="2"/>
    </font>
    <font>
      <b/>
      <sz val="10"/>
      <color indexed="9"/>
      <name val="Century Gothic"/>
      <family val="2"/>
    </font>
    <font>
      <sz val="8"/>
      <color indexed="9"/>
      <name val="Century Gothic"/>
      <family val="2"/>
    </font>
    <font>
      <i/>
      <sz val="9"/>
      <name val="Century Gothic"/>
      <family val="2"/>
    </font>
    <font>
      <sz val="8"/>
      <color theme="0"/>
      <name val="Century Gothic"/>
      <family val="2"/>
    </font>
    <font>
      <sz val="9"/>
      <color indexed="12"/>
      <name val="Century Gothic"/>
      <family val="2"/>
    </font>
    <font>
      <b/>
      <sz val="8"/>
      <color rgb="FFFF0000"/>
      <name val="Century Gothic"/>
      <family val="2"/>
    </font>
    <font>
      <b/>
      <sz val="9"/>
      <color rgb="FFFF0000"/>
      <name val="Century Gothic"/>
      <family val="2"/>
    </font>
    <font>
      <b/>
      <sz val="9"/>
      <color theme="0"/>
      <name val="Century Gothic"/>
      <family val="2"/>
    </font>
    <font>
      <b/>
      <sz val="8"/>
      <color theme="0"/>
      <name val="Century Gothic"/>
      <family val="2"/>
    </font>
    <font>
      <b/>
      <u/>
      <sz val="8"/>
      <color theme="0"/>
      <name val="Century Gothic"/>
      <family val="2"/>
    </font>
    <font>
      <sz val="9"/>
      <color theme="0"/>
      <name val="Century Gothic"/>
      <family val="2"/>
    </font>
    <font>
      <sz val="9"/>
      <color indexed="81"/>
      <name val="Segoe UI"/>
      <family val="2"/>
    </font>
    <font>
      <b/>
      <vertAlign val="superscript"/>
      <sz val="9"/>
      <color theme="0"/>
      <name val="Century Gothic"/>
      <family val="2"/>
    </font>
    <font>
      <b/>
      <sz val="9"/>
      <color indexed="81"/>
      <name val="Segoe UI"/>
      <family val="2"/>
    </font>
    <font>
      <b/>
      <sz val="9"/>
      <color rgb="FFC00000"/>
      <name val="Century Gothic"/>
      <family val="2"/>
    </font>
    <font>
      <b/>
      <sz val="18"/>
      <color rgb="FFC8141E"/>
      <name val="Century Gothic"/>
      <family val="2"/>
    </font>
    <font>
      <sz val="18"/>
      <color rgb="FFC8141E"/>
      <name val="Century Gothic"/>
      <family val="2"/>
    </font>
    <font>
      <b/>
      <sz val="14"/>
      <color rgb="FFC8141E"/>
      <name val="Century Gothic"/>
      <family val="2"/>
    </font>
    <font>
      <sz val="10"/>
      <color rgb="FFC8141E"/>
      <name val="Century Gothic"/>
      <family val="2"/>
    </font>
    <font>
      <b/>
      <u/>
      <sz val="18"/>
      <color rgb="FFC8141E"/>
      <name val="Century Gothic"/>
      <family val="2"/>
    </font>
    <font>
      <b/>
      <u/>
      <sz val="16"/>
      <color rgb="FFC8141E"/>
      <name val="Century Gothic"/>
      <family val="2"/>
    </font>
    <font>
      <b/>
      <sz val="10"/>
      <color theme="0"/>
      <name val="Century Gothic"/>
      <family val="2"/>
    </font>
    <font>
      <b/>
      <sz val="36"/>
      <color rgb="FFC8141E"/>
      <name val="Century Gothic"/>
      <family val="2"/>
    </font>
    <font>
      <b/>
      <sz val="18"/>
      <color rgb="FFC00000"/>
      <name val="Century Gothic"/>
      <family val="2"/>
    </font>
    <font>
      <b/>
      <sz val="36"/>
      <color rgb="FFC00000"/>
      <name val="Century Gothic"/>
      <family val="2"/>
    </font>
    <font>
      <sz val="18"/>
      <color rgb="FFC00000"/>
      <name val="Century Gothic"/>
      <family val="2"/>
    </font>
    <font>
      <u/>
      <sz val="10"/>
      <color rgb="FFC00000"/>
      <name val="Arial"/>
      <family val="2"/>
    </font>
    <font>
      <sz val="10"/>
      <color rgb="FFC00000"/>
      <name val="Century Gothic"/>
      <family val="2"/>
    </font>
    <font>
      <b/>
      <sz val="46"/>
      <color rgb="FFC00000"/>
      <name val="Century Gothic"/>
      <family val="2"/>
    </font>
    <font>
      <b/>
      <u/>
      <sz val="10"/>
      <color rgb="FFC00000"/>
      <name val="Arial"/>
      <family val="2"/>
    </font>
    <font>
      <sz val="10"/>
      <color rgb="FFC00000"/>
      <name val="Arial"/>
      <family val="2"/>
    </font>
    <font>
      <sz val="9"/>
      <color rgb="FFFF0000"/>
      <name val="Century Gothic"/>
      <family val="2"/>
    </font>
    <font>
      <u/>
      <sz val="9"/>
      <name val="Century Gothic"/>
      <family val="2"/>
    </font>
    <font>
      <i/>
      <sz val="8"/>
      <color rgb="FFFF0000"/>
      <name val="Century Gothic"/>
      <family val="2"/>
    </font>
    <font>
      <sz val="9"/>
      <color theme="3" tint="0.39997558519241921"/>
      <name val="Century Gothic"/>
      <family val="2"/>
    </font>
    <font>
      <sz val="10"/>
      <name val="Arial"/>
      <family val="2"/>
    </font>
    <font>
      <sz val="10"/>
      <color theme="1"/>
      <name val="Calibri"/>
      <family val="2"/>
      <scheme val="minor"/>
    </font>
    <font>
      <sz val="8"/>
      <color rgb="FFFF0000"/>
      <name val="Century Gothic"/>
      <family val="2"/>
    </font>
    <font>
      <b/>
      <sz val="9"/>
      <color rgb="FF998A7A"/>
      <name val="Century Gothic"/>
      <family val="2"/>
    </font>
    <font>
      <sz val="8"/>
      <color indexed="81"/>
      <name val="Segoe UI"/>
      <family val="2"/>
    </font>
    <font>
      <sz val="8"/>
      <color rgb="FF000000"/>
      <name val="Century Gothic"/>
      <family val="2"/>
    </font>
    <font>
      <sz val="10"/>
      <name val="Arial"/>
      <family val="2"/>
    </font>
    <font>
      <sz val="10"/>
      <color theme="1"/>
      <name val="Arial"/>
      <family val="2"/>
    </font>
    <font>
      <b/>
      <sz val="12"/>
      <name val="Arial"/>
      <family val="2"/>
    </font>
    <font>
      <b/>
      <sz val="16"/>
      <color indexed="9"/>
      <name val="Arial"/>
      <family val="2"/>
    </font>
    <font>
      <b/>
      <sz val="8"/>
      <name val="Arial"/>
      <family val="2"/>
    </font>
    <font>
      <b/>
      <sz val="10"/>
      <name val="MS Sans Serif"/>
      <family val="2"/>
    </font>
    <font>
      <sz val="12"/>
      <name val="Times New Roman"/>
      <family val="1"/>
    </font>
    <font>
      <sz val="12"/>
      <color indexed="8"/>
      <name val="Arial"/>
      <family val="2"/>
    </font>
    <font>
      <b/>
      <sz val="10"/>
      <color indexed="8"/>
      <name val="Arial"/>
      <family val="2"/>
    </font>
    <font>
      <sz val="10"/>
      <color indexed="8"/>
      <name val="Arial"/>
      <family val="2"/>
    </font>
    <font>
      <b/>
      <u/>
      <sz val="12"/>
      <color indexed="10"/>
      <name val="Arial"/>
      <family val="2"/>
    </font>
    <font>
      <b/>
      <sz val="10"/>
      <color indexed="32"/>
      <name val="Arial"/>
      <family val="2"/>
    </font>
    <font>
      <sz val="1"/>
      <color theme="0"/>
      <name val="Arial"/>
      <family val="2"/>
    </font>
    <font>
      <sz val="1"/>
      <color rgb="FF000000"/>
      <name val="Arial"/>
      <family val="2"/>
    </font>
    <font>
      <b/>
      <sz val="10"/>
      <name val="Arial"/>
      <family val="2"/>
    </font>
    <font>
      <b/>
      <sz val="9"/>
      <name val="Helv"/>
    </font>
    <font>
      <b/>
      <sz val="12"/>
      <color indexed="8"/>
      <name val="Arial"/>
      <family val="2"/>
    </font>
    <font>
      <sz val="24"/>
      <name val="Arial"/>
      <family val="2"/>
    </font>
    <font>
      <sz val="1"/>
      <color indexed="9"/>
      <name val="Arial"/>
      <family val="2"/>
    </font>
    <font>
      <b/>
      <sz val="12"/>
      <name val="Times New Roman"/>
      <family val="1"/>
    </font>
    <font>
      <sz val="8"/>
      <name val="Helv"/>
    </font>
    <font>
      <sz val="8"/>
      <name val="Times New Roman"/>
      <family val="1"/>
    </font>
    <font>
      <b/>
      <sz val="8"/>
      <color indexed="24"/>
      <name val="Arial"/>
      <family val="2"/>
    </font>
    <font>
      <sz val="9"/>
      <name val="Arial"/>
      <family val="2"/>
    </font>
    <font>
      <b/>
      <sz val="9"/>
      <color indexed="24"/>
      <name val="Arial"/>
      <family val="2"/>
    </font>
    <font>
      <b/>
      <sz val="11"/>
      <color indexed="24"/>
      <name val="Arial"/>
      <family val="2"/>
    </font>
    <font>
      <sz val="14"/>
      <name val="Helv"/>
    </font>
    <font>
      <sz val="12"/>
      <name val="Arial"/>
      <family val="2"/>
    </font>
    <font>
      <sz val="10"/>
      <name val="MS Sans Serif"/>
      <family val="2"/>
    </font>
    <font>
      <sz val="12"/>
      <color indexed="24"/>
      <name val="Arial"/>
      <family val="2"/>
    </font>
    <font>
      <sz val="10"/>
      <name val="MS Serif"/>
      <family val="1"/>
    </font>
    <font>
      <sz val="10"/>
      <name val="Times New Roman"/>
      <family val="1"/>
    </font>
    <font>
      <sz val="9"/>
      <name val="Times New Roman"/>
      <family val="1"/>
    </font>
    <font>
      <sz val="12"/>
      <name val="MS Sans Serif"/>
      <family val="2"/>
    </font>
    <font>
      <sz val="8"/>
      <color indexed="12"/>
      <name val="Arial"/>
      <family val="2"/>
    </font>
    <font>
      <sz val="10"/>
      <color indexed="16"/>
      <name val="MS Serif"/>
      <family val="1"/>
    </font>
    <font>
      <b/>
      <u/>
      <sz val="1"/>
      <color indexed="8"/>
      <name val="Courier"/>
      <family val="3"/>
    </font>
    <font>
      <sz val="1"/>
      <color indexed="8"/>
      <name val="Courier"/>
      <family val="3"/>
    </font>
    <font>
      <b/>
      <sz val="1"/>
      <color indexed="8"/>
      <name val="Courier"/>
      <family val="3"/>
    </font>
    <font>
      <u/>
      <sz val="1"/>
      <color indexed="8"/>
      <name val="Courier"/>
      <family val="3"/>
    </font>
    <font>
      <u/>
      <sz val="10"/>
      <color indexed="36"/>
      <name val="Arial"/>
      <family val="2"/>
    </font>
    <font>
      <b/>
      <i/>
      <sz val="10"/>
      <color indexed="16"/>
      <name val="Arial"/>
      <family val="2"/>
    </font>
    <font>
      <b/>
      <u/>
      <sz val="11"/>
      <color indexed="37"/>
      <name val="Arial"/>
      <family val="2"/>
    </font>
    <font>
      <b/>
      <sz val="9"/>
      <color indexed="16"/>
      <name val="Arial"/>
      <family val="2"/>
    </font>
    <font>
      <sz val="10"/>
      <color indexed="12"/>
      <name val="Arial"/>
      <family val="2"/>
    </font>
    <font>
      <u/>
      <sz val="11"/>
      <color indexed="12"/>
      <name val="Calibri"/>
      <family val="2"/>
    </font>
    <font>
      <u/>
      <sz val="8.8000000000000007"/>
      <color indexed="12"/>
      <name val="Calibri"/>
      <family val="2"/>
    </font>
    <font>
      <sz val="8"/>
      <color indexed="39"/>
      <name val="Arial"/>
      <family val="2"/>
    </font>
    <font>
      <b/>
      <sz val="10"/>
      <color indexed="48"/>
      <name val="Arial"/>
      <family val="2"/>
    </font>
    <font>
      <sz val="10"/>
      <color indexed="20"/>
      <name val="Arial"/>
      <family val="2"/>
    </font>
    <font>
      <b/>
      <sz val="12"/>
      <color indexed="8"/>
      <name val="Times New Roman"/>
      <family val="1"/>
    </font>
    <font>
      <sz val="7"/>
      <name val="Small Fonts"/>
      <family val="2"/>
    </font>
    <font>
      <sz val="12"/>
      <name val="SWISS"/>
    </font>
    <font>
      <b/>
      <i/>
      <sz val="16"/>
      <name val="Helv"/>
      <family val="2"/>
    </font>
    <font>
      <b/>
      <i/>
      <sz val="16"/>
      <name val="Helv"/>
    </font>
    <font>
      <sz val="10"/>
      <color theme="1"/>
      <name val="eyinterstate light"/>
      <family val="2"/>
    </font>
    <font>
      <sz val="10"/>
      <color indexed="8"/>
      <name val="Calibri"/>
      <family val="2"/>
    </font>
    <font>
      <sz val="10"/>
      <color indexed="8"/>
      <name val="MS Sans Serif"/>
      <family val="2"/>
    </font>
    <font>
      <sz val="8"/>
      <color indexed="10"/>
      <name val="Arial"/>
      <family val="2"/>
    </font>
    <font>
      <sz val="1"/>
      <color indexed="8"/>
      <name val="Arial"/>
      <family val="2"/>
    </font>
    <font>
      <b/>
      <sz val="11"/>
      <color indexed="23"/>
      <name val="Arial"/>
      <family val="2"/>
    </font>
    <font>
      <sz val="8"/>
      <color indexed="8"/>
      <name val="Arial"/>
      <family val="2"/>
    </font>
    <font>
      <b/>
      <sz val="8"/>
      <color indexed="8"/>
      <name val="Arial"/>
      <family val="2"/>
    </font>
    <font>
      <b/>
      <sz val="8"/>
      <color indexed="39"/>
      <name val="Arial"/>
      <family val="2"/>
    </font>
    <font>
      <b/>
      <sz val="8"/>
      <color indexed="10"/>
      <name val="Arial"/>
      <family val="2"/>
    </font>
    <font>
      <b/>
      <sz val="8"/>
      <color indexed="63"/>
      <name val="Arial"/>
      <family val="2"/>
    </font>
    <font>
      <b/>
      <sz val="8"/>
      <color indexed="9"/>
      <name val="Arial"/>
      <family val="2"/>
    </font>
    <font>
      <b/>
      <sz val="12"/>
      <color indexed="63"/>
      <name val="Times New Roman"/>
      <family val="1"/>
    </font>
    <font>
      <sz val="7"/>
      <color indexed="63"/>
      <name val="Times New Roman"/>
      <family val="1"/>
    </font>
    <font>
      <sz val="12"/>
      <color indexed="63"/>
      <name val="Times New Roman"/>
      <family val="1"/>
    </font>
    <font>
      <sz val="10"/>
      <color indexed="63"/>
      <name val="Times New Roman"/>
      <family val="1"/>
    </font>
    <font>
      <sz val="12"/>
      <color indexed="9"/>
      <name val="Times New Roman"/>
      <family val="1"/>
    </font>
    <font>
      <b/>
      <sz val="11"/>
      <color indexed="39"/>
      <name val="Arial"/>
      <family val="2"/>
    </font>
    <font>
      <sz val="10"/>
      <color indexed="39"/>
      <name val="Arial"/>
      <family val="2"/>
    </font>
    <font>
      <b/>
      <sz val="11"/>
      <color indexed="10"/>
      <name val="Arial"/>
      <family val="2"/>
    </font>
    <font>
      <sz val="10"/>
      <color indexed="10"/>
      <name val="Arial"/>
      <family val="2"/>
    </font>
    <font>
      <sz val="10"/>
      <color indexed="23"/>
      <name val="Arial"/>
      <family val="2"/>
    </font>
    <font>
      <b/>
      <sz val="11"/>
      <color indexed="9"/>
      <name val="Arial"/>
      <family val="2"/>
    </font>
    <font>
      <sz val="12"/>
      <color indexed="62"/>
      <name val="Times New Roman"/>
      <family val="1"/>
    </font>
    <font>
      <sz val="11"/>
      <color indexed="62"/>
      <name val="Times New Roman"/>
      <family val="1"/>
    </font>
    <font>
      <b/>
      <u/>
      <sz val="12"/>
      <color indexed="63"/>
      <name val="Times New Roman"/>
      <family val="1"/>
    </font>
    <font>
      <sz val="11"/>
      <color indexed="63"/>
      <name val="Times New Roman"/>
      <family val="1"/>
    </font>
    <font>
      <b/>
      <sz val="10"/>
      <color indexed="63"/>
      <name val="Times New Roman"/>
      <family val="1"/>
    </font>
    <font>
      <sz val="12"/>
      <color indexed="61"/>
      <name val="Times New Roman"/>
      <family val="1"/>
    </font>
    <font>
      <b/>
      <sz val="10"/>
      <color indexed="10"/>
      <name val="Arial"/>
      <family val="2"/>
    </font>
    <font>
      <sz val="9"/>
      <color indexed="10"/>
      <name val="Arial"/>
      <family val="2"/>
    </font>
    <font>
      <b/>
      <sz val="10"/>
      <color indexed="33"/>
      <name val="Arial"/>
      <family val="2"/>
    </font>
    <font>
      <b/>
      <sz val="10"/>
      <color indexed="9"/>
      <name val="Arial"/>
      <family val="2"/>
    </font>
    <font>
      <b/>
      <sz val="10"/>
      <color indexed="39"/>
      <name val="Arial"/>
      <family val="2"/>
    </font>
    <font>
      <sz val="9"/>
      <color indexed="33"/>
      <name val="Arial"/>
      <family val="2"/>
    </font>
    <font>
      <sz val="9"/>
      <color indexed="9"/>
      <name val="Arial"/>
      <family val="2"/>
    </font>
    <font>
      <sz val="9"/>
      <color indexed="8"/>
      <name val="Arial"/>
      <family val="2"/>
    </font>
    <font>
      <b/>
      <sz val="8"/>
      <color indexed="8"/>
      <name val="Helv"/>
      <family val="2"/>
    </font>
    <font>
      <b/>
      <sz val="9"/>
      <name val="Arial"/>
      <family val="2"/>
    </font>
    <font>
      <sz val="7"/>
      <name val="MS Sans Serif"/>
      <family val="2"/>
    </font>
    <font>
      <sz val="7"/>
      <name val="Arial"/>
      <family val="2"/>
    </font>
    <font>
      <sz val="20"/>
      <name val="Times New Roman"/>
      <family val="1"/>
    </font>
    <font>
      <b/>
      <sz val="10"/>
      <name val="Helv"/>
    </font>
    <font>
      <b/>
      <u/>
      <sz val="12"/>
      <name val="Arial"/>
      <family val="2"/>
    </font>
    <font>
      <b/>
      <sz val="12"/>
      <name val="MS Sans Serif"/>
      <family val="2"/>
    </font>
    <font>
      <b/>
      <i/>
      <sz val="10"/>
      <name val="Arial"/>
      <family val="2"/>
    </font>
    <font>
      <sz val="10"/>
      <color indexed="32"/>
      <name val="Arial"/>
      <family val="2"/>
    </font>
    <font>
      <sz val="16"/>
      <name val="Arial"/>
      <family val="2"/>
    </font>
    <font>
      <b/>
      <sz val="9"/>
      <color indexed="18"/>
      <name val="Arial"/>
      <family val="2"/>
    </font>
    <font>
      <sz val="10"/>
      <name val="Corporate Mono"/>
    </font>
    <font>
      <b/>
      <sz val="16"/>
      <name val="Arial"/>
      <family val="2"/>
    </font>
    <font>
      <sz val="10"/>
      <name val="Geneva"/>
    </font>
    <font>
      <sz val="10"/>
      <name val="Verdana"/>
      <family val="2"/>
    </font>
    <font>
      <u/>
      <sz val="11"/>
      <color theme="10"/>
      <name val="Calibri"/>
      <family val="2"/>
      <scheme val="minor"/>
    </font>
    <font>
      <b/>
      <sz val="9"/>
      <color theme="5" tint="0.39997558519241921"/>
      <name val="Century Gothic"/>
      <family val="2"/>
    </font>
    <font>
      <sz val="9"/>
      <color theme="3"/>
      <name val="Century Gothic"/>
      <family val="2"/>
    </font>
    <font>
      <sz val="11"/>
      <color rgb="FF9C0006"/>
      <name val="Calibri"/>
      <family val="2"/>
      <scheme val="minor"/>
    </font>
    <font>
      <b/>
      <sz val="11"/>
      <color theme="1"/>
      <name val="Calibri"/>
      <family val="2"/>
      <scheme val="minor"/>
    </font>
    <font>
      <sz val="11"/>
      <color rgb="FFFF0000"/>
      <name val="Calibri"/>
      <family val="2"/>
      <scheme val="minor"/>
    </font>
    <font>
      <b/>
      <sz val="22"/>
      <color indexed="18"/>
      <name val="Arial"/>
      <family val="2"/>
    </font>
    <font>
      <b/>
      <sz val="14"/>
      <color indexed="18"/>
      <name val="Arial"/>
      <family val="2"/>
    </font>
    <font>
      <b/>
      <sz val="10"/>
      <color indexed="18"/>
      <name val="Arial"/>
      <family val="2"/>
    </font>
    <font>
      <b/>
      <u val="singleAccounting"/>
      <sz val="10"/>
      <color indexed="18"/>
      <name val="Arial"/>
      <family val="2"/>
    </font>
    <font>
      <i/>
      <sz val="12"/>
      <name val="Times New Roman"/>
      <family val="1"/>
    </font>
    <font>
      <b/>
      <sz val="8"/>
      <name val="Times New Roman"/>
      <family val="1"/>
    </font>
    <font>
      <b/>
      <sz val="8"/>
      <color indexed="12"/>
      <name val="Times New Roman"/>
      <family val="1"/>
    </font>
    <font>
      <sz val="12"/>
      <name val="Tms Rmn"/>
    </font>
    <font>
      <sz val="8"/>
      <color indexed="8"/>
      <name val="Times New Roman"/>
      <family val="1"/>
    </font>
    <font>
      <b/>
      <u val="singleAccounting"/>
      <sz val="8"/>
      <name val="Arial"/>
      <family val="2"/>
    </font>
    <font>
      <sz val="10"/>
      <name val="Helv"/>
    </font>
    <font>
      <sz val="8"/>
      <name val="Palatino"/>
      <family val="1"/>
    </font>
    <font>
      <sz val="10"/>
      <color indexed="24"/>
      <name val="Arial"/>
      <family val="2"/>
    </font>
    <font>
      <sz val="14"/>
      <name val="Palatino"/>
      <family val="1"/>
    </font>
    <font>
      <sz val="16"/>
      <name val="Palatino"/>
      <family val="1"/>
    </font>
    <font>
      <sz val="32"/>
      <name val="Helvetica-Black"/>
      <family val="2"/>
    </font>
    <font>
      <b/>
      <sz val="9"/>
      <name val="Times New Roman"/>
      <family val="1"/>
    </font>
    <font>
      <sz val="6"/>
      <name val="Courier"/>
      <family val="3"/>
    </font>
    <font>
      <b/>
      <i/>
      <sz val="1"/>
      <color indexed="8"/>
      <name val="Courier"/>
      <family val="3"/>
    </font>
    <font>
      <i/>
      <sz val="1"/>
      <color indexed="8"/>
      <name val="Courier"/>
      <family val="3"/>
    </font>
    <font>
      <sz val="6"/>
      <color indexed="23"/>
      <name val="Helvetica-Black"/>
      <family val="2"/>
    </font>
    <font>
      <sz val="9.5"/>
      <color indexed="23"/>
      <name val="Helvetica-Black"/>
      <family val="2"/>
    </font>
    <font>
      <sz val="7"/>
      <name val="Palatino"/>
      <family val="1"/>
    </font>
    <font>
      <i/>
      <sz val="8"/>
      <color indexed="12"/>
      <name val="Times New Roman"/>
      <family val="1"/>
    </font>
    <font>
      <sz val="6"/>
      <color indexed="16"/>
      <name val="Palatino"/>
      <family val="1"/>
    </font>
    <font>
      <sz val="6"/>
      <name val="Palatino"/>
      <family val="1"/>
    </font>
    <font>
      <sz val="10"/>
      <name val="Helvetica-Black"/>
      <family val="2"/>
    </font>
    <font>
      <sz val="28"/>
      <name val="Helvetica-Black"/>
      <family val="2"/>
    </font>
    <font>
      <sz val="10"/>
      <name val="Palatino"/>
      <family val="1"/>
    </font>
    <font>
      <sz val="18"/>
      <name val="Palatino"/>
      <family val="1"/>
    </font>
    <font>
      <i/>
      <sz val="14"/>
      <name val="Palatino"/>
      <family val="1"/>
    </font>
    <font>
      <u/>
      <sz val="7.5"/>
      <color indexed="12"/>
      <name val="Arial"/>
      <family val="2"/>
    </font>
    <font>
      <sz val="10"/>
      <name val="Courier"/>
      <family val="3"/>
    </font>
    <font>
      <sz val="10"/>
      <color indexed="16"/>
      <name val="Helvetica-Black"/>
      <family val="2"/>
    </font>
    <font>
      <b/>
      <sz val="8"/>
      <color indexed="10"/>
      <name val="Times New Roman"/>
      <family val="1"/>
    </font>
    <font>
      <u/>
      <sz val="8"/>
      <name val="Arial"/>
      <family val="2"/>
    </font>
    <font>
      <b/>
      <sz val="8"/>
      <color indexed="8"/>
      <name val="Helv"/>
    </font>
    <font>
      <b/>
      <sz val="9"/>
      <name val="Palatino"/>
      <family val="1"/>
    </font>
    <font>
      <sz val="9"/>
      <color indexed="21"/>
      <name val="Helvetica-Black"/>
      <family val="2"/>
    </font>
    <font>
      <b/>
      <sz val="10"/>
      <name val="Palatino"/>
      <family val="1"/>
    </font>
    <font>
      <sz val="9"/>
      <name val="Helvetica-Black"/>
      <family val="2"/>
    </font>
    <font>
      <b/>
      <sz val="10"/>
      <name val="Times New Roman"/>
      <family val="1"/>
    </font>
    <font>
      <sz val="12"/>
      <name val="Palatino"/>
      <family val="1"/>
    </font>
    <font>
      <sz val="11"/>
      <name val="Helvetica-Black"/>
      <family val="2"/>
    </font>
    <font>
      <u val="double"/>
      <sz val="8"/>
      <color indexed="8"/>
      <name val="Arial"/>
      <family val="2"/>
    </font>
    <font>
      <b/>
      <sz val="9"/>
      <color indexed="10"/>
      <name val="Wingdings"/>
      <charset val="2"/>
    </font>
    <font>
      <sz val="10"/>
      <name val="바탕체"/>
      <family val="1"/>
      <charset val="129"/>
    </font>
    <font>
      <sz val="12"/>
      <name val="ＭＳ Ｐゴシック"/>
      <family val="3"/>
      <charset val="128"/>
    </font>
    <font>
      <b/>
      <sz val="11"/>
      <color theme="0"/>
      <name val="Calibri"/>
      <family val="2"/>
      <scheme val="minor"/>
    </font>
    <font>
      <sz val="10"/>
      <name val="Dutch801SWC"/>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theme="0"/>
      <name val="Calibri"/>
      <family val="2"/>
      <scheme val="minor"/>
    </font>
    <font>
      <b/>
      <sz val="18"/>
      <color theme="3"/>
      <name val="Cambria"/>
      <family val="2"/>
      <scheme val="major"/>
    </font>
    <font>
      <b/>
      <sz val="11"/>
      <color indexed="8"/>
      <name val="Calibri"/>
      <family val="2"/>
    </font>
    <font>
      <sz val="10"/>
      <name val="Arial"/>
      <family val="2"/>
    </font>
  </fonts>
  <fills count="8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2"/>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patternFill>
    </fill>
    <fill>
      <patternFill patternType="solid">
        <fgColor indexed="54"/>
      </patternFill>
    </fill>
    <fill>
      <patternFill patternType="solid">
        <fgColor indexed="9"/>
        <bgColor indexed="64"/>
      </patternFill>
    </fill>
    <fill>
      <patternFill patternType="solid">
        <fgColor indexed="22"/>
        <bgColor indexed="64"/>
      </patternFill>
    </fill>
    <fill>
      <patternFill patternType="solid">
        <fgColor indexed="10"/>
        <bgColor indexed="64"/>
      </patternFill>
    </fill>
    <fill>
      <patternFill patternType="solid">
        <fgColor theme="0"/>
        <bgColor indexed="64"/>
      </patternFill>
    </fill>
    <fill>
      <patternFill patternType="solid">
        <fgColor theme="1"/>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rgb="FFC8141E"/>
        <bgColor indexed="64"/>
      </patternFill>
    </fill>
    <fill>
      <patternFill patternType="solid">
        <fgColor theme="0" tint="-0.14999847407452621"/>
        <bgColor indexed="64"/>
      </patternFill>
    </fill>
    <fill>
      <patternFill patternType="solid">
        <fgColor rgb="FFFFFFCC"/>
      </patternFill>
    </fill>
    <fill>
      <patternFill patternType="solid">
        <fgColor indexed="8"/>
        <bgColor indexed="64"/>
      </patternFill>
    </fill>
    <fill>
      <patternFill patternType="solid">
        <fgColor indexed="22"/>
        <bgColor indexed="19"/>
      </patternFill>
    </fill>
    <fill>
      <patternFill patternType="solid">
        <fgColor indexed="16"/>
        <bgColor indexed="64"/>
      </patternFill>
    </fill>
    <fill>
      <patternFill patternType="solid">
        <fgColor indexed="44"/>
        <bgColor indexed="64"/>
      </patternFill>
    </fill>
    <fill>
      <patternFill patternType="gray0625"/>
    </fill>
    <fill>
      <patternFill patternType="solid">
        <fgColor indexed="26"/>
        <bgColor indexed="64"/>
      </patternFill>
    </fill>
    <fill>
      <patternFill patternType="solid">
        <fgColor indexed="43"/>
        <bgColor indexed="64"/>
      </patternFill>
    </fill>
    <fill>
      <patternFill patternType="solid">
        <fgColor indexed="18"/>
        <bgColor indexed="64"/>
      </patternFill>
    </fill>
    <fill>
      <patternFill patternType="solid">
        <fgColor indexed="47"/>
        <bgColor indexed="9"/>
      </patternFill>
    </fill>
    <fill>
      <patternFill patternType="solid">
        <fgColor indexed="23"/>
        <bgColor indexed="9"/>
      </patternFill>
    </fill>
    <fill>
      <patternFill patternType="solid">
        <fgColor indexed="9"/>
        <bgColor indexed="19"/>
      </patternFill>
    </fill>
    <fill>
      <patternFill patternType="solid">
        <fgColor indexed="34"/>
        <bgColor indexed="64"/>
      </patternFill>
    </fill>
    <fill>
      <patternFill patternType="solid">
        <fgColor indexed="23"/>
        <bgColor indexed="64"/>
      </patternFill>
    </fill>
    <fill>
      <patternFill patternType="solid">
        <fgColor indexed="63"/>
        <bgColor indexed="64"/>
      </patternFill>
    </fill>
    <fill>
      <patternFill patternType="solid">
        <fgColor indexed="9"/>
        <bgColor indexed="43"/>
      </patternFill>
    </fill>
    <fill>
      <patternFill patternType="solid">
        <fgColor rgb="FFFFC7CE"/>
      </patternFill>
    </fill>
    <fill>
      <patternFill patternType="solid">
        <fgColor rgb="FFFFEB9C"/>
      </patternFill>
    </fill>
    <fill>
      <patternFill patternType="gray125">
        <fgColor indexed="22"/>
      </patternFill>
    </fill>
    <fill>
      <patternFill patternType="solid">
        <fgColor indexed="13"/>
      </patternFill>
    </fill>
    <fill>
      <patternFill patternType="solid">
        <fgColor rgb="FFC6EFCE"/>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9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55"/>
      </left>
      <right style="thin">
        <color indexed="55"/>
      </right>
      <top style="thin">
        <color indexed="55"/>
      </top>
      <bottom style="thin">
        <color indexed="55"/>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medium">
        <color indexed="49"/>
      </bottom>
      <diagonal/>
    </border>
    <border>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22"/>
      </left>
      <right/>
      <top/>
      <bottom/>
      <diagonal/>
    </border>
    <border>
      <left/>
      <right/>
      <top style="thin">
        <color indexed="22"/>
      </top>
      <bottom/>
      <diagonal/>
    </border>
    <border>
      <left/>
      <right style="thin">
        <color indexed="22"/>
      </right>
      <top/>
      <bottom style="thin">
        <color indexed="22"/>
      </bottom>
      <diagonal/>
    </border>
    <border>
      <left style="thin">
        <color indexed="55"/>
      </left>
      <right style="thin">
        <color indexed="55"/>
      </right>
      <top style="thin">
        <color indexed="55"/>
      </top>
      <bottom style="thin">
        <color indexed="22"/>
      </bottom>
      <diagonal/>
    </border>
    <border>
      <left style="thin">
        <color indexed="55"/>
      </left>
      <right style="thin">
        <color indexed="55"/>
      </right>
      <top/>
      <bottom style="thin">
        <color indexed="22"/>
      </bottom>
      <diagonal/>
    </border>
    <border>
      <left style="thin">
        <color indexed="55"/>
      </left>
      <right style="thin">
        <color indexed="22"/>
      </right>
      <top/>
      <bottom style="thin">
        <color indexed="22"/>
      </bottom>
      <diagonal/>
    </border>
    <border>
      <left/>
      <right/>
      <top/>
      <bottom style="thin">
        <color indexed="22"/>
      </bottom>
      <diagonal/>
    </border>
    <border>
      <left/>
      <right style="thin">
        <color indexed="22"/>
      </right>
      <top/>
      <bottom/>
      <diagonal/>
    </border>
    <border>
      <left/>
      <right/>
      <top style="thin">
        <color indexed="22"/>
      </top>
      <bottom style="thin">
        <color indexed="22"/>
      </bottom>
      <diagonal/>
    </border>
    <border>
      <left style="thin">
        <color indexed="22"/>
      </left>
      <right/>
      <top style="thin">
        <color rgb="FFFF0000"/>
      </top>
      <bottom style="thin">
        <color rgb="FFFF0000"/>
      </bottom>
      <diagonal/>
    </border>
    <border>
      <left style="thin">
        <color rgb="FFFF0000"/>
      </left>
      <right style="thin">
        <color rgb="FFFF0000"/>
      </right>
      <top style="thin">
        <color rgb="FFFF0000"/>
      </top>
      <bottom style="thin">
        <color rgb="FFFF0000"/>
      </bottom>
      <diagonal/>
    </border>
    <border>
      <left style="thin">
        <color rgb="FFFF0000"/>
      </left>
      <right/>
      <top style="thin">
        <color rgb="FFFF0000"/>
      </top>
      <bottom style="thin">
        <color rgb="FFFF0000"/>
      </bottom>
      <diagonal/>
    </border>
    <border>
      <left style="thin">
        <color theme="0"/>
      </left>
      <right style="thin">
        <color theme="0"/>
      </right>
      <top style="thin">
        <color theme="0"/>
      </top>
      <bottom style="thin">
        <color theme="0"/>
      </bottom>
      <diagonal/>
    </border>
    <border>
      <left/>
      <right style="thin">
        <color indexed="64"/>
      </right>
      <top style="thin">
        <color indexed="22"/>
      </top>
      <bottom style="thin">
        <color indexed="22"/>
      </bottom>
      <diagonal/>
    </border>
    <border>
      <left style="thin">
        <color rgb="FFC00000"/>
      </left>
      <right/>
      <top style="thin">
        <color rgb="FFC00000"/>
      </top>
      <bottom/>
      <diagonal/>
    </border>
    <border>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top/>
      <bottom style="thin">
        <color rgb="FFC00000"/>
      </bottom>
      <diagonal/>
    </border>
    <border>
      <left/>
      <right style="thin">
        <color rgb="FFC00000"/>
      </right>
      <top/>
      <bottom style="thin">
        <color rgb="FFC00000"/>
      </bottom>
      <diagonal/>
    </border>
    <border>
      <left/>
      <right/>
      <top/>
      <bottom style="thin">
        <color indexed="64"/>
      </bottom>
      <diagonal/>
    </border>
    <border>
      <left/>
      <right/>
      <top/>
      <bottom style="thick">
        <color auto="1"/>
      </bottom>
      <diagonal/>
    </border>
    <border>
      <left/>
      <right/>
      <top style="thin">
        <color auto="1"/>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
      <left style="double">
        <color indexed="64"/>
      </left>
      <right/>
      <top/>
      <bottom style="hair">
        <color indexed="64"/>
      </bottom>
      <diagonal/>
    </border>
    <border>
      <left style="hair">
        <color indexed="64"/>
      </left>
      <right style="hair">
        <color indexed="64"/>
      </right>
      <top style="hair">
        <color indexed="64"/>
      </top>
      <bottom style="hair">
        <color indexed="64"/>
      </bottom>
      <diagonal/>
    </border>
    <border>
      <left/>
      <right/>
      <top/>
      <bottom style="medium">
        <color indexed="64"/>
      </bottom>
      <diagonal/>
    </border>
    <border>
      <left/>
      <right/>
      <top/>
      <bottom style="medium">
        <color indexed="2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4"/>
      </left>
      <right style="double">
        <color indexed="64"/>
      </right>
      <top style="double">
        <color indexed="64"/>
      </top>
      <bottom style="double">
        <color indexed="64"/>
      </bottom>
      <diagonal/>
    </border>
    <border>
      <left/>
      <right/>
      <top/>
      <bottom style="dotted">
        <color indexed="64"/>
      </bottom>
      <diagonal/>
    </border>
    <border>
      <left/>
      <right/>
      <top style="medium">
        <color indexed="63"/>
      </top>
      <bottom style="medium">
        <color indexed="63"/>
      </bottom>
      <diagonal/>
    </border>
    <border>
      <left/>
      <right/>
      <top style="double">
        <color indexed="62"/>
      </top>
      <bottom/>
      <diagonal/>
    </border>
    <border>
      <left/>
      <right/>
      <top style="dotted">
        <color indexed="63"/>
      </top>
      <bottom/>
      <diagonal/>
    </border>
    <border>
      <left/>
      <right/>
      <top style="thin">
        <color indexed="63"/>
      </top>
      <bottom/>
      <diagonal/>
    </border>
    <border>
      <left style="thin">
        <color indexed="64"/>
      </left>
      <right/>
      <top/>
      <bottom/>
      <diagonal/>
    </border>
    <border>
      <left style="double">
        <color indexed="64"/>
      </left>
      <right style="thin">
        <color indexed="64"/>
      </right>
      <top/>
      <bottom/>
      <diagonal/>
    </border>
    <border>
      <left style="thick">
        <color indexed="64"/>
      </left>
      <right/>
      <top/>
      <bottom style="thick">
        <color indexed="64"/>
      </bottom>
      <diagonal/>
    </border>
    <border>
      <left/>
      <right/>
      <top/>
      <bottom style="thick">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bottom style="thin">
        <color auto="1"/>
      </bottom>
      <diagonal/>
    </border>
    <border>
      <left style="thin">
        <color indexed="22"/>
      </left>
      <right style="thin">
        <color indexed="22"/>
      </right>
      <top/>
      <bottom style="thin">
        <color indexed="22"/>
      </bottom>
      <diagonal/>
    </border>
    <border>
      <left/>
      <right/>
      <top/>
      <bottom style="thin">
        <color indexed="64"/>
      </bottom>
      <diagonal/>
    </border>
    <border>
      <left/>
      <right/>
      <top style="thin">
        <color theme="4"/>
      </top>
      <bottom style="double">
        <color theme="4"/>
      </bottom>
      <diagonal/>
    </border>
    <border>
      <left/>
      <right/>
      <top style="hair">
        <color indexed="8"/>
      </top>
      <bottom style="hair">
        <color indexed="8"/>
      </bottom>
      <diagonal/>
    </border>
    <border>
      <left/>
      <right/>
      <top/>
      <bottom style="medium">
        <color indexed="18"/>
      </bottom>
      <diagonal/>
    </border>
    <border>
      <left/>
      <right style="hair">
        <color indexed="64"/>
      </right>
      <top/>
      <bottom/>
      <diagonal/>
    </border>
    <border>
      <left/>
      <right/>
      <top style="thin">
        <color indexed="64"/>
      </top>
      <bottom/>
      <diagonal/>
    </border>
    <border>
      <left/>
      <right/>
      <top/>
      <bottom style="thick">
        <color indexed="62"/>
      </bottom>
      <diagonal/>
    </border>
    <border>
      <left/>
      <right/>
      <top/>
      <bottom style="thick">
        <color indexed="22"/>
      </bottom>
      <diagonal/>
    </border>
    <border>
      <left/>
      <right/>
      <top style="medium">
        <color indexed="23"/>
      </top>
      <bottom style="medium">
        <color indexed="23"/>
      </bottom>
      <diagonal/>
    </border>
    <border>
      <left style="thin">
        <color indexed="22"/>
      </left>
      <right style="thin">
        <color indexed="61"/>
      </right>
      <top style="thin">
        <color indexed="22"/>
      </top>
      <bottom style="thin">
        <color indexed="6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3"/>
      </top>
      <bottom/>
      <diagonal/>
    </border>
    <border>
      <left/>
      <right style="thin">
        <color indexed="22"/>
      </right>
      <top/>
      <bottom style="thin">
        <color indexed="22"/>
      </bottom>
      <diagonal/>
    </border>
    <border>
      <left style="thin">
        <color indexed="22"/>
      </left>
      <right style="thin">
        <color indexed="22"/>
      </right>
      <top style="thin">
        <color indexed="22"/>
      </top>
      <bottom/>
      <diagonal/>
    </border>
    <border>
      <left/>
      <right/>
      <top/>
      <bottom style="thick">
        <color indexed="49"/>
      </bottom>
      <diagonal/>
    </border>
    <border>
      <left/>
      <right/>
      <top/>
      <bottom style="thick">
        <color auto="1"/>
      </bottom>
      <diagonal/>
    </border>
  </borders>
  <cellStyleXfs count="13852">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9" fillId="8" borderId="0" applyNumberFormat="0" applyBorder="0" applyAlignment="0" applyProtection="0"/>
    <xf numFmtId="0" fontId="9" fillId="7" borderId="0" applyNumberFormat="0" applyBorder="0" applyAlignment="0" applyProtection="0"/>
    <xf numFmtId="0" fontId="9" fillId="9" borderId="0" applyNumberFormat="0" applyBorder="0" applyAlignment="0" applyProtection="0"/>
    <xf numFmtId="0" fontId="9" fillId="8"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5"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4"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12" fillId="15"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1"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0" fontId="12" fillId="17" borderId="0" applyNumberFormat="0" applyBorder="0" applyAlignment="0" applyProtection="0"/>
    <xf numFmtId="0" fontId="12" fillId="7"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3" borderId="0" applyNumberFormat="0" applyBorder="0" applyAlignment="0" applyProtection="0"/>
    <xf numFmtId="0" fontId="18" fillId="4" borderId="0" applyNumberFormat="0" applyBorder="0" applyAlignment="0" applyProtection="0"/>
    <xf numFmtId="0" fontId="14" fillId="8" borderId="1" applyNumberFormat="0" applyAlignment="0" applyProtection="0"/>
    <xf numFmtId="0" fontId="14" fillId="24" borderId="1" applyNumberFormat="0" applyAlignment="0" applyProtection="0"/>
    <xf numFmtId="0" fontId="15" fillId="19" borderId="2" applyNumberFormat="0" applyAlignment="0" applyProtection="0"/>
    <xf numFmtId="0" fontId="23" fillId="0" borderId="3" applyNumberFormat="0" applyFill="0" applyAlignment="0" applyProtection="0"/>
    <xf numFmtId="0" fontId="15" fillId="19" borderId="2" applyNumberFormat="0" applyAlignment="0" applyProtection="0"/>
    <xf numFmtId="0" fontId="12" fillId="17"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25" borderId="0" applyNumberFormat="0" applyBorder="0" applyAlignment="0" applyProtection="0"/>
    <xf numFmtId="0" fontId="12" fillId="17" borderId="0" applyNumberFormat="0" applyBorder="0" applyAlignment="0" applyProtection="0"/>
    <xf numFmtId="0" fontId="12" fillId="23" borderId="0" applyNumberFormat="0" applyBorder="0" applyAlignment="0" applyProtection="0"/>
    <xf numFmtId="0" fontId="22" fillId="7" borderId="1" applyNumberFormat="0" applyAlignment="0" applyProtection="0"/>
    <xf numFmtId="175" fontId="16" fillId="0" borderId="0" applyFont="0" applyFill="0" applyBorder="0" applyAlignment="0" applyProtection="0"/>
    <xf numFmtId="0" fontId="17" fillId="0" borderId="0" applyNumberFormat="0" applyFill="0" applyBorder="0" applyAlignment="0" applyProtection="0"/>
    <xf numFmtId="0" fontId="18" fillId="4" borderId="0" applyNumberFormat="0" applyBorder="0" applyAlignment="0" applyProtection="0"/>
    <xf numFmtId="0" fontId="19" fillId="0" borderId="4" applyNumberFormat="0" applyFill="0" applyAlignment="0" applyProtection="0"/>
    <xf numFmtId="0" fontId="20" fillId="0" borderId="5"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29" fillId="0" borderId="0" applyNumberFormat="0" applyFill="0" applyBorder="0" applyAlignment="0" applyProtection="0">
      <alignment vertical="top"/>
      <protection locked="0"/>
    </xf>
    <xf numFmtId="0" fontId="13" fillId="3" borderId="0" applyNumberFormat="0" applyBorder="0" applyAlignment="0" applyProtection="0"/>
    <xf numFmtId="0" fontId="22" fillId="7" borderId="1" applyNumberFormat="0" applyAlignment="0" applyProtection="0"/>
    <xf numFmtId="0" fontId="23" fillId="0" borderId="3" applyNumberFormat="0" applyFill="0" applyAlignment="0" applyProtection="0"/>
    <xf numFmtId="0" fontId="24" fillId="14" borderId="0" applyNumberFormat="0" applyBorder="0" applyAlignment="0" applyProtection="0"/>
    <xf numFmtId="0" fontId="24" fillId="14" borderId="0" applyNumberFormat="0" applyBorder="0" applyAlignment="0" applyProtection="0"/>
    <xf numFmtId="0" fontId="30" fillId="0" borderId="0"/>
    <xf numFmtId="0" fontId="10" fillId="0" borderId="0"/>
    <xf numFmtId="0" fontId="10" fillId="0" borderId="0"/>
    <xf numFmtId="0" fontId="10" fillId="9" borderId="7" applyNumberFormat="0" applyFont="0" applyAlignment="0" applyProtection="0"/>
    <xf numFmtId="0" fontId="10" fillId="9" borderId="8" applyNumberFormat="0" applyFont="0" applyAlignment="0" applyProtection="0"/>
    <xf numFmtId="0" fontId="25" fillId="8" borderId="9" applyNumberFormat="0" applyAlignment="0" applyProtection="0"/>
    <xf numFmtId="9" fontId="10" fillId="0" borderId="0" applyFont="0" applyFill="0" applyBorder="0" applyAlignment="0" applyProtection="0"/>
    <xf numFmtId="9" fontId="10" fillId="0" borderId="0" applyFont="0" applyFill="0" applyBorder="0" applyAlignment="0" applyProtection="0"/>
    <xf numFmtId="0" fontId="25" fillId="24" borderId="9" applyNumberFormat="0" applyAlignment="0" applyProtection="0"/>
    <xf numFmtId="168" fontId="10" fillId="0" borderId="0" applyFont="0" applyFill="0" applyBorder="0" applyAlignment="0" applyProtection="0"/>
    <xf numFmtId="168" fontId="10" fillId="0" borderId="0" applyFont="0" applyFill="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26" fillId="0" borderId="0" applyNumberFormat="0" applyFill="0" applyBorder="0" applyAlignment="0" applyProtection="0"/>
    <xf numFmtId="0" fontId="31" fillId="0" borderId="0" applyNumberFormat="0" applyFill="0" applyBorder="0" applyAlignment="0" applyProtection="0"/>
    <xf numFmtId="0" fontId="32" fillId="0" borderId="10" applyNumberFormat="0" applyFill="0" applyAlignment="0" applyProtection="0"/>
    <xf numFmtId="0" fontId="33" fillId="0" borderId="5" applyNumberFormat="0" applyFill="0" applyAlignment="0" applyProtection="0"/>
    <xf numFmtId="0" fontId="34" fillId="0" borderId="11" applyNumberFormat="0" applyFill="0" applyAlignment="0" applyProtection="0"/>
    <xf numFmtId="0" fontId="34" fillId="0" borderId="0" applyNumberFormat="0" applyFill="0" applyBorder="0" applyAlignment="0" applyProtection="0"/>
    <xf numFmtId="0" fontId="27" fillId="0" borderId="0" applyNumberForma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0" fontId="8" fillId="0" borderId="0"/>
    <xf numFmtId="0" fontId="10" fillId="0" borderId="0"/>
    <xf numFmtId="168" fontId="10"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10" fillId="0" borderId="0" applyFont="0" applyFill="0" applyBorder="0" applyAlignment="0" applyProtection="0"/>
    <xf numFmtId="0" fontId="86" fillId="0" borderId="0"/>
    <xf numFmtId="168" fontId="87" fillId="0" borderId="0" applyFont="0" applyFill="0" applyBorder="0" applyAlignment="0" applyProtection="0"/>
    <xf numFmtId="9" fontId="87"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0" borderId="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0" fontId="10" fillId="0" borderId="0"/>
    <xf numFmtId="0" fontId="7" fillId="0" borderId="0"/>
    <xf numFmtId="168" fontId="7" fillId="0" borderId="0" applyFont="0" applyFill="0" applyBorder="0" applyAlignment="0" applyProtection="0"/>
    <xf numFmtId="0" fontId="92" fillId="0" borderId="0"/>
    <xf numFmtId="0" fontId="10" fillId="0" borderId="0"/>
    <xf numFmtId="0" fontId="10" fillId="0" borderId="0"/>
    <xf numFmtId="197" fontId="10" fillId="0" borderId="0" applyFont="0" applyFill="0" applyBorder="0" applyAlignment="0" applyProtection="0"/>
    <xf numFmtId="0" fontId="92" fillId="0" borderId="0"/>
    <xf numFmtId="0" fontId="6" fillId="0" borderId="0"/>
    <xf numFmtId="197"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68" fontId="10" fillId="0" borderId="0" applyFont="0" applyFill="0" applyBorder="0" applyAlignment="0" applyProtection="0"/>
    <xf numFmtId="168" fontId="6" fillId="0" borderId="0" applyFont="0" applyFill="0" applyBorder="0" applyAlignment="0" applyProtection="0"/>
    <xf numFmtId="0" fontId="6" fillId="0" borderId="0"/>
    <xf numFmtId="0" fontId="10" fillId="0" borderId="0"/>
    <xf numFmtId="197" fontId="10" fillId="0" borderId="0"/>
    <xf numFmtId="197" fontId="10" fillId="0" borderId="0"/>
    <xf numFmtId="0" fontId="6" fillId="0" borderId="0"/>
    <xf numFmtId="9" fontId="6" fillId="0" borderId="0" applyFont="0" applyFill="0" applyBorder="0" applyAlignment="0" applyProtection="0"/>
    <xf numFmtId="0" fontId="6" fillId="0" borderId="0"/>
    <xf numFmtId="168" fontId="10" fillId="0" borderId="0" applyFont="0" applyFill="0" applyBorder="0" applyAlignment="0" applyProtection="0"/>
    <xf numFmtId="0" fontId="10" fillId="0" borderId="0"/>
    <xf numFmtId="0" fontId="10" fillId="0" borderId="0"/>
    <xf numFmtId="0" fontId="6" fillId="0" borderId="0"/>
    <xf numFmtId="0" fontId="6" fillId="0" borderId="0"/>
    <xf numFmtId="0" fontId="6" fillId="0" borderId="0"/>
    <xf numFmtId="0" fontId="6" fillId="0" borderId="0"/>
    <xf numFmtId="0" fontId="6" fillId="0" borderId="0"/>
    <xf numFmtId="0" fontId="10" fillId="0" borderId="0"/>
    <xf numFmtId="197" fontId="92" fillId="0" borderId="0"/>
    <xf numFmtId="197" fontId="92" fillId="0" borderId="0"/>
    <xf numFmtId="197" fontId="92" fillId="0" borderId="0"/>
    <xf numFmtId="197" fontId="92" fillId="0" borderId="0"/>
    <xf numFmtId="197" fontId="92" fillId="0" borderId="0"/>
    <xf numFmtId="197" fontId="92" fillId="0" borderId="0"/>
    <xf numFmtId="197" fontId="92" fillId="0" borderId="0"/>
    <xf numFmtId="0" fontId="92" fillId="0" borderId="0"/>
    <xf numFmtId="197" fontId="92" fillId="0" borderId="0"/>
    <xf numFmtId="0" fontId="92" fillId="0" borderId="0"/>
    <xf numFmtId="197" fontId="92" fillId="0" borderId="0"/>
    <xf numFmtId="197" fontId="92" fillId="0" borderId="0"/>
    <xf numFmtId="197" fontId="92" fillId="0" borderId="0"/>
    <xf numFmtId="0" fontId="92" fillId="0" borderId="0"/>
    <xf numFmtId="197" fontId="92" fillId="0" borderId="0"/>
    <xf numFmtId="197" fontId="92" fillId="0" borderId="0"/>
    <xf numFmtId="0" fontId="5" fillId="0" borderId="0"/>
    <xf numFmtId="0" fontId="10" fillId="0" borderId="0"/>
    <xf numFmtId="0" fontId="97"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202" fontId="98" fillId="0" borderId="0" applyFont="0" applyFill="0" applyBorder="0" applyAlignment="0" applyProtection="0"/>
    <xf numFmtId="203" fontId="98" fillId="0" borderId="0" applyFont="0" applyFill="0" applyBorder="0" applyAlignment="0" applyProtection="0"/>
    <xf numFmtId="3" fontId="99" fillId="37" borderId="0">
      <alignment horizontal="left"/>
    </xf>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3" fontId="100" fillId="27" borderId="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12" fillId="15"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95" fillId="38" borderId="41">
      <alignment horizontal="center"/>
    </xf>
    <xf numFmtId="0" fontId="101" fillId="27" borderId="0"/>
    <xf numFmtId="0" fontId="102" fillId="27" borderId="0">
      <alignment horizontal="center"/>
    </xf>
    <xf numFmtId="0" fontId="103" fillId="27" borderId="0">
      <alignment horizontal="left"/>
    </xf>
    <xf numFmtId="37" fontId="10"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5"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 fillId="0" borderId="0"/>
    <xf numFmtId="37" fontId="10"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 fillId="0" borderId="0"/>
    <xf numFmtId="37" fontId="10" fillId="0" borderId="0"/>
    <xf numFmtId="37" fontId="104" fillId="0" borderId="0"/>
    <xf numFmtId="37" fontId="104" fillId="0" borderId="0"/>
    <xf numFmtId="37" fontId="10" fillId="0" borderId="0"/>
    <xf numFmtId="37" fontId="10" fillId="0" borderId="0"/>
    <xf numFmtId="37" fontId="10" fillId="0" borderId="0"/>
    <xf numFmtId="37" fontId="10" fillId="0" borderId="0"/>
    <xf numFmtId="37" fontId="104" fillId="0" borderId="0"/>
    <xf numFmtId="37" fontId="104" fillId="0" borderId="0"/>
    <xf numFmtId="37" fontId="104" fillId="0" borderId="0"/>
    <xf numFmtId="37" fontId="104" fillId="0" borderId="0"/>
    <xf numFmtId="37" fontId="10" fillId="0" borderId="0"/>
    <xf numFmtId="204" fontId="106" fillId="39" borderId="42">
      <alignment horizontal="center" vertical="center"/>
    </xf>
    <xf numFmtId="0" fontId="10" fillId="0" borderId="0"/>
    <xf numFmtId="0" fontId="10" fillId="0" borderId="0"/>
    <xf numFmtId="0" fontId="107"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3" fontId="108" fillId="39" borderId="41" applyNumberFormat="0">
      <alignment horizont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0" fontId="104" fillId="0" borderId="43">
      <alignment horizontal="center" vertical="center"/>
    </xf>
    <xf numFmtId="37" fontId="10"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 fillId="0" borderId="0" applyNumberFormat="0" applyFill="0" applyBorder="0" applyAlignment="0" applyProtection="0"/>
    <xf numFmtId="37" fontId="10"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 fillId="0" borderId="0" applyNumberFormat="0" applyFill="0" applyBorder="0" applyAlignment="0" applyProtection="0"/>
    <xf numFmtId="37" fontId="10"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 fillId="0" borderId="0" applyNumberFormat="0" applyFill="0" applyBorder="0" applyAlignment="0" applyProtection="0"/>
    <xf numFmtId="37" fontId="10" fillId="0" borderId="0" applyNumberFormat="0" applyFill="0" applyBorder="0" applyAlignment="0" applyProtection="0"/>
    <xf numFmtId="37" fontId="104" fillId="0" borderId="0" applyNumberFormat="0" applyFill="0" applyBorder="0" applyAlignment="0" applyProtection="0"/>
    <xf numFmtId="37" fontId="10"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9"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205" fontId="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0" fillId="0" borderId="0" applyFont="0" applyFill="0" applyBorder="0" applyAlignment="0" applyProtection="0"/>
    <xf numFmtId="205" fontId="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0" fillId="0" borderId="0" applyFont="0" applyFill="0" applyBorder="0" applyAlignment="0" applyProtection="0"/>
    <xf numFmtId="205" fontId="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0" fillId="0" borderId="0" applyFont="0" applyFill="0" applyBorder="0" applyAlignment="0" applyProtection="0"/>
    <xf numFmtId="205" fontId="10" fillId="0" borderId="0" applyFont="0" applyFill="0" applyBorder="0" applyAlignment="0" applyProtection="0"/>
    <xf numFmtId="205" fontId="110" fillId="0" borderId="0" applyFont="0" applyFill="0" applyBorder="0" applyAlignment="0" applyProtection="0"/>
    <xf numFmtId="205" fontId="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205" fontId="110" fillId="0" borderId="0" applyFont="0" applyFill="0" applyBorder="0" applyAlignment="0" applyProtection="0"/>
    <xf numFmtId="0" fontId="111" fillId="0" borderId="36" applyNumberFormat="0" applyFill="0" applyAlignment="0" applyProtection="0"/>
    <xf numFmtId="0" fontId="111" fillId="0" borderId="36" applyNumberFormat="0" applyFill="0" applyAlignment="0" applyProtection="0"/>
    <xf numFmtId="3" fontId="112"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3" fontId="110" fillId="40" borderId="0" applyNumberFormat="0" applyFont="0" applyBorder="0" applyAlignment="0" applyProtection="0">
      <alignment vertical="center"/>
    </xf>
    <xf numFmtId="0" fontId="113" fillId="0" borderId="44" applyNumberFormat="0" applyFont="0" applyFill="0" applyAlignment="0" applyProtection="0"/>
    <xf numFmtId="0" fontId="113" fillId="0" borderId="44" applyNumberFormat="0" applyFont="0" applyFill="0" applyAlignment="0" applyProtection="0"/>
    <xf numFmtId="49" fontId="114" fillId="0" borderId="0" applyFont="0" applyFill="0" applyBorder="0" applyAlignment="0" applyProtection="0">
      <alignment horizontal="left"/>
    </xf>
    <xf numFmtId="206" fontId="115" fillId="0" borderId="0" applyAlignment="0" applyProtection="0"/>
    <xf numFmtId="174" fontId="28" fillId="0" borderId="0" applyFill="0" applyBorder="0" applyAlignment="0" applyProtection="0"/>
    <xf numFmtId="49" fontId="28" fillId="0" borderId="0" applyNumberFormat="0" applyAlignment="0" applyProtection="0">
      <alignment horizontal="left"/>
    </xf>
    <xf numFmtId="49" fontId="116" fillId="0" borderId="45" applyNumberFormat="0" applyAlignment="0" applyProtection="0">
      <alignment horizontal="left" wrapText="1"/>
    </xf>
    <xf numFmtId="49" fontId="116" fillId="0" borderId="45" applyNumberFormat="0" applyAlignment="0" applyProtection="0">
      <alignment horizontal="left" wrapText="1"/>
    </xf>
    <xf numFmtId="49" fontId="116" fillId="0" borderId="45" applyNumberFormat="0" applyAlignment="0" applyProtection="0">
      <alignment horizontal="left" wrapText="1"/>
    </xf>
    <xf numFmtId="49" fontId="116" fillId="0" borderId="45" applyNumberFormat="0" applyAlignment="0" applyProtection="0">
      <alignment horizontal="left" wrapText="1"/>
    </xf>
    <xf numFmtId="49" fontId="116" fillId="0" borderId="45" applyNumberFormat="0" applyAlignment="0" applyProtection="0">
      <alignment horizontal="left" wrapText="1"/>
    </xf>
    <xf numFmtId="49" fontId="116" fillId="0" borderId="0" applyNumberFormat="0" applyAlignment="0" applyProtection="0">
      <alignment horizontal="left" wrapText="1"/>
    </xf>
    <xf numFmtId="49" fontId="117" fillId="0" borderId="0" applyAlignment="0" applyProtection="0">
      <alignment horizontal="left"/>
    </xf>
    <xf numFmtId="0" fontId="18" fillId="4" borderId="0" applyNumberFormat="0" applyBorder="0" applyAlignment="0" applyProtection="0"/>
    <xf numFmtId="207" fontId="98" fillId="0" borderId="0" applyFont="0" applyFill="0" applyBorder="0" applyAlignment="0" applyProtection="0"/>
    <xf numFmtId="39" fontId="118" fillId="0" borderId="0"/>
    <xf numFmtId="208" fontId="10" fillId="0" borderId="0" applyFill="0" applyBorder="0" applyAlignment="0"/>
    <xf numFmtId="0" fontId="14" fillId="8" borderId="1" applyNumberFormat="0" applyAlignment="0" applyProtection="0"/>
    <xf numFmtId="0" fontId="14" fillId="8" borderId="1" applyNumberFormat="0" applyAlignment="0" applyProtection="0"/>
    <xf numFmtId="0" fontId="14" fillId="8" borderId="1" applyNumberFormat="0" applyAlignment="0" applyProtection="0"/>
    <xf numFmtId="0" fontId="14" fillId="8" borderId="1" applyNumberFormat="0" applyAlignment="0" applyProtection="0"/>
    <xf numFmtId="0" fontId="14" fillId="8" borderId="1" applyNumberFormat="0" applyAlignment="0" applyProtection="0"/>
    <xf numFmtId="0" fontId="14" fillId="8" borderId="1" applyNumberFormat="0" applyAlignment="0" applyProtection="0"/>
    <xf numFmtId="0" fontId="14" fillId="8" borderId="1" applyNumberFormat="0" applyAlignment="0" applyProtection="0"/>
    <xf numFmtId="0" fontId="14" fillId="8" borderId="1" applyNumberFormat="0" applyAlignment="0" applyProtection="0"/>
    <xf numFmtId="0" fontId="14" fillId="8" borderId="1" applyNumberFormat="0" applyAlignment="0" applyProtection="0"/>
    <xf numFmtId="0" fontId="14" fillId="8" borderId="1" applyNumberFormat="0" applyAlignment="0" applyProtection="0"/>
    <xf numFmtId="0" fontId="15" fillId="19" borderId="2" applyNumberFormat="0" applyAlignment="0" applyProtection="0"/>
    <xf numFmtId="0" fontId="23" fillId="0" borderId="3" applyNumberFormat="0" applyFill="0" applyAlignment="0" applyProtection="0"/>
    <xf numFmtId="38" fontId="12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2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2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2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38" fontId="110"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5" fillId="0" borderId="0" applyFont="0" applyFill="0" applyBorder="0" applyAlignment="0" applyProtection="0"/>
    <xf numFmtId="168" fontId="9" fillId="0" borderId="0" applyFont="0" applyFill="0" applyBorder="0" applyAlignment="0" applyProtection="0"/>
    <xf numFmtId="168" fontId="11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5" fillId="0" borderId="0" applyFont="0" applyFill="0" applyBorder="0" applyAlignment="0" applyProtection="0"/>
    <xf numFmtId="168" fontId="10" fillId="0" borderId="0" applyFont="0" applyFill="0" applyBorder="0" applyAlignment="0" applyProtection="0"/>
    <xf numFmtId="3" fontId="121"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21"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21"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21"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3" fontId="110" fillId="0" borderId="0" applyFont="0" applyFill="0" applyBorder="0" applyAlignment="0" applyProtection="0"/>
    <xf numFmtId="0" fontId="122" fillId="0" borderId="0" applyNumberFormat="0" applyAlignment="0">
      <alignment horizontal="left"/>
    </xf>
    <xf numFmtId="0" fontId="123"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2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46"/>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23" fillId="0" borderId="0"/>
    <xf numFmtId="209" fontId="10" fillId="0" borderId="0" applyFill="0" applyBorder="0" applyAlignment="0" applyProtection="0"/>
    <xf numFmtId="210" fontId="12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2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2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2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0" fontId="110" fillId="0" borderId="0" applyFont="0" applyFill="0" applyBorder="0" applyAlignment="0" applyProtection="0"/>
    <xf numFmtId="211" fontId="28" fillId="0" borderId="0" applyFont="0" applyFill="0" applyBorder="0" applyAlignment="0"/>
    <xf numFmtId="165" fontId="10" fillId="0" borderId="0" applyFont="0" applyFill="0" applyBorder="0" applyAlignment="0"/>
    <xf numFmtId="212" fontId="10" fillId="0" borderId="0" applyFont="0" applyFill="0" applyBorder="0" applyAlignment="0" applyProtection="0"/>
    <xf numFmtId="213" fontId="10" fillId="0" borderId="0" applyFill="0" applyBorder="0" applyAlignment="0" applyProtection="0"/>
    <xf numFmtId="214" fontId="10" fillId="0" borderId="0" applyFont="0" applyFill="0" applyBorder="0" applyAlignment="0" applyProtection="0"/>
    <xf numFmtId="215" fontId="98" fillId="0" borderId="0" applyFont="0" applyFill="0" applyBorder="0" applyAlignment="0" applyProtection="0"/>
    <xf numFmtId="15" fontId="125"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15" fontId="110" fillId="0" borderId="0" applyFont="0" applyFill="0" applyBorder="0" applyAlignment="0" applyProtection="0"/>
    <xf numFmtId="0" fontId="10" fillId="0" borderId="0" applyFont="0" applyFill="0" applyBorder="0" applyAlignment="0" applyProtection="0"/>
    <xf numFmtId="15" fontId="96" fillId="0" borderId="0" applyFill="0" applyBorder="0" applyAlignment="0"/>
    <xf numFmtId="216" fontId="96" fillId="41" borderId="0" applyFont="0" applyFill="0" applyBorder="0" applyAlignment="0" applyProtection="0"/>
    <xf numFmtId="217" fontId="126" fillId="41" borderId="47" applyFont="0" applyFill="0" applyBorder="0" applyAlignment="0" applyProtection="0"/>
    <xf numFmtId="216" fontId="28" fillId="41" borderId="0" applyFont="0" applyFill="0" applyBorder="0" applyAlignment="0" applyProtection="0"/>
    <xf numFmtId="17" fontId="96" fillId="0" borderId="0" applyFill="0" applyBorder="0">
      <alignment horizontal="right"/>
    </xf>
    <xf numFmtId="218" fontId="96" fillId="0" borderId="36"/>
    <xf numFmtId="218" fontId="96" fillId="0" borderId="36"/>
    <xf numFmtId="219" fontId="10" fillId="0" borderId="0" applyFill="0" applyBorder="0" applyAlignment="0" applyProtection="0"/>
    <xf numFmtId="219" fontId="10" fillId="0" borderId="0" applyFill="0" applyBorder="0" applyAlignment="0" applyProtection="0"/>
    <xf numFmtId="219" fontId="10" fillId="0" borderId="0" applyFill="0" applyBorder="0" applyAlignment="0" applyProtection="0"/>
    <xf numFmtId="219" fontId="10" fillId="0" borderId="0" applyFill="0" applyBorder="0" applyAlignment="0" applyProtection="0"/>
    <xf numFmtId="219" fontId="10" fillId="0" borderId="0" applyFill="0" applyBorder="0" applyAlignment="0" applyProtection="0"/>
    <xf numFmtId="219" fontId="10" fillId="0" borderId="0" applyFill="0" applyBorder="0" applyAlignment="0" applyProtection="0"/>
    <xf numFmtId="219" fontId="10" fillId="0" borderId="0" applyFill="0" applyBorder="0" applyAlignment="0" applyProtection="0"/>
    <xf numFmtId="219" fontId="10" fillId="0" borderId="0" applyFill="0" applyBorder="0" applyAlignment="0" applyProtection="0"/>
    <xf numFmtId="219" fontId="10" fillId="0" borderId="0" applyFill="0" applyBorder="0" applyAlignment="0" applyProtection="0"/>
    <xf numFmtId="219" fontId="10" fillId="0" borderId="0" applyFill="0" applyBorder="0" applyAlignment="0" applyProtection="0"/>
    <xf numFmtId="219" fontId="10" fillId="0" borderId="0" applyFill="0" applyBorder="0" applyAlignment="0" applyProtection="0"/>
    <xf numFmtId="219" fontId="10" fillId="0" borderId="0" applyFill="0" applyBorder="0" applyAlignment="0" applyProtection="0"/>
    <xf numFmtId="219" fontId="10" fillId="0" borderId="0" applyFill="0" applyBorder="0" applyAlignment="0" applyProtection="0"/>
    <xf numFmtId="219" fontId="10" fillId="0" borderId="0" applyFill="0" applyBorder="0" applyAlignment="0" applyProtection="0"/>
    <xf numFmtId="219" fontId="10" fillId="0" borderId="0" applyFill="0" applyBorder="0" applyAlignment="0" applyProtection="0"/>
    <xf numFmtId="219" fontId="10" fillId="0" borderId="0" applyFill="0" applyBorder="0" applyAlignment="0" applyProtection="0"/>
    <xf numFmtId="14" fontId="96" fillId="42" borderId="48" applyFill="0" applyBorder="0">
      <alignment horizontal="right"/>
    </xf>
    <xf numFmtId="220" fontId="96" fillId="0" borderId="0" applyFill="0" applyBorder="0">
      <alignment horizontal="right"/>
    </xf>
    <xf numFmtId="221" fontId="28" fillId="0" borderId="49">
      <alignment horizontal="center"/>
    </xf>
    <xf numFmtId="222" fontId="10" fillId="0" borderId="0" applyFont="0" applyFill="0" applyBorder="0" applyAlignment="0" applyProtection="0"/>
    <xf numFmtId="223" fontId="10" fillId="0" borderId="0" applyFont="0" applyFill="0" applyBorder="0" applyAlignment="0" applyProtection="0"/>
    <xf numFmtId="224" fontId="112" fillId="0" borderId="0" applyFont="0" applyFill="0" applyBorder="0" applyAlignment="0" applyProtection="0"/>
    <xf numFmtId="3" fontId="112" fillId="0" borderId="0" applyFont="0" applyFill="0" applyBorder="0" applyAlignment="0" applyProtection="0"/>
    <xf numFmtId="164" fontId="28" fillId="0" borderId="0"/>
    <xf numFmtId="0" fontId="21" fillId="0" borderId="0" applyNumberFormat="0" applyFill="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3" borderId="0" applyNumberFormat="0" applyBorder="0" applyAlignment="0" applyProtection="0"/>
    <xf numFmtId="0" fontId="127" fillId="0" borderId="0" applyNumberFormat="0" applyAlignment="0">
      <alignment horizontal="left"/>
    </xf>
    <xf numFmtId="0" fontId="10" fillId="0" borderId="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0" fillId="0" borderId="0" applyFont="0" applyFill="0" applyBorder="0" applyAlignment="0" applyProtection="0"/>
    <xf numFmtId="225" fontId="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0" fillId="0" borderId="0" applyFont="0" applyFill="0" applyBorder="0" applyAlignment="0" applyProtection="0"/>
    <xf numFmtId="225" fontId="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0" fillId="0" borderId="0" applyFont="0" applyFill="0" applyBorder="0" applyAlignment="0" applyProtection="0"/>
    <xf numFmtId="225" fontId="10" fillId="0" borderId="0" applyFont="0" applyFill="0" applyBorder="0" applyAlignment="0" applyProtection="0"/>
    <xf numFmtId="225" fontId="110" fillId="0" borderId="0" applyFont="0" applyFill="0" applyBorder="0" applyAlignment="0" applyProtection="0"/>
    <xf numFmtId="197" fontId="10" fillId="0" borderId="0" applyFont="0" applyFill="0" applyBorder="0" applyAlignment="0" applyProtection="0"/>
    <xf numFmtId="197" fontId="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225" fontId="110" fillId="0" borderId="0" applyFont="0" applyFill="0" applyBorder="0" applyAlignment="0" applyProtection="0"/>
    <xf numFmtId="0" fontId="98" fillId="0" borderId="0" applyNumberFormat="0" applyFill="0" applyBorder="0" applyAlignment="0" applyProtection="0"/>
    <xf numFmtId="173" fontId="28" fillId="0" borderId="0" applyFont="0" applyBorder="0"/>
    <xf numFmtId="226" fontId="128" fillId="0" borderId="0">
      <protection locked="0"/>
    </xf>
    <xf numFmtId="226" fontId="129" fillId="0" borderId="0">
      <protection locked="0"/>
    </xf>
    <xf numFmtId="226" fontId="130" fillId="0" borderId="0">
      <protection locked="0"/>
    </xf>
    <xf numFmtId="226" fontId="130" fillId="0" borderId="0">
      <protection locked="0"/>
    </xf>
    <xf numFmtId="226" fontId="129" fillId="0" borderId="0">
      <protection locked="0"/>
    </xf>
    <xf numFmtId="226" fontId="131" fillId="0" borderId="0">
      <protection locked="0"/>
    </xf>
    <xf numFmtId="226" fontId="129" fillId="0" borderId="0">
      <protection locked="0"/>
    </xf>
    <xf numFmtId="227" fontId="10" fillId="0" borderId="0" applyFont="0" applyFill="0" applyBorder="0" applyAlignment="0" applyProtection="0"/>
    <xf numFmtId="2" fontId="10" fillId="0" borderId="0" applyFont="0" applyFill="0" applyBorder="0" applyAlignment="0" applyProtection="0"/>
    <xf numFmtId="228" fontId="10" fillId="41" borderId="0" applyFont="0" applyFill="0" applyBorder="0" applyAlignment="0"/>
    <xf numFmtId="2" fontId="10" fillId="0" borderId="0" applyFill="0" applyBorder="0" applyAlignment="0" applyProtection="0"/>
    <xf numFmtId="2" fontId="10" fillId="0" borderId="0" applyFill="0" applyBorder="0" applyAlignment="0" applyProtection="0"/>
    <xf numFmtId="2" fontId="10" fillId="0" borderId="0" applyFill="0" applyBorder="0" applyAlignment="0" applyProtection="0"/>
    <xf numFmtId="2" fontId="10" fillId="0" borderId="0" applyFill="0" applyBorder="0" applyAlignment="0" applyProtection="0"/>
    <xf numFmtId="2" fontId="10" fillId="0" borderId="0" applyFill="0" applyBorder="0" applyAlignment="0" applyProtection="0"/>
    <xf numFmtId="2" fontId="10" fillId="0" borderId="0" applyFill="0" applyBorder="0" applyAlignment="0" applyProtection="0"/>
    <xf numFmtId="2" fontId="10" fillId="0" borderId="0" applyFill="0" applyBorder="0" applyAlignment="0" applyProtection="0"/>
    <xf numFmtId="2" fontId="10" fillId="0" borderId="0" applyFill="0" applyBorder="0" applyAlignment="0" applyProtection="0"/>
    <xf numFmtId="2" fontId="10" fillId="0" borderId="0" applyFill="0" applyBorder="0" applyAlignment="0" applyProtection="0"/>
    <xf numFmtId="2" fontId="10" fillId="0" borderId="0" applyFill="0" applyBorder="0" applyAlignment="0" applyProtection="0"/>
    <xf numFmtId="2" fontId="10" fillId="0" borderId="0" applyFill="0" applyBorder="0" applyAlignment="0" applyProtection="0"/>
    <xf numFmtId="2" fontId="10" fillId="0" borderId="0" applyFill="0" applyBorder="0" applyAlignment="0" applyProtection="0"/>
    <xf numFmtId="2" fontId="10" fillId="0" borderId="0" applyFill="0" applyBorder="0" applyAlignment="0" applyProtection="0"/>
    <xf numFmtId="2" fontId="10" fillId="0" borderId="0" applyFill="0" applyBorder="0" applyAlignment="0" applyProtection="0"/>
    <xf numFmtId="2" fontId="10" fillId="0" borderId="0" applyFill="0" applyBorder="0" applyAlignment="0" applyProtection="0"/>
    <xf numFmtId="2" fontId="10" fillId="0" borderId="0" applyFill="0" applyBorder="0" applyAlignment="0" applyProtection="0"/>
    <xf numFmtId="0" fontId="132"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32"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32"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32"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113" fillId="0" borderId="0" applyFill="0" applyBorder="0" applyProtection="0">
      <alignment horizontal="left"/>
    </xf>
    <xf numFmtId="4" fontId="133" fillId="0" borderId="0">
      <protection locked="0"/>
    </xf>
    <xf numFmtId="38" fontId="28" fillId="27" borderId="0" applyNumberFormat="0" applyBorder="0" applyAlignment="0" applyProtection="0"/>
    <xf numFmtId="0" fontId="134" fillId="0" borderId="0" applyNumberFormat="0" applyFill="0" applyBorder="0" applyAlignment="0" applyProtection="0"/>
    <xf numFmtId="0" fontId="9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104" fillId="0" borderId="50" applyNumberFormat="0" applyAlignment="0" applyProtection="0">
      <alignment horizontal="left" vertical="center"/>
    </xf>
    <xf numFmtId="0" fontId="9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9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104" fillId="0" borderId="51">
      <alignment horizontal="left" vertical="center"/>
    </xf>
    <xf numFmtId="0" fontId="21" fillId="0" borderId="6" applyNumberFormat="0" applyFill="0" applyAlignment="0" applyProtection="0"/>
    <xf numFmtId="0" fontId="21" fillId="0" borderId="6" applyNumberFormat="0" applyFill="0" applyAlignment="0" applyProtection="0"/>
    <xf numFmtId="0" fontId="21" fillId="0" borderId="6" applyNumberFormat="0" applyFill="0" applyAlignment="0" applyProtection="0"/>
    <xf numFmtId="0" fontId="21" fillId="0" borderId="6" applyNumberFormat="0" applyFill="0" applyAlignment="0" applyProtection="0"/>
    <xf numFmtId="0" fontId="21" fillId="0" borderId="6" applyNumberFormat="0" applyFill="0" applyAlignment="0" applyProtection="0"/>
    <xf numFmtId="0" fontId="130" fillId="0" borderId="0">
      <protection locked="0"/>
    </xf>
    <xf numFmtId="229" fontId="10" fillId="0" borderId="0">
      <protection locked="0"/>
    </xf>
    <xf numFmtId="0" fontId="130" fillId="0" borderId="0">
      <protection locked="0"/>
    </xf>
    <xf numFmtId="229" fontId="10" fillId="0" borderId="0">
      <protection locked="0"/>
    </xf>
    <xf numFmtId="230" fontId="135" fillId="0" borderId="0"/>
    <xf numFmtId="0" fontId="136" fillId="0" borderId="52" applyNumberFormat="0" applyFill="0" applyAlignment="0" applyProtection="0"/>
    <xf numFmtId="0" fontId="137" fillId="0" borderId="0" applyNumberFormat="0" applyFill="0" applyBorder="0" applyAlignment="0" applyProtection="0">
      <alignment vertical="top"/>
      <protection locked="0"/>
    </xf>
    <xf numFmtId="0" fontId="138" fillId="0" borderId="0" applyNumberFormat="0" applyFill="0" applyBorder="0" applyAlignment="0" applyProtection="0">
      <alignment vertical="top"/>
      <protection locked="0"/>
    </xf>
    <xf numFmtId="0" fontId="13" fillId="3" borderId="0" applyNumberFormat="0" applyBorder="0" applyAlignment="0" applyProtection="0"/>
    <xf numFmtId="10" fontId="28" fillId="41" borderId="40" applyNumberFormat="0" applyBorder="0" applyAlignment="0" applyProtection="0"/>
    <xf numFmtId="10" fontId="28" fillId="41" borderId="40" applyNumberFormat="0" applyBorder="0" applyAlignment="0" applyProtection="0"/>
    <xf numFmtId="10" fontId="28" fillId="41" borderId="40" applyNumberFormat="0" applyBorder="0" applyAlignment="0" applyProtection="0"/>
    <xf numFmtId="10" fontId="28" fillId="41" borderId="40" applyNumberFormat="0" applyBorder="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165" fontId="28" fillId="0" borderId="0"/>
    <xf numFmtId="217" fontId="28" fillId="41" borderId="0" applyFont="0" applyBorder="0" applyAlignment="0" applyProtection="0">
      <protection locked="0"/>
    </xf>
    <xf numFmtId="228" fontId="28" fillId="41" borderId="0" applyFont="0" applyBorder="0" applyAlignment="0">
      <protection locked="0"/>
    </xf>
    <xf numFmtId="216" fontId="28" fillId="0" borderId="0"/>
    <xf numFmtId="216" fontId="28" fillId="0" borderId="0"/>
    <xf numFmtId="10" fontId="28" fillId="41" borderId="0">
      <protection locked="0"/>
    </xf>
    <xf numFmtId="216" fontId="28" fillId="0" borderId="0"/>
    <xf numFmtId="216" fontId="139" fillId="41" borderId="0" applyNumberFormat="0" applyBorder="0" applyAlignment="0">
      <protection locked="0"/>
    </xf>
    <xf numFmtId="0" fontId="136" fillId="0" borderId="0" applyNumberFormat="0" applyFill="0" applyBorder="0" applyAlignment="0">
      <protection locked="0"/>
    </xf>
    <xf numFmtId="231" fontId="10" fillId="0" borderId="0" applyFont="0" applyFill="0" applyBorder="0" applyAlignment="0" applyProtection="0"/>
    <xf numFmtId="232" fontId="10" fillId="0" borderId="0" applyFont="0" applyFill="0" applyBorder="0" applyAlignment="0" applyProtection="0"/>
    <xf numFmtId="0" fontId="123" fillId="0" borderId="0" applyNumberFormat="0" applyFont="0" applyFill="0" applyBorder="0" applyProtection="0">
      <alignment horizontal="left" vertical="center"/>
    </xf>
    <xf numFmtId="0" fontId="12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0" fontId="104" fillId="0" borderId="53">
      <alignment horizontal="left"/>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4"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5"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233" fontId="140" fillId="43" borderId="40">
      <alignment horizontal="center"/>
    </xf>
    <xf numFmtId="40" fontId="141" fillId="0" borderId="0">
      <alignment horizontal="right"/>
    </xf>
    <xf numFmtId="37" fontId="10" fillId="0" borderId="0" applyFont="0" applyFill="0" applyBorder="0" applyAlignment="0" applyProtection="0"/>
    <xf numFmtId="236" fontId="10" fillId="0" borderId="0" applyFont="0" applyFill="0" applyBorder="0" applyAlignment="0" applyProtection="0"/>
    <xf numFmtId="237" fontId="10" fillId="0" borderId="0" applyFont="0" applyFill="0" applyBorder="0" applyAlignment="0" applyProtection="0"/>
    <xf numFmtId="216" fontId="10" fillId="0" borderId="0" applyFont="0" applyFill="0" applyBorder="0" applyAlignment="0" applyProtection="0"/>
    <xf numFmtId="201" fontId="9" fillId="0" borderId="0" applyFont="0" applyFill="0" applyBorder="0" applyAlignment="0" applyProtection="0"/>
    <xf numFmtId="201" fontId="9" fillId="0" borderId="0" applyFont="0" applyFill="0" applyBorder="0" applyAlignment="0" applyProtection="0"/>
    <xf numFmtId="201" fontId="9" fillId="0" borderId="0" applyFont="0" applyFill="0" applyBorder="0" applyAlignment="0" applyProtection="0"/>
    <xf numFmtId="216" fontId="10" fillId="0" borderId="0" applyFont="0" applyFill="0" applyBorder="0" applyAlignment="0" applyProtection="0"/>
    <xf numFmtId="238" fontId="10" fillId="0" borderId="0" applyFont="0" applyFill="0" applyBorder="0" applyAlignment="0" applyProtection="0"/>
    <xf numFmtId="3" fontId="142" fillId="37" borderId="36">
      <alignment horizontal="center"/>
    </xf>
    <xf numFmtId="239" fontId="28" fillId="27" borderId="0" applyFont="0" applyBorder="0" applyAlignment="0" applyProtection="0">
      <alignment horizontal="right"/>
      <protection hidden="1"/>
    </xf>
    <xf numFmtId="37" fontId="143" fillId="0" borderId="0"/>
    <xf numFmtId="37" fontId="125"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37" fontId="110" fillId="0" borderId="0" applyFont="0" applyFill="0" applyBorder="0" applyAlignment="0" applyProtection="0"/>
    <xf numFmtId="0" fontId="144" fillId="0" borderId="0"/>
    <xf numFmtId="0" fontId="28" fillId="0" borderId="0"/>
    <xf numFmtId="230" fontId="145" fillId="0" borderId="0"/>
    <xf numFmtId="230" fontId="146" fillId="0" borderId="0"/>
    <xf numFmtId="38" fontId="28" fillId="0" borderId="0" applyFont="0" applyFill="0" applyBorder="0" applyAlignment="0"/>
    <xf numFmtId="216" fontId="10" fillId="0" borderId="0" applyFont="0" applyFill="0" applyBorder="0" applyAlignment="0"/>
    <xf numFmtId="40" fontId="28" fillId="0" borderId="0" applyFont="0" applyFill="0" applyBorder="0" applyAlignment="0"/>
    <xf numFmtId="240" fontId="28" fillId="0" borderId="0" applyFont="0" applyFill="0" applyBorder="0" applyAlignment="0"/>
    <xf numFmtId="0" fontId="5" fillId="0" borderId="0"/>
    <xf numFmtId="37" fontId="10"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3" fillId="0" borderId="0"/>
    <xf numFmtId="0" fontId="5" fillId="0" borderId="0"/>
    <xf numFmtId="0" fontId="93" fillId="0" borderId="0"/>
    <xf numFmtId="0" fontId="93" fillId="0" borderId="0"/>
    <xf numFmtId="0" fontId="93" fillId="0" borderId="0"/>
    <xf numFmtId="0" fontId="5" fillId="0" borderId="0"/>
    <xf numFmtId="0" fontId="5" fillId="0" borderId="0"/>
    <xf numFmtId="0" fontId="5" fillId="0" borderId="0"/>
    <xf numFmtId="0" fontId="5" fillId="0" borderId="0"/>
    <xf numFmtId="0" fontId="5" fillId="0" borderId="0"/>
    <xf numFmtId="0" fontId="5" fillId="0" borderId="0"/>
    <xf numFmtId="0" fontId="93" fillId="0" borderId="0"/>
    <xf numFmtId="0" fontId="93" fillId="0" borderId="0"/>
    <xf numFmtId="0" fontId="5"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3" fillId="0" borderId="0"/>
    <xf numFmtId="0" fontId="93" fillId="0" borderId="0"/>
    <xf numFmtId="0" fontId="5" fillId="0" borderId="0"/>
    <xf numFmtId="0" fontId="10" fillId="0" borderId="0"/>
    <xf numFmtId="0" fontId="10" fillId="0" borderId="0"/>
    <xf numFmtId="0" fontId="10" fillId="0" borderId="0"/>
    <xf numFmtId="0" fontId="10" fillId="0" borderId="0"/>
    <xf numFmtId="0" fontId="10" fillId="0" borderId="0"/>
    <xf numFmtId="0" fontId="5"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 fillId="0" borderId="0" applyFill="0" applyBorder="0" applyAlignment="0" applyProtection="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0" fontId="10"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0" fontId="10" fillId="0" borderId="0"/>
    <xf numFmtId="0" fontId="10" fillId="0" borderId="0"/>
    <xf numFmtId="37" fontId="10"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37" fontId="10" fillId="0" borderId="0"/>
    <xf numFmtId="37" fontId="10" fillId="0" borderId="0"/>
    <xf numFmtId="0" fontId="10" fillId="0" borderId="0"/>
    <xf numFmtId="37" fontId="10" fillId="0" borderId="0"/>
    <xf numFmtId="0"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0" fontId="10" fillId="0" borderId="0"/>
    <xf numFmtId="37" fontId="10" fillId="0" borderId="0"/>
    <xf numFmtId="37" fontId="10" fillId="0" borderId="0"/>
    <xf numFmtId="37" fontId="10" fillId="0" borderId="0"/>
    <xf numFmtId="37"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37" fontId="10" fillId="0" borderId="0"/>
    <xf numFmtId="37"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37" fontId="10" fillId="0" borderId="0"/>
    <xf numFmtId="0" fontId="10" fillId="0" borderId="0"/>
    <xf numFmtId="0"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0" fontId="10" fillId="0" borderId="0"/>
    <xf numFmtId="0"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0" fontId="10" fillId="0" borderId="0"/>
    <xf numFmtId="37" fontId="10" fillId="0" borderId="0"/>
    <xf numFmtId="37"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37" fontId="10" fillId="0" borderId="0"/>
    <xf numFmtId="0" fontId="10" fillId="0" borderId="0"/>
    <xf numFmtId="0"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37"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37" fontId="10" fillId="0" borderId="0"/>
    <xf numFmtId="37" fontId="10" fillId="0" borderId="0"/>
    <xf numFmtId="0" fontId="5" fillId="0" borderId="0"/>
    <xf numFmtId="37" fontId="10" fillId="0" borderId="0"/>
    <xf numFmtId="37" fontId="10" fillId="0" borderId="0"/>
    <xf numFmtId="0" fontId="10" fillId="0" borderId="0"/>
    <xf numFmtId="0" fontId="10" fillId="0" borderId="0"/>
    <xf numFmtId="0" fontId="147" fillId="0" borderId="0"/>
    <xf numFmtId="0" fontId="10" fillId="0" borderId="0"/>
    <xf numFmtId="0" fontId="10" fillId="0" borderId="0"/>
    <xf numFmtId="0" fontId="10" fillId="0" borderId="0"/>
    <xf numFmtId="0" fontId="10" fillId="0" borderId="0"/>
    <xf numFmtId="37" fontId="10"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37" fontId="10" fillId="0" borderId="0"/>
    <xf numFmtId="0" fontId="14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10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6" fillId="0" borderId="0"/>
    <xf numFmtId="0" fontId="10" fillId="0" borderId="0"/>
    <xf numFmtId="0" fontId="10" fillId="0" borderId="0"/>
    <xf numFmtId="0" fontId="10"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37" fontId="10"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0" fontId="10" fillId="0" borderId="0" applyNumberFormat="0" applyFill="0" applyBorder="0" applyAlignment="0" applyProtection="0"/>
    <xf numFmtId="0" fontId="10" fillId="0" borderId="0"/>
    <xf numFmtId="0" fontId="10" fillId="0" borderId="0"/>
    <xf numFmtId="0" fontId="93" fillId="0" borderId="0"/>
    <xf numFmtId="0" fontId="10" fillId="0" borderId="0"/>
    <xf numFmtId="0" fontId="93" fillId="0" borderId="0"/>
    <xf numFmtId="0" fontId="10" fillId="0" borderId="0"/>
    <xf numFmtId="0" fontId="10" fillId="0" borderId="0"/>
    <xf numFmtId="0" fontId="10" fillId="0" borderId="0"/>
    <xf numFmtId="0" fontId="93" fillId="0" borderId="0"/>
    <xf numFmtId="0" fontId="93" fillId="0" borderId="0"/>
    <xf numFmtId="0" fontId="10" fillId="0" borderId="0"/>
    <xf numFmtId="0" fontId="10" fillId="0" borderId="0"/>
    <xf numFmtId="0" fontId="10" fillId="0" borderId="0"/>
    <xf numFmtId="0" fontId="10" fillId="0" borderId="0"/>
    <xf numFmtId="0" fontId="10" fillId="0" borderId="0"/>
    <xf numFmtId="0" fontId="93" fillId="0" borderId="0"/>
    <xf numFmtId="0" fontId="93" fillId="0" borderId="0"/>
    <xf numFmtId="0" fontId="93" fillId="0" borderId="0"/>
    <xf numFmtId="0" fontId="93" fillId="0" borderId="0"/>
    <xf numFmtId="0" fontId="93" fillId="0" borderId="0"/>
    <xf numFmtId="0" fontId="93" fillId="0" borderId="0"/>
    <xf numFmtId="0" fontId="93" fillId="0" borderId="0"/>
    <xf numFmtId="0" fontId="9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10" fillId="0" borderId="0"/>
    <xf numFmtId="0" fontId="93" fillId="0" borderId="0"/>
    <xf numFmtId="0" fontId="93" fillId="0" borderId="0"/>
    <xf numFmtId="0" fontId="93" fillId="0" borderId="0"/>
    <xf numFmtId="0" fontId="93" fillId="0" borderId="0"/>
    <xf numFmtId="0" fontId="93" fillId="0" borderId="0"/>
    <xf numFmtId="0" fontId="93" fillId="0" borderId="0"/>
    <xf numFmtId="0" fontId="93" fillId="0" borderId="0"/>
    <xf numFmtId="0" fontId="93"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37" fontId="10" fillId="0" borderId="0"/>
    <xf numFmtId="37" fontId="10" fillId="0" borderId="0"/>
    <xf numFmtId="37" fontId="10" fillId="0" borderId="0"/>
    <xf numFmtId="37" fontId="10" fillId="0" borderId="0"/>
    <xf numFmtId="0" fontId="5" fillId="0" borderId="0"/>
    <xf numFmtId="0" fontId="5" fillId="0" borderId="0"/>
    <xf numFmtId="0" fontId="5" fillId="0" borderId="0"/>
    <xf numFmtId="0" fontId="5"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10" fillId="0" borderId="0"/>
    <xf numFmtId="0" fontId="5" fillId="0" borderId="0"/>
    <xf numFmtId="0" fontId="5" fillId="0" borderId="0"/>
    <xf numFmtId="0" fontId="5" fillId="0" borderId="0"/>
    <xf numFmtId="0" fontId="10"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0" fontId="5" fillId="0" borderId="0"/>
    <xf numFmtId="37" fontId="10"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37" fontId="10" fillId="0" borderId="0"/>
    <xf numFmtId="37"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0" fontId="5" fillId="0" borderId="0"/>
    <xf numFmtId="0" fontId="5" fillId="0" borderId="0"/>
    <xf numFmtId="37" fontId="10" fillId="0" borderId="0"/>
    <xf numFmtId="0" fontId="10" fillId="0" borderId="0"/>
    <xf numFmtId="37" fontId="10" fillId="0" borderId="0"/>
    <xf numFmtId="37" fontId="10" fillId="0" borderId="0"/>
    <xf numFmtId="37" fontId="10" fillId="0" borderId="0"/>
    <xf numFmtId="0" fontId="10" fillId="0" borderId="0"/>
    <xf numFmtId="0" fontId="10" fillId="0" borderId="0"/>
    <xf numFmtId="37" fontId="10" fillId="0" borderId="0"/>
    <xf numFmtId="37" fontId="10" fillId="0" borderId="0"/>
    <xf numFmtId="37" fontId="10" fillId="0" borderId="0"/>
    <xf numFmtId="37" fontId="10" fillId="0" borderId="0"/>
    <xf numFmtId="37" fontId="10" fillId="0" borderId="0"/>
    <xf numFmtId="0" fontId="10" fillId="0" borderId="0"/>
    <xf numFmtId="37" fontId="10" fillId="0" borderId="0"/>
    <xf numFmtId="0" fontId="10" fillId="0" borderId="0"/>
    <xf numFmtId="0" fontId="10" fillId="0" borderId="0"/>
    <xf numFmtId="37" fontId="10"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0" fontId="10" fillId="0" borderId="0"/>
    <xf numFmtId="37" fontId="10" fillId="0" borderId="0"/>
    <xf numFmtId="37" fontId="10"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4" fillId="0" borderId="0"/>
    <xf numFmtId="37" fontId="10" fillId="0" borderId="0"/>
    <xf numFmtId="37" fontId="10" fillId="0" borderId="0"/>
    <xf numFmtId="37" fontId="104" fillId="0" borderId="0"/>
    <xf numFmtId="0" fontId="10" fillId="0" borderId="0"/>
    <xf numFmtId="37" fontId="104" fillId="0" borderId="0"/>
    <xf numFmtId="37" fontId="104" fillId="0" borderId="0"/>
    <xf numFmtId="37" fontId="104" fillId="0" borderId="0"/>
    <xf numFmtId="37" fontId="104" fillId="0" borderId="0"/>
    <xf numFmtId="37" fontId="10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 fillId="0" borderId="0"/>
    <xf numFmtId="0" fontId="10" fillId="0" borderId="0"/>
    <xf numFmtId="0" fontId="105" fillId="0" borderId="0"/>
    <xf numFmtId="0" fontId="105" fillId="0" borderId="0"/>
    <xf numFmtId="0" fontId="105" fillId="0" borderId="0"/>
    <xf numFmtId="0" fontId="105" fillId="0" borderId="0"/>
    <xf numFmtId="0" fontId="105"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 fillId="0" borderId="0"/>
    <xf numFmtId="0" fontId="10"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 fillId="0" borderId="0"/>
    <xf numFmtId="0" fontId="10" fillId="0" borderId="0"/>
    <xf numFmtId="0" fontId="104" fillId="0" borderId="0"/>
    <xf numFmtId="0" fontId="10" fillId="0" borderId="0"/>
    <xf numFmtId="0" fontId="104" fillId="0" borderId="0"/>
    <xf numFmtId="0" fontId="104" fillId="0" borderId="0"/>
    <xf numFmtId="0" fontId="104" fillId="0" borderId="0"/>
    <xf numFmtId="0" fontId="104" fillId="0" borderId="0"/>
    <xf numFmtId="0" fontId="10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9" fillId="0" borderId="0"/>
    <xf numFmtId="0" fontId="93" fillId="0" borderId="0"/>
    <xf numFmtId="0" fontId="10" fillId="0" borderId="0"/>
    <xf numFmtId="0" fontId="93" fillId="0" borderId="0"/>
    <xf numFmtId="0" fontId="10" fillId="0" borderId="0"/>
    <xf numFmtId="0" fontId="10" fillId="0" borderId="0"/>
    <xf numFmtId="0" fontId="10" fillId="0" borderId="0"/>
    <xf numFmtId="0" fontId="93" fillId="0" borderId="0"/>
    <xf numFmtId="0" fontId="93" fillId="0" borderId="0"/>
    <xf numFmtId="0" fontId="10" fillId="0" borderId="0"/>
    <xf numFmtId="0" fontId="10" fillId="0" borderId="0"/>
    <xf numFmtId="0" fontId="10" fillId="0" borderId="0"/>
    <xf numFmtId="0" fontId="10"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16" fontId="96" fillId="0" borderId="0" applyNumberFormat="0" applyFill="0" applyBorder="0" applyAlignment="0" applyProtection="0"/>
    <xf numFmtId="241" fontId="28" fillId="0" borderId="0" applyFont="0" applyFill="0" applyBorder="0" applyAlignment="0" applyProtection="0"/>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0" fontId="106" fillId="0" borderId="0">
      <alignment horizontal="left" indent="1"/>
    </xf>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242" fontId="10" fillId="44" borderId="44"/>
    <xf numFmtId="0" fontId="10" fillId="0" borderId="0">
      <alignment horizontal="left" indent="1"/>
    </xf>
    <xf numFmtId="0" fontId="10" fillId="14" borderId="8" applyNumberFormat="0" applyFont="0" applyAlignment="0" applyProtection="0"/>
    <xf numFmtId="0" fontId="9" fillId="35" borderId="39" applyNumberFormat="0" applyFont="0" applyAlignment="0" applyProtection="0"/>
    <xf numFmtId="0" fontId="9" fillId="35" borderId="39" applyNumberFormat="0" applyFont="0" applyAlignment="0" applyProtection="0"/>
    <xf numFmtId="0" fontId="9" fillId="35" borderId="39" applyNumberFormat="0" applyFont="0" applyAlignment="0" applyProtection="0"/>
    <xf numFmtId="0" fontId="10" fillId="14" borderId="8" applyNumberFormat="0" applyFont="0" applyAlignment="0" applyProtection="0"/>
    <xf numFmtId="0" fontId="9" fillId="35" borderId="39" applyNumberFormat="0" applyFont="0" applyAlignment="0" applyProtection="0"/>
    <xf numFmtId="0" fontId="9" fillId="35" borderId="39" applyNumberFormat="0" applyFont="0" applyAlignment="0" applyProtection="0"/>
    <xf numFmtId="0" fontId="9" fillId="35" borderId="39" applyNumberFormat="0" applyFont="0" applyAlignment="0" applyProtection="0"/>
    <xf numFmtId="0" fontId="10" fillId="14" borderId="8" applyNumberFormat="0" applyFont="0" applyAlignment="0" applyProtection="0"/>
    <xf numFmtId="0" fontId="9" fillId="35" borderId="39" applyNumberFormat="0" applyFont="0" applyAlignment="0" applyProtection="0"/>
    <xf numFmtId="0" fontId="9" fillId="35" borderId="39" applyNumberFormat="0" applyFont="0" applyAlignment="0" applyProtection="0"/>
    <xf numFmtId="0" fontId="9" fillId="35" borderId="39" applyNumberFormat="0" applyFont="0" applyAlignment="0" applyProtection="0"/>
    <xf numFmtId="0" fontId="10" fillId="14" borderId="8" applyNumberFormat="0" applyFont="0" applyAlignment="0" applyProtection="0"/>
    <xf numFmtId="0" fontId="10" fillId="14" borderId="8" applyNumberFormat="0" applyFont="0" applyAlignment="0" applyProtection="0"/>
    <xf numFmtId="0" fontId="10" fillId="14" borderId="8" applyNumberFormat="0" applyFont="0" applyAlignment="0" applyProtection="0"/>
    <xf numFmtId="0" fontId="10" fillId="9" borderId="8" applyNumberFormat="0" applyFont="0" applyAlignment="0" applyProtection="0"/>
    <xf numFmtId="0" fontId="10" fillId="9" borderId="8" applyNumberFormat="0" applyFont="0" applyAlignment="0" applyProtection="0"/>
    <xf numFmtId="0" fontId="10" fillId="9" borderId="8" applyNumberFormat="0" applyFont="0" applyAlignment="0" applyProtection="0"/>
    <xf numFmtId="0" fontId="9" fillId="9" borderId="8" applyNumberFormat="0" applyFont="0" applyAlignment="0" applyProtection="0"/>
    <xf numFmtId="0" fontId="10" fillId="9" borderId="8" applyNumberFormat="0" applyFont="0" applyAlignment="0" applyProtection="0"/>
    <xf numFmtId="0" fontId="10" fillId="9" borderId="8" applyNumberFormat="0" applyFont="0" applyAlignment="0" applyProtection="0"/>
    <xf numFmtId="0" fontId="9" fillId="9" borderId="8" applyNumberFormat="0" applyFont="0" applyAlignment="0" applyProtection="0"/>
    <xf numFmtId="0" fontId="10" fillId="9" borderId="8" applyNumberFormat="0" applyFont="0" applyAlignment="0" applyProtection="0"/>
    <xf numFmtId="0" fontId="9" fillId="9" borderId="8" applyNumberFormat="0" applyFont="0" applyAlignment="0" applyProtection="0"/>
    <xf numFmtId="0" fontId="9" fillId="9" borderId="8" applyNumberFormat="0" applyFont="0" applyAlignment="0" applyProtection="0"/>
    <xf numFmtId="0" fontId="9" fillId="9" borderId="8" applyNumberFormat="0" applyFont="0" applyAlignment="0" applyProtection="0"/>
    <xf numFmtId="0" fontId="10" fillId="9" borderId="8" applyNumberFormat="0" applyFont="0" applyAlignment="0" applyProtection="0"/>
    <xf numFmtId="0" fontId="10" fillId="9" borderId="8" applyNumberFormat="0" applyFont="0" applyAlignment="0" applyProtection="0"/>
    <xf numFmtId="0" fontId="9" fillId="9" borderId="8" applyNumberFormat="0" applyFont="0" applyAlignment="0" applyProtection="0"/>
    <xf numFmtId="0" fontId="10" fillId="9" borderId="8" applyNumberFormat="0" applyFont="0" applyAlignment="0" applyProtection="0"/>
    <xf numFmtId="0" fontId="9" fillId="9" borderId="8" applyNumberFormat="0" applyFont="0" applyAlignment="0" applyProtection="0"/>
    <xf numFmtId="0" fontId="9" fillId="9" borderId="8" applyNumberFormat="0" applyFont="0" applyAlignment="0" applyProtection="0"/>
    <xf numFmtId="0" fontId="9" fillId="9" borderId="8" applyNumberFormat="0" applyFont="0" applyAlignment="0" applyProtection="0"/>
    <xf numFmtId="0" fontId="10" fillId="9" borderId="8" applyNumberFormat="0" applyFont="0" applyAlignment="0" applyProtection="0"/>
    <xf numFmtId="0" fontId="10" fillId="9" borderId="8" applyNumberFormat="0" applyFont="0" applyAlignment="0" applyProtection="0"/>
    <xf numFmtId="0" fontId="9" fillId="9" borderId="8" applyNumberFormat="0" applyFont="0" applyAlignment="0" applyProtection="0"/>
    <xf numFmtId="0" fontId="10" fillId="9" borderId="8" applyNumberFormat="0" applyFont="0" applyAlignment="0" applyProtection="0"/>
    <xf numFmtId="0" fontId="9" fillId="9" borderId="8" applyNumberFormat="0" applyFont="0" applyAlignment="0" applyProtection="0"/>
    <xf numFmtId="0" fontId="9" fillId="9" borderId="8" applyNumberFormat="0" applyFont="0" applyAlignment="0" applyProtection="0"/>
    <xf numFmtId="0" fontId="9" fillId="9" borderId="8" applyNumberFormat="0" applyFont="0" applyAlignment="0" applyProtection="0"/>
    <xf numFmtId="0" fontId="10" fillId="9" borderId="8" applyNumberFormat="0" applyFont="0" applyAlignment="0" applyProtection="0"/>
    <xf numFmtId="0" fontId="10" fillId="9" borderId="8" applyNumberFormat="0" applyFont="0" applyAlignment="0" applyProtection="0"/>
    <xf numFmtId="243" fontId="28" fillId="0" borderId="0" applyFont="0" applyFill="0" applyBorder="0" applyAlignment="0" applyProtection="0"/>
    <xf numFmtId="244" fontId="28" fillId="0" borderId="0" applyFont="0" applyFill="0" applyBorder="0" applyAlignment="0" applyProtection="0"/>
    <xf numFmtId="245" fontId="125"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245" fontId="110" fillId="0" borderId="0" applyFont="0" applyFill="0" applyBorder="0" applyAlignment="0" applyProtection="0"/>
    <xf numFmtId="0" fontId="120" fillId="0" borderId="0"/>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246" fontId="10" fillId="0" borderId="0" applyFont="0" applyFill="0" applyBorder="0" applyAlignment="0"/>
    <xf numFmtId="247" fontId="28" fillId="0" borderId="0" applyFont="0" applyFill="0" applyBorder="0" applyAlignment="0"/>
    <xf numFmtId="10" fontId="10" fillId="0" borderId="0" applyFont="0" applyFill="0" applyBorder="0" applyAlignment="0" applyProtection="0"/>
    <xf numFmtId="9" fontId="9" fillId="0" borderId="0" applyFont="0" applyFill="0" applyBorder="0" applyAlignment="0" applyProtection="0"/>
    <xf numFmtId="9" fontId="5" fillId="0" borderId="0" applyFont="0" applyFill="0" applyBorder="0" applyAlignment="0" applyProtection="0"/>
    <xf numFmtId="174" fontId="123" fillId="0" borderId="0"/>
    <xf numFmtId="0" fontId="98" fillId="42" borderId="0"/>
    <xf numFmtId="9" fontId="123" fillId="0" borderId="0" applyFont="0" applyFill="0" applyBorder="0" applyAlignment="0" applyProtection="0"/>
    <xf numFmtId="248" fontId="28"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1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24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40" fontId="10" fillId="0" borderId="0"/>
    <xf numFmtId="0" fontId="10" fillId="45" borderId="40"/>
    <xf numFmtId="0" fontId="10" fillId="45" borderId="40"/>
    <xf numFmtId="0" fontId="10" fillId="45" borderId="40"/>
    <xf numFmtId="0" fontId="10" fillId="45" borderId="40"/>
    <xf numFmtId="216" fontId="150" fillId="0" borderId="0" applyNumberFormat="0" applyFill="0" applyBorder="0" applyAlignment="0" applyProtection="0">
      <alignment horizontal="left"/>
    </xf>
    <xf numFmtId="250" fontId="10" fillId="0" borderId="0" applyNumberFormat="0" applyFill="0" applyBorder="0" applyAlignment="0" applyProtection="0">
      <alignment horizontal="left"/>
    </xf>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38" fontId="120" fillId="0" borderId="0" applyFont="0" applyFill="0" applyBorder="0" applyAlignment="0" applyProtection="0"/>
    <xf numFmtId="168" fontId="5"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9"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9" fillId="0" borderId="0" applyFont="0" applyFill="0" applyBorder="0" applyAlignment="0" applyProtection="0"/>
    <xf numFmtId="168" fontId="5" fillId="0" borderId="0" applyFont="0" applyFill="0" applyBorder="0" applyAlignment="0" applyProtection="0"/>
    <xf numFmtId="168" fontId="9" fillId="0" borderId="0" applyFont="0" applyFill="0" applyBorder="0" applyAlignment="0" applyProtection="0"/>
    <xf numFmtId="168" fontId="5" fillId="0" borderId="0" applyFont="0" applyFill="0" applyBorder="0" applyAlignment="0" applyProtection="0"/>
    <xf numFmtId="168" fontId="9" fillId="0" borderId="0" applyFont="0" applyFill="0" applyBorder="0" applyAlignment="0" applyProtection="0"/>
    <xf numFmtId="168" fontId="5" fillId="0" borderId="0" applyFont="0" applyFill="0" applyBorder="0" applyAlignment="0" applyProtection="0"/>
    <xf numFmtId="168" fontId="9" fillId="0" borderId="0" applyFont="0" applyFill="0" applyBorder="0" applyAlignment="0" applyProtection="0"/>
    <xf numFmtId="168" fontId="5" fillId="0" borderId="0" applyFont="0" applyFill="0" applyBorder="0" applyAlignment="0" applyProtection="0"/>
    <xf numFmtId="166" fontId="5" fillId="0" borderId="0" applyFont="0" applyFill="0" applyBorder="0" applyAlignment="0" applyProtection="0"/>
    <xf numFmtId="168" fontId="119"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93" fillId="0" borderId="0" applyFont="0" applyFill="0" applyBorder="0" applyAlignment="0" applyProtection="0"/>
    <xf numFmtId="168" fontId="5"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5"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10"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251" fontId="10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3" fillId="0" borderId="0" applyFont="0" applyFill="0" applyBorder="0" applyAlignment="0" applyProtection="0"/>
    <xf numFmtId="168" fontId="5"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5"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5" fillId="0" borderId="0" applyFont="0" applyFill="0" applyBorder="0" applyAlignment="0" applyProtection="0"/>
    <xf numFmtId="208" fontId="10" fillId="0" borderId="0" applyFont="0" applyFill="0" applyBorder="0" applyAlignment="0" applyProtection="0"/>
    <xf numFmtId="20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20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200"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5"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252" fontId="10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76"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99" fontId="5" fillId="0" borderId="0" applyFont="0" applyFill="0" applyBorder="0" applyAlignment="0" applyProtection="0"/>
    <xf numFmtId="173" fontId="9" fillId="0" borderId="0" applyFont="0" applyFill="0" applyBorder="0" applyAlignment="0" applyProtection="0"/>
    <xf numFmtId="168" fontId="151" fillId="0" borderId="0" applyFont="0" applyFill="0" applyBorder="0" applyAlignment="0" applyProtection="0"/>
    <xf numFmtId="168" fontId="151" fillId="0" borderId="0" applyFont="0" applyFill="0" applyBorder="0" applyAlignment="0" applyProtection="0"/>
    <xf numFmtId="168" fontId="151"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151"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151" fillId="0" borderId="0" applyFont="0" applyFill="0" applyBorder="0" applyAlignment="0" applyProtection="0"/>
    <xf numFmtId="173"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73"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73"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73"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73" fontId="9"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10"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5"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5" fillId="0" borderId="0" applyFont="0" applyFill="0" applyBorder="0" applyAlignment="0" applyProtection="0"/>
    <xf numFmtId="174" fontId="5"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203" fontId="5" fillId="0" borderId="0" applyFont="0" applyFill="0" applyBorder="0" applyAlignment="0" applyProtection="0"/>
    <xf numFmtId="198" fontId="9" fillId="0" borderId="0" applyFont="0" applyFill="0" applyBorder="0" applyAlignment="0" applyProtection="0"/>
    <xf numFmtId="168" fontId="5"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98" fontId="9" fillId="0" borderId="0" applyFont="0" applyFill="0" applyBorder="0" applyAlignment="0" applyProtection="0"/>
    <xf numFmtId="205" fontId="5"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68" fontId="10" fillId="0" borderId="0" applyFont="0" applyFill="0" applyBorder="0" applyAlignment="0" applyProtection="0"/>
    <xf numFmtId="168" fontId="5"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68" fontId="10" fillId="0" borderId="0" applyFont="0" applyFill="0" applyBorder="0" applyAlignment="0" applyProtection="0"/>
    <xf numFmtId="168" fontId="5"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68" fontId="10" fillId="0" borderId="0" applyFont="0" applyFill="0" applyBorder="0" applyAlignment="0" applyProtection="0"/>
    <xf numFmtId="176" fontId="9" fillId="0" borderId="0" applyFont="0" applyFill="0" applyBorder="0" applyAlignment="0" applyProtection="0"/>
    <xf numFmtId="174" fontId="5" fillId="0" borderId="0" applyFont="0" applyFill="0" applyBorder="0" applyAlignment="0" applyProtection="0"/>
    <xf numFmtId="228" fontId="5"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68" fontId="10" fillId="0" borderId="0" applyFont="0" applyFill="0" applyBorder="0" applyAlignment="0" applyProtection="0"/>
    <xf numFmtId="200" fontId="5" fillId="0" borderId="0" applyFont="0" applyFill="0" applyBorder="0" applyAlignment="0" applyProtection="0"/>
    <xf numFmtId="173" fontId="5"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68" fontId="10" fillId="0" borderId="0" applyFont="0" applyFill="0" applyBorder="0" applyAlignment="0" applyProtection="0"/>
    <xf numFmtId="202" fontId="5" fillId="0" borderId="0" applyFont="0" applyFill="0" applyBorder="0" applyAlignment="0" applyProtection="0"/>
    <xf numFmtId="202" fontId="9" fillId="0" borderId="0" applyFont="0" applyFill="0" applyBorder="0" applyAlignment="0" applyProtection="0"/>
    <xf numFmtId="202" fontId="9" fillId="0" borderId="0" applyFont="0" applyFill="0" applyBorder="0" applyAlignment="0" applyProtection="0"/>
    <xf numFmtId="202" fontId="9" fillId="0" borderId="0" applyFont="0" applyFill="0" applyBorder="0" applyAlignment="0" applyProtection="0"/>
    <xf numFmtId="202" fontId="9" fillId="0" borderId="0" applyFont="0" applyFill="0" applyBorder="0" applyAlignment="0" applyProtection="0"/>
    <xf numFmtId="202" fontId="9" fillId="0" borderId="0" applyFont="0" applyFill="0" applyBorder="0" applyAlignment="0" applyProtection="0"/>
    <xf numFmtId="202" fontId="9" fillId="0" borderId="0" applyFont="0" applyFill="0" applyBorder="0" applyAlignment="0" applyProtection="0"/>
    <xf numFmtId="166" fontId="5"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73" fontId="9" fillId="0" borderId="0" applyFont="0" applyFill="0" applyBorder="0" applyAlignment="0" applyProtection="0"/>
    <xf numFmtId="173" fontId="5"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73" fontId="9"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99" fontId="5" fillId="0" borderId="0" applyFont="0" applyFill="0" applyBorder="0" applyAlignment="0" applyProtection="0"/>
    <xf numFmtId="205" fontId="10" fillId="0" borderId="0" applyFont="0" applyFill="0" applyBorder="0" applyAlignment="0" applyProtection="0"/>
    <xf numFmtId="168" fontId="9" fillId="0" borderId="0" applyFont="0" applyFill="0" applyBorder="0" applyAlignment="0" applyProtection="0"/>
    <xf numFmtId="253" fontId="10" fillId="0" borderId="0" applyFont="0" applyFill="0" applyBorder="0" applyAlignment="0" applyProtection="0"/>
    <xf numFmtId="240" fontId="10" fillId="0" borderId="0" applyFont="0" applyFill="0" applyBorder="0" applyAlignment="0" applyProtection="0"/>
    <xf numFmtId="254" fontId="10" fillId="0" borderId="0" applyFont="0" applyFill="0" applyBorder="0" applyAlignment="0" applyProtection="0"/>
    <xf numFmtId="255" fontId="10" fillId="0" borderId="0" applyFont="0" applyFill="0" applyBorder="0" applyAlignment="0" applyProtection="0"/>
    <xf numFmtId="168" fontId="9" fillId="0" borderId="0" applyFont="0" applyFill="0" applyBorder="0" applyAlignment="0" applyProtection="0"/>
    <xf numFmtId="211" fontId="10" fillId="0" borderId="0" applyFont="0" applyFill="0" applyBorder="0" applyAlignment="0" applyProtection="0"/>
    <xf numFmtId="212" fontId="10" fillId="0" borderId="0" applyFont="0" applyFill="0" applyBorder="0" applyAlignment="0" applyProtection="0"/>
    <xf numFmtId="212"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0" fontId="125"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0" fontId="110" fillId="1" borderId="0" applyNumberFormat="0" applyFont="0" applyBorder="0" applyAlignment="0" applyProtection="0"/>
    <xf numFmtId="3" fontId="103" fillId="46" borderId="0">
      <alignment horizontal="left"/>
    </xf>
    <xf numFmtId="0" fontId="10" fillId="0" borderId="0"/>
    <xf numFmtId="0" fontId="10" fillId="0" borderId="0"/>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0" fontId="153" fillId="0" borderId="0" applyNumberFormat="0" applyFill="0" applyBorder="0" applyAlignment="0" applyProtection="0"/>
    <xf numFmtId="0" fontId="154" fillId="0" borderId="0" applyNumberFormat="0" applyFill="0" applyBorder="0" applyAlignment="0" applyProtection="0"/>
    <xf numFmtId="0" fontId="153" fillId="0" borderId="0" applyNumberFormat="0" applyFill="0" applyBorder="0" applyProtection="0">
      <alignment horizontal="center"/>
    </xf>
    <xf numFmtId="0" fontId="154" fillId="0" borderId="0" applyNumberFormat="0" applyFill="0" applyBorder="0" applyProtection="0">
      <alignment horizontal="center"/>
    </xf>
    <xf numFmtId="0" fontId="154" fillId="47" borderId="0" applyNumberFormat="0" applyBorder="0" applyAlignment="0" applyProtection="0"/>
    <xf numFmtId="0" fontId="154" fillId="0" borderId="0" applyNumberFormat="0" applyFill="0" applyBorder="0" applyAlignment="0" applyProtection="0"/>
    <xf numFmtId="0" fontId="155" fillId="0" borderId="0" applyNumberFormat="0" applyFill="0" applyBorder="0" applyAlignment="0" applyProtection="0"/>
    <xf numFmtId="0" fontId="156" fillId="48" borderId="0" applyNumberFormat="0" applyBorder="0" applyAlignment="0" applyProtection="0"/>
    <xf numFmtId="0" fontId="157" fillId="0" borderId="0" applyNumberFormat="0" applyFill="0" applyBorder="0" applyAlignment="0" applyProtection="0"/>
    <xf numFmtId="0" fontId="158" fillId="36" borderId="0" applyNumberFormat="0" applyBorder="0" applyAlignment="0" applyProtection="0"/>
    <xf numFmtId="0" fontId="154" fillId="28" borderId="0" applyNumberFormat="0" applyBorder="0" applyAlignment="0" applyProtection="0"/>
    <xf numFmtId="0" fontId="96" fillId="0" borderId="37" applyNumberFormat="0" applyFill="0" applyProtection="0">
      <alignment wrapText="1"/>
    </xf>
    <xf numFmtId="0" fontId="106" fillId="0" borderId="0" applyNumberFormat="0" applyFill="0" applyBorder="0" applyProtection="0">
      <alignment wrapText="1"/>
    </xf>
    <xf numFmtId="0" fontId="96" fillId="0" borderId="37" applyNumberFormat="0" applyFill="0" applyProtection="0">
      <alignment horizontal="center" wrapText="1"/>
    </xf>
    <xf numFmtId="256" fontId="96" fillId="0" borderId="0" applyFill="0" applyBorder="0" applyProtection="0">
      <alignment horizontal="center" wrapText="1"/>
    </xf>
    <xf numFmtId="0" fontId="94" fillId="0" borderId="0" applyNumberFormat="0" applyFill="0" applyBorder="0" applyProtection="0">
      <alignment horizontal="justify" wrapText="1"/>
    </xf>
    <xf numFmtId="0" fontId="159" fillId="26" borderId="54" applyNumberFormat="0" applyProtection="0">
      <alignment horizontal="right" vertical="center"/>
    </xf>
    <xf numFmtId="0" fontId="160" fillId="26" borderId="0" applyNumberFormat="0" applyProtection="0">
      <alignment horizontal="right" vertical="center" wrapText="1"/>
    </xf>
    <xf numFmtId="0" fontId="161" fillId="26" borderId="0" applyNumberFormat="0" applyProtection="0">
      <alignment horizontal="left" vertical="center"/>
    </xf>
    <xf numFmtId="0" fontId="162" fillId="26" borderId="0" applyNumberFormat="0" applyProtection="0">
      <alignment horizontal="left" vertical="center"/>
    </xf>
    <xf numFmtId="257" fontId="161" fillId="26" borderId="0" applyProtection="0">
      <alignment horizontal="right" vertical="center"/>
    </xf>
    <xf numFmtId="0" fontId="163" fillId="26" borderId="0" applyNumberFormat="0" applyProtection="0">
      <alignment horizontal="left" vertical="center"/>
    </xf>
    <xf numFmtId="0" fontId="164" fillId="26" borderId="0" applyNumberFormat="0" applyProtection="0">
      <alignment horizontal="center" vertical="center"/>
    </xf>
    <xf numFmtId="4" fontId="165" fillId="26" borderId="0" applyProtection="0">
      <alignment horizontal="center" vertical="center"/>
    </xf>
    <xf numFmtId="0" fontId="166" fillId="49" borderId="0" applyNumberFormat="0" applyProtection="0">
      <alignment horizontal="center" vertical="center"/>
    </xf>
    <xf numFmtId="4" fontId="167" fillId="49" borderId="0" applyProtection="0">
      <alignment horizontal="center" vertical="center"/>
    </xf>
    <xf numFmtId="0" fontId="152" fillId="26" borderId="0" applyNumberFormat="0" applyProtection="0">
      <alignment horizontal="center" vertical="center"/>
    </xf>
    <xf numFmtId="4" fontId="168" fillId="26" borderId="0" applyProtection="0">
      <alignment horizontal="center" vertical="center"/>
    </xf>
    <xf numFmtId="0" fontId="169" fillId="36" borderId="0" applyNumberFormat="0" applyProtection="0">
      <alignment horizontal="center" vertical="center"/>
    </xf>
    <xf numFmtId="257" fontId="170" fillId="26" borderId="55" applyProtection="0">
      <alignment horizontal="right" vertical="center"/>
    </xf>
    <xf numFmtId="0" fontId="171" fillId="26" borderId="0" applyNumberFormat="0" applyProtection="0">
      <alignment horizontal="left" vertical="center"/>
    </xf>
    <xf numFmtId="257" fontId="170" fillId="26" borderId="0" applyProtection="0">
      <alignment horizontal="right" vertical="center"/>
    </xf>
    <xf numFmtId="0" fontId="172" fillId="26" borderId="0" applyNumberFormat="0" applyProtection="0">
      <alignment horizontal="left" vertical="center"/>
    </xf>
    <xf numFmtId="0" fontId="173" fillId="26" borderId="0" applyNumberFormat="0" applyProtection="0">
      <alignment horizontal="left" vertical="center"/>
    </xf>
    <xf numFmtId="257" fontId="161" fillId="26" borderId="0" applyProtection="0">
      <alignment horizontal="right" vertical="center"/>
    </xf>
    <xf numFmtId="257" fontId="161" fillId="26" borderId="56" applyProtection="0">
      <alignment horizontal="left" vertical="center"/>
    </xf>
    <xf numFmtId="0" fontId="174" fillId="26" borderId="0" applyNumberFormat="0" applyProtection="0">
      <alignment horizontal="left" vertical="center"/>
    </xf>
    <xf numFmtId="257" fontId="161" fillId="26" borderId="57" applyProtection="0">
      <alignment horizontal="right" vertical="center"/>
    </xf>
    <xf numFmtId="257" fontId="161" fillId="26" borderId="57" applyProtection="0">
      <alignment horizontal="right" vertical="center"/>
    </xf>
    <xf numFmtId="257" fontId="161" fillId="26" borderId="57" applyProtection="0">
      <alignment horizontal="right" vertical="center"/>
    </xf>
    <xf numFmtId="257" fontId="161" fillId="26" borderId="57" applyProtection="0">
      <alignment horizontal="right" vertical="center"/>
    </xf>
    <xf numFmtId="257" fontId="161" fillId="26" borderId="57" applyProtection="0">
      <alignment horizontal="right" vertical="center"/>
    </xf>
    <xf numFmtId="257" fontId="161" fillId="26" borderId="57" applyProtection="0">
      <alignment horizontal="right" vertical="center"/>
    </xf>
    <xf numFmtId="0" fontId="175" fillId="26" borderId="0" applyNumberFormat="0" applyProtection="0">
      <alignment horizontal="left" vertical="center"/>
    </xf>
    <xf numFmtId="0" fontId="176" fillId="49" borderId="0" applyNumberFormat="0" applyProtection="0">
      <alignment horizontal="center" vertical="center" wrapText="1"/>
    </xf>
    <xf numFmtId="4" fontId="177" fillId="49" borderId="0" applyProtection="0">
      <alignment horizontal="center" vertical="center"/>
    </xf>
    <xf numFmtId="0" fontId="178" fillId="26" borderId="0" applyNumberFormat="0" applyProtection="0">
      <alignment horizontal="center" vertical="center" wrapText="1"/>
    </xf>
    <xf numFmtId="0" fontId="100" fillId="26" borderId="0" applyNumberFormat="0" applyProtection="0">
      <alignment horizontal="center" vertical="center" wrapText="1"/>
    </xf>
    <xf numFmtId="0" fontId="179" fillId="36" borderId="0" applyNumberFormat="0" applyProtection="0">
      <alignment horizontal="center" vertical="center" wrapText="1"/>
    </xf>
    <xf numFmtId="0" fontId="180" fillId="26" borderId="0" applyNumberFormat="0" applyProtection="0">
      <alignment horizontal="center" vertical="center" wrapText="1"/>
    </xf>
    <xf numFmtId="0" fontId="100" fillId="28" borderId="0" applyNumberFormat="0" applyProtection="0">
      <alignment horizontal="center" vertical="center" wrapText="1"/>
    </xf>
    <xf numFmtId="0" fontId="176" fillId="49" borderId="0" applyNumberFormat="0" applyProtection="0">
      <alignment horizontal="center" vertical="center" wrapText="1"/>
    </xf>
    <xf numFmtId="4" fontId="177" fillId="49" borderId="0" applyProtection="0">
      <alignment horizontal="center" vertical="top" wrapText="1"/>
    </xf>
    <xf numFmtId="0" fontId="178" fillId="26" borderId="0" applyNumberFormat="0" applyProtection="0">
      <alignment horizontal="center" vertical="center" wrapText="1"/>
    </xf>
    <xf numFmtId="4" fontId="181" fillId="26" borderId="0" applyProtection="0">
      <alignment horizontal="center" vertical="top" wrapText="1"/>
    </xf>
    <xf numFmtId="0" fontId="179" fillId="36" borderId="0" applyNumberFormat="0" applyProtection="0">
      <alignment horizontal="center" vertical="center" wrapText="1"/>
    </xf>
    <xf numFmtId="4" fontId="182" fillId="36" borderId="0" applyProtection="0">
      <alignment horizontal="center" vertical="top" wrapText="1"/>
    </xf>
    <xf numFmtId="0" fontId="100" fillId="28" borderId="0" applyNumberFormat="0" applyProtection="0">
      <alignment horizontal="center" vertical="center" wrapText="1"/>
    </xf>
    <xf numFmtId="4" fontId="183" fillId="28" borderId="0" applyProtection="0">
      <alignment horizontal="center" vertical="top" wrapText="1"/>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17" fontId="152" fillId="26" borderId="0" applyProtection="0">
      <alignment horizontal="center" vertical="center"/>
    </xf>
    <xf numFmtId="3" fontId="99" fillId="46" borderId="0">
      <alignment horizontal="left"/>
    </xf>
    <xf numFmtId="40" fontId="184" fillId="0" borderId="0" applyBorder="0">
      <alignment horizontal="right"/>
    </xf>
    <xf numFmtId="0" fontId="185" fillId="0" borderId="0" applyFill="0" applyBorder="0" applyProtection="0">
      <alignment horizontal="center" vertical="center"/>
    </xf>
    <xf numFmtId="0" fontId="10" fillId="0" borderId="0" applyBorder="0" applyProtection="0">
      <alignment vertical="center"/>
    </xf>
    <xf numFmtId="0" fontId="96" fillId="0" borderId="0" applyBorder="0" applyProtection="0">
      <alignment horizontal="left"/>
    </xf>
    <xf numFmtId="0" fontId="106" fillId="0" borderId="0" applyFill="0" applyBorder="0" applyProtection="0">
      <alignment horizontal="left"/>
    </xf>
    <xf numFmtId="0" fontId="28" fillId="0" borderId="58" applyFill="0" applyBorder="0" applyProtection="0">
      <alignment horizontal="left" vertical="top"/>
    </xf>
    <xf numFmtId="0" fontId="28" fillId="0" borderId="58" applyFill="0" applyBorder="0" applyProtection="0">
      <alignment horizontal="left" vertical="top"/>
    </xf>
    <xf numFmtId="0" fontId="28" fillId="0" borderId="58" applyFill="0" applyBorder="0" applyProtection="0">
      <alignment horizontal="left" vertical="top"/>
    </xf>
    <xf numFmtId="40" fontId="10" fillId="0" borderId="0">
      <alignment horizontal="left"/>
      <protection locked="0"/>
    </xf>
    <xf numFmtId="3" fontId="112"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3" fontId="104" fillId="0" borderId="46" applyFill="0">
      <alignment horizontal="right" vertical="center"/>
    </xf>
    <xf numFmtId="0" fontId="27" fillId="0" borderId="0" applyNumberFormat="0" applyFill="0" applyBorder="0" applyAlignment="0" applyProtection="0"/>
    <xf numFmtId="3" fontId="186"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3" fontId="104" fillId="0" borderId="59" applyBorder="0" applyAlignment="0">
      <alignment horizontal="center" vertical="center"/>
    </xf>
    <xf numFmtId="216" fontId="187" fillId="0" borderId="0" applyFill="0" applyBorder="0" applyAlignment="0" applyProtection="0">
      <alignment horizontal="right"/>
    </xf>
    <xf numFmtId="37" fontId="98"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88"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37" fontId="104" fillId="0" borderId="0" applyNumberFormat="0" applyFill="0" applyBorder="0" applyAlignment="0" applyProtection="0"/>
    <xf numFmtId="0" fontId="189" fillId="0" borderId="0">
      <alignment vertical="center"/>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3" fontId="190" fillId="46" borderId="0">
      <alignment horizontal="center"/>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91"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258" fontId="104" fillId="0" borderId="60" applyNumberFormat="0" applyFill="0" applyBorder="0" applyAlignment="0" applyProtection="0">
      <alignment horizontal="left"/>
    </xf>
    <xf numFmtId="0" fontId="192" fillId="0" borderId="36" applyNumberFormat="0" applyProtection="0">
      <alignment horizontal="center"/>
    </xf>
    <xf numFmtId="258" fontId="191" fillId="0" borderId="60" applyNumberFormat="0" applyFill="0" applyBorder="0" applyAlignment="0" applyProtection="0">
      <alignment horizontal="left"/>
    </xf>
    <xf numFmtId="3" fontId="142" fillId="27" borderId="36">
      <alignment horizontal="center" vertical="center"/>
    </xf>
    <xf numFmtId="3" fontId="193" fillId="46" borderId="0">
      <alignment horizontal="left"/>
    </xf>
    <xf numFmtId="259" fontId="194" fillId="0" borderId="0"/>
    <xf numFmtId="3" fontId="100" fillId="50" borderId="0">
      <alignment horizontal="right"/>
    </xf>
    <xf numFmtId="37" fontId="28" fillId="42" borderId="0" applyNumberFormat="0" applyBorder="0" applyAlignment="0" applyProtection="0"/>
    <xf numFmtId="37" fontId="28" fillId="0" borderId="0"/>
    <xf numFmtId="3" fontId="126" fillId="0" borderId="52" applyProtection="0"/>
    <xf numFmtId="4" fontId="195" fillId="0" borderId="0">
      <protection locked="0"/>
    </xf>
    <xf numFmtId="260" fontId="10" fillId="0" borderId="0" applyFont="0" applyFill="0" applyBorder="0" applyAlignment="0" applyProtection="0"/>
    <xf numFmtId="261" fontId="10" fillId="0" borderId="0" applyFont="0" applyFill="0" applyBorder="0" applyAlignment="0" applyProtection="0"/>
    <xf numFmtId="262" fontId="112" fillId="0" borderId="0" applyFont="0" applyFill="0" applyBorder="0" applyAlignment="0" applyProtection="0"/>
    <xf numFmtId="263" fontId="112" fillId="0" borderId="0" applyFont="0" applyFill="0" applyBorder="0" applyAlignment="0" applyProtection="0"/>
    <xf numFmtId="0" fontId="5" fillId="0" borderId="0"/>
    <xf numFmtId="0" fontId="16" fillId="0" borderId="0" applyNumberFormat="0" applyFont="0" applyFill="0" applyBorder="0" applyProtection="0">
      <alignment horizontal="center" vertical="center" wrapText="1"/>
    </xf>
    <xf numFmtId="1" fontId="196" fillId="0" borderId="0">
      <alignment horizontal="center"/>
    </xf>
    <xf numFmtId="1" fontId="197" fillId="0" borderId="0">
      <alignment horizontal="centerContinuous"/>
    </xf>
    <xf numFmtId="249" fontId="10" fillId="0" borderId="0" applyFont="0" applyFill="0" applyBorder="0" applyAlignment="0" applyProtection="0"/>
    <xf numFmtId="252" fontId="10" fillId="0" borderId="0" applyFont="0" applyFill="0" applyBorder="0" applyAlignment="0" applyProtection="0"/>
    <xf numFmtId="264" fontId="10" fillId="0" borderId="0" applyFont="0" applyFill="0" applyBorder="0" applyAlignment="0" applyProtection="0"/>
    <xf numFmtId="265" fontId="10" fillId="0" borderId="0" applyFont="0" applyFill="0" applyBorder="0" applyAlignment="0" applyProtection="0"/>
    <xf numFmtId="168" fontId="5" fillId="0" borderId="0" applyFont="0" applyFill="0" applyBorder="0" applyAlignment="0" applyProtection="0"/>
    <xf numFmtId="9" fontId="5" fillId="0" borderId="0" applyFont="0" applyFill="0" applyBorder="0" applyAlignment="0" applyProtection="0"/>
    <xf numFmtId="37" fontId="198" fillId="0" borderId="0"/>
    <xf numFmtId="40" fontId="16" fillId="0" borderId="0" applyFont="0" applyFill="0" applyBorder="0" applyAlignment="0" applyProtection="0"/>
    <xf numFmtId="37" fontId="198" fillId="0" borderId="0"/>
    <xf numFmtId="40" fontId="16" fillId="0" borderId="0" applyFont="0" applyFill="0" applyBorder="0" applyAlignment="0" applyProtection="0"/>
    <xf numFmtId="0" fontId="10" fillId="0" borderId="0"/>
    <xf numFmtId="168" fontId="5" fillId="0" borderId="0" applyFont="0" applyFill="0" applyBorder="0" applyAlignment="0" applyProtection="0"/>
    <xf numFmtId="0" fontId="10" fillId="0" borderId="0"/>
    <xf numFmtId="168" fontId="5" fillId="0" borderId="0" applyFont="0" applyFill="0" applyBorder="0" applyAlignment="0" applyProtection="0"/>
    <xf numFmtId="0" fontId="10" fillId="0" borderId="0"/>
    <xf numFmtId="0" fontId="10" fillId="0" borderId="0"/>
    <xf numFmtId="168" fontId="5" fillId="0" borderId="0" applyFont="0" applyFill="0" applyBorder="0" applyAlignment="0" applyProtection="0"/>
    <xf numFmtId="0" fontId="120" fillId="0" borderId="0"/>
    <xf numFmtId="167" fontId="5" fillId="0" borderId="0" applyFont="0" applyFill="0" applyBorder="0" applyAlignment="0" applyProtection="0"/>
    <xf numFmtId="0" fontId="10" fillId="0" borderId="0"/>
    <xf numFmtId="0" fontId="5" fillId="0" borderId="0"/>
    <xf numFmtId="168" fontId="9" fillId="0" borderId="0" applyFont="0" applyFill="0" applyBorder="0" applyAlignment="0" applyProtection="0"/>
    <xf numFmtId="0" fontId="5" fillId="0" borderId="0"/>
    <xf numFmtId="0" fontId="199" fillId="0" borderId="0"/>
    <xf numFmtId="0" fontId="199" fillId="0" borderId="0"/>
    <xf numFmtId="37" fontId="198" fillId="0" borderId="0"/>
    <xf numFmtId="0" fontId="10" fillId="0" borderId="0"/>
    <xf numFmtId="168" fontId="10" fillId="0" borderId="0" applyFont="0" applyFill="0" applyBorder="0" applyAlignment="0" applyProtection="0"/>
    <xf numFmtId="0" fontId="200" fillId="0" borderId="0" applyNumberFormat="0" applyFill="0" applyBorder="0" applyAlignment="0" applyProtection="0"/>
    <xf numFmtId="168" fontId="10" fillId="0" borderId="0" applyFont="0" applyFill="0" applyBorder="0" applyAlignment="0" applyProtection="0"/>
    <xf numFmtId="0" fontId="96" fillId="0" borderId="61" applyNumberFormat="0" applyFill="0" applyProtection="0">
      <alignment wrapText="1"/>
    </xf>
    <xf numFmtId="0" fontId="96" fillId="0" borderId="61" applyNumberFormat="0" applyFill="0" applyProtection="0">
      <alignment horizontal="center" wrapText="1"/>
    </xf>
    <xf numFmtId="0" fontId="5" fillId="0" borderId="0"/>
    <xf numFmtId="0" fontId="203" fillId="51" borderId="0" applyNumberFormat="0" applyBorder="0" applyAlignment="0" applyProtection="0"/>
    <xf numFmtId="0" fontId="204" fillId="0" borderId="66" applyNumberFormat="0" applyFill="0" applyAlignment="0" applyProtection="0"/>
    <xf numFmtId="0" fontId="4" fillId="0" borderId="0"/>
    <xf numFmtId="168" fontId="4" fillId="0" borderId="0" applyFont="0" applyFill="0" applyBorder="0" applyAlignment="0" applyProtection="0"/>
    <xf numFmtId="9" fontId="4" fillId="0" borderId="0" applyFont="0" applyFill="0" applyBorder="0" applyAlignment="0" applyProtection="0"/>
    <xf numFmtId="216" fontId="119" fillId="0" borderId="0" applyFont="0" applyFill="0" applyBorder="0" applyAlignment="0" applyProtection="0"/>
    <xf numFmtId="269" fontId="120" fillId="0" borderId="0" applyFont="0" applyFill="0" applyBorder="0" applyAlignment="0" applyProtection="0"/>
    <xf numFmtId="270" fontId="120" fillId="0" borderId="0" applyFont="0" applyFill="0" applyBorder="0" applyAlignment="0" applyProtection="0"/>
    <xf numFmtId="271" fontId="120" fillId="0" borderId="0" applyFont="0" applyFill="0" applyBorder="0" applyAlignment="0" applyProtection="0"/>
    <xf numFmtId="272" fontId="10" fillId="0" borderId="0" applyFont="0" applyFill="0" applyBorder="0" applyAlignment="0" applyProtection="0"/>
    <xf numFmtId="273" fontId="120" fillId="0" borderId="0" applyFont="0" applyFill="0" applyBorder="0" applyAlignment="0" applyProtection="0"/>
    <xf numFmtId="274" fontId="120" fillId="0" borderId="0" applyFont="0" applyFill="0" applyBorder="0" applyAlignment="0" applyProtection="0"/>
    <xf numFmtId="0" fontId="206" fillId="0" borderId="0" applyNumberFormat="0" applyFill="0" applyBorder="0" applyAlignment="0" applyProtection="0"/>
    <xf numFmtId="0" fontId="120" fillId="14" borderId="0" applyNumberFormat="0" applyFont="0" applyAlignment="0" applyProtection="0"/>
    <xf numFmtId="275" fontId="120" fillId="0" borderId="0" applyFont="0" applyFill="0" applyBorder="0" applyAlignment="0" applyProtection="0"/>
    <xf numFmtId="276" fontId="120" fillId="0" borderId="0" applyFont="0" applyFill="0" applyBorder="0" applyProtection="0">
      <alignment horizontal="right"/>
    </xf>
    <xf numFmtId="269" fontId="10" fillId="0" borderId="0" applyFont="0" applyFill="0" applyBorder="0" applyProtection="0">
      <alignment horizontal="right"/>
    </xf>
    <xf numFmtId="0" fontId="207" fillId="0" borderId="0" applyNumberFormat="0" applyFill="0" applyBorder="0" applyProtection="0">
      <alignment vertical="top"/>
    </xf>
    <xf numFmtId="0" fontId="183" fillId="0" borderId="67" applyNumberFormat="0" applyFill="0" applyAlignment="0" applyProtection="0"/>
    <xf numFmtId="0" fontId="208" fillId="0" borderId="68" applyNumberFormat="0" applyFill="0" applyProtection="0">
      <alignment horizontal="center"/>
    </xf>
    <xf numFmtId="0" fontId="208" fillId="0" borderId="0" applyNumberFormat="0" applyFill="0" applyBorder="0" applyProtection="0">
      <alignment horizontal="left"/>
    </xf>
    <xf numFmtId="0" fontId="209" fillId="0" borderId="0" applyNumberFormat="0" applyFill="0" applyBorder="0" applyProtection="0">
      <alignment horizontal="centerContinuous"/>
    </xf>
    <xf numFmtId="0" fontId="29" fillId="0" borderId="0" applyNumberFormat="0" applyFill="0" applyBorder="0" applyAlignment="0" applyProtection="0">
      <alignment vertical="top"/>
      <protection locked="0"/>
    </xf>
    <xf numFmtId="0" fontId="210" fillId="0" borderId="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200" fontId="98" fillId="0" borderId="0" applyFont="0" applyFill="0" applyBorder="0" applyAlignment="0" applyProtection="0"/>
    <xf numFmtId="277" fontId="10" fillId="0" borderId="0" applyFont="0" applyFill="0" applyBorder="0" applyAlignment="0" applyProtection="0"/>
    <xf numFmtId="201" fontId="98" fillId="0" borderId="0" applyFont="0" applyFill="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2" fillId="15"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32" fillId="0" borderId="0" applyNumberFormat="0" applyFill="0" applyBorder="0" applyAlignment="0" applyProtection="0">
      <alignment vertical="top"/>
      <protection locked="0"/>
    </xf>
    <xf numFmtId="1" fontId="211" fillId="0" borderId="0" applyFill="0" applyBorder="0" applyProtection="0">
      <alignment horizontal="right" wrapText="1"/>
      <protection locked="0"/>
    </xf>
    <xf numFmtId="171" fontId="10" fillId="0" borderId="0" applyFill="0" applyBorder="0" applyProtection="0">
      <alignment horizontal="right"/>
      <protection locked="0"/>
    </xf>
    <xf numFmtId="0" fontId="212" fillId="0" borderId="0" applyNumberFormat="0" applyFill="0" applyBorder="0" applyProtection="0">
      <protection locked="0"/>
    </xf>
    <xf numFmtId="171" fontId="10" fillId="0" borderId="0">
      <protection locked="0"/>
    </xf>
    <xf numFmtId="0" fontId="213" fillId="0" borderId="0" applyNumberFormat="0" applyFill="0" applyBorder="0" applyAlignment="0" applyProtection="0"/>
    <xf numFmtId="0" fontId="10" fillId="0" borderId="69"/>
    <xf numFmtId="0" fontId="18" fillId="4" borderId="0" applyNumberFormat="0" applyBorder="0" applyAlignment="0" applyProtection="0"/>
    <xf numFmtId="268" fontId="97" fillId="0" borderId="70" applyAlignment="0" applyProtection="0"/>
    <xf numFmtId="0" fontId="10" fillId="0" borderId="0"/>
    <xf numFmtId="0" fontId="10" fillId="0" borderId="0" applyFill="0" applyBorder="0" applyAlignment="0"/>
    <xf numFmtId="278" fontId="10" fillId="0" borderId="0" applyFill="0" applyBorder="0" applyAlignment="0"/>
    <xf numFmtId="279" fontId="10" fillId="0" borderId="0" applyFill="0" applyBorder="0" applyAlignment="0"/>
    <xf numFmtId="280" fontId="10" fillId="0" borderId="0" applyFill="0" applyBorder="0" applyAlignment="0"/>
    <xf numFmtId="281" fontId="10" fillId="0" borderId="0" applyFill="0" applyBorder="0" applyAlignment="0"/>
    <xf numFmtId="14" fontId="10" fillId="0" borderId="0" applyFill="0" applyBorder="0" applyAlignment="0"/>
    <xf numFmtId="282" fontId="10" fillId="0" borderId="0" applyFill="0" applyBorder="0" applyAlignment="0"/>
    <xf numFmtId="278" fontId="10" fillId="0" borderId="0" applyFill="0" applyBorder="0" applyAlignment="0"/>
    <xf numFmtId="0" fontId="14" fillId="8" borderId="1" applyNumberFormat="0" applyAlignment="0" applyProtection="0"/>
    <xf numFmtId="0" fontId="15" fillId="19" borderId="2" applyNumberFormat="0" applyAlignment="0" applyProtection="0"/>
    <xf numFmtId="0" fontId="23" fillId="0" borderId="3" applyNumberFormat="0" applyFill="0" applyAlignment="0" applyProtection="0"/>
    <xf numFmtId="1" fontId="214" fillId="0" borderId="0">
      <protection locked="0"/>
    </xf>
    <xf numFmtId="0" fontId="96" fillId="0" borderId="0" applyNumberFormat="0" applyFill="0" applyBorder="0" applyProtection="0">
      <alignment wrapText="1"/>
    </xf>
    <xf numFmtId="0" fontId="94" fillId="0" borderId="0" applyNumberFormat="0" applyFill="0" applyBorder="0" applyProtection="0"/>
    <xf numFmtId="0" fontId="215" fillId="0" borderId="0" applyNumberFormat="0" applyFill="0" applyBorder="0" applyProtection="0">
      <alignment horizontal="center" wrapText="1"/>
    </xf>
    <xf numFmtId="0" fontId="96" fillId="0" borderId="65" applyNumberFormat="0" applyFill="0" applyProtection="0">
      <alignment horizontal="right" wrapText="1"/>
    </xf>
    <xf numFmtId="0" fontId="96" fillId="0" borderId="65" applyNumberFormat="0" applyFill="0" applyProtection="0">
      <alignment horizontal="left" wrapText="1"/>
    </xf>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4" fontId="10" fillId="0" borderId="0" applyFont="0" applyFill="0" applyBorder="0" applyAlignment="0" applyProtection="0"/>
    <xf numFmtId="0" fontId="217" fillId="0" borderId="0" applyFont="0" applyFill="0" applyBorder="0" applyAlignment="0" applyProtection="0">
      <alignment horizontal="right"/>
    </xf>
    <xf numFmtId="0" fontId="98" fillId="0" borderId="0" applyFont="0" applyFill="0" applyBorder="0" applyAlignment="0" applyProtection="0"/>
    <xf numFmtId="283" fontId="10" fillId="0" borderId="0" applyFont="0" applyFill="0" applyBorder="0" applyAlignment="0" applyProtection="0">
      <alignment horizontal="right"/>
    </xf>
    <xf numFmtId="0" fontId="217" fillId="0" borderId="0" applyFont="0" applyFill="0" applyBorder="0" applyAlignment="0" applyProtection="0">
      <alignment horizontal="right"/>
    </xf>
    <xf numFmtId="168" fontId="10" fillId="0" borderId="0" applyFont="0" applyFill="0" applyBorder="0" applyAlignment="0" applyProtection="0"/>
    <xf numFmtId="3" fontId="218" fillId="0" borderId="0" applyFont="0" applyFill="0" applyBorder="0" applyAlignment="0" applyProtection="0"/>
    <xf numFmtId="0" fontId="219" fillId="0" borderId="0">
      <alignment horizontal="left"/>
    </xf>
    <xf numFmtId="0" fontId="220" fillId="0" borderId="0"/>
    <xf numFmtId="0" fontId="221" fillId="0" borderId="0">
      <alignment horizontal="left"/>
    </xf>
    <xf numFmtId="278" fontId="10" fillId="0" borderId="0" applyFont="0" applyFill="0" applyBorder="0" applyAlignment="0" applyProtection="0"/>
    <xf numFmtId="0" fontId="217" fillId="0" borderId="0" applyFont="0" applyFill="0" applyBorder="0" applyAlignment="0" applyProtection="0">
      <alignment horizontal="right"/>
    </xf>
    <xf numFmtId="0" fontId="217" fillId="0" borderId="0" applyFont="0" applyFill="0" applyBorder="0" applyAlignment="0" applyProtection="0">
      <alignment horizontal="right"/>
    </xf>
    <xf numFmtId="0" fontId="217" fillId="0" borderId="0" applyFont="0" applyFill="0" applyBorder="0" applyAlignment="0" applyProtection="0"/>
    <xf numFmtId="199" fontId="10" fillId="0" borderId="0" applyFont="0" applyFill="0" applyBorder="0" applyAlignment="0" applyProtection="0"/>
    <xf numFmtId="0" fontId="129" fillId="0" borderId="0">
      <protection locked="0"/>
    </xf>
    <xf numFmtId="0" fontId="218" fillId="0" borderId="0" applyFont="0" applyFill="0" applyBorder="0" applyAlignment="0" applyProtection="0"/>
    <xf numFmtId="0" fontId="217" fillId="0" borderId="0" applyFont="0" applyFill="0" applyBorder="0" applyAlignment="0" applyProtection="0"/>
    <xf numFmtId="14" fontId="101" fillId="0" borderId="0" applyFill="0" applyBorder="0" applyAlignment="0"/>
    <xf numFmtId="17" fontId="222" fillId="0" borderId="70" applyFont="0" applyFill="0" applyBorder="0" applyAlignment="0" applyProtection="0"/>
    <xf numFmtId="0" fontId="217" fillId="0" borderId="53" applyNumberFormat="0" applyFont="0" applyFill="0" applyAlignment="0" applyProtection="0"/>
    <xf numFmtId="0" fontId="94" fillId="0" borderId="0" applyNumberFormat="0" applyFill="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3" borderId="0" applyNumberFormat="0" applyBorder="0" applyAlignment="0" applyProtection="0"/>
    <xf numFmtId="14" fontId="10" fillId="0" borderId="0" applyFill="0" applyBorder="0" applyAlignment="0"/>
    <xf numFmtId="278" fontId="10" fillId="0" borderId="0" applyFill="0" applyBorder="0" applyAlignment="0"/>
    <xf numFmtId="14" fontId="10" fillId="0" borderId="0" applyFill="0" applyBorder="0" applyAlignment="0"/>
    <xf numFmtId="282" fontId="10" fillId="0" borderId="0" applyFill="0" applyBorder="0" applyAlignment="0"/>
    <xf numFmtId="278" fontId="10" fillId="0" borderId="0" applyFill="0" applyBorder="0" applyAlignment="0"/>
    <xf numFmtId="0" fontId="22" fillId="7" borderId="1" applyNumberFormat="0" applyAlignment="0" applyProtection="0"/>
    <xf numFmtId="0" fontId="10" fillId="0" borderId="0">
      <alignment vertical="top"/>
    </xf>
    <xf numFmtId="0" fontId="10" fillId="0" borderId="0">
      <alignment vertical="top"/>
    </xf>
    <xf numFmtId="284" fontId="223" fillId="0" borderId="0" applyFont="0" applyFill="0" applyBorder="0" applyAlignment="0" applyProtection="0"/>
    <xf numFmtId="245" fontId="130" fillId="0" borderId="0">
      <protection locked="0"/>
    </xf>
    <xf numFmtId="245" fontId="129" fillId="0" borderId="0">
      <protection locked="0"/>
    </xf>
    <xf numFmtId="245" fontId="224" fillId="0" borderId="0">
      <protection locked="0"/>
    </xf>
    <xf numFmtId="245" fontId="129" fillId="0" borderId="0">
      <protection locked="0"/>
    </xf>
    <xf numFmtId="245" fontId="129" fillId="0" borderId="0">
      <protection locked="0"/>
    </xf>
    <xf numFmtId="245" fontId="129" fillId="0" borderId="0">
      <protection locked="0"/>
    </xf>
    <xf numFmtId="245" fontId="225" fillId="0" borderId="0">
      <protection locked="0"/>
    </xf>
    <xf numFmtId="2" fontId="218" fillId="0" borderId="0" applyFont="0" applyFill="0" applyBorder="0" applyAlignment="0" applyProtection="0"/>
    <xf numFmtId="285" fontId="129" fillId="0" borderId="0">
      <protection locked="0"/>
    </xf>
    <xf numFmtId="0" fontId="226" fillId="0" borderId="0">
      <alignment horizontal="left"/>
    </xf>
    <xf numFmtId="0" fontId="227" fillId="0" borderId="0">
      <alignment horizontal="left"/>
    </xf>
    <xf numFmtId="0" fontId="228" fillId="0" borderId="0" applyFill="0" applyBorder="0" applyProtection="0">
      <alignment horizontal="left"/>
    </xf>
    <xf numFmtId="0" fontId="228" fillId="0" borderId="0">
      <alignment horizontal="left"/>
    </xf>
    <xf numFmtId="0" fontId="113" fillId="0" borderId="0" applyFill="0" applyBorder="0" applyProtection="0">
      <alignment horizontal="left"/>
    </xf>
    <xf numFmtId="170" fontId="10" fillId="0" borderId="0" applyFont="0" applyFill="0" applyBorder="0" applyAlignment="0" applyProtection="0">
      <protection locked="0"/>
    </xf>
    <xf numFmtId="13" fontId="124" fillId="0" borderId="0" applyFont="0" applyFill="0" applyBorder="0" applyAlignment="0" applyProtection="0">
      <protection locked="0"/>
    </xf>
    <xf numFmtId="0" fontId="28" fillId="0" borderId="0" applyNumberFormat="0" applyFill="0" applyBorder="0" applyProtection="0">
      <alignment wrapText="1"/>
    </xf>
    <xf numFmtId="0" fontId="119" fillId="0" borderId="0" applyNumberFormat="0" applyFill="0" applyBorder="0" applyProtection="0">
      <alignment wrapText="1"/>
    </xf>
    <xf numFmtId="174" fontId="229" fillId="0" borderId="0" applyFill="0" applyBorder="0" applyProtection="0">
      <alignment horizontal="right"/>
      <protection locked="0"/>
    </xf>
    <xf numFmtId="0" fontId="217" fillId="0" borderId="0" applyFont="0" applyFill="0" applyBorder="0" applyAlignment="0" applyProtection="0">
      <alignment horizontal="right"/>
    </xf>
    <xf numFmtId="0" fontId="230" fillId="0" borderId="0" applyProtection="0">
      <alignment horizontal="right"/>
    </xf>
    <xf numFmtId="0" fontId="231" fillId="0" borderId="0">
      <alignment horizontal="left"/>
    </xf>
    <xf numFmtId="0" fontId="231" fillId="0" borderId="0">
      <alignment horizontal="left"/>
    </xf>
    <xf numFmtId="0" fontId="19" fillId="0" borderId="71" applyNumberFormat="0" applyFill="0" applyAlignment="0" applyProtection="0"/>
    <xf numFmtId="0" fontId="232" fillId="0" borderId="0">
      <alignment horizontal="left"/>
    </xf>
    <xf numFmtId="0" fontId="233" fillId="0" borderId="58">
      <alignment horizontal="left" vertical="top"/>
    </xf>
    <xf numFmtId="0" fontId="20" fillId="0" borderId="72" applyNumberFormat="0" applyFill="0" applyAlignment="0" applyProtection="0"/>
    <xf numFmtId="0" fontId="234" fillId="0" borderId="0">
      <alignment horizontal="left"/>
    </xf>
    <xf numFmtId="0" fontId="235" fillId="0" borderId="58">
      <alignment horizontal="left" vertical="top"/>
    </xf>
    <xf numFmtId="0" fontId="236" fillId="0" borderId="0">
      <alignment horizontal="left"/>
    </xf>
    <xf numFmtId="0" fontId="237" fillId="0" borderId="0" applyNumberFormat="0" applyFill="0" applyBorder="0" applyAlignment="0" applyProtection="0">
      <alignment vertical="top"/>
      <protection locked="0"/>
    </xf>
    <xf numFmtId="0" fontId="13" fillId="3" borderId="0" applyNumberFormat="0" applyBorder="0" applyAlignment="0" applyProtection="0"/>
    <xf numFmtId="0" fontId="238" fillId="0" borderId="0"/>
    <xf numFmtId="13" fontId="211" fillId="0" borderId="43" applyNumberFormat="0" applyFont="0" applyFill="0" applyAlignment="0" applyProtection="0">
      <alignment horizontal="right" wrapText="1"/>
      <protection locked="0"/>
    </xf>
    <xf numFmtId="0" fontId="28" fillId="0" borderId="0" applyNumberFormat="0" applyFill="0" applyBorder="0" applyProtection="0">
      <alignment horizontal="left"/>
    </xf>
    <xf numFmtId="0" fontId="96" fillId="0" borderId="0" applyNumberFormat="0" applyFill="0" applyBorder="0" applyProtection="0">
      <alignment horizontal="left"/>
    </xf>
    <xf numFmtId="14" fontId="10" fillId="0" borderId="0" applyFill="0" applyBorder="0" applyAlignment="0"/>
    <xf numFmtId="278" fontId="10" fillId="0" borderId="0" applyFill="0" applyBorder="0" applyAlignment="0"/>
    <xf numFmtId="14" fontId="10" fillId="0" borderId="0" applyFill="0" applyBorder="0" applyAlignment="0"/>
    <xf numFmtId="282" fontId="10" fillId="0" borderId="0" applyFill="0" applyBorder="0" applyAlignment="0"/>
    <xf numFmtId="278" fontId="10" fillId="0" borderId="0" applyFill="0" applyBorder="0" applyAlignment="0"/>
    <xf numFmtId="166" fontId="10" fillId="0" borderId="0" applyFont="0" applyFill="0" applyBorder="0" applyAlignment="0" applyProtection="0"/>
    <xf numFmtId="168" fontId="10" fillId="0" borderId="0" applyFont="0" applyFill="0" applyBorder="0" applyAlignment="0" applyProtection="0"/>
    <xf numFmtId="201" fontId="10" fillId="0" borderId="0" applyFont="0" applyFill="0" applyBorder="0" applyAlignment="0" applyProtection="0"/>
    <xf numFmtId="42" fontId="10" fillId="0" borderId="0" applyFont="0" applyFill="0" applyBorder="0" applyAlignment="0" applyProtection="0"/>
    <xf numFmtId="44" fontId="10" fillId="0" borderId="0" applyFont="0" applyFill="0" applyBorder="0" applyAlignment="0" applyProtection="0"/>
    <xf numFmtId="0" fontId="217" fillId="0" borderId="0" applyFont="0" applyFill="0" applyBorder="0" applyAlignment="0" applyProtection="0">
      <alignment horizontal="right"/>
    </xf>
    <xf numFmtId="0" fontId="98" fillId="0" borderId="0" applyFont="0" applyFill="0" applyBorder="0" applyAlignment="0" applyProtection="0">
      <alignment horizontal="right"/>
    </xf>
    <xf numFmtId="0" fontId="24" fillId="14" borderId="0" applyNumberFormat="0" applyBorder="0" applyAlignment="0" applyProtection="0"/>
    <xf numFmtId="0" fontId="4" fillId="0" borderId="0"/>
    <xf numFmtId="0" fontId="14" fillId="8" borderId="1" applyNumberFormat="0" applyAlignment="0" applyProtection="0"/>
    <xf numFmtId="0" fontId="9" fillId="0" borderId="0"/>
    <xf numFmtId="0" fontId="234" fillId="0" borderId="0"/>
    <xf numFmtId="0" fontId="10" fillId="9" borderId="8" applyNumberFormat="0" applyFont="0" applyAlignment="0" applyProtection="0"/>
    <xf numFmtId="286" fontId="28" fillId="0" borderId="0" applyFill="0" applyBorder="0" applyProtection="0">
      <alignment horizontal="right" wrapText="1"/>
    </xf>
    <xf numFmtId="286" fontId="96" fillId="0" borderId="0" applyFill="0" applyBorder="0" applyProtection="0">
      <alignment horizontal="right" wrapText="1"/>
    </xf>
    <xf numFmtId="287" fontId="28" fillId="0" borderId="0" applyFill="0" applyBorder="0" applyProtection="0">
      <alignment horizontal="right" wrapText="1"/>
    </xf>
    <xf numFmtId="287" fontId="96" fillId="0" borderId="0" applyFill="0" applyBorder="0" applyProtection="0">
      <alignment horizontal="right" wrapText="1"/>
    </xf>
    <xf numFmtId="286" fontId="28" fillId="0" borderId="0" applyFill="0" applyBorder="0" applyProtection="0">
      <alignment horizontal="right" wrapText="1"/>
    </xf>
    <xf numFmtId="286" fontId="96" fillId="0" borderId="0" applyFill="0" applyBorder="0" applyProtection="0">
      <alignment horizontal="right" wrapText="1"/>
    </xf>
    <xf numFmtId="288" fontId="28" fillId="0" borderId="0" applyFill="0" applyBorder="0" applyProtection="0">
      <alignment horizontal="right" wrapText="1"/>
    </xf>
    <xf numFmtId="288" fontId="96" fillId="0" borderId="0" applyFill="0" applyBorder="0" applyProtection="0">
      <alignment horizontal="right" wrapText="1"/>
    </xf>
    <xf numFmtId="3" fontId="10" fillId="0" borderId="0" applyFont="0" applyFill="0" applyBorder="0" applyAlignment="0" applyProtection="0"/>
    <xf numFmtId="1" fontId="239" fillId="0" borderId="0" applyProtection="0">
      <alignment horizontal="right" vertical="center"/>
    </xf>
    <xf numFmtId="281" fontId="10" fillId="0" borderId="0" applyFont="0" applyFill="0" applyBorder="0" applyAlignment="0" applyProtection="0"/>
    <xf numFmtId="289" fontId="10" fillId="0" borderId="0" applyFont="0" applyFill="0" applyBorder="0" applyAlignment="0" applyProtection="0"/>
    <xf numFmtId="9" fontId="10" fillId="0" borderId="0" applyFont="0" applyFill="0" applyBorder="0" applyAlignment="0" applyProtection="0"/>
    <xf numFmtId="290" fontId="129" fillId="0" borderId="0">
      <protection locked="0"/>
    </xf>
    <xf numFmtId="291" fontId="129" fillId="0" borderId="0">
      <protection locked="0"/>
    </xf>
    <xf numFmtId="0" fontId="12" fillId="21" borderId="0" applyNumberFormat="0" applyBorder="0" applyAlignment="0" applyProtection="0"/>
    <xf numFmtId="9" fontId="9" fillId="0" borderId="0" applyFont="0" applyFill="0" applyBorder="0" applyAlignment="0" applyProtection="0"/>
    <xf numFmtId="10" fontId="10" fillId="0" borderId="0" applyFill="0" applyBorder="0" applyAlignment="0" applyProtection="0"/>
    <xf numFmtId="14" fontId="10" fillId="0" borderId="0" applyFill="0" applyBorder="0" applyAlignment="0"/>
    <xf numFmtId="278" fontId="10" fillId="0" borderId="0" applyFill="0" applyBorder="0" applyAlignment="0"/>
    <xf numFmtId="14" fontId="10" fillId="0" borderId="0" applyFill="0" applyBorder="0" applyAlignment="0"/>
    <xf numFmtId="282" fontId="10" fillId="0" borderId="0" applyFill="0" applyBorder="0" applyAlignment="0"/>
    <xf numFmtId="278" fontId="10" fillId="0" borderId="0" applyFill="0" applyBorder="0" applyAlignment="0"/>
    <xf numFmtId="0" fontId="120" fillId="0" borderId="0" applyNumberFormat="0" applyFont="0" applyFill="0" applyBorder="0" applyAlignment="0" applyProtection="0">
      <alignment horizontal="left"/>
    </xf>
    <xf numFmtId="15" fontId="120" fillId="0" borderId="0" applyFont="0" applyFill="0" applyBorder="0" applyAlignment="0" applyProtection="0"/>
    <xf numFmtId="37" fontId="10" fillId="0" borderId="0" applyFill="0" applyBorder="0" applyAlignment="0" applyProtection="0"/>
    <xf numFmtId="0" fontId="240" fillId="0" borderId="0" applyNumberFormat="0" applyFill="0" applyBorder="0" applyProtection="0">
      <protection locked="0"/>
    </xf>
    <xf numFmtId="292" fontId="112" fillId="0" borderId="0" applyNumberFormat="0" applyFill="0" applyBorder="0" applyAlignment="0" applyProtection="0">
      <alignment horizontal="left"/>
    </xf>
    <xf numFmtId="0" fontId="25" fillId="8" borderId="9" applyNumberFormat="0" applyAlignment="0" applyProtection="0"/>
    <xf numFmtId="0" fontId="227" fillId="0" borderId="73">
      <alignment vertical="center"/>
    </xf>
    <xf numFmtId="0" fontId="10" fillId="41" borderId="74"/>
    <xf numFmtId="168" fontId="9" fillId="0" borderId="0" applyFont="0" applyFill="0" applyBorder="0" applyAlignment="0" applyProtection="0"/>
    <xf numFmtId="171" fontId="10" fillId="53" borderId="0" applyNumberFormat="0" applyFont="0" applyBorder="0" applyAlignment="0" applyProtection="0">
      <protection locked="0"/>
    </xf>
    <xf numFmtId="0" fontId="10" fillId="0" borderId="0"/>
    <xf numFmtId="0" fontId="10" fillId="0" borderId="0">
      <alignment vertical="top"/>
    </xf>
    <xf numFmtId="0" fontId="10" fillId="0" borderId="0">
      <alignment vertical="top"/>
    </xf>
    <xf numFmtId="0" fontId="10" fillId="0" borderId="0" applyNumberFormat="0" applyFont="0" applyFill="0" applyBorder="0" applyAlignment="0" applyProtection="0"/>
    <xf numFmtId="0" fontId="96" fillId="0" borderId="0" applyNumberFormat="0" applyFill="0" applyBorder="0" applyProtection="0">
      <alignment wrapText="1"/>
    </xf>
    <xf numFmtId="0" fontId="28" fillId="0" borderId="0" applyNumberFormat="0" applyFill="0" applyBorder="0" applyProtection="0">
      <alignment wrapText="1"/>
    </xf>
    <xf numFmtId="0" fontId="28" fillId="0" borderId="0" applyNumberFormat="0" applyFill="0" applyBorder="0" applyProtection="0">
      <alignment horizontal="right" wrapText="1"/>
    </xf>
    <xf numFmtId="0" fontId="28" fillId="0" borderId="0" applyNumberFormat="0" applyFill="0" applyBorder="0" applyProtection="0">
      <alignment horizontal="left" vertical="top" wrapText="1"/>
    </xf>
    <xf numFmtId="0" fontId="185" fillId="0" borderId="61" applyNumberFormat="0" applyFill="0" applyProtection="0">
      <alignment horizontal="left" wrapText="1"/>
    </xf>
    <xf numFmtId="0" fontId="185" fillId="0" borderId="0" applyNumberFormat="0" applyFill="0" applyBorder="0" applyProtection="0">
      <alignment horizontal="right" wrapText="1"/>
    </xf>
    <xf numFmtId="293" fontId="28" fillId="0" borderId="0" applyFill="0" applyBorder="0" applyProtection="0">
      <alignment horizontal="right" wrapText="1"/>
    </xf>
    <xf numFmtId="176" fontId="28" fillId="0" borderId="0" applyFill="0" applyBorder="0" applyProtection="0">
      <alignment horizontal="right" wrapText="1"/>
    </xf>
    <xf numFmtId="4" fontId="28" fillId="0" borderId="0" applyFill="0" applyBorder="0" applyProtection="0">
      <alignment horizontal="right" wrapText="1"/>
    </xf>
    <xf numFmtId="176" fontId="28" fillId="0" borderId="0" applyFill="0" applyBorder="0" applyProtection="0">
      <alignment horizontal="right" wrapText="1"/>
    </xf>
    <xf numFmtId="3" fontId="28" fillId="0" borderId="0" applyFill="0" applyBorder="0" applyProtection="0">
      <alignment horizontal="right" wrapText="1"/>
    </xf>
    <xf numFmtId="167" fontId="28" fillId="0" borderId="0" applyFill="0" applyBorder="0" applyProtection="0">
      <alignment horizontal="right" wrapText="1"/>
    </xf>
    <xf numFmtId="167" fontId="96" fillId="0" borderId="0" applyFill="0" applyBorder="0" applyProtection="0">
      <alignment horizontal="right" wrapText="1"/>
    </xf>
    <xf numFmtId="294" fontId="28" fillId="0" borderId="0" applyFill="0" applyBorder="0" applyProtection="0">
      <alignment horizontal="right" wrapText="1"/>
    </xf>
    <xf numFmtId="294" fontId="96" fillId="0" borderId="0" applyFill="0" applyBorder="0" applyProtection="0">
      <alignment horizontal="right" wrapText="1"/>
    </xf>
    <xf numFmtId="167" fontId="241" fillId="0" borderId="0" applyFill="0" applyBorder="0" applyProtection="0">
      <alignment horizontal="right" wrapText="1"/>
    </xf>
    <xf numFmtId="256" fontId="28" fillId="0" borderId="0" applyFill="0" applyBorder="0" applyProtection="0">
      <alignment horizontal="right" wrapText="1"/>
    </xf>
    <xf numFmtId="40" fontId="242" fillId="0" borderId="0" applyBorder="0">
      <alignment horizontal="right"/>
    </xf>
    <xf numFmtId="0" fontId="243" fillId="0" borderId="0" applyBorder="0" applyProtection="0">
      <alignment vertical="center"/>
    </xf>
    <xf numFmtId="0" fontId="243" fillId="0" borderId="65" applyBorder="0" applyProtection="0">
      <alignment horizontal="right" vertical="center"/>
    </xf>
    <xf numFmtId="0" fontId="244" fillId="38" borderId="0" applyBorder="0" applyProtection="0">
      <alignment horizontal="centerContinuous" vertical="center"/>
    </xf>
    <xf numFmtId="0" fontId="244" fillId="36" borderId="65" applyBorder="0" applyProtection="0">
      <alignment horizontal="centerContinuous" vertical="center"/>
    </xf>
    <xf numFmtId="0" fontId="245" fillId="0" borderId="0">
      <alignment horizontal="left"/>
    </xf>
    <xf numFmtId="0" fontId="228" fillId="0" borderId="0">
      <alignment horizontal="left"/>
    </xf>
    <xf numFmtId="0" fontId="234" fillId="0" borderId="0"/>
    <xf numFmtId="0" fontId="246" fillId="0" borderId="0" applyFill="0" applyBorder="0" applyProtection="0">
      <alignment horizontal="left"/>
    </xf>
    <xf numFmtId="0" fontId="228" fillId="0" borderId="58" applyFill="0" applyBorder="0" applyProtection="0">
      <alignment horizontal="left" vertical="top"/>
    </xf>
    <xf numFmtId="0" fontId="247" fillId="0" borderId="0">
      <alignment horizontal="centerContinuous"/>
    </xf>
    <xf numFmtId="0" fontId="248" fillId="0" borderId="0"/>
    <xf numFmtId="0" fontId="248" fillId="0" borderId="0"/>
    <xf numFmtId="0" fontId="249" fillId="0" borderId="0"/>
    <xf numFmtId="0" fontId="249" fillId="0" borderId="0"/>
    <xf numFmtId="0" fontId="248" fillId="0" borderId="0"/>
    <xf numFmtId="0" fontId="248" fillId="0" borderId="0"/>
    <xf numFmtId="49" fontId="101" fillId="0" borderId="0" applyFill="0" applyBorder="0" applyAlignment="0"/>
    <xf numFmtId="295" fontId="10" fillId="0" borderId="0" applyFill="0" applyBorder="0" applyAlignment="0"/>
    <xf numFmtId="219" fontId="10" fillId="0" borderId="0" applyFill="0" applyBorder="0" applyAlignment="0"/>
    <xf numFmtId="0" fontId="27" fillId="0" borderId="0" applyNumberFormat="0" applyFill="0" applyBorder="0" applyAlignment="0" applyProtection="0"/>
    <xf numFmtId="0" fontId="17" fillId="0" borderId="0" applyNumberFormat="0" applyFill="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296" fontId="130" fillId="0" borderId="0">
      <protection locked="0"/>
    </xf>
    <xf numFmtId="296" fontId="130" fillId="0" borderId="0">
      <protection locked="0"/>
    </xf>
    <xf numFmtId="0" fontId="249" fillId="0" borderId="0"/>
    <xf numFmtId="0" fontId="248" fillId="0" borderId="0"/>
    <xf numFmtId="0" fontId="250" fillId="0" borderId="0">
      <alignment horizontal="fill"/>
    </xf>
    <xf numFmtId="0" fontId="153" fillId="0" borderId="0"/>
    <xf numFmtId="0" fontId="4" fillId="0" borderId="0"/>
    <xf numFmtId="0" fontId="153" fillId="0" borderId="0"/>
    <xf numFmtId="0" fontId="251" fillId="27" borderId="0">
      <alignment horizontal="center"/>
    </xf>
    <xf numFmtId="0" fontId="124" fillId="54" borderId="0" applyNumberFormat="0" applyFont="0" applyBorder="0" applyAlignment="0" applyProtection="0"/>
    <xf numFmtId="173" fontId="10" fillId="0" borderId="0" applyFont="0" applyFill="0" applyBorder="0" applyAlignment="0" applyProtection="0">
      <alignment horizontal="right"/>
    </xf>
    <xf numFmtId="172" fontId="10" fillId="0" borderId="0" applyFont="0" applyFill="0" applyBorder="0" applyAlignment="0" applyProtection="0"/>
    <xf numFmtId="268" fontId="10" fillId="0" borderId="0" applyFont="0" applyFill="0" applyBorder="0" applyAlignment="0" applyProtection="0"/>
    <xf numFmtId="277" fontId="217" fillId="0" borderId="0" applyFont="0" applyFill="0" applyBorder="0" applyAlignment="0" applyProtection="0"/>
    <xf numFmtId="297" fontId="10" fillId="0" borderId="0" applyFont="0" applyFill="0" applyBorder="0" applyAlignment="0" applyProtection="0"/>
    <xf numFmtId="0" fontId="252" fillId="0" borderId="0"/>
    <xf numFmtId="0" fontId="253" fillId="0" borderId="0"/>
    <xf numFmtId="168" fontId="4" fillId="0" borderId="0" applyFont="0" applyFill="0" applyBorder="0" applyAlignment="0" applyProtection="0"/>
    <xf numFmtId="9" fontId="4" fillId="0" borderId="0" applyFont="0" applyFill="0" applyBorder="0" applyAlignment="0" applyProtection="0"/>
    <xf numFmtId="0" fontId="15" fillId="19" borderId="2" applyNumberFormat="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23" fillId="0" borderId="3" applyNumberFormat="0" applyFill="0" applyAlignment="0" applyProtection="0"/>
    <xf numFmtId="0" fontId="25" fillId="8" borderId="9" applyNumberFormat="0" applyAlignment="0" applyProtection="0"/>
    <xf numFmtId="0" fontId="18" fillId="4" borderId="0" applyNumberFormat="0" applyBorder="0" applyAlignment="0" applyProtection="0"/>
    <xf numFmtId="0" fontId="12" fillId="15"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14" fillId="8" borderId="1" applyNumberFormat="0" applyAlignment="0" applyProtection="0"/>
    <xf numFmtId="0" fontId="15" fillId="19" borderId="2" applyNumberFormat="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23" fillId="0" borderId="3" applyNumberFormat="0" applyFill="0" applyAlignment="0" applyProtection="0"/>
    <xf numFmtId="0" fontId="25" fillId="8" borderId="9" applyNumberFormat="0" applyAlignment="0" applyProtection="0"/>
    <xf numFmtId="0" fontId="18" fillId="4" borderId="0" applyNumberFormat="0" applyBorder="0" applyAlignment="0" applyProtection="0"/>
    <xf numFmtId="0" fontId="12" fillId="15"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4" fillId="8" borderId="1" applyNumberFormat="0" applyAlignment="0" applyProtection="0"/>
    <xf numFmtId="0" fontId="15" fillId="19" borderId="2" applyNumberFormat="0" applyAlignment="0" applyProtection="0"/>
    <xf numFmtId="0" fontId="23" fillId="0" borderId="3" applyNumberFormat="0" applyFill="0" applyAlignment="0" applyProtection="0"/>
    <xf numFmtId="0" fontId="18" fillId="4" borderId="0" applyNumberFormat="0" applyBorder="0" applyAlignment="0" applyProtection="0"/>
    <xf numFmtId="0" fontId="10" fillId="9" borderId="8" applyNumberFormat="0" applyFont="0" applyAlignment="0" applyProtection="0"/>
    <xf numFmtId="0" fontId="14" fillId="8" borderId="1" applyNumberFormat="0" applyAlignment="0" applyProtection="0"/>
    <xf numFmtId="0" fontId="15" fillId="19" borderId="2" applyNumberFormat="0" applyAlignment="0" applyProtection="0"/>
    <xf numFmtId="0" fontId="23" fillId="0" borderId="3" applyNumberFormat="0" applyFill="0" applyAlignment="0" applyProtection="0"/>
    <xf numFmtId="0" fontId="24" fillId="14" borderId="0" applyNumberFormat="0" applyBorder="0" applyAlignment="0" applyProtection="0"/>
    <xf numFmtId="201" fontId="10" fillId="0" borderId="0" applyFont="0" applyFill="0" applyBorder="0" applyAlignment="0" applyProtection="0"/>
    <xf numFmtId="0" fontId="10" fillId="9" borderId="8" applyNumberFormat="0" applyFont="0" applyAlignment="0" applyProtection="0"/>
    <xf numFmtId="0" fontId="24" fillId="14" borderId="0" applyNumberFormat="0" applyBorder="0" applyAlignment="0" applyProtection="0"/>
    <xf numFmtId="201" fontId="10" fillId="0" borderId="0" applyFont="0" applyFill="0" applyBorder="0" applyAlignment="0" applyProtection="0"/>
    <xf numFmtId="0" fontId="12" fillId="20" borderId="0" applyNumberFormat="0" applyBorder="0" applyAlignment="0" applyProtection="0"/>
    <xf numFmtId="0" fontId="12" fillId="22" borderId="0" applyNumberFormat="0" applyBorder="0" applyAlignment="0" applyProtection="0"/>
    <xf numFmtId="0" fontId="12" fillId="16" borderId="0" applyNumberFormat="0" applyBorder="0" applyAlignment="0" applyProtection="0"/>
    <xf numFmtId="0" fontId="24" fillId="14" borderId="0" applyNumberFormat="0" applyBorder="0" applyAlignment="0" applyProtection="0"/>
    <xf numFmtId="0" fontId="12" fillId="17" borderId="0" applyNumberFormat="0" applyBorder="0" applyAlignment="0" applyProtection="0"/>
    <xf numFmtId="0" fontId="12" fillId="23" borderId="0" applyNumberFormat="0" applyBorder="0" applyAlignment="0" applyProtection="0"/>
    <xf numFmtId="0" fontId="13" fillId="3" borderId="0" applyNumberFormat="0" applyBorder="0" applyAlignment="0" applyProtection="0"/>
    <xf numFmtId="201" fontId="10" fillId="0" borderId="0" applyFont="0" applyFill="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3" borderId="0" applyNumberFormat="0" applyBorder="0" applyAlignment="0" applyProtection="0"/>
    <xf numFmtId="0" fontId="13" fillId="3"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3" borderId="0" applyNumberFormat="0" applyBorder="0" applyAlignment="0" applyProtection="0"/>
    <xf numFmtId="0" fontId="13" fillId="3"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3" borderId="0" applyNumberFormat="0" applyBorder="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13" fillId="3" borderId="0" applyNumberFormat="0" applyBorder="0" applyAlignment="0" applyProtection="0"/>
    <xf numFmtId="0" fontId="12" fillId="23" borderId="0" applyNumberFormat="0" applyBorder="0" applyAlignment="0" applyProtection="0"/>
    <xf numFmtId="0" fontId="12" fillId="17" borderId="0" applyNumberFormat="0" applyBorder="0" applyAlignment="0" applyProtection="0"/>
    <xf numFmtId="0" fontId="12" fillId="16" borderId="0" applyNumberFormat="0" applyBorder="0" applyAlignment="0" applyProtection="0"/>
    <xf numFmtId="0" fontId="12" fillId="22" borderId="0" applyNumberFormat="0" applyBorder="0" applyAlignment="0" applyProtection="0"/>
    <xf numFmtId="0" fontId="12" fillId="21" borderId="0" applyNumberFormat="0" applyBorder="0" applyAlignment="0" applyProtection="0"/>
    <xf numFmtId="0" fontId="12" fillId="20" borderId="0" applyNumberFormat="0" applyBorder="0" applyAlignment="0" applyProtection="0"/>
    <xf numFmtId="0" fontId="13" fillId="3" borderId="0" applyNumberFormat="0" applyBorder="0" applyAlignment="0" applyProtection="0"/>
    <xf numFmtId="0" fontId="12" fillId="23" borderId="0" applyNumberFormat="0" applyBorder="0" applyAlignment="0" applyProtection="0"/>
    <xf numFmtId="0" fontId="12" fillId="17" borderId="0" applyNumberFormat="0" applyBorder="0" applyAlignment="0" applyProtection="0"/>
    <xf numFmtId="0" fontId="12" fillId="16" borderId="0" applyNumberFormat="0" applyBorder="0" applyAlignment="0" applyProtection="0"/>
    <xf numFmtId="0" fontId="12" fillId="22" borderId="0" applyNumberFormat="0" applyBorder="0" applyAlignment="0" applyProtection="0"/>
    <xf numFmtId="0" fontId="12" fillId="21" borderId="0" applyNumberFormat="0" applyBorder="0" applyAlignment="0" applyProtection="0"/>
    <xf numFmtId="0" fontId="12" fillId="20" borderId="0" applyNumberFormat="0" applyBorder="0" applyAlignment="0" applyProtection="0"/>
    <xf numFmtId="201" fontId="10" fillId="0" borderId="0" applyFont="0" applyFill="0" applyBorder="0" applyAlignment="0" applyProtection="0"/>
    <xf numFmtId="0" fontId="13" fillId="3" borderId="0" applyNumberFormat="0" applyBorder="0" applyAlignment="0" applyProtection="0"/>
    <xf numFmtId="0" fontId="12" fillId="23" borderId="0" applyNumberFormat="0" applyBorder="0" applyAlignment="0" applyProtection="0"/>
    <xf numFmtId="0" fontId="12" fillId="17" borderId="0" applyNumberFormat="0" applyBorder="0" applyAlignment="0" applyProtection="0"/>
    <xf numFmtId="0" fontId="24" fillId="14" borderId="0" applyNumberFormat="0" applyBorder="0" applyAlignment="0" applyProtection="0"/>
    <xf numFmtId="0" fontId="12" fillId="16" borderId="0" applyNumberFormat="0" applyBorder="0" applyAlignment="0" applyProtection="0"/>
    <xf numFmtId="0" fontId="12" fillId="22" borderId="0" applyNumberFormat="0" applyBorder="0" applyAlignment="0" applyProtection="0"/>
    <xf numFmtId="0" fontId="12" fillId="20" borderId="0" applyNumberFormat="0" applyBorder="0" applyAlignment="0" applyProtection="0"/>
    <xf numFmtId="201" fontId="10" fillId="0" borderId="0" applyFont="0" applyFill="0" applyBorder="0" applyAlignment="0" applyProtection="0"/>
    <xf numFmtId="0" fontId="13" fillId="3" borderId="0" applyNumberFormat="0" applyBorder="0" applyAlignment="0" applyProtection="0"/>
    <xf numFmtId="0" fontId="24" fillId="14" borderId="0" applyNumberFormat="0" applyBorder="0" applyAlignment="0" applyProtection="0"/>
    <xf numFmtId="0" fontId="10" fillId="9" borderId="8" applyNumberFormat="0" applyFont="0" applyAlignment="0" applyProtection="0"/>
    <xf numFmtId="201" fontId="10" fillId="0" borderId="0" applyFont="0" applyFill="0" applyBorder="0" applyAlignment="0" applyProtection="0"/>
    <xf numFmtId="0" fontId="24" fillId="14" borderId="0" applyNumberFormat="0" applyBorder="0" applyAlignment="0" applyProtection="0"/>
    <xf numFmtId="0" fontId="10" fillId="9" borderId="8" applyNumberFormat="0" applyFont="0" applyAlignment="0" applyProtection="0"/>
    <xf numFmtId="201" fontId="10" fillId="0" borderId="0" applyFont="0" applyFill="0" applyBorder="0" applyAlignment="0" applyProtection="0"/>
    <xf numFmtId="0" fontId="24" fillId="14" borderId="0" applyNumberFormat="0" applyBorder="0" applyAlignment="0" applyProtection="0"/>
    <xf numFmtId="0" fontId="23" fillId="0" borderId="3" applyNumberFormat="0" applyFill="0" applyAlignment="0" applyProtection="0"/>
    <xf numFmtId="0" fontId="15" fillId="19" borderId="2" applyNumberFormat="0" applyAlignment="0" applyProtection="0"/>
    <xf numFmtId="0" fontId="14" fillId="8" borderId="1" applyNumberFormat="0" applyAlignment="0" applyProtection="0"/>
    <xf numFmtId="0" fontId="18" fillId="4" borderId="0" applyNumberFormat="0" applyBorder="0" applyAlignment="0" applyProtection="0"/>
    <xf numFmtId="0" fontId="25" fillId="8" borderId="9" applyNumberFormat="0" applyAlignment="0" applyProtection="0"/>
    <xf numFmtId="0" fontId="23" fillId="0" borderId="3" applyNumberFormat="0" applyFill="0" applyAlignment="0" applyProtection="0"/>
    <xf numFmtId="0" fontId="15" fillId="19" borderId="2" applyNumberFormat="0" applyAlignment="0" applyProtection="0"/>
    <xf numFmtId="0" fontId="14" fillId="8" borderId="1" applyNumberFormat="0" applyAlignment="0" applyProtection="0"/>
    <xf numFmtId="0" fontId="12" fillId="18" borderId="0" applyNumberFormat="0" applyBorder="0" applyAlignment="0" applyProtection="0"/>
    <xf numFmtId="0" fontId="12" fillId="17" borderId="0" applyNumberFormat="0" applyBorder="0" applyAlignment="0" applyProtection="0"/>
    <xf numFmtId="0" fontId="12" fillId="16" borderId="0" applyNumberFormat="0" applyBorder="0" applyAlignment="0" applyProtection="0"/>
    <xf numFmtId="0" fontId="12" fillId="12" borderId="0" applyNumberFormat="0" applyBorder="0" applyAlignment="0" applyProtection="0"/>
    <xf numFmtId="0" fontId="12" fillId="11" borderId="0" applyNumberFormat="0" applyBorder="0" applyAlignment="0" applyProtection="0"/>
    <xf numFmtId="0" fontId="12" fillId="15" borderId="0" applyNumberFormat="0" applyBorder="0" applyAlignment="0" applyProtection="0"/>
    <xf numFmtId="0" fontId="18" fillId="4" borderId="0" applyNumberFormat="0" applyBorder="0" applyAlignment="0" applyProtection="0"/>
    <xf numFmtId="0" fontId="25" fillId="8" borderId="9" applyNumberFormat="0" applyAlignment="0" applyProtection="0"/>
    <xf numFmtId="0" fontId="23" fillId="0" borderId="3" applyNumberFormat="0" applyFill="0" applyAlignment="0" applyProtection="0"/>
    <xf numFmtId="0" fontId="9" fillId="13"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15" fillId="19" borderId="2" applyNumberFormat="0" applyAlignment="0" applyProtection="0"/>
    <xf numFmtId="0" fontId="14" fillId="8" borderId="1" applyNumberFormat="0" applyAlignment="0" applyProtection="0"/>
    <xf numFmtId="0" fontId="9" fillId="7" borderId="0" applyNumberFormat="0" applyBorder="0" applyAlignment="0" applyProtection="0"/>
    <xf numFmtId="0" fontId="9" fillId="6" borderId="0" applyNumberFormat="0" applyBorder="0" applyAlignment="0" applyProtection="0"/>
    <xf numFmtId="0" fontId="9" fillId="5"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2"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6" borderId="0" applyNumberFormat="0" applyBorder="0" applyAlignment="0" applyProtection="0"/>
    <xf numFmtId="0" fontId="12" fillId="12" borderId="0" applyNumberFormat="0" applyBorder="0" applyAlignment="0" applyProtection="0"/>
    <xf numFmtId="0" fontId="12" fillId="11" borderId="0" applyNumberFormat="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12" fillId="15" borderId="0" applyNumberFormat="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18" fillId="4" borderId="0" applyNumberFormat="0" applyBorder="0" applyAlignment="0" applyProtection="0"/>
    <xf numFmtId="0" fontId="25" fillId="8" borderId="9" applyNumberFormat="0" applyAlignment="0" applyProtection="0"/>
    <xf numFmtId="0" fontId="9" fillId="13"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12" fillId="21" borderId="0" applyNumberFormat="0" applyBorder="0" applyAlignment="0" applyProtection="0"/>
    <xf numFmtId="0" fontId="10" fillId="9" borderId="8" applyNumberFormat="0" applyFont="0" applyAlignment="0" applyProtection="0"/>
    <xf numFmtId="0" fontId="9" fillId="7" borderId="0" applyNumberFormat="0" applyBorder="0" applyAlignment="0" applyProtection="0"/>
    <xf numFmtId="0" fontId="9" fillId="6" borderId="0" applyNumberFormat="0" applyBorder="0" applyAlignment="0" applyProtection="0"/>
    <xf numFmtId="0" fontId="9" fillId="5"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2"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6" borderId="0" applyNumberFormat="0" applyBorder="0" applyAlignment="0" applyProtection="0"/>
    <xf numFmtId="0" fontId="12" fillId="12" borderId="0" applyNumberFormat="0" applyBorder="0" applyAlignment="0" applyProtection="0"/>
    <xf numFmtId="0" fontId="12" fillId="11" borderId="0" applyNumberFormat="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12" fillId="15" borderId="0" applyNumberFormat="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18" fillId="4" borderId="0" applyNumberFormat="0" applyBorder="0" applyAlignment="0" applyProtection="0"/>
    <xf numFmtId="0" fontId="25" fillId="8" borderId="9" applyNumberFormat="0" applyAlignment="0" applyProtection="0"/>
    <xf numFmtId="0" fontId="9" fillId="13"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10" fillId="9" borderId="8" applyNumberFormat="0" applyFont="0" applyAlignment="0" applyProtection="0"/>
    <xf numFmtId="0" fontId="9" fillId="7" borderId="0" applyNumberFormat="0" applyBorder="0" applyAlignment="0" applyProtection="0"/>
    <xf numFmtId="0" fontId="9" fillId="6" borderId="0" applyNumberFormat="0" applyBorder="0" applyAlignment="0" applyProtection="0"/>
    <xf numFmtId="0" fontId="9" fillId="5"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2"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6" borderId="0" applyNumberFormat="0" applyBorder="0" applyAlignment="0" applyProtection="0"/>
    <xf numFmtId="0" fontId="12" fillId="12" borderId="0" applyNumberFormat="0" applyBorder="0" applyAlignment="0" applyProtection="0"/>
    <xf numFmtId="0" fontId="12" fillId="11" borderId="0" applyNumberFormat="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12" fillId="15" borderId="0" applyNumberFormat="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25" fillId="8" borderId="9" applyNumberFormat="0" applyAlignment="0" applyProtection="0"/>
    <xf numFmtId="0" fontId="9" fillId="13"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10" fillId="9" borderId="8" applyNumberFormat="0" applyFont="0" applyAlignment="0" applyProtection="0"/>
    <xf numFmtId="0" fontId="9" fillId="7" borderId="0" applyNumberFormat="0" applyBorder="0" applyAlignment="0" applyProtection="0"/>
    <xf numFmtId="0" fontId="9" fillId="6" borderId="0" applyNumberFormat="0" applyBorder="0" applyAlignment="0" applyProtection="0"/>
    <xf numFmtId="0" fontId="9" fillId="5"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2"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6" borderId="0" applyNumberFormat="0" applyBorder="0" applyAlignment="0" applyProtection="0"/>
    <xf numFmtId="0" fontId="12" fillId="12" borderId="0" applyNumberFormat="0" applyBorder="0" applyAlignment="0" applyProtection="0"/>
    <xf numFmtId="0" fontId="12" fillId="11" borderId="0" applyNumberFormat="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12" fillId="15" borderId="0" applyNumberFormat="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9" fillId="13"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6" borderId="0" applyNumberFormat="0" applyBorder="0" applyAlignment="0" applyProtection="0"/>
    <xf numFmtId="0" fontId="9" fillId="5"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2" borderId="0" applyNumberFormat="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9" fillId="7" borderId="0" applyNumberFormat="0" applyBorder="0" applyAlignment="0" applyProtection="0"/>
    <xf numFmtId="0" fontId="9" fillId="6" borderId="0" applyNumberFormat="0" applyBorder="0" applyAlignment="0" applyProtection="0"/>
    <xf numFmtId="0" fontId="9" fillId="5"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2" borderId="0" applyNumberFormat="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25" fillId="8" borderId="9" applyNumberFormat="0" applyAlignment="0" applyProtection="0"/>
    <xf numFmtId="0" fontId="18" fillId="4" borderId="0" applyNumberFormat="0" applyBorder="0" applyAlignment="0" applyProtection="0"/>
    <xf numFmtId="0" fontId="12" fillId="15"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14" fillId="8" borderId="1" applyNumberFormat="0" applyAlignment="0" applyProtection="0"/>
    <xf numFmtId="0" fontId="15" fillId="19" borderId="2" applyNumberFormat="0" applyAlignment="0" applyProtection="0"/>
    <xf numFmtId="0" fontId="23" fillId="0" borderId="3" applyNumberFormat="0" applyFill="0" applyAlignment="0" applyProtection="0"/>
    <xf numFmtId="0" fontId="25" fillId="8" borderId="9" applyNumberFormat="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8" fillId="4" borderId="0" applyNumberFormat="0" applyBorder="0" applyAlignment="0" applyProtection="0"/>
    <xf numFmtId="0" fontId="12" fillId="15"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4" fillId="8" borderId="1" applyNumberFormat="0" applyAlignment="0" applyProtection="0"/>
    <xf numFmtId="0" fontId="15" fillId="19" borderId="2" applyNumberFormat="0" applyAlignment="0" applyProtection="0"/>
    <xf numFmtId="0" fontId="23" fillId="0" borderId="3" applyNumberFormat="0" applyFill="0" applyAlignment="0" applyProtection="0"/>
    <xf numFmtId="0" fontId="18" fillId="4" borderId="0" applyNumberFormat="0" applyBorder="0" applyAlignment="0" applyProtection="0"/>
    <xf numFmtId="0" fontId="10" fillId="9" borderId="8" applyNumberFormat="0" applyFont="0" applyAlignment="0" applyProtection="0"/>
    <xf numFmtId="0" fontId="14" fillId="8" borderId="1" applyNumberFormat="0" applyAlignment="0" applyProtection="0"/>
    <xf numFmtId="0" fontId="15" fillId="19" borderId="2" applyNumberFormat="0" applyAlignment="0" applyProtection="0"/>
    <xf numFmtId="0" fontId="23" fillId="0" borderId="3" applyNumberFormat="0" applyFill="0" applyAlignment="0" applyProtection="0"/>
    <xf numFmtId="0" fontId="10" fillId="9" borderId="8" applyNumberFormat="0" applyFont="0" applyAlignment="0" applyProtection="0"/>
    <xf numFmtId="0" fontId="24" fillId="14" borderId="0" applyNumberFormat="0" applyBorder="0" applyAlignment="0" applyProtection="0"/>
    <xf numFmtId="201" fontId="10" fillId="0" borderId="0" applyFont="0" applyFill="0" applyBorder="0" applyAlignment="0" applyProtection="0"/>
    <xf numFmtId="0" fontId="24" fillId="14" borderId="0" applyNumberFormat="0" applyBorder="0" applyAlignment="0" applyProtection="0"/>
    <xf numFmtId="201" fontId="10" fillId="0" borderId="0" applyFont="0" applyFill="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3" borderId="0" applyNumberFormat="0" applyBorder="0" applyAlignment="0" applyProtection="0"/>
    <xf numFmtId="0" fontId="13" fillId="3"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3" borderId="0" applyNumberFormat="0" applyBorder="0" applyAlignment="0" applyProtection="0"/>
    <xf numFmtId="0" fontId="13" fillId="3"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3" borderId="0" applyNumberFormat="0" applyBorder="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12" fillId="23" borderId="0" applyNumberFormat="0" applyBorder="0" applyAlignment="0" applyProtection="0"/>
    <xf numFmtId="0" fontId="12" fillId="17" borderId="0" applyNumberFormat="0" applyBorder="0" applyAlignment="0" applyProtection="0"/>
    <xf numFmtId="0" fontId="12" fillId="16" borderId="0" applyNumberFormat="0" applyBorder="0" applyAlignment="0" applyProtection="0"/>
    <xf numFmtId="0" fontId="12" fillId="22" borderId="0" applyNumberFormat="0" applyBorder="0" applyAlignment="0" applyProtection="0"/>
    <xf numFmtId="0" fontId="13" fillId="3" borderId="0" applyNumberFormat="0" applyBorder="0" applyAlignment="0" applyProtection="0"/>
    <xf numFmtId="0" fontId="12" fillId="21" borderId="0" applyNumberFormat="0" applyBorder="0" applyAlignment="0" applyProtection="0"/>
    <xf numFmtId="0" fontId="12" fillId="20" borderId="0" applyNumberFormat="0" applyBorder="0" applyAlignment="0" applyProtection="0"/>
    <xf numFmtId="0" fontId="13" fillId="3" borderId="0" applyNumberFormat="0" applyBorder="0" applyAlignment="0" applyProtection="0"/>
    <xf numFmtId="0" fontId="12" fillId="23" borderId="0" applyNumberFormat="0" applyBorder="0" applyAlignment="0" applyProtection="0"/>
    <xf numFmtId="0" fontId="12" fillId="17" borderId="0" applyNumberFormat="0" applyBorder="0" applyAlignment="0" applyProtection="0"/>
    <xf numFmtId="0" fontId="12" fillId="16" borderId="0" applyNumberFormat="0" applyBorder="0" applyAlignment="0" applyProtection="0"/>
    <xf numFmtId="0" fontId="12" fillId="22" borderId="0" applyNumberFormat="0" applyBorder="0" applyAlignment="0" applyProtection="0"/>
    <xf numFmtId="0" fontId="12" fillId="21" borderId="0" applyNumberFormat="0" applyBorder="0" applyAlignment="0" applyProtection="0"/>
    <xf numFmtId="0" fontId="12" fillId="20" borderId="0" applyNumberFormat="0" applyBorder="0" applyAlignment="0" applyProtection="0"/>
    <xf numFmtId="0" fontId="13" fillId="3" borderId="0" applyNumberFormat="0" applyBorder="0" applyAlignment="0" applyProtection="0"/>
    <xf numFmtId="201" fontId="10" fillId="0" borderId="0" applyFont="0" applyFill="0" applyBorder="0" applyAlignment="0" applyProtection="0"/>
    <xf numFmtId="0" fontId="24" fillId="14" borderId="0" applyNumberFormat="0" applyBorder="0" applyAlignment="0" applyProtection="0"/>
    <xf numFmtId="201" fontId="10" fillId="0" borderId="0" applyFont="0" applyFill="0" applyBorder="0" applyAlignment="0" applyProtection="0"/>
    <xf numFmtId="0" fontId="24" fillId="14" borderId="0" applyNumberFormat="0" applyBorder="0" applyAlignment="0" applyProtection="0"/>
    <xf numFmtId="0" fontId="10" fillId="9" borderId="8" applyNumberFormat="0" applyFont="0" applyAlignment="0" applyProtection="0"/>
    <xf numFmtId="201" fontId="10" fillId="0" borderId="0" applyFont="0" applyFill="0" applyBorder="0" applyAlignment="0" applyProtection="0"/>
    <xf numFmtId="0" fontId="24" fillId="14" borderId="0" applyNumberFormat="0" applyBorder="0" applyAlignment="0" applyProtection="0"/>
    <xf numFmtId="0" fontId="10" fillId="9" borderId="8" applyNumberFormat="0" applyFont="0" applyAlignment="0" applyProtection="0"/>
    <xf numFmtId="0" fontId="23" fillId="0" borderId="3" applyNumberFormat="0" applyFill="0" applyAlignment="0" applyProtection="0"/>
    <xf numFmtId="0" fontId="15" fillId="19" borderId="2" applyNumberFormat="0" applyAlignment="0" applyProtection="0"/>
    <xf numFmtId="0" fontId="14" fillId="8" borderId="1" applyNumberFormat="0" applyAlignment="0" applyProtection="0"/>
    <xf numFmtId="0" fontId="18" fillId="4" borderId="0" applyNumberFormat="0" applyBorder="0" applyAlignment="0" applyProtection="0"/>
    <xf numFmtId="0" fontId="25" fillId="8" borderId="9" applyNumberFormat="0" applyAlignment="0" applyProtection="0"/>
    <xf numFmtId="0" fontId="23" fillId="0" borderId="3" applyNumberFormat="0" applyFill="0" applyAlignment="0" applyProtection="0"/>
    <xf numFmtId="0" fontId="15" fillId="19" borderId="2" applyNumberFormat="0" applyAlignment="0" applyProtection="0"/>
    <xf numFmtId="168" fontId="10" fillId="0" borderId="0" applyFont="0" applyFill="0" applyBorder="0" applyAlignment="0" applyProtection="0"/>
    <xf numFmtId="0" fontId="14" fillId="8" borderId="1" applyNumberFormat="0" applyAlignment="0" applyProtection="0"/>
    <xf numFmtId="0" fontId="12" fillId="18" borderId="0" applyNumberFormat="0" applyBorder="0" applyAlignment="0" applyProtection="0"/>
    <xf numFmtId="0" fontId="12" fillId="17" borderId="0" applyNumberFormat="0" applyBorder="0" applyAlignment="0" applyProtection="0"/>
    <xf numFmtId="0" fontId="12" fillId="16" borderId="0" applyNumberFormat="0" applyBorder="0" applyAlignment="0" applyProtection="0"/>
    <xf numFmtId="0" fontId="12" fillId="12" borderId="0" applyNumberFormat="0" applyBorder="0" applyAlignment="0" applyProtection="0"/>
    <xf numFmtId="0" fontId="12" fillId="11" borderId="0" applyNumberFormat="0" applyBorder="0" applyAlignment="0" applyProtection="0"/>
    <xf numFmtId="0" fontId="12" fillId="15" borderId="0" applyNumberFormat="0" applyBorder="0" applyAlignment="0" applyProtection="0"/>
    <xf numFmtId="0" fontId="18" fillId="4" borderId="0" applyNumberFormat="0" applyBorder="0" applyAlignment="0" applyProtection="0"/>
    <xf numFmtId="0" fontId="25" fillId="8" borderId="9" applyNumberFormat="0" applyAlignment="0" applyProtection="0"/>
    <xf numFmtId="0" fontId="9" fillId="13"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168" fontId="10" fillId="0" borderId="0" applyFont="0" applyFill="0" applyBorder="0" applyAlignment="0" applyProtection="0"/>
    <xf numFmtId="0" fontId="9" fillId="7" borderId="0" applyNumberFormat="0" applyBorder="0" applyAlignment="0" applyProtection="0"/>
    <xf numFmtId="0" fontId="9" fillId="6" borderId="0" applyNumberFormat="0" applyBorder="0" applyAlignment="0" applyProtection="0"/>
    <xf numFmtId="0" fontId="9" fillId="5"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2"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6" borderId="0" applyNumberFormat="0" applyBorder="0" applyAlignment="0" applyProtection="0"/>
    <xf numFmtId="0" fontId="12" fillId="12" borderId="0" applyNumberFormat="0" applyBorder="0" applyAlignment="0" applyProtection="0"/>
    <xf numFmtId="0" fontId="12" fillId="11" borderId="0" applyNumberFormat="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12" fillId="15" borderId="0" applyNumberFormat="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25" fillId="8" borderId="9" applyNumberFormat="0" applyAlignment="0" applyProtection="0"/>
    <xf numFmtId="0" fontId="9" fillId="13"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168" fontId="10" fillId="0" borderId="0" applyFont="0" applyFill="0" applyBorder="0" applyAlignment="0" applyProtection="0"/>
    <xf numFmtId="0" fontId="10" fillId="9" borderId="8" applyNumberFormat="0" applyFont="0" applyAlignment="0" applyProtection="0"/>
    <xf numFmtId="168" fontId="10" fillId="0" borderId="0" applyFont="0" applyFill="0" applyBorder="0" applyAlignment="0" applyProtection="0"/>
    <xf numFmtId="0" fontId="9" fillId="7" borderId="0" applyNumberFormat="0" applyBorder="0" applyAlignment="0" applyProtection="0"/>
    <xf numFmtId="0" fontId="9" fillId="6" borderId="0" applyNumberFormat="0" applyBorder="0" applyAlignment="0" applyProtection="0"/>
    <xf numFmtId="0" fontId="9" fillId="5"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2"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6" borderId="0" applyNumberFormat="0" applyBorder="0" applyAlignment="0" applyProtection="0"/>
    <xf numFmtId="0" fontId="12" fillId="12" borderId="0" applyNumberFormat="0" applyBorder="0" applyAlignment="0" applyProtection="0"/>
    <xf numFmtId="0" fontId="12" fillId="11" borderId="0" applyNumberFormat="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12" fillId="15" borderId="0" applyNumberFormat="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9" fillId="13"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6" borderId="0" applyNumberFormat="0" applyBorder="0" applyAlignment="0" applyProtection="0"/>
    <xf numFmtId="0" fontId="9" fillId="5"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2" borderId="0" applyNumberFormat="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9" fillId="7" borderId="0" applyNumberFormat="0" applyBorder="0" applyAlignment="0" applyProtection="0"/>
    <xf numFmtId="0" fontId="9" fillId="6" borderId="0" applyNumberFormat="0" applyBorder="0" applyAlignment="0" applyProtection="0"/>
    <xf numFmtId="0" fontId="9" fillId="5"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2" borderId="0" applyNumberFormat="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168" fontId="10" fillId="0" borderId="0" applyFont="0" applyFill="0" applyBorder="0" applyAlignment="0" applyProtection="0"/>
    <xf numFmtId="0" fontId="25" fillId="8" borderId="9" applyNumberFormat="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2" fillId="15"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8" fillId="4" borderId="0" applyNumberFormat="0" applyBorder="0" applyAlignment="0" applyProtection="0"/>
    <xf numFmtId="0" fontId="14" fillId="8" borderId="1" applyNumberFormat="0" applyAlignment="0" applyProtection="0"/>
    <xf numFmtId="0" fontId="15" fillId="19" borderId="2" applyNumberFormat="0" applyAlignment="0" applyProtection="0"/>
    <xf numFmtId="0" fontId="23" fillId="0" borderId="3" applyNumberFormat="0" applyFill="0" applyAlignment="0" applyProtection="0"/>
    <xf numFmtId="0" fontId="10" fillId="9" borderId="8" applyNumberFormat="0" applyFont="0" applyAlignment="0" applyProtection="0"/>
    <xf numFmtId="0" fontId="24" fillId="14" borderId="0" applyNumberFormat="0" applyBorder="0" applyAlignment="0" applyProtection="0"/>
    <xf numFmtId="0" fontId="13" fillId="3"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23" borderId="0" applyNumberFormat="0" applyBorder="0" applyAlignment="0" applyProtection="0"/>
    <xf numFmtId="0" fontId="22" fillId="7" borderId="1" applyNumberFormat="0" applyAlignment="0" applyProtection="0"/>
    <xf numFmtId="0" fontId="22" fillId="7" borderId="1" applyNumberFormat="0" applyAlignment="0" applyProtection="0"/>
    <xf numFmtId="0" fontId="12" fillId="23" borderId="0" applyNumberFormat="0" applyBorder="0" applyAlignment="0" applyProtection="0"/>
    <xf numFmtId="0" fontId="12" fillId="17" borderId="0" applyNumberFormat="0" applyBorder="0" applyAlignment="0" applyProtection="0"/>
    <xf numFmtId="0" fontId="12" fillId="16" borderId="0" applyNumberFormat="0" applyBorder="0" applyAlignment="0" applyProtection="0"/>
    <xf numFmtId="0" fontId="12" fillId="22" borderId="0" applyNumberFormat="0" applyBorder="0" applyAlignment="0" applyProtection="0"/>
    <xf numFmtId="0" fontId="13" fillId="3" borderId="0" applyNumberFormat="0" applyBorder="0" applyAlignment="0" applyProtection="0"/>
    <xf numFmtId="0" fontId="12" fillId="21" borderId="0" applyNumberFormat="0" applyBorder="0" applyAlignment="0" applyProtection="0"/>
    <xf numFmtId="0" fontId="12" fillId="20" borderId="0" applyNumberFormat="0" applyBorder="0" applyAlignment="0" applyProtection="0"/>
    <xf numFmtId="201" fontId="10" fillId="0" borderId="0" applyFont="0" applyFill="0" applyBorder="0" applyAlignment="0" applyProtection="0"/>
    <xf numFmtId="0" fontId="24" fillId="14" borderId="0" applyNumberFormat="0" applyBorder="0" applyAlignment="0" applyProtection="0"/>
    <xf numFmtId="0" fontId="10" fillId="9" borderId="8" applyNumberFormat="0" applyFont="0" applyAlignment="0" applyProtection="0"/>
    <xf numFmtId="0" fontId="23" fillId="0" borderId="3" applyNumberFormat="0" applyFill="0" applyAlignment="0" applyProtection="0"/>
    <xf numFmtId="0" fontId="15" fillId="19" borderId="2" applyNumberFormat="0" applyAlignment="0" applyProtection="0"/>
    <xf numFmtId="0" fontId="14" fillId="8" borderId="1" applyNumberFormat="0" applyAlignment="0" applyProtection="0"/>
    <xf numFmtId="0" fontId="18" fillId="4" borderId="0" applyNumberFormat="0" applyBorder="0" applyAlignment="0" applyProtection="0"/>
    <xf numFmtId="0" fontId="25" fillId="8" borderId="9" applyNumberFormat="0" applyAlignment="0" applyProtection="0"/>
    <xf numFmtId="168" fontId="10" fillId="0" borderId="0" applyFont="0" applyFill="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6" borderId="0" applyNumberFormat="0" applyBorder="0" applyAlignment="0" applyProtection="0"/>
    <xf numFmtId="0" fontId="12" fillId="12" borderId="0" applyNumberFormat="0" applyBorder="0" applyAlignment="0" applyProtection="0"/>
    <xf numFmtId="0" fontId="12" fillId="11" borderId="0" applyNumberFormat="0" applyBorder="0" applyAlignment="0" applyProtection="0"/>
    <xf numFmtId="0" fontId="12" fillId="15" borderId="0" applyNumberFormat="0" applyBorder="0" applyAlignment="0" applyProtection="0"/>
    <xf numFmtId="0" fontId="9" fillId="13"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6" borderId="0" applyNumberFormat="0" applyBorder="0" applyAlignment="0" applyProtection="0"/>
    <xf numFmtId="0" fontId="9" fillId="5"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2" borderId="0" applyNumberFormat="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27" fillId="0" borderId="0" applyNumberFormat="0" applyFill="0" applyBorder="0" applyAlignment="0" applyProtection="0"/>
    <xf numFmtId="0" fontId="17" fillId="0" borderId="0" applyNumberFormat="0" applyFill="0" applyBorder="0" applyAlignment="0" applyProtection="0"/>
    <xf numFmtId="0" fontId="26" fillId="0" borderId="0" applyNumberFormat="0" applyFill="0" applyBorder="0" applyAlignment="0" applyProtection="0"/>
    <xf numFmtId="0" fontId="19" fillId="0" borderId="71" applyNumberFormat="0" applyFill="0" applyAlignment="0" applyProtection="0"/>
    <xf numFmtId="0" fontId="20" fillId="0" borderId="72"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255" fillId="0" borderId="0"/>
    <xf numFmtId="168" fontId="255" fillId="0" borderId="0" applyFont="0" applyFill="0" applyBorder="0" applyAlignment="0" applyProtection="0"/>
    <xf numFmtId="9" fontId="255" fillId="0" borderId="0" applyFont="0" applyFill="0" applyBorder="0" applyAlignment="0" applyProtection="0"/>
    <xf numFmtId="0" fontId="256" fillId="0" borderId="75" applyNumberFormat="0" applyFill="0" applyAlignment="0" applyProtection="0"/>
    <xf numFmtId="0" fontId="257" fillId="0" borderId="76" applyNumberFormat="0" applyFill="0" applyAlignment="0" applyProtection="0"/>
    <xf numFmtId="0" fontId="258" fillId="0" borderId="77" applyNumberFormat="0" applyFill="0" applyAlignment="0" applyProtection="0"/>
    <xf numFmtId="0" fontId="258" fillId="0" borderId="0" applyNumberFormat="0" applyFill="0" applyBorder="0" applyAlignment="0" applyProtection="0"/>
    <xf numFmtId="0" fontId="259" fillId="55" borderId="0" applyNumberFormat="0" applyBorder="0" applyAlignment="0" applyProtection="0"/>
    <xf numFmtId="0" fontId="260" fillId="52" borderId="0" applyNumberFormat="0" applyBorder="0" applyAlignment="0" applyProtection="0"/>
    <xf numFmtId="0" fontId="261" fillId="56" borderId="78" applyNumberFormat="0" applyAlignment="0" applyProtection="0"/>
    <xf numFmtId="0" fontId="262" fillId="57" borderId="79" applyNumberFormat="0" applyAlignment="0" applyProtection="0"/>
    <xf numFmtId="0" fontId="263" fillId="57" borderId="78" applyNumberFormat="0" applyAlignment="0" applyProtection="0"/>
    <xf numFmtId="0" fontId="264" fillId="0" borderId="80" applyNumberFormat="0" applyFill="0" applyAlignment="0" applyProtection="0"/>
    <xf numFmtId="0" fontId="254" fillId="58" borderId="81" applyNumberFormat="0" applyAlignment="0" applyProtection="0"/>
    <xf numFmtId="0" fontId="205" fillId="0" borderId="0" applyNumberFormat="0" applyFill="0" applyBorder="0" applyAlignment="0" applyProtection="0"/>
    <xf numFmtId="0" fontId="265" fillId="0" borderId="0" applyNumberFormat="0" applyFill="0" applyBorder="0" applyAlignment="0" applyProtection="0"/>
    <xf numFmtId="0" fontId="266" fillId="59" borderId="0" applyNumberFormat="0" applyBorder="0" applyAlignment="0" applyProtection="0"/>
    <xf numFmtId="0" fontId="4" fillId="60" borderId="0" applyNumberFormat="0" applyBorder="0" applyAlignment="0" applyProtection="0"/>
    <xf numFmtId="0" fontId="4" fillId="61" borderId="0" applyNumberFormat="0" applyBorder="0" applyAlignment="0" applyProtection="0"/>
    <xf numFmtId="0" fontId="266" fillId="62" borderId="0" applyNumberFormat="0" applyBorder="0" applyAlignment="0" applyProtection="0"/>
    <xf numFmtId="0" fontId="266" fillId="63"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266" fillId="66" borderId="0" applyNumberFormat="0" applyBorder="0" applyAlignment="0" applyProtection="0"/>
    <xf numFmtId="0" fontId="266" fillId="67"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266" fillId="70" borderId="0" applyNumberFormat="0" applyBorder="0" applyAlignment="0" applyProtection="0"/>
    <xf numFmtId="0" fontId="266" fillId="71"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266" fillId="74" borderId="0" applyNumberFormat="0" applyBorder="0" applyAlignment="0" applyProtection="0"/>
    <xf numFmtId="0" fontId="266" fillId="75"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266" fillId="78" borderId="0" applyNumberFormat="0" applyBorder="0" applyAlignment="0" applyProtection="0"/>
    <xf numFmtId="0" fontId="266" fillId="79"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266" fillId="82" borderId="0" applyNumberFormat="0" applyBorder="0" applyAlignment="0" applyProtection="0"/>
    <xf numFmtId="0" fontId="255" fillId="0" borderId="0"/>
    <xf numFmtId="168" fontId="255" fillId="0" borderId="0" applyFont="0" applyFill="0" applyBorder="0" applyAlignment="0" applyProtection="0"/>
    <xf numFmtId="9" fontId="10" fillId="0" borderId="0" applyFont="0" applyFill="0" applyBorder="0" applyAlignment="0" applyProtection="0"/>
    <xf numFmtId="168" fontId="10" fillId="0" borderId="0" applyFont="0" applyFill="0" applyBorder="0" applyAlignment="0" applyProtection="0"/>
    <xf numFmtId="0" fontId="4" fillId="60" borderId="0" applyNumberFormat="0" applyBorder="0" applyAlignment="0" applyProtection="0"/>
    <xf numFmtId="0" fontId="9" fillId="2" borderId="0" applyNumberFormat="0" applyBorder="0" applyAlignment="0" applyProtection="0"/>
    <xf numFmtId="0" fontId="4" fillId="60" borderId="0" applyNumberFormat="0" applyBorder="0" applyAlignment="0" applyProtection="0"/>
    <xf numFmtId="0" fontId="9" fillId="2" borderId="0" applyNumberFormat="0" applyBorder="0" applyAlignment="0" applyProtection="0"/>
    <xf numFmtId="0" fontId="4" fillId="60" borderId="0" applyNumberFormat="0" applyBorder="0" applyAlignment="0" applyProtection="0"/>
    <xf numFmtId="0" fontId="9" fillId="2" borderId="0" applyNumberFormat="0" applyBorder="0" applyAlignment="0" applyProtection="0"/>
    <xf numFmtId="0" fontId="4" fillId="60"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9" fillId="2"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9" fillId="3" borderId="0" applyNumberFormat="0" applyBorder="0" applyAlignment="0" applyProtection="0"/>
    <xf numFmtId="0" fontId="4" fillId="64" borderId="0" applyNumberFormat="0" applyBorder="0" applyAlignment="0" applyProtection="0"/>
    <xf numFmtId="0" fontId="9" fillId="3" borderId="0" applyNumberFormat="0" applyBorder="0" applyAlignment="0" applyProtection="0"/>
    <xf numFmtId="0" fontId="4" fillId="64" borderId="0" applyNumberFormat="0" applyBorder="0" applyAlignment="0" applyProtection="0"/>
    <xf numFmtId="0" fontId="9" fillId="3" borderId="0" applyNumberFormat="0" applyBorder="0" applyAlignment="0" applyProtection="0"/>
    <xf numFmtId="0" fontId="4" fillId="64"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9" fillId="3"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9" fillId="4" borderId="0" applyNumberFormat="0" applyBorder="0" applyAlignment="0" applyProtection="0"/>
    <xf numFmtId="0" fontId="4" fillId="68" borderId="0" applyNumberFormat="0" applyBorder="0" applyAlignment="0" applyProtection="0"/>
    <xf numFmtId="0" fontId="9" fillId="4" borderId="0" applyNumberFormat="0" applyBorder="0" applyAlignment="0" applyProtection="0"/>
    <xf numFmtId="0" fontId="4" fillId="68" borderId="0" applyNumberFormat="0" applyBorder="0" applyAlignment="0" applyProtection="0"/>
    <xf numFmtId="0" fontId="9" fillId="4" borderId="0" applyNumberFormat="0" applyBorder="0" applyAlignment="0" applyProtection="0"/>
    <xf numFmtId="0" fontId="4" fillId="68"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9" fillId="4"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9" fillId="5" borderId="0" applyNumberFormat="0" applyBorder="0" applyAlignment="0" applyProtection="0"/>
    <xf numFmtId="0" fontId="4" fillId="72" borderId="0" applyNumberFormat="0" applyBorder="0" applyAlignment="0" applyProtection="0"/>
    <xf numFmtId="0" fontId="9" fillId="5" borderId="0" applyNumberFormat="0" applyBorder="0" applyAlignment="0" applyProtection="0"/>
    <xf numFmtId="0" fontId="4" fillId="72" borderId="0" applyNumberFormat="0" applyBorder="0" applyAlignment="0" applyProtection="0"/>
    <xf numFmtId="0" fontId="9" fillId="5" borderId="0" applyNumberFormat="0" applyBorder="0" applyAlignment="0" applyProtection="0"/>
    <xf numFmtId="0" fontId="4" fillId="72"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9" fillId="5"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9" fillId="6" borderId="0" applyNumberFormat="0" applyBorder="0" applyAlignment="0" applyProtection="0"/>
    <xf numFmtId="0" fontId="4" fillId="76" borderId="0" applyNumberFormat="0" applyBorder="0" applyAlignment="0" applyProtection="0"/>
    <xf numFmtId="0" fontId="9" fillId="6" borderId="0" applyNumberFormat="0" applyBorder="0" applyAlignment="0" applyProtection="0"/>
    <xf numFmtId="0" fontId="4" fillId="76" borderId="0" applyNumberFormat="0" applyBorder="0" applyAlignment="0" applyProtection="0"/>
    <xf numFmtId="0" fontId="9" fillId="6" borderId="0" applyNumberFormat="0" applyBorder="0" applyAlignment="0" applyProtection="0"/>
    <xf numFmtId="0" fontId="4" fillId="7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9" fillId="6" borderId="0" applyNumberFormat="0" applyBorder="0" applyAlignment="0" applyProtection="0"/>
    <xf numFmtId="0" fontId="4" fillId="76" borderId="0" applyNumberFormat="0" applyBorder="0" applyAlignment="0" applyProtection="0"/>
    <xf numFmtId="0" fontId="4" fillId="80" borderId="0" applyNumberFormat="0" applyBorder="0" applyAlignment="0" applyProtection="0"/>
    <xf numFmtId="0" fontId="9" fillId="7" borderId="0" applyNumberFormat="0" applyBorder="0" applyAlignment="0" applyProtection="0"/>
    <xf numFmtId="0" fontId="4" fillId="80" borderId="0" applyNumberFormat="0" applyBorder="0" applyAlignment="0" applyProtection="0"/>
    <xf numFmtId="0" fontId="9" fillId="7" borderId="0" applyNumberFormat="0" applyBorder="0" applyAlignment="0" applyProtection="0"/>
    <xf numFmtId="0" fontId="4" fillId="80" borderId="0" applyNumberFormat="0" applyBorder="0" applyAlignment="0" applyProtection="0"/>
    <xf numFmtId="0" fontId="9" fillId="7" borderId="0" applyNumberFormat="0" applyBorder="0" applyAlignment="0" applyProtection="0"/>
    <xf numFmtId="0" fontId="4" fillId="8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9" fillId="7" borderId="0" applyNumberFormat="0" applyBorder="0" applyAlignment="0" applyProtection="0"/>
    <xf numFmtId="0" fontId="4" fillId="80" borderId="0" applyNumberFormat="0" applyBorder="0" applyAlignment="0" applyProtection="0"/>
    <xf numFmtId="0" fontId="4" fillId="61" borderId="0" applyNumberFormat="0" applyBorder="0" applyAlignment="0" applyProtection="0"/>
    <xf numFmtId="0" fontId="9" fillId="10" borderId="0" applyNumberFormat="0" applyBorder="0" applyAlignment="0" applyProtection="0"/>
    <xf numFmtId="0" fontId="4" fillId="61" borderId="0" applyNumberFormat="0" applyBorder="0" applyAlignment="0" applyProtection="0"/>
    <xf numFmtId="0" fontId="9" fillId="10" borderId="0" applyNumberFormat="0" applyBorder="0" applyAlignment="0" applyProtection="0"/>
    <xf numFmtId="0" fontId="4" fillId="61" borderId="0" applyNumberFormat="0" applyBorder="0" applyAlignment="0" applyProtection="0"/>
    <xf numFmtId="0" fontId="9" fillId="10" borderId="0" applyNumberFormat="0" applyBorder="0" applyAlignment="0" applyProtection="0"/>
    <xf numFmtId="0" fontId="4" fillId="61"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9" fillId="10"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9" fillId="11" borderId="0" applyNumberFormat="0" applyBorder="0" applyAlignment="0" applyProtection="0"/>
    <xf numFmtId="0" fontId="4" fillId="65" borderId="0" applyNumberFormat="0" applyBorder="0" applyAlignment="0" applyProtection="0"/>
    <xf numFmtId="0" fontId="9" fillId="11" borderId="0" applyNumberFormat="0" applyBorder="0" applyAlignment="0" applyProtection="0"/>
    <xf numFmtId="0" fontId="4" fillId="65" borderId="0" applyNumberFormat="0" applyBorder="0" applyAlignment="0" applyProtection="0"/>
    <xf numFmtId="0" fontId="9" fillId="11" borderId="0" applyNumberFormat="0" applyBorder="0" applyAlignment="0" applyProtection="0"/>
    <xf numFmtId="0" fontId="4" fillId="65"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9" fillId="11"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9" fillId="12" borderId="0" applyNumberFormat="0" applyBorder="0" applyAlignment="0" applyProtection="0"/>
    <xf numFmtId="0" fontId="4" fillId="69" borderId="0" applyNumberFormat="0" applyBorder="0" applyAlignment="0" applyProtection="0"/>
    <xf numFmtId="0" fontId="9" fillId="12" borderId="0" applyNumberFormat="0" applyBorder="0" applyAlignment="0" applyProtection="0"/>
    <xf numFmtId="0" fontId="4" fillId="69" borderId="0" applyNumberFormat="0" applyBorder="0" applyAlignment="0" applyProtection="0"/>
    <xf numFmtId="0" fontId="9" fillId="12" borderId="0" applyNumberFormat="0" applyBorder="0" applyAlignment="0" applyProtection="0"/>
    <xf numFmtId="0" fontId="4" fillId="69"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9" fillId="12"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9" fillId="5" borderId="0" applyNumberFormat="0" applyBorder="0" applyAlignment="0" applyProtection="0"/>
    <xf numFmtId="0" fontId="4" fillId="73" borderId="0" applyNumberFormat="0" applyBorder="0" applyAlignment="0" applyProtection="0"/>
    <xf numFmtId="0" fontId="9" fillId="5" borderId="0" applyNumberFormat="0" applyBorder="0" applyAlignment="0" applyProtection="0"/>
    <xf numFmtId="0" fontId="4" fillId="73" borderId="0" applyNumberFormat="0" applyBorder="0" applyAlignment="0" applyProtection="0"/>
    <xf numFmtId="0" fontId="9" fillId="5" borderId="0" applyNumberFormat="0" applyBorder="0" applyAlignment="0" applyProtection="0"/>
    <xf numFmtId="0" fontId="4" fillId="73"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9" fillId="5"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9" fillId="10" borderId="0" applyNumberFormat="0" applyBorder="0" applyAlignment="0" applyProtection="0"/>
    <xf numFmtId="0" fontId="4" fillId="77" borderId="0" applyNumberFormat="0" applyBorder="0" applyAlignment="0" applyProtection="0"/>
    <xf numFmtId="0" fontId="9" fillId="10" borderId="0" applyNumberFormat="0" applyBorder="0" applyAlignment="0" applyProtection="0"/>
    <xf numFmtId="0" fontId="4" fillId="77" borderId="0" applyNumberFormat="0" applyBorder="0" applyAlignment="0" applyProtection="0"/>
    <xf numFmtId="0" fontId="9" fillId="10" borderId="0" applyNumberFormat="0" applyBorder="0" applyAlignment="0" applyProtection="0"/>
    <xf numFmtId="0" fontId="4" fillId="77"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9" fillId="10"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9" fillId="13" borderId="0" applyNumberFormat="0" applyBorder="0" applyAlignment="0" applyProtection="0"/>
    <xf numFmtId="0" fontId="4" fillId="81" borderId="0" applyNumberFormat="0" applyBorder="0" applyAlignment="0" applyProtection="0"/>
    <xf numFmtId="0" fontId="9" fillId="13" borderId="0" applyNumberFormat="0" applyBorder="0" applyAlignment="0" applyProtection="0"/>
    <xf numFmtId="0" fontId="4" fillId="81" borderId="0" applyNumberFormat="0" applyBorder="0" applyAlignment="0" applyProtection="0"/>
    <xf numFmtId="0" fontId="9" fillId="13" borderId="0" applyNumberFormat="0" applyBorder="0" applyAlignment="0" applyProtection="0"/>
    <xf numFmtId="0" fontId="4" fillId="81"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9" fillId="13" borderId="0" applyNumberFormat="0" applyBorder="0" applyAlignment="0" applyProtection="0"/>
    <xf numFmtId="0" fontId="4" fillId="81" borderId="0" applyNumberFormat="0" applyBorder="0" applyAlignment="0" applyProtection="0"/>
    <xf numFmtId="0" fontId="266" fillId="62" borderId="0" applyNumberFormat="0" applyBorder="0" applyAlignment="0" applyProtection="0"/>
    <xf numFmtId="0" fontId="12" fillId="15" borderId="0" applyNumberFormat="0" applyBorder="0" applyAlignment="0" applyProtection="0"/>
    <xf numFmtId="0" fontId="266" fillId="62" borderId="0" applyNumberFormat="0" applyBorder="0" applyAlignment="0" applyProtection="0"/>
    <xf numFmtId="0" fontId="12" fillId="15" borderId="0" applyNumberFormat="0" applyBorder="0" applyAlignment="0" applyProtection="0"/>
    <xf numFmtId="0" fontId="266" fillId="62" borderId="0" applyNumberFormat="0" applyBorder="0" applyAlignment="0" applyProtection="0"/>
    <xf numFmtId="0" fontId="12" fillId="15" borderId="0" applyNumberFormat="0" applyBorder="0" applyAlignment="0" applyProtection="0"/>
    <xf numFmtId="0" fontId="266" fillId="62"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266" fillId="62" borderId="0" applyNumberFormat="0" applyBorder="0" applyAlignment="0" applyProtection="0"/>
    <xf numFmtId="0" fontId="266" fillId="62"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266" fillId="62" borderId="0" applyNumberFormat="0" applyBorder="0" applyAlignment="0" applyProtection="0"/>
    <xf numFmtId="0" fontId="266" fillId="62" borderId="0" applyNumberFormat="0" applyBorder="0" applyAlignment="0" applyProtection="0"/>
    <xf numFmtId="0" fontId="266" fillId="62"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266" fillId="62" borderId="0" applyNumberFormat="0" applyBorder="0" applyAlignment="0" applyProtection="0"/>
    <xf numFmtId="0" fontId="266" fillId="62" borderId="0" applyNumberFormat="0" applyBorder="0" applyAlignment="0" applyProtection="0"/>
    <xf numFmtId="0" fontId="266" fillId="62" borderId="0" applyNumberFormat="0" applyBorder="0" applyAlignment="0" applyProtection="0"/>
    <xf numFmtId="0" fontId="266" fillId="62" borderId="0" applyNumberFormat="0" applyBorder="0" applyAlignment="0" applyProtection="0"/>
    <xf numFmtId="0" fontId="266" fillId="62" borderId="0" applyNumberFormat="0" applyBorder="0" applyAlignment="0" applyProtection="0"/>
    <xf numFmtId="0" fontId="266" fillId="62" borderId="0" applyNumberFormat="0" applyBorder="0" applyAlignment="0" applyProtection="0"/>
    <xf numFmtId="0" fontId="266" fillId="62" borderId="0" applyNumberFormat="0" applyBorder="0" applyAlignment="0" applyProtection="0"/>
    <xf numFmtId="0" fontId="266" fillId="62" borderId="0" applyNumberFormat="0" applyBorder="0" applyAlignment="0" applyProtection="0"/>
    <xf numFmtId="0" fontId="266" fillId="62" borderId="0" applyNumberFormat="0" applyBorder="0" applyAlignment="0" applyProtection="0"/>
    <xf numFmtId="0" fontId="266" fillId="62" borderId="0" applyNumberFormat="0" applyBorder="0" applyAlignment="0" applyProtection="0"/>
    <xf numFmtId="0" fontId="266" fillId="62" borderId="0" applyNumberFormat="0" applyBorder="0" applyAlignment="0" applyProtection="0"/>
    <xf numFmtId="0" fontId="12" fillId="15" borderId="0" applyNumberFormat="0" applyBorder="0" applyAlignment="0" applyProtection="0"/>
    <xf numFmtId="0" fontId="266" fillId="62" borderId="0" applyNumberFormat="0" applyBorder="0" applyAlignment="0" applyProtection="0"/>
    <xf numFmtId="0" fontId="266" fillId="66" borderId="0" applyNumberFormat="0" applyBorder="0" applyAlignment="0" applyProtection="0"/>
    <xf numFmtId="0" fontId="12" fillId="11" borderId="0" applyNumberFormat="0" applyBorder="0" applyAlignment="0" applyProtection="0"/>
    <xf numFmtId="0" fontId="266" fillId="66" borderId="0" applyNumberFormat="0" applyBorder="0" applyAlignment="0" applyProtection="0"/>
    <xf numFmtId="0" fontId="12" fillId="11" borderId="0" applyNumberFormat="0" applyBorder="0" applyAlignment="0" applyProtection="0"/>
    <xf numFmtId="0" fontId="266" fillId="66" borderId="0" applyNumberFormat="0" applyBorder="0" applyAlignment="0" applyProtection="0"/>
    <xf numFmtId="0" fontId="12" fillId="11" borderId="0" applyNumberFormat="0" applyBorder="0" applyAlignment="0" applyProtection="0"/>
    <xf numFmtId="0" fontId="266" fillId="66"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266" fillId="66" borderId="0" applyNumberFormat="0" applyBorder="0" applyAlignment="0" applyProtection="0"/>
    <xf numFmtId="0" fontId="266" fillId="66"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266" fillId="66" borderId="0" applyNumberFormat="0" applyBorder="0" applyAlignment="0" applyProtection="0"/>
    <xf numFmtId="0" fontId="266" fillId="66" borderId="0" applyNumberFormat="0" applyBorder="0" applyAlignment="0" applyProtection="0"/>
    <xf numFmtId="0" fontId="266" fillId="66"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266" fillId="66" borderId="0" applyNumberFormat="0" applyBorder="0" applyAlignment="0" applyProtection="0"/>
    <xf numFmtId="0" fontId="266" fillId="66" borderId="0" applyNumberFormat="0" applyBorder="0" applyAlignment="0" applyProtection="0"/>
    <xf numFmtId="0" fontId="266" fillId="66" borderId="0" applyNumberFormat="0" applyBorder="0" applyAlignment="0" applyProtection="0"/>
    <xf numFmtId="0" fontId="266" fillId="66" borderId="0" applyNumberFormat="0" applyBorder="0" applyAlignment="0" applyProtection="0"/>
    <xf numFmtId="0" fontId="266" fillId="66" borderId="0" applyNumberFormat="0" applyBorder="0" applyAlignment="0" applyProtection="0"/>
    <xf numFmtId="0" fontId="266" fillId="66" borderId="0" applyNumberFormat="0" applyBorder="0" applyAlignment="0" applyProtection="0"/>
    <xf numFmtId="0" fontId="266" fillId="66" borderId="0" applyNumberFormat="0" applyBorder="0" applyAlignment="0" applyProtection="0"/>
    <xf numFmtId="0" fontId="266" fillId="66" borderId="0" applyNumberFormat="0" applyBorder="0" applyAlignment="0" applyProtection="0"/>
    <xf numFmtId="0" fontId="266" fillId="66" borderId="0" applyNumberFormat="0" applyBorder="0" applyAlignment="0" applyProtection="0"/>
    <xf numFmtId="0" fontId="266" fillId="66" borderId="0" applyNumberFormat="0" applyBorder="0" applyAlignment="0" applyProtection="0"/>
    <xf numFmtId="0" fontId="266" fillId="66" borderId="0" applyNumberFormat="0" applyBorder="0" applyAlignment="0" applyProtection="0"/>
    <xf numFmtId="0" fontId="12" fillId="11" borderId="0" applyNumberFormat="0" applyBorder="0" applyAlignment="0" applyProtection="0"/>
    <xf numFmtId="0" fontId="266" fillId="66" borderId="0" applyNumberFormat="0" applyBorder="0" applyAlignment="0" applyProtection="0"/>
    <xf numFmtId="0" fontId="266" fillId="70" borderId="0" applyNumberFormat="0" applyBorder="0" applyAlignment="0" applyProtection="0"/>
    <xf numFmtId="0" fontId="12" fillId="12" borderId="0" applyNumberFormat="0" applyBorder="0" applyAlignment="0" applyProtection="0"/>
    <xf numFmtId="0" fontId="266" fillId="70" borderId="0" applyNumberFormat="0" applyBorder="0" applyAlignment="0" applyProtection="0"/>
    <xf numFmtId="0" fontId="12" fillId="12" borderId="0" applyNumberFormat="0" applyBorder="0" applyAlignment="0" applyProtection="0"/>
    <xf numFmtId="0" fontId="266" fillId="70" borderId="0" applyNumberFormat="0" applyBorder="0" applyAlignment="0" applyProtection="0"/>
    <xf numFmtId="0" fontId="12" fillId="12" borderId="0" applyNumberFormat="0" applyBorder="0" applyAlignment="0" applyProtection="0"/>
    <xf numFmtId="0" fontId="266" fillId="70"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266" fillId="70" borderId="0" applyNumberFormat="0" applyBorder="0" applyAlignment="0" applyProtection="0"/>
    <xf numFmtId="0" fontId="266" fillId="70"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266" fillId="70" borderId="0" applyNumberFormat="0" applyBorder="0" applyAlignment="0" applyProtection="0"/>
    <xf numFmtId="0" fontId="266" fillId="70" borderId="0" applyNumberFormat="0" applyBorder="0" applyAlignment="0" applyProtection="0"/>
    <xf numFmtId="0" fontId="266" fillId="70"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266" fillId="70" borderId="0" applyNumberFormat="0" applyBorder="0" applyAlignment="0" applyProtection="0"/>
    <xf numFmtId="0" fontId="266" fillId="70" borderId="0" applyNumberFormat="0" applyBorder="0" applyAlignment="0" applyProtection="0"/>
    <xf numFmtId="0" fontId="266" fillId="70" borderId="0" applyNumberFormat="0" applyBorder="0" applyAlignment="0" applyProtection="0"/>
    <xf numFmtId="0" fontId="266" fillId="70" borderId="0" applyNumberFormat="0" applyBorder="0" applyAlignment="0" applyProtection="0"/>
    <xf numFmtId="0" fontId="266" fillId="70" borderId="0" applyNumberFormat="0" applyBorder="0" applyAlignment="0" applyProtection="0"/>
    <xf numFmtId="0" fontId="266" fillId="70" borderId="0" applyNumberFormat="0" applyBorder="0" applyAlignment="0" applyProtection="0"/>
    <xf numFmtId="0" fontId="266" fillId="70" borderId="0" applyNumberFormat="0" applyBorder="0" applyAlignment="0" applyProtection="0"/>
    <xf numFmtId="0" fontId="266" fillId="70" borderId="0" applyNumberFormat="0" applyBorder="0" applyAlignment="0" applyProtection="0"/>
    <xf numFmtId="0" fontId="266" fillId="70" borderId="0" applyNumberFormat="0" applyBorder="0" applyAlignment="0" applyProtection="0"/>
    <xf numFmtId="0" fontId="266" fillId="70" borderId="0" applyNumberFormat="0" applyBorder="0" applyAlignment="0" applyProtection="0"/>
    <xf numFmtId="0" fontId="266" fillId="70" borderId="0" applyNumberFormat="0" applyBorder="0" applyAlignment="0" applyProtection="0"/>
    <xf numFmtId="0" fontId="12" fillId="12" borderId="0" applyNumberFormat="0" applyBorder="0" applyAlignment="0" applyProtection="0"/>
    <xf numFmtId="0" fontId="266" fillId="70" borderId="0" applyNumberFormat="0" applyBorder="0" applyAlignment="0" applyProtection="0"/>
    <xf numFmtId="0" fontId="266" fillId="74" borderId="0" applyNumberFormat="0" applyBorder="0" applyAlignment="0" applyProtection="0"/>
    <xf numFmtId="0" fontId="12" fillId="16" borderId="0" applyNumberFormat="0" applyBorder="0" applyAlignment="0" applyProtection="0"/>
    <xf numFmtId="0" fontId="266" fillId="74" borderId="0" applyNumberFormat="0" applyBorder="0" applyAlignment="0" applyProtection="0"/>
    <xf numFmtId="0" fontId="12" fillId="16" borderId="0" applyNumberFormat="0" applyBorder="0" applyAlignment="0" applyProtection="0"/>
    <xf numFmtId="0" fontId="266" fillId="74" borderId="0" applyNumberFormat="0" applyBorder="0" applyAlignment="0" applyProtection="0"/>
    <xf numFmtId="0" fontId="12" fillId="16" borderId="0" applyNumberFormat="0" applyBorder="0" applyAlignment="0" applyProtection="0"/>
    <xf numFmtId="0" fontId="266" fillId="74"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266" fillId="74" borderId="0" applyNumberFormat="0" applyBorder="0" applyAlignment="0" applyProtection="0"/>
    <xf numFmtId="0" fontId="266" fillId="74"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266" fillId="74" borderId="0" applyNumberFormat="0" applyBorder="0" applyAlignment="0" applyProtection="0"/>
    <xf numFmtId="0" fontId="266" fillId="74" borderId="0" applyNumberFormat="0" applyBorder="0" applyAlignment="0" applyProtection="0"/>
    <xf numFmtId="0" fontId="266" fillId="74"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266" fillId="74" borderId="0" applyNumberFormat="0" applyBorder="0" applyAlignment="0" applyProtection="0"/>
    <xf numFmtId="0" fontId="266" fillId="74" borderId="0" applyNumberFormat="0" applyBorder="0" applyAlignment="0" applyProtection="0"/>
    <xf numFmtId="0" fontId="266" fillId="74" borderId="0" applyNumberFormat="0" applyBorder="0" applyAlignment="0" applyProtection="0"/>
    <xf numFmtId="0" fontId="266" fillId="74" borderId="0" applyNumberFormat="0" applyBorder="0" applyAlignment="0" applyProtection="0"/>
    <xf numFmtId="0" fontId="266" fillId="74" borderId="0" applyNumberFormat="0" applyBorder="0" applyAlignment="0" applyProtection="0"/>
    <xf numFmtId="0" fontId="266" fillId="74" borderId="0" applyNumberFormat="0" applyBorder="0" applyAlignment="0" applyProtection="0"/>
    <xf numFmtId="0" fontId="266" fillId="74" borderId="0" applyNumberFormat="0" applyBorder="0" applyAlignment="0" applyProtection="0"/>
    <xf numFmtId="0" fontId="266" fillId="74" borderId="0" applyNumberFormat="0" applyBorder="0" applyAlignment="0" applyProtection="0"/>
    <xf numFmtId="0" fontId="266" fillId="74" borderId="0" applyNumberFormat="0" applyBorder="0" applyAlignment="0" applyProtection="0"/>
    <xf numFmtId="0" fontId="266" fillId="74" borderId="0" applyNumberFormat="0" applyBorder="0" applyAlignment="0" applyProtection="0"/>
    <xf numFmtId="0" fontId="266" fillId="74" borderId="0" applyNumberFormat="0" applyBorder="0" applyAlignment="0" applyProtection="0"/>
    <xf numFmtId="0" fontId="12" fillId="16" borderId="0" applyNumberFormat="0" applyBorder="0" applyAlignment="0" applyProtection="0"/>
    <xf numFmtId="0" fontId="266" fillId="74" borderId="0" applyNumberFormat="0" applyBorder="0" applyAlignment="0" applyProtection="0"/>
    <xf numFmtId="0" fontId="266" fillId="78" borderId="0" applyNumberFormat="0" applyBorder="0" applyAlignment="0" applyProtection="0"/>
    <xf numFmtId="0" fontId="12" fillId="17" borderId="0" applyNumberFormat="0" applyBorder="0" applyAlignment="0" applyProtection="0"/>
    <xf numFmtId="0" fontId="266" fillId="78" borderId="0" applyNumberFormat="0" applyBorder="0" applyAlignment="0" applyProtection="0"/>
    <xf numFmtId="0" fontId="12" fillId="17" borderId="0" applyNumberFormat="0" applyBorder="0" applyAlignment="0" applyProtection="0"/>
    <xf numFmtId="0" fontId="266" fillId="78" borderId="0" applyNumberFormat="0" applyBorder="0" applyAlignment="0" applyProtection="0"/>
    <xf numFmtId="0" fontId="12" fillId="17" borderId="0" applyNumberFormat="0" applyBorder="0" applyAlignment="0" applyProtection="0"/>
    <xf numFmtId="0" fontId="266" fillId="7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266" fillId="78" borderId="0" applyNumberFormat="0" applyBorder="0" applyAlignment="0" applyProtection="0"/>
    <xf numFmtId="0" fontId="266" fillId="7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266" fillId="78" borderId="0" applyNumberFormat="0" applyBorder="0" applyAlignment="0" applyProtection="0"/>
    <xf numFmtId="0" fontId="266" fillId="78" borderId="0" applyNumberFormat="0" applyBorder="0" applyAlignment="0" applyProtection="0"/>
    <xf numFmtId="0" fontId="266" fillId="7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266" fillId="78" borderId="0" applyNumberFormat="0" applyBorder="0" applyAlignment="0" applyProtection="0"/>
    <xf numFmtId="0" fontId="266" fillId="78" borderId="0" applyNumberFormat="0" applyBorder="0" applyAlignment="0" applyProtection="0"/>
    <xf numFmtId="0" fontId="266" fillId="78" borderId="0" applyNumberFormat="0" applyBorder="0" applyAlignment="0" applyProtection="0"/>
    <xf numFmtId="0" fontId="266" fillId="78" borderId="0" applyNumberFormat="0" applyBorder="0" applyAlignment="0" applyProtection="0"/>
    <xf numFmtId="0" fontId="266" fillId="78" borderId="0" applyNumberFormat="0" applyBorder="0" applyAlignment="0" applyProtection="0"/>
    <xf numFmtId="0" fontId="266" fillId="78" borderId="0" applyNumberFormat="0" applyBorder="0" applyAlignment="0" applyProtection="0"/>
    <xf numFmtId="0" fontId="266" fillId="78" borderId="0" applyNumberFormat="0" applyBorder="0" applyAlignment="0" applyProtection="0"/>
    <xf numFmtId="0" fontId="266" fillId="78" borderId="0" applyNumberFormat="0" applyBorder="0" applyAlignment="0" applyProtection="0"/>
    <xf numFmtId="0" fontId="266" fillId="78" borderId="0" applyNumberFormat="0" applyBorder="0" applyAlignment="0" applyProtection="0"/>
    <xf numFmtId="0" fontId="266" fillId="78" borderId="0" applyNumberFormat="0" applyBorder="0" applyAlignment="0" applyProtection="0"/>
    <xf numFmtId="0" fontId="266" fillId="78" borderId="0" applyNumberFormat="0" applyBorder="0" applyAlignment="0" applyProtection="0"/>
    <xf numFmtId="0" fontId="12" fillId="17" borderId="0" applyNumberFormat="0" applyBorder="0" applyAlignment="0" applyProtection="0"/>
    <xf numFmtId="0" fontId="266" fillId="78" borderId="0" applyNumberFormat="0" applyBorder="0" applyAlignment="0" applyProtection="0"/>
    <xf numFmtId="0" fontId="266" fillId="82" borderId="0" applyNumberFormat="0" applyBorder="0" applyAlignment="0" applyProtection="0"/>
    <xf numFmtId="0" fontId="12" fillId="18" borderId="0" applyNumberFormat="0" applyBorder="0" applyAlignment="0" applyProtection="0"/>
    <xf numFmtId="0" fontId="266" fillId="82" borderId="0" applyNumberFormat="0" applyBorder="0" applyAlignment="0" applyProtection="0"/>
    <xf numFmtId="0" fontId="12" fillId="18" borderId="0" applyNumberFormat="0" applyBorder="0" applyAlignment="0" applyProtection="0"/>
    <xf numFmtId="0" fontId="266" fillId="82" borderId="0" applyNumberFormat="0" applyBorder="0" applyAlignment="0" applyProtection="0"/>
    <xf numFmtId="0" fontId="12" fillId="18" borderId="0" applyNumberFormat="0" applyBorder="0" applyAlignment="0" applyProtection="0"/>
    <xf numFmtId="0" fontId="266" fillId="82"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266" fillId="82" borderId="0" applyNumberFormat="0" applyBorder="0" applyAlignment="0" applyProtection="0"/>
    <xf numFmtId="0" fontId="266" fillId="82"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266" fillId="82" borderId="0" applyNumberFormat="0" applyBorder="0" applyAlignment="0" applyProtection="0"/>
    <xf numFmtId="0" fontId="266" fillId="82" borderId="0" applyNumberFormat="0" applyBorder="0" applyAlignment="0" applyProtection="0"/>
    <xf numFmtId="0" fontId="266" fillId="82"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266" fillId="82" borderId="0" applyNumberFormat="0" applyBorder="0" applyAlignment="0" applyProtection="0"/>
    <xf numFmtId="0" fontId="266" fillId="82" borderId="0" applyNumberFormat="0" applyBorder="0" applyAlignment="0" applyProtection="0"/>
    <xf numFmtId="0" fontId="266" fillId="82" borderId="0" applyNumberFormat="0" applyBorder="0" applyAlignment="0" applyProtection="0"/>
    <xf numFmtId="0" fontId="266" fillId="82" borderId="0" applyNumberFormat="0" applyBorder="0" applyAlignment="0" applyProtection="0"/>
    <xf numFmtId="0" fontId="266" fillId="82" borderId="0" applyNumberFormat="0" applyBorder="0" applyAlignment="0" applyProtection="0"/>
    <xf numFmtId="0" fontId="266" fillId="82" borderId="0" applyNumberFormat="0" applyBorder="0" applyAlignment="0" applyProtection="0"/>
    <xf numFmtId="0" fontId="266" fillId="82" borderId="0" applyNumberFormat="0" applyBorder="0" applyAlignment="0" applyProtection="0"/>
    <xf numFmtId="0" fontId="266" fillId="82" borderId="0" applyNumberFormat="0" applyBorder="0" applyAlignment="0" applyProtection="0"/>
    <xf numFmtId="0" fontId="266" fillId="82" borderId="0" applyNumberFormat="0" applyBorder="0" applyAlignment="0" applyProtection="0"/>
    <xf numFmtId="0" fontId="266" fillId="82" borderId="0" applyNumberFormat="0" applyBorder="0" applyAlignment="0" applyProtection="0"/>
    <xf numFmtId="0" fontId="266" fillId="82" borderId="0" applyNumberFormat="0" applyBorder="0" applyAlignment="0" applyProtection="0"/>
    <xf numFmtId="0" fontId="12" fillId="18" borderId="0" applyNumberFormat="0" applyBorder="0" applyAlignment="0" applyProtection="0"/>
    <xf numFmtId="0" fontId="266" fillId="82" borderId="0" applyNumberFormat="0" applyBorder="0" applyAlignment="0" applyProtection="0"/>
    <xf numFmtId="0" fontId="259" fillId="55" borderId="0" applyNumberFormat="0" applyBorder="0" applyAlignment="0" applyProtection="0"/>
    <xf numFmtId="0" fontId="18" fillId="4" borderId="0" applyNumberFormat="0" applyBorder="0" applyAlignment="0" applyProtection="0"/>
    <xf numFmtId="0" fontId="259" fillId="55" borderId="0" applyNumberFormat="0" applyBorder="0" applyAlignment="0" applyProtection="0"/>
    <xf numFmtId="0" fontId="18" fillId="4" borderId="0" applyNumberFormat="0" applyBorder="0" applyAlignment="0" applyProtection="0"/>
    <xf numFmtId="0" fontId="259" fillId="55" borderId="0" applyNumberFormat="0" applyBorder="0" applyAlignment="0" applyProtection="0"/>
    <xf numFmtId="0" fontId="18" fillId="4" borderId="0" applyNumberFormat="0" applyBorder="0" applyAlignment="0" applyProtection="0"/>
    <xf numFmtId="0" fontId="259" fillId="55"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259" fillId="55" borderId="0" applyNumberFormat="0" applyBorder="0" applyAlignment="0" applyProtection="0"/>
    <xf numFmtId="0" fontId="259" fillId="55"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259" fillId="55" borderId="0" applyNumberFormat="0" applyBorder="0" applyAlignment="0" applyProtection="0"/>
    <xf numFmtId="0" fontId="259" fillId="55" borderId="0" applyNumberFormat="0" applyBorder="0" applyAlignment="0" applyProtection="0"/>
    <xf numFmtId="0" fontId="259" fillId="55"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259" fillId="55" borderId="0" applyNumberFormat="0" applyBorder="0" applyAlignment="0" applyProtection="0"/>
    <xf numFmtId="0" fontId="259" fillId="55" borderId="0" applyNumberFormat="0" applyBorder="0" applyAlignment="0" applyProtection="0"/>
    <xf numFmtId="0" fontId="259" fillId="55" borderId="0" applyNumberFormat="0" applyBorder="0" applyAlignment="0" applyProtection="0"/>
    <xf numFmtId="0" fontId="259" fillId="55" borderId="0" applyNumberFormat="0" applyBorder="0" applyAlignment="0" applyProtection="0"/>
    <xf numFmtId="0" fontId="259" fillId="55" borderId="0" applyNumberFormat="0" applyBorder="0" applyAlignment="0" applyProtection="0"/>
    <xf numFmtId="0" fontId="259" fillId="55" borderId="0" applyNumberFormat="0" applyBorder="0" applyAlignment="0" applyProtection="0"/>
    <xf numFmtId="0" fontId="259" fillId="55" borderId="0" applyNumberFormat="0" applyBorder="0" applyAlignment="0" applyProtection="0"/>
    <xf numFmtId="0" fontId="259" fillId="55" borderId="0" applyNumberFormat="0" applyBorder="0" applyAlignment="0" applyProtection="0"/>
    <xf numFmtId="0" fontId="259" fillId="55" borderId="0" applyNumberFormat="0" applyBorder="0" applyAlignment="0" applyProtection="0"/>
    <xf numFmtId="0" fontId="259" fillId="55" borderId="0" applyNumberFormat="0" applyBorder="0" applyAlignment="0" applyProtection="0"/>
    <xf numFmtId="0" fontId="259" fillId="55" borderId="0" applyNumberFormat="0" applyBorder="0" applyAlignment="0" applyProtection="0"/>
    <xf numFmtId="0" fontId="18" fillId="4" borderId="0" applyNumberFormat="0" applyBorder="0" applyAlignment="0" applyProtection="0"/>
    <xf numFmtId="0" fontId="259" fillId="55" borderId="0" applyNumberFormat="0" applyBorder="0" applyAlignment="0" applyProtection="0"/>
    <xf numFmtId="0" fontId="263" fillId="57" borderId="78" applyNumberFormat="0" applyAlignment="0" applyProtection="0"/>
    <xf numFmtId="0" fontId="14" fillId="8" borderId="1" applyNumberFormat="0" applyAlignment="0" applyProtection="0"/>
    <xf numFmtId="0" fontId="263" fillId="57" borderId="78" applyNumberFormat="0" applyAlignment="0" applyProtection="0"/>
    <xf numFmtId="0" fontId="14" fillId="8" borderId="1" applyNumberFormat="0" applyAlignment="0" applyProtection="0"/>
    <xf numFmtId="0" fontId="263" fillId="57" borderId="78" applyNumberFormat="0" applyAlignment="0" applyProtection="0"/>
    <xf numFmtId="0" fontId="14" fillId="8" borderId="1" applyNumberFormat="0" applyAlignment="0" applyProtection="0"/>
    <xf numFmtId="0" fontId="263" fillId="57" borderId="78" applyNumberFormat="0" applyAlignment="0" applyProtection="0"/>
    <xf numFmtId="0" fontId="14" fillId="8" borderId="1" applyNumberFormat="0" applyAlignment="0" applyProtection="0"/>
    <xf numFmtId="0" fontId="14" fillId="8" borderId="1" applyNumberFormat="0" applyAlignment="0" applyProtection="0"/>
    <xf numFmtId="0" fontId="14" fillId="8" borderId="1" applyNumberFormat="0" applyAlignment="0" applyProtection="0"/>
    <xf numFmtId="0" fontId="263" fillId="57" borderId="78" applyNumberFormat="0" applyAlignment="0" applyProtection="0"/>
    <xf numFmtId="0" fontId="263" fillId="57" borderId="78" applyNumberFormat="0" applyAlignment="0" applyProtection="0"/>
    <xf numFmtId="0" fontId="14" fillId="8" borderId="1" applyNumberFormat="0" applyAlignment="0" applyProtection="0"/>
    <xf numFmtId="0" fontId="14" fillId="8" borderId="1" applyNumberFormat="0" applyAlignment="0" applyProtection="0"/>
    <xf numFmtId="0" fontId="14" fillId="8" borderId="1" applyNumberFormat="0" applyAlignment="0" applyProtection="0"/>
    <xf numFmtId="0" fontId="263" fillId="57" borderId="78" applyNumberFormat="0" applyAlignment="0" applyProtection="0"/>
    <xf numFmtId="0" fontId="263" fillId="57" borderId="78" applyNumberFormat="0" applyAlignment="0" applyProtection="0"/>
    <xf numFmtId="0" fontId="263" fillId="57" borderId="78" applyNumberFormat="0" applyAlignment="0" applyProtection="0"/>
    <xf numFmtId="0" fontId="14" fillId="8" borderId="1" applyNumberFormat="0" applyAlignment="0" applyProtection="0"/>
    <xf numFmtId="0" fontId="14" fillId="8" borderId="1" applyNumberFormat="0" applyAlignment="0" applyProtection="0"/>
    <xf numFmtId="0" fontId="14" fillId="8" borderId="1" applyNumberFormat="0" applyAlignment="0" applyProtection="0"/>
    <xf numFmtId="0" fontId="14" fillId="8" borderId="1" applyNumberFormat="0" applyAlignment="0" applyProtection="0"/>
    <xf numFmtId="0" fontId="14" fillId="8" borderId="1" applyNumberFormat="0" applyAlignment="0" applyProtection="0"/>
    <xf numFmtId="0" fontId="263" fillId="57" borderId="78" applyNumberFormat="0" applyAlignment="0" applyProtection="0"/>
    <xf numFmtId="0" fontId="263" fillId="57" borderId="78" applyNumberFormat="0" applyAlignment="0" applyProtection="0"/>
    <xf numFmtId="0" fontId="263" fillId="57" borderId="78" applyNumberFormat="0" applyAlignment="0" applyProtection="0"/>
    <xf numFmtId="0" fontId="263" fillId="57" borderId="78" applyNumberFormat="0" applyAlignment="0" applyProtection="0"/>
    <xf numFmtId="0" fontId="263" fillId="57" borderId="78" applyNumberFormat="0" applyAlignment="0" applyProtection="0"/>
    <xf numFmtId="0" fontId="263" fillId="57" borderId="78" applyNumberFormat="0" applyAlignment="0" applyProtection="0"/>
    <xf numFmtId="0" fontId="263" fillId="57" borderId="78" applyNumberFormat="0" applyAlignment="0" applyProtection="0"/>
    <xf numFmtId="0" fontId="263" fillId="57" borderId="78" applyNumberFormat="0" applyAlignment="0" applyProtection="0"/>
    <xf numFmtId="0" fontId="263" fillId="57" borderId="78" applyNumberFormat="0" applyAlignment="0" applyProtection="0"/>
    <xf numFmtId="0" fontId="263" fillId="57" borderId="78" applyNumberFormat="0" applyAlignment="0" applyProtection="0"/>
    <xf numFmtId="0" fontId="263" fillId="57" borderId="78" applyNumberFormat="0" applyAlignment="0" applyProtection="0"/>
    <xf numFmtId="0" fontId="14" fillId="8" borderId="1" applyNumberFormat="0" applyAlignment="0" applyProtection="0"/>
    <xf numFmtId="0" fontId="263" fillId="57" borderId="78" applyNumberFormat="0" applyAlignment="0" applyProtection="0"/>
    <xf numFmtId="0" fontId="254" fillId="58" borderId="81" applyNumberFormat="0" applyAlignment="0" applyProtection="0"/>
    <xf numFmtId="0" fontId="15" fillId="19" borderId="2" applyNumberFormat="0" applyAlignment="0" applyProtection="0"/>
    <xf numFmtId="0" fontId="254" fillId="58" borderId="81" applyNumberFormat="0" applyAlignment="0" applyProtection="0"/>
    <xf numFmtId="0" fontId="15" fillId="19" borderId="2" applyNumberFormat="0" applyAlignment="0" applyProtection="0"/>
    <xf numFmtId="0" fontId="254" fillId="58" borderId="81" applyNumberFormat="0" applyAlignment="0" applyProtection="0"/>
    <xf numFmtId="0" fontId="15" fillId="19" borderId="2" applyNumberFormat="0" applyAlignment="0" applyProtection="0"/>
    <xf numFmtId="0" fontId="254" fillId="58" borderId="81" applyNumberFormat="0" applyAlignment="0" applyProtection="0"/>
    <xf numFmtId="0" fontId="15" fillId="19" borderId="2" applyNumberFormat="0" applyAlignment="0" applyProtection="0"/>
    <xf numFmtId="0" fontId="15" fillId="19" borderId="2" applyNumberFormat="0" applyAlignment="0" applyProtection="0"/>
    <xf numFmtId="0" fontId="15" fillId="19" borderId="2" applyNumberFormat="0" applyAlignment="0" applyProtection="0"/>
    <xf numFmtId="0" fontId="254" fillId="58" borderId="81" applyNumberFormat="0" applyAlignment="0" applyProtection="0"/>
    <xf numFmtId="0" fontId="254" fillId="58" borderId="81" applyNumberFormat="0" applyAlignment="0" applyProtection="0"/>
    <xf numFmtId="0" fontId="15" fillId="19" borderId="2" applyNumberFormat="0" applyAlignment="0" applyProtection="0"/>
    <xf numFmtId="0" fontId="15" fillId="19" borderId="2" applyNumberFormat="0" applyAlignment="0" applyProtection="0"/>
    <xf numFmtId="0" fontId="15" fillId="19" borderId="2" applyNumberFormat="0" applyAlignment="0" applyProtection="0"/>
    <xf numFmtId="0" fontId="254" fillId="58" borderId="81" applyNumberFormat="0" applyAlignment="0" applyProtection="0"/>
    <xf numFmtId="0" fontId="254" fillId="58" borderId="81" applyNumberFormat="0" applyAlignment="0" applyProtection="0"/>
    <xf numFmtId="0" fontId="254" fillId="58" borderId="81" applyNumberFormat="0" applyAlignment="0" applyProtection="0"/>
    <xf numFmtId="0" fontId="15" fillId="19" borderId="2" applyNumberFormat="0" applyAlignment="0" applyProtection="0"/>
    <xf numFmtId="0" fontId="15" fillId="19" borderId="2" applyNumberFormat="0" applyAlignment="0" applyProtection="0"/>
    <xf numFmtId="0" fontId="15" fillId="19" borderId="2" applyNumberFormat="0" applyAlignment="0" applyProtection="0"/>
    <xf numFmtId="0" fontId="15" fillId="19" borderId="2" applyNumberFormat="0" applyAlignment="0" applyProtection="0"/>
    <xf numFmtId="0" fontId="15" fillId="19" borderId="2" applyNumberFormat="0" applyAlignment="0" applyProtection="0"/>
    <xf numFmtId="0" fontId="254" fillId="58" borderId="81" applyNumberFormat="0" applyAlignment="0" applyProtection="0"/>
    <xf numFmtId="0" fontId="254" fillId="58" borderId="81" applyNumberFormat="0" applyAlignment="0" applyProtection="0"/>
    <xf numFmtId="0" fontId="254" fillId="58" borderId="81" applyNumberFormat="0" applyAlignment="0" applyProtection="0"/>
    <xf numFmtId="0" fontId="254" fillId="58" borderId="81" applyNumberFormat="0" applyAlignment="0" applyProtection="0"/>
    <xf numFmtId="0" fontId="254" fillId="58" borderId="81" applyNumberFormat="0" applyAlignment="0" applyProtection="0"/>
    <xf numFmtId="0" fontId="254" fillId="58" borderId="81" applyNumberFormat="0" applyAlignment="0" applyProtection="0"/>
    <xf numFmtId="0" fontId="254" fillId="58" borderId="81" applyNumberFormat="0" applyAlignment="0" applyProtection="0"/>
    <xf numFmtId="0" fontId="254" fillId="58" borderId="81" applyNumberFormat="0" applyAlignment="0" applyProtection="0"/>
    <xf numFmtId="0" fontId="254" fillId="58" borderId="81" applyNumberFormat="0" applyAlignment="0" applyProtection="0"/>
    <xf numFmtId="0" fontId="254" fillId="58" borderId="81" applyNumberFormat="0" applyAlignment="0" applyProtection="0"/>
    <xf numFmtId="0" fontId="254" fillId="58" borderId="81" applyNumberFormat="0" applyAlignment="0" applyProtection="0"/>
    <xf numFmtId="0" fontId="15" fillId="19" borderId="2" applyNumberFormat="0" applyAlignment="0" applyProtection="0"/>
    <xf numFmtId="0" fontId="254" fillId="58" borderId="81" applyNumberFormat="0" applyAlignment="0" applyProtection="0"/>
    <xf numFmtId="0" fontId="264" fillId="0" borderId="80" applyNumberFormat="0" applyFill="0" applyAlignment="0" applyProtection="0"/>
    <xf numFmtId="0" fontId="23" fillId="0" borderId="3" applyNumberFormat="0" applyFill="0" applyAlignment="0" applyProtection="0"/>
    <xf numFmtId="0" fontId="264" fillId="0" borderId="80" applyNumberFormat="0" applyFill="0" applyAlignment="0" applyProtection="0"/>
    <xf numFmtId="0" fontId="23" fillId="0" borderId="3" applyNumberFormat="0" applyFill="0" applyAlignment="0" applyProtection="0"/>
    <xf numFmtId="0" fontId="264" fillId="0" borderId="80" applyNumberFormat="0" applyFill="0" applyAlignment="0" applyProtection="0"/>
    <xf numFmtId="0" fontId="23" fillId="0" borderId="3" applyNumberFormat="0" applyFill="0" applyAlignment="0" applyProtection="0"/>
    <xf numFmtId="0" fontId="264" fillId="0" borderId="80" applyNumberFormat="0" applyFill="0" applyAlignment="0" applyProtection="0"/>
    <xf numFmtId="0" fontId="23" fillId="0" borderId="3" applyNumberFormat="0" applyFill="0" applyAlignment="0" applyProtection="0"/>
    <xf numFmtId="0" fontId="23" fillId="0" borderId="3" applyNumberFormat="0" applyFill="0" applyAlignment="0" applyProtection="0"/>
    <xf numFmtId="0" fontId="23" fillId="0" borderId="3" applyNumberFormat="0" applyFill="0" applyAlignment="0" applyProtection="0"/>
    <xf numFmtId="0" fontId="264" fillId="0" borderId="80" applyNumberFormat="0" applyFill="0" applyAlignment="0" applyProtection="0"/>
    <xf numFmtId="0" fontId="264" fillId="0" borderId="80" applyNumberFormat="0" applyFill="0" applyAlignment="0" applyProtection="0"/>
    <xf numFmtId="0" fontId="23" fillId="0" borderId="3" applyNumberFormat="0" applyFill="0" applyAlignment="0" applyProtection="0"/>
    <xf numFmtId="0" fontId="23" fillId="0" borderId="3" applyNumberFormat="0" applyFill="0" applyAlignment="0" applyProtection="0"/>
    <xf numFmtId="0" fontId="23" fillId="0" borderId="3" applyNumberFormat="0" applyFill="0" applyAlignment="0" applyProtection="0"/>
    <xf numFmtId="0" fontId="264" fillId="0" borderId="80" applyNumberFormat="0" applyFill="0" applyAlignment="0" applyProtection="0"/>
    <xf numFmtId="0" fontId="264" fillId="0" borderId="80" applyNumberFormat="0" applyFill="0" applyAlignment="0" applyProtection="0"/>
    <xf numFmtId="0" fontId="264" fillId="0" borderId="80" applyNumberFormat="0" applyFill="0" applyAlignment="0" applyProtection="0"/>
    <xf numFmtId="0" fontId="23" fillId="0" borderId="3" applyNumberFormat="0" applyFill="0" applyAlignment="0" applyProtection="0"/>
    <xf numFmtId="0" fontId="23" fillId="0" borderId="3" applyNumberFormat="0" applyFill="0" applyAlignment="0" applyProtection="0"/>
    <xf numFmtId="0" fontId="23" fillId="0" borderId="3" applyNumberFormat="0" applyFill="0" applyAlignment="0" applyProtection="0"/>
    <xf numFmtId="0" fontId="23" fillId="0" borderId="3" applyNumberFormat="0" applyFill="0" applyAlignment="0" applyProtection="0"/>
    <xf numFmtId="0" fontId="23" fillId="0" borderId="3" applyNumberFormat="0" applyFill="0" applyAlignment="0" applyProtection="0"/>
    <xf numFmtId="0" fontId="264" fillId="0" borderId="80" applyNumberFormat="0" applyFill="0" applyAlignment="0" applyProtection="0"/>
    <xf numFmtId="0" fontId="264" fillId="0" borderId="80" applyNumberFormat="0" applyFill="0" applyAlignment="0" applyProtection="0"/>
    <xf numFmtId="0" fontId="264" fillId="0" borderId="80" applyNumberFormat="0" applyFill="0" applyAlignment="0" applyProtection="0"/>
    <xf numFmtId="0" fontId="264" fillId="0" borderId="80" applyNumberFormat="0" applyFill="0" applyAlignment="0" applyProtection="0"/>
    <xf numFmtId="0" fontId="264" fillId="0" borderId="80" applyNumberFormat="0" applyFill="0" applyAlignment="0" applyProtection="0"/>
    <xf numFmtId="0" fontId="264" fillId="0" borderId="80" applyNumberFormat="0" applyFill="0" applyAlignment="0" applyProtection="0"/>
    <xf numFmtId="0" fontId="264" fillId="0" borderId="80" applyNumberFormat="0" applyFill="0" applyAlignment="0" applyProtection="0"/>
    <xf numFmtId="0" fontId="264" fillId="0" borderId="80" applyNumberFormat="0" applyFill="0" applyAlignment="0" applyProtection="0"/>
    <xf numFmtId="0" fontId="264" fillId="0" borderId="80" applyNumberFormat="0" applyFill="0" applyAlignment="0" applyProtection="0"/>
    <xf numFmtId="0" fontId="264" fillId="0" borderId="80" applyNumberFormat="0" applyFill="0" applyAlignment="0" applyProtection="0"/>
    <xf numFmtId="0" fontId="264" fillId="0" borderId="80" applyNumberFormat="0" applyFill="0" applyAlignment="0" applyProtection="0"/>
    <xf numFmtId="0" fontId="23" fillId="0" borderId="3" applyNumberFormat="0" applyFill="0" applyAlignment="0" applyProtection="0"/>
    <xf numFmtId="0" fontId="264" fillId="0" borderId="80" applyNumberFormat="0" applyFill="0" applyAlignment="0" applyProtection="0"/>
    <xf numFmtId="0" fontId="266" fillId="59" borderId="0" applyNumberFormat="0" applyBorder="0" applyAlignment="0" applyProtection="0"/>
    <xf numFmtId="0" fontId="12" fillId="20" borderId="0" applyNumberFormat="0" applyBorder="0" applyAlignment="0" applyProtection="0"/>
    <xf numFmtId="0" fontId="266" fillId="59" borderId="0" applyNumberFormat="0" applyBorder="0" applyAlignment="0" applyProtection="0"/>
    <xf numFmtId="0" fontId="12" fillId="20" borderId="0" applyNumberFormat="0" applyBorder="0" applyAlignment="0" applyProtection="0"/>
    <xf numFmtId="0" fontId="266" fillId="59" borderId="0" applyNumberFormat="0" applyBorder="0" applyAlignment="0" applyProtection="0"/>
    <xf numFmtId="0" fontId="12" fillId="20" borderId="0" applyNumberFormat="0" applyBorder="0" applyAlignment="0" applyProtection="0"/>
    <xf numFmtId="0" fontId="266" fillId="59" borderId="0" applyNumberFormat="0" applyBorder="0" applyAlignment="0" applyProtection="0"/>
    <xf numFmtId="0" fontId="12" fillId="20" borderId="0" applyNumberFormat="0" applyBorder="0" applyAlignment="0" applyProtection="0"/>
    <xf numFmtId="0" fontId="12" fillId="20" borderId="0" applyNumberFormat="0" applyBorder="0" applyAlignment="0" applyProtection="0"/>
    <xf numFmtId="0" fontId="12" fillId="20" borderId="0" applyNumberFormat="0" applyBorder="0" applyAlignment="0" applyProtection="0"/>
    <xf numFmtId="0" fontId="266" fillId="59" borderId="0" applyNumberFormat="0" applyBorder="0" applyAlignment="0" applyProtection="0"/>
    <xf numFmtId="0" fontId="266" fillId="59" borderId="0" applyNumberFormat="0" applyBorder="0" applyAlignment="0" applyProtection="0"/>
    <xf numFmtId="0" fontId="12" fillId="20" borderId="0" applyNumberFormat="0" applyBorder="0" applyAlignment="0" applyProtection="0"/>
    <xf numFmtId="0" fontId="12" fillId="20" borderId="0" applyNumberFormat="0" applyBorder="0" applyAlignment="0" applyProtection="0"/>
    <xf numFmtId="0" fontId="12" fillId="20" borderId="0" applyNumberFormat="0" applyBorder="0" applyAlignment="0" applyProtection="0"/>
    <xf numFmtId="0" fontId="266" fillId="59" borderId="0" applyNumberFormat="0" applyBorder="0" applyAlignment="0" applyProtection="0"/>
    <xf numFmtId="0" fontId="266" fillId="59" borderId="0" applyNumberFormat="0" applyBorder="0" applyAlignment="0" applyProtection="0"/>
    <xf numFmtId="0" fontId="266" fillId="59" borderId="0" applyNumberFormat="0" applyBorder="0" applyAlignment="0" applyProtection="0"/>
    <xf numFmtId="0" fontId="12" fillId="20" borderId="0" applyNumberFormat="0" applyBorder="0" applyAlignment="0" applyProtection="0"/>
    <xf numFmtId="0" fontId="12" fillId="20" borderId="0" applyNumberFormat="0" applyBorder="0" applyAlignment="0" applyProtection="0"/>
    <xf numFmtId="0" fontId="12" fillId="20" borderId="0" applyNumberFormat="0" applyBorder="0" applyAlignment="0" applyProtection="0"/>
    <xf numFmtId="0" fontId="12" fillId="20" borderId="0" applyNumberFormat="0" applyBorder="0" applyAlignment="0" applyProtection="0"/>
    <xf numFmtId="0" fontId="12" fillId="20" borderId="0" applyNumberFormat="0" applyBorder="0" applyAlignment="0" applyProtection="0"/>
    <xf numFmtId="0" fontId="266" fillId="59" borderId="0" applyNumberFormat="0" applyBorder="0" applyAlignment="0" applyProtection="0"/>
    <xf numFmtId="0" fontId="266" fillId="59" borderId="0" applyNumberFormat="0" applyBorder="0" applyAlignment="0" applyProtection="0"/>
    <xf numFmtId="0" fontId="266" fillId="59" borderId="0" applyNumberFormat="0" applyBorder="0" applyAlignment="0" applyProtection="0"/>
    <xf numFmtId="0" fontId="266" fillId="59" borderId="0" applyNumberFormat="0" applyBorder="0" applyAlignment="0" applyProtection="0"/>
    <xf numFmtId="0" fontId="266" fillId="59" borderId="0" applyNumberFormat="0" applyBorder="0" applyAlignment="0" applyProtection="0"/>
    <xf numFmtId="0" fontId="266" fillId="59" borderId="0" applyNumberFormat="0" applyBorder="0" applyAlignment="0" applyProtection="0"/>
    <xf numFmtId="0" fontId="266" fillId="59" borderId="0" applyNumberFormat="0" applyBorder="0" applyAlignment="0" applyProtection="0"/>
    <xf numFmtId="0" fontId="266" fillId="59" borderId="0" applyNumberFormat="0" applyBorder="0" applyAlignment="0" applyProtection="0"/>
    <xf numFmtId="0" fontId="266" fillId="59" borderId="0" applyNumberFormat="0" applyBorder="0" applyAlignment="0" applyProtection="0"/>
    <xf numFmtId="0" fontId="266" fillId="59" borderId="0" applyNumberFormat="0" applyBorder="0" applyAlignment="0" applyProtection="0"/>
    <xf numFmtId="0" fontId="266" fillId="59" borderId="0" applyNumberFormat="0" applyBorder="0" applyAlignment="0" applyProtection="0"/>
    <xf numFmtId="0" fontId="12" fillId="20" borderId="0" applyNumberFormat="0" applyBorder="0" applyAlignment="0" applyProtection="0"/>
    <xf numFmtId="0" fontId="266" fillId="59" borderId="0" applyNumberFormat="0" applyBorder="0" applyAlignment="0" applyProtection="0"/>
    <xf numFmtId="0" fontId="266" fillId="63" borderId="0" applyNumberFormat="0" applyBorder="0" applyAlignment="0" applyProtection="0"/>
    <xf numFmtId="0" fontId="12" fillId="21" borderId="0" applyNumberFormat="0" applyBorder="0" applyAlignment="0" applyProtection="0"/>
    <xf numFmtId="0" fontId="266" fillId="63" borderId="0" applyNumberFormat="0" applyBorder="0" applyAlignment="0" applyProtection="0"/>
    <xf numFmtId="0" fontId="12" fillId="21" borderId="0" applyNumberFormat="0" applyBorder="0" applyAlignment="0" applyProtection="0"/>
    <xf numFmtId="0" fontId="266" fillId="63" borderId="0" applyNumberFormat="0" applyBorder="0" applyAlignment="0" applyProtection="0"/>
    <xf numFmtId="0" fontId="12" fillId="21" borderId="0" applyNumberFormat="0" applyBorder="0" applyAlignment="0" applyProtection="0"/>
    <xf numFmtId="0" fontId="266" fillId="63"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266" fillId="63" borderId="0" applyNumberFormat="0" applyBorder="0" applyAlignment="0" applyProtection="0"/>
    <xf numFmtId="0" fontId="266" fillId="63"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266" fillId="63" borderId="0" applyNumberFormat="0" applyBorder="0" applyAlignment="0" applyProtection="0"/>
    <xf numFmtId="0" fontId="266" fillId="63" borderId="0" applyNumberFormat="0" applyBorder="0" applyAlignment="0" applyProtection="0"/>
    <xf numFmtId="0" fontId="266" fillId="63"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266" fillId="63" borderId="0" applyNumberFormat="0" applyBorder="0" applyAlignment="0" applyProtection="0"/>
    <xf numFmtId="0" fontId="266" fillId="63" borderId="0" applyNumberFormat="0" applyBorder="0" applyAlignment="0" applyProtection="0"/>
    <xf numFmtId="0" fontId="266" fillId="63" borderId="0" applyNumberFormat="0" applyBorder="0" applyAlignment="0" applyProtection="0"/>
    <xf numFmtId="0" fontId="266" fillId="63" borderId="0" applyNumberFormat="0" applyBorder="0" applyAlignment="0" applyProtection="0"/>
    <xf numFmtId="0" fontId="266" fillId="63" borderId="0" applyNumberFormat="0" applyBorder="0" applyAlignment="0" applyProtection="0"/>
    <xf numFmtId="0" fontId="266" fillId="63" borderId="0" applyNumberFormat="0" applyBorder="0" applyAlignment="0" applyProtection="0"/>
    <xf numFmtId="0" fontId="266" fillId="63" borderId="0" applyNumberFormat="0" applyBorder="0" applyAlignment="0" applyProtection="0"/>
    <xf numFmtId="0" fontId="266" fillId="63" borderId="0" applyNumberFormat="0" applyBorder="0" applyAlignment="0" applyProtection="0"/>
    <xf numFmtId="0" fontId="266" fillId="63" borderId="0" applyNumberFormat="0" applyBorder="0" applyAlignment="0" applyProtection="0"/>
    <xf numFmtId="0" fontId="266" fillId="63" borderId="0" applyNumberFormat="0" applyBorder="0" applyAlignment="0" applyProtection="0"/>
    <xf numFmtId="0" fontId="266" fillId="63" borderId="0" applyNumberFormat="0" applyBorder="0" applyAlignment="0" applyProtection="0"/>
    <xf numFmtId="0" fontId="12" fillId="21" borderId="0" applyNumberFormat="0" applyBorder="0" applyAlignment="0" applyProtection="0"/>
    <xf numFmtId="0" fontId="266" fillId="63" borderId="0" applyNumberFormat="0" applyBorder="0" applyAlignment="0" applyProtection="0"/>
    <xf numFmtId="0" fontId="266" fillId="67" borderId="0" applyNumberFormat="0" applyBorder="0" applyAlignment="0" applyProtection="0"/>
    <xf numFmtId="0" fontId="12" fillId="22" borderId="0" applyNumberFormat="0" applyBorder="0" applyAlignment="0" applyProtection="0"/>
    <xf numFmtId="0" fontId="266" fillId="67" borderId="0" applyNumberFormat="0" applyBorder="0" applyAlignment="0" applyProtection="0"/>
    <xf numFmtId="0" fontId="12" fillId="22" borderId="0" applyNumberFormat="0" applyBorder="0" applyAlignment="0" applyProtection="0"/>
    <xf numFmtId="0" fontId="266" fillId="67" borderId="0" applyNumberFormat="0" applyBorder="0" applyAlignment="0" applyProtection="0"/>
    <xf numFmtId="0" fontId="12" fillId="22" borderId="0" applyNumberFormat="0" applyBorder="0" applyAlignment="0" applyProtection="0"/>
    <xf numFmtId="0" fontId="266" fillId="67"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266" fillId="67" borderId="0" applyNumberFormat="0" applyBorder="0" applyAlignment="0" applyProtection="0"/>
    <xf numFmtId="0" fontId="266" fillId="67"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266" fillId="67" borderId="0" applyNumberFormat="0" applyBorder="0" applyAlignment="0" applyProtection="0"/>
    <xf numFmtId="0" fontId="266" fillId="67" borderId="0" applyNumberFormat="0" applyBorder="0" applyAlignment="0" applyProtection="0"/>
    <xf numFmtId="0" fontId="266" fillId="67"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266" fillId="67" borderId="0" applyNumberFormat="0" applyBorder="0" applyAlignment="0" applyProtection="0"/>
    <xf numFmtId="0" fontId="266" fillId="67" borderId="0" applyNumberFormat="0" applyBorder="0" applyAlignment="0" applyProtection="0"/>
    <xf numFmtId="0" fontId="266" fillId="67" borderId="0" applyNumberFormat="0" applyBorder="0" applyAlignment="0" applyProtection="0"/>
    <xf numFmtId="0" fontId="266" fillId="67" borderId="0" applyNumberFormat="0" applyBorder="0" applyAlignment="0" applyProtection="0"/>
    <xf numFmtId="0" fontId="266" fillId="67" borderId="0" applyNumberFormat="0" applyBorder="0" applyAlignment="0" applyProtection="0"/>
    <xf numFmtId="0" fontId="266" fillId="67" borderId="0" applyNumberFormat="0" applyBorder="0" applyAlignment="0" applyProtection="0"/>
    <xf numFmtId="0" fontId="266" fillId="67" borderId="0" applyNumberFormat="0" applyBorder="0" applyAlignment="0" applyProtection="0"/>
    <xf numFmtId="0" fontId="266" fillId="67" borderId="0" applyNumberFormat="0" applyBorder="0" applyAlignment="0" applyProtection="0"/>
    <xf numFmtId="0" fontId="266" fillId="67" borderId="0" applyNumberFormat="0" applyBorder="0" applyAlignment="0" applyProtection="0"/>
    <xf numFmtId="0" fontId="266" fillId="67" borderId="0" applyNumberFormat="0" applyBorder="0" applyAlignment="0" applyProtection="0"/>
    <xf numFmtId="0" fontId="266" fillId="67" borderId="0" applyNumberFormat="0" applyBorder="0" applyAlignment="0" applyProtection="0"/>
    <xf numFmtId="0" fontId="12" fillId="22" borderId="0" applyNumberFormat="0" applyBorder="0" applyAlignment="0" applyProtection="0"/>
    <xf numFmtId="0" fontId="266" fillId="67" borderId="0" applyNumberFormat="0" applyBorder="0" applyAlignment="0" applyProtection="0"/>
    <xf numFmtId="0" fontId="266" fillId="71" borderId="0" applyNumberFormat="0" applyBorder="0" applyAlignment="0" applyProtection="0"/>
    <xf numFmtId="0" fontId="12" fillId="16" borderId="0" applyNumberFormat="0" applyBorder="0" applyAlignment="0" applyProtection="0"/>
    <xf numFmtId="0" fontId="266" fillId="71" borderId="0" applyNumberFormat="0" applyBorder="0" applyAlignment="0" applyProtection="0"/>
    <xf numFmtId="0" fontId="12" fillId="16" borderId="0" applyNumberFormat="0" applyBorder="0" applyAlignment="0" applyProtection="0"/>
    <xf numFmtId="0" fontId="266" fillId="71" borderId="0" applyNumberFormat="0" applyBorder="0" applyAlignment="0" applyProtection="0"/>
    <xf numFmtId="0" fontId="12" fillId="16" borderId="0" applyNumberFormat="0" applyBorder="0" applyAlignment="0" applyProtection="0"/>
    <xf numFmtId="0" fontId="266" fillId="71"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266" fillId="71" borderId="0" applyNumberFormat="0" applyBorder="0" applyAlignment="0" applyProtection="0"/>
    <xf numFmtId="0" fontId="266" fillId="71"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266" fillId="71" borderId="0" applyNumberFormat="0" applyBorder="0" applyAlignment="0" applyProtection="0"/>
    <xf numFmtId="0" fontId="266" fillId="71" borderId="0" applyNumberFormat="0" applyBorder="0" applyAlignment="0" applyProtection="0"/>
    <xf numFmtId="0" fontId="266" fillId="71"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266" fillId="71" borderId="0" applyNumberFormat="0" applyBorder="0" applyAlignment="0" applyProtection="0"/>
    <xf numFmtId="0" fontId="266" fillId="71" borderId="0" applyNumberFormat="0" applyBorder="0" applyAlignment="0" applyProtection="0"/>
    <xf numFmtId="0" fontId="266" fillId="71" borderId="0" applyNumberFormat="0" applyBorder="0" applyAlignment="0" applyProtection="0"/>
    <xf numFmtId="0" fontId="266" fillId="71" borderId="0" applyNumberFormat="0" applyBorder="0" applyAlignment="0" applyProtection="0"/>
    <xf numFmtId="0" fontId="266" fillId="71" borderId="0" applyNumberFormat="0" applyBorder="0" applyAlignment="0" applyProtection="0"/>
    <xf numFmtId="0" fontId="266" fillId="71" borderId="0" applyNumberFormat="0" applyBorder="0" applyAlignment="0" applyProtection="0"/>
    <xf numFmtId="0" fontId="266" fillId="71" borderId="0" applyNumberFormat="0" applyBorder="0" applyAlignment="0" applyProtection="0"/>
    <xf numFmtId="0" fontId="266" fillId="71" borderId="0" applyNumberFormat="0" applyBorder="0" applyAlignment="0" applyProtection="0"/>
    <xf numFmtId="0" fontId="266" fillId="71" borderId="0" applyNumberFormat="0" applyBorder="0" applyAlignment="0" applyProtection="0"/>
    <xf numFmtId="0" fontId="266" fillId="71" borderId="0" applyNumberFormat="0" applyBorder="0" applyAlignment="0" applyProtection="0"/>
    <xf numFmtId="0" fontId="266" fillId="71" borderId="0" applyNumberFormat="0" applyBorder="0" applyAlignment="0" applyProtection="0"/>
    <xf numFmtId="0" fontId="12" fillId="16" borderId="0" applyNumberFormat="0" applyBorder="0" applyAlignment="0" applyProtection="0"/>
    <xf numFmtId="0" fontId="266" fillId="71" borderId="0" applyNumberFormat="0" applyBorder="0" applyAlignment="0" applyProtection="0"/>
    <xf numFmtId="0" fontId="266" fillId="75" borderId="0" applyNumberFormat="0" applyBorder="0" applyAlignment="0" applyProtection="0"/>
    <xf numFmtId="0" fontId="12" fillId="17" borderId="0" applyNumberFormat="0" applyBorder="0" applyAlignment="0" applyProtection="0"/>
    <xf numFmtId="0" fontId="266" fillId="75" borderId="0" applyNumberFormat="0" applyBorder="0" applyAlignment="0" applyProtection="0"/>
    <xf numFmtId="0" fontId="12" fillId="17" borderId="0" applyNumberFormat="0" applyBorder="0" applyAlignment="0" applyProtection="0"/>
    <xf numFmtId="0" fontId="266" fillId="75" borderId="0" applyNumberFormat="0" applyBorder="0" applyAlignment="0" applyProtection="0"/>
    <xf numFmtId="0" fontId="12" fillId="17" borderId="0" applyNumberFormat="0" applyBorder="0" applyAlignment="0" applyProtection="0"/>
    <xf numFmtId="0" fontId="266" fillId="75"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266" fillId="75" borderId="0" applyNumberFormat="0" applyBorder="0" applyAlignment="0" applyProtection="0"/>
    <xf numFmtId="0" fontId="266" fillId="75"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266" fillId="75" borderId="0" applyNumberFormat="0" applyBorder="0" applyAlignment="0" applyProtection="0"/>
    <xf numFmtId="0" fontId="266" fillId="75" borderId="0" applyNumberFormat="0" applyBorder="0" applyAlignment="0" applyProtection="0"/>
    <xf numFmtId="0" fontId="266" fillId="75"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266" fillId="75" borderId="0" applyNumberFormat="0" applyBorder="0" applyAlignment="0" applyProtection="0"/>
    <xf numFmtId="0" fontId="266" fillId="75" borderId="0" applyNumberFormat="0" applyBorder="0" applyAlignment="0" applyProtection="0"/>
    <xf numFmtId="0" fontId="266" fillId="75" borderId="0" applyNumberFormat="0" applyBorder="0" applyAlignment="0" applyProtection="0"/>
    <xf numFmtId="0" fontId="266" fillId="75" borderId="0" applyNumberFormat="0" applyBorder="0" applyAlignment="0" applyProtection="0"/>
    <xf numFmtId="0" fontId="266" fillId="75" borderId="0" applyNumberFormat="0" applyBorder="0" applyAlignment="0" applyProtection="0"/>
    <xf numFmtId="0" fontId="266" fillId="75" borderId="0" applyNumberFormat="0" applyBorder="0" applyAlignment="0" applyProtection="0"/>
    <xf numFmtId="0" fontId="266" fillId="75" borderId="0" applyNumberFormat="0" applyBorder="0" applyAlignment="0" applyProtection="0"/>
    <xf numFmtId="0" fontId="266" fillId="75" borderId="0" applyNumberFormat="0" applyBorder="0" applyAlignment="0" applyProtection="0"/>
    <xf numFmtId="0" fontId="266" fillId="75" borderId="0" applyNumberFormat="0" applyBorder="0" applyAlignment="0" applyProtection="0"/>
    <xf numFmtId="0" fontId="266" fillId="75" borderId="0" applyNumberFormat="0" applyBorder="0" applyAlignment="0" applyProtection="0"/>
    <xf numFmtId="0" fontId="266" fillId="75" borderId="0" applyNumberFormat="0" applyBorder="0" applyAlignment="0" applyProtection="0"/>
    <xf numFmtId="0" fontId="12" fillId="17" borderId="0" applyNumberFormat="0" applyBorder="0" applyAlignment="0" applyProtection="0"/>
    <xf numFmtId="0" fontId="266" fillId="75" borderId="0" applyNumberFormat="0" applyBorder="0" applyAlignment="0" applyProtection="0"/>
    <xf numFmtId="0" fontId="266" fillId="79" borderId="0" applyNumberFormat="0" applyBorder="0" applyAlignment="0" applyProtection="0"/>
    <xf numFmtId="0" fontId="12" fillId="23" borderId="0" applyNumberFormat="0" applyBorder="0" applyAlignment="0" applyProtection="0"/>
    <xf numFmtId="0" fontId="266" fillId="79" borderId="0" applyNumberFormat="0" applyBorder="0" applyAlignment="0" applyProtection="0"/>
    <xf numFmtId="0" fontId="12" fillId="23" borderId="0" applyNumberFormat="0" applyBorder="0" applyAlignment="0" applyProtection="0"/>
    <xf numFmtId="0" fontId="266" fillId="79" borderId="0" applyNumberFormat="0" applyBorder="0" applyAlignment="0" applyProtection="0"/>
    <xf numFmtId="0" fontId="12" fillId="23" borderId="0" applyNumberFormat="0" applyBorder="0" applyAlignment="0" applyProtection="0"/>
    <xf numFmtId="0" fontId="266" fillId="79"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266" fillId="79" borderId="0" applyNumberFormat="0" applyBorder="0" applyAlignment="0" applyProtection="0"/>
    <xf numFmtId="0" fontId="266" fillId="79"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266" fillId="79" borderId="0" applyNumberFormat="0" applyBorder="0" applyAlignment="0" applyProtection="0"/>
    <xf numFmtId="0" fontId="266" fillId="79" borderId="0" applyNumberFormat="0" applyBorder="0" applyAlignment="0" applyProtection="0"/>
    <xf numFmtId="0" fontId="266" fillId="79"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266" fillId="79" borderId="0" applyNumberFormat="0" applyBorder="0" applyAlignment="0" applyProtection="0"/>
    <xf numFmtId="0" fontId="266" fillId="79" borderId="0" applyNumberFormat="0" applyBorder="0" applyAlignment="0" applyProtection="0"/>
    <xf numFmtId="0" fontId="266" fillId="79" borderId="0" applyNumberFormat="0" applyBorder="0" applyAlignment="0" applyProtection="0"/>
    <xf numFmtId="0" fontId="266" fillId="79" borderId="0" applyNumberFormat="0" applyBorder="0" applyAlignment="0" applyProtection="0"/>
    <xf numFmtId="0" fontId="266" fillId="79" borderId="0" applyNumberFormat="0" applyBorder="0" applyAlignment="0" applyProtection="0"/>
    <xf numFmtId="0" fontId="266" fillId="79" borderId="0" applyNumberFormat="0" applyBorder="0" applyAlignment="0" applyProtection="0"/>
    <xf numFmtId="0" fontId="266" fillId="79" borderId="0" applyNumberFormat="0" applyBorder="0" applyAlignment="0" applyProtection="0"/>
    <xf numFmtId="0" fontId="266" fillId="79" borderId="0" applyNumberFormat="0" applyBorder="0" applyAlignment="0" applyProtection="0"/>
    <xf numFmtId="0" fontId="266" fillId="79" borderId="0" applyNumberFormat="0" applyBorder="0" applyAlignment="0" applyProtection="0"/>
    <xf numFmtId="0" fontId="266" fillId="79" borderId="0" applyNumberFormat="0" applyBorder="0" applyAlignment="0" applyProtection="0"/>
    <xf numFmtId="0" fontId="266" fillId="79" borderId="0" applyNumberFormat="0" applyBorder="0" applyAlignment="0" applyProtection="0"/>
    <xf numFmtId="0" fontId="12" fillId="23" borderId="0" applyNumberFormat="0" applyBorder="0" applyAlignment="0" applyProtection="0"/>
    <xf numFmtId="0" fontId="266" fillId="79" borderId="0" applyNumberFormat="0" applyBorder="0" applyAlignment="0" applyProtection="0"/>
    <xf numFmtId="0" fontId="261" fillId="56" borderId="78" applyNumberFormat="0" applyAlignment="0" applyProtection="0"/>
    <xf numFmtId="0" fontId="22" fillId="7" borderId="1" applyNumberFormat="0" applyAlignment="0" applyProtection="0"/>
    <xf numFmtId="0" fontId="261" fillId="56" borderId="78" applyNumberFormat="0" applyAlignment="0" applyProtection="0"/>
    <xf numFmtId="0" fontId="22" fillId="7" borderId="1" applyNumberFormat="0" applyAlignment="0" applyProtection="0"/>
    <xf numFmtId="0" fontId="261" fillId="56" borderId="78" applyNumberFormat="0" applyAlignment="0" applyProtection="0"/>
    <xf numFmtId="0" fontId="22" fillId="7" borderId="1" applyNumberFormat="0" applyAlignment="0" applyProtection="0"/>
    <xf numFmtId="0" fontId="261" fillId="56" borderId="78"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61" fillId="56" borderId="78" applyNumberFormat="0" applyAlignment="0" applyProtection="0"/>
    <xf numFmtId="0" fontId="261" fillId="56" borderId="78"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61" fillId="56" borderId="78" applyNumberFormat="0" applyAlignment="0" applyProtection="0"/>
    <xf numFmtId="0" fontId="261" fillId="56" borderId="78" applyNumberFormat="0" applyAlignment="0" applyProtection="0"/>
    <xf numFmtId="0" fontId="261" fillId="56" borderId="78"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2" fillId="7" borderId="1" applyNumberFormat="0" applyAlignment="0" applyProtection="0"/>
    <xf numFmtId="0" fontId="261" fillId="56" borderId="78" applyNumberFormat="0" applyAlignment="0" applyProtection="0"/>
    <xf numFmtId="0" fontId="261" fillId="56" borderId="78" applyNumberFormat="0" applyAlignment="0" applyProtection="0"/>
    <xf numFmtId="0" fontId="261" fillId="56" borderId="78" applyNumberFormat="0" applyAlignment="0" applyProtection="0"/>
    <xf numFmtId="0" fontId="261" fillId="56" borderId="78" applyNumberFormat="0" applyAlignment="0" applyProtection="0"/>
    <xf numFmtId="0" fontId="261" fillId="56" borderId="78" applyNumberFormat="0" applyAlignment="0" applyProtection="0"/>
    <xf numFmtId="0" fontId="261" fillId="56" borderId="78" applyNumberFormat="0" applyAlignment="0" applyProtection="0"/>
    <xf numFmtId="0" fontId="261" fillId="56" borderId="78" applyNumberFormat="0" applyAlignment="0" applyProtection="0"/>
    <xf numFmtId="0" fontId="261" fillId="56" borderId="78" applyNumberFormat="0" applyAlignment="0" applyProtection="0"/>
    <xf numFmtId="0" fontId="261" fillId="56" borderId="78" applyNumberFormat="0" applyAlignment="0" applyProtection="0"/>
    <xf numFmtId="0" fontId="261" fillId="56" borderId="78" applyNumberFormat="0" applyAlignment="0" applyProtection="0"/>
    <xf numFmtId="0" fontId="261" fillId="56" borderId="78" applyNumberFormat="0" applyAlignment="0" applyProtection="0"/>
    <xf numFmtId="0" fontId="22" fillId="7" borderId="1" applyNumberFormat="0" applyAlignment="0" applyProtection="0"/>
    <xf numFmtId="0" fontId="261" fillId="56" borderId="78" applyNumberFormat="0" applyAlignment="0" applyProtection="0"/>
    <xf numFmtId="0" fontId="203" fillId="51" borderId="0" applyNumberFormat="0" applyBorder="0" applyAlignment="0" applyProtection="0"/>
    <xf numFmtId="0" fontId="13" fillId="3" borderId="0" applyNumberFormat="0" applyBorder="0" applyAlignment="0" applyProtection="0"/>
    <xf numFmtId="0" fontId="203" fillId="51" borderId="0" applyNumberFormat="0" applyBorder="0" applyAlignment="0" applyProtection="0"/>
    <xf numFmtId="0" fontId="13" fillId="3" borderId="0" applyNumberFormat="0" applyBorder="0" applyAlignment="0" applyProtection="0"/>
    <xf numFmtId="0" fontId="203" fillId="51" borderId="0" applyNumberFormat="0" applyBorder="0" applyAlignment="0" applyProtection="0"/>
    <xf numFmtId="0" fontId="13" fillId="3" borderId="0" applyNumberFormat="0" applyBorder="0" applyAlignment="0" applyProtection="0"/>
    <xf numFmtId="0" fontId="203" fillId="51"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03" fillId="51" borderId="0" applyNumberFormat="0" applyBorder="0" applyAlignment="0" applyProtection="0"/>
    <xf numFmtId="0" fontId="203" fillId="51"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03" fillId="51" borderId="0" applyNumberFormat="0" applyBorder="0" applyAlignment="0" applyProtection="0"/>
    <xf numFmtId="0" fontId="203" fillId="51" borderId="0" applyNumberFormat="0" applyBorder="0" applyAlignment="0" applyProtection="0"/>
    <xf numFmtId="0" fontId="203" fillId="51"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03" fillId="51" borderId="0" applyNumberFormat="0" applyBorder="0" applyAlignment="0" applyProtection="0"/>
    <xf numFmtId="0" fontId="203" fillId="51" borderId="0" applyNumberFormat="0" applyBorder="0" applyAlignment="0" applyProtection="0"/>
    <xf numFmtId="0" fontId="203" fillId="51" borderId="0" applyNumberFormat="0" applyBorder="0" applyAlignment="0" applyProtection="0"/>
    <xf numFmtId="0" fontId="203" fillId="51" borderId="0" applyNumberFormat="0" applyBorder="0" applyAlignment="0" applyProtection="0"/>
    <xf numFmtId="0" fontId="203" fillId="51" borderId="0" applyNumberFormat="0" applyBorder="0" applyAlignment="0" applyProtection="0"/>
    <xf numFmtId="0" fontId="203" fillId="51" borderId="0" applyNumberFormat="0" applyBorder="0" applyAlignment="0" applyProtection="0"/>
    <xf numFmtId="0" fontId="203" fillId="51" borderId="0" applyNumberFormat="0" applyBorder="0" applyAlignment="0" applyProtection="0"/>
    <xf numFmtId="0" fontId="203" fillId="51" borderId="0" applyNumberFormat="0" applyBorder="0" applyAlignment="0" applyProtection="0"/>
    <xf numFmtId="0" fontId="203" fillId="51" borderId="0" applyNumberFormat="0" applyBorder="0" applyAlignment="0" applyProtection="0"/>
    <xf numFmtId="0" fontId="203" fillId="51" borderId="0" applyNumberFormat="0" applyBorder="0" applyAlignment="0" applyProtection="0"/>
    <xf numFmtId="0" fontId="203" fillId="51" borderId="0" applyNumberFormat="0" applyBorder="0" applyAlignment="0" applyProtection="0"/>
    <xf numFmtId="0" fontId="13" fillId="3" borderId="0" applyNumberFormat="0" applyBorder="0" applyAlignment="0" applyProtection="0"/>
    <xf numFmtId="0" fontId="203" fillId="51" borderId="0" applyNumberFormat="0" applyBorder="0" applyAlignment="0" applyProtection="0"/>
    <xf numFmtId="0" fontId="260" fillId="52" borderId="0" applyNumberFormat="0" applyBorder="0" applyAlignment="0" applyProtection="0"/>
    <xf numFmtId="0" fontId="24" fillId="14" borderId="0" applyNumberFormat="0" applyBorder="0" applyAlignment="0" applyProtection="0"/>
    <xf numFmtId="0" fontId="260" fillId="52" borderId="0" applyNumberFormat="0" applyBorder="0" applyAlignment="0" applyProtection="0"/>
    <xf numFmtId="0" fontId="24" fillId="14" borderId="0" applyNumberFormat="0" applyBorder="0" applyAlignment="0" applyProtection="0"/>
    <xf numFmtId="0" fontId="260" fillId="52" borderId="0" applyNumberFormat="0" applyBorder="0" applyAlignment="0" applyProtection="0"/>
    <xf numFmtId="0" fontId="24" fillId="14" borderId="0" applyNumberFormat="0" applyBorder="0" applyAlignment="0" applyProtection="0"/>
    <xf numFmtId="0" fontId="260" fillId="52"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60" fillId="52" borderId="0" applyNumberFormat="0" applyBorder="0" applyAlignment="0" applyProtection="0"/>
    <xf numFmtId="0" fontId="260" fillId="52"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60" fillId="52" borderId="0" applyNumberFormat="0" applyBorder="0" applyAlignment="0" applyProtection="0"/>
    <xf numFmtId="0" fontId="260" fillId="52" borderId="0" applyNumberFormat="0" applyBorder="0" applyAlignment="0" applyProtection="0"/>
    <xf numFmtId="0" fontId="260" fillId="52"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60" fillId="52" borderId="0" applyNumberFormat="0" applyBorder="0" applyAlignment="0" applyProtection="0"/>
    <xf numFmtId="0" fontId="260" fillId="52" borderId="0" applyNumberFormat="0" applyBorder="0" applyAlignment="0" applyProtection="0"/>
    <xf numFmtId="0" fontId="260" fillId="52" borderId="0" applyNumberFormat="0" applyBorder="0" applyAlignment="0" applyProtection="0"/>
    <xf numFmtId="0" fontId="260" fillId="52" borderId="0" applyNumberFormat="0" applyBorder="0" applyAlignment="0" applyProtection="0"/>
    <xf numFmtId="0" fontId="260" fillId="52" borderId="0" applyNumberFormat="0" applyBorder="0" applyAlignment="0" applyProtection="0"/>
    <xf numFmtId="0" fontId="260" fillId="52" borderId="0" applyNumberFormat="0" applyBorder="0" applyAlignment="0" applyProtection="0"/>
    <xf numFmtId="0" fontId="260" fillId="52" borderId="0" applyNumberFormat="0" applyBorder="0" applyAlignment="0" applyProtection="0"/>
    <xf numFmtId="0" fontId="260" fillId="52" borderId="0" applyNumberFormat="0" applyBorder="0" applyAlignment="0" applyProtection="0"/>
    <xf numFmtId="0" fontId="260" fillId="52" borderId="0" applyNumberFormat="0" applyBorder="0" applyAlignment="0" applyProtection="0"/>
    <xf numFmtId="0" fontId="260" fillId="52" borderId="0" applyNumberFormat="0" applyBorder="0" applyAlignment="0" applyProtection="0"/>
    <xf numFmtId="0" fontId="260" fillId="52" borderId="0" applyNumberFormat="0" applyBorder="0" applyAlignment="0" applyProtection="0"/>
    <xf numFmtId="0" fontId="24" fillId="14" borderId="0" applyNumberFormat="0" applyBorder="0" applyAlignment="0" applyProtection="0"/>
    <xf numFmtId="0" fontId="260" fillId="5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10" fillId="0" borderId="0"/>
    <xf numFmtId="0" fontId="10" fillId="0" borderId="0"/>
    <xf numFmtId="0" fontId="4" fillId="0" borderId="0"/>
    <xf numFmtId="0" fontId="4" fillId="0" borderId="0"/>
    <xf numFmtId="0" fontId="4" fillId="0" borderId="0"/>
    <xf numFmtId="0" fontId="4" fillId="0" borderId="0"/>
    <xf numFmtId="0" fontId="4" fillId="0" borderId="0"/>
    <xf numFmtId="0" fontId="4" fillId="0" borderId="0"/>
    <xf numFmtId="0" fontId="9" fillId="9" borderId="8" applyNumberFormat="0" applyFont="0" applyAlignment="0" applyProtection="0"/>
    <xf numFmtId="0" fontId="4" fillId="35" borderId="39" applyNumberFormat="0" applyFont="0" applyAlignment="0" applyProtection="0"/>
    <xf numFmtId="0" fontId="9" fillId="9" borderId="8" applyNumberFormat="0" applyFont="0" applyAlignment="0" applyProtection="0"/>
    <xf numFmtId="0" fontId="4" fillId="35" borderId="39" applyNumberFormat="0" applyFont="0" applyAlignment="0" applyProtection="0"/>
    <xf numFmtId="0" fontId="9" fillId="9" borderId="8" applyNumberFormat="0" applyFont="0" applyAlignment="0" applyProtection="0"/>
    <xf numFmtId="0" fontId="4" fillId="35" borderId="39" applyNumberFormat="0" applyFont="0" applyAlignment="0" applyProtection="0"/>
    <xf numFmtId="0" fontId="9" fillId="9" borderId="8" applyNumberFormat="0" applyFont="0" applyAlignment="0" applyProtection="0"/>
    <xf numFmtId="0" fontId="4" fillId="35" borderId="39" applyNumberFormat="0" applyFont="0" applyAlignment="0" applyProtection="0"/>
    <xf numFmtId="0" fontId="9" fillId="9" borderId="8" applyNumberFormat="0" applyFont="0" applyAlignment="0" applyProtection="0"/>
    <xf numFmtId="0" fontId="9" fillId="9" borderId="8" applyNumberFormat="0" applyFont="0" applyAlignment="0" applyProtection="0"/>
    <xf numFmtId="0" fontId="9" fillId="9" borderId="8" applyNumberFormat="0" applyFont="0" applyAlignment="0" applyProtection="0"/>
    <xf numFmtId="0" fontId="4" fillId="35" borderId="39" applyNumberFormat="0" applyFont="0" applyAlignment="0" applyProtection="0"/>
    <xf numFmtId="0" fontId="4" fillId="35" borderId="39" applyNumberFormat="0" applyFont="0" applyAlignment="0" applyProtection="0"/>
    <xf numFmtId="0" fontId="9" fillId="9" borderId="8" applyNumberFormat="0" applyFont="0" applyAlignment="0" applyProtection="0"/>
    <xf numFmtId="0" fontId="9" fillId="9" borderId="8" applyNumberFormat="0" applyFont="0" applyAlignment="0" applyProtection="0"/>
    <xf numFmtId="0" fontId="9" fillId="9" borderId="8" applyNumberFormat="0" applyFont="0" applyAlignment="0" applyProtection="0"/>
    <xf numFmtId="0" fontId="4" fillId="35" borderId="39" applyNumberFormat="0" applyFont="0" applyAlignment="0" applyProtection="0"/>
    <xf numFmtId="0" fontId="4" fillId="35" borderId="39" applyNumberFormat="0" applyFont="0" applyAlignment="0" applyProtection="0"/>
    <xf numFmtId="0" fontId="4" fillId="35" borderId="39" applyNumberFormat="0" applyFont="0" applyAlignment="0" applyProtection="0"/>
    <xf numFmtId="0" fontId="9" fillId="9" borderId="8" applyNumberFormat="0" applyFont="0" applyAlignment="0" applyProtection="0"/>
    <xf numFmtId="0" fontId="9" fillId="9" borderId="8" applyNumberFormat="0" applyFont="0" applyAlignment="0" applyProtection="0"/>
    <xf numFmtId="0" fontId="9" fillId="9" borderId="8" applyNumberFormat="0" applyFont="0" applyAlignment="0" applyProtection="0"/>
    <xf numFmtId="0" fontId="9" fillId="9" borderId="8" applyNumberFormat="0" applyFont="0" applyAlignment="0" applyProtection="0"/>
    <xf numFmtId="0" fontId="9" fillId="9" borderId="8" applyNumberFormat="0" applyFont="0" applyAlignment="0" applyProtection="0"/>
    <xf numFmtId="0" fontId="4" fillId="35" borderId="39" applyNumberFormat="0" applyFont="0" applyAlignment="0" applyProtection="0"/>
    <xf numFmtId="0" fontId="4" fillId="35" borderId="39" applyNumberFormat="0" applyFont="0" applyAlignment="0" applyProtection="0"/>
    <xf numFmtId="0" fontId="4" fillId="35" borderId="39" applyNumberFormat="0" applyFont="0" applyAlignment="0" applyProtection="0"/>
    <xf numFmtId="0" fontId="4" fillId="35" borderId="39" applyNumberFormat="0" applyFont="0" applyAlignment="0" applyProtection="0"/>
    <xf numFmtId="0" fontId="4" fillId="35" borderId="39" applyNumberFormat="0" applyFont="0" applyAlignment="0" applyProtection="0"/>
    <xf numFmtId="0" fontId="4" fillId="35" borderId="39" applyNumberFormat="0" applyFont="0" applyAlignment="0" applyProtection="0"/>
    <xf numFmtId="0" fontId="4" fillId="35" borderId="39" applyNumberFormat="0" applyFont="0" applyAlignment="0" applyProtection="0"/>
    <xf numFmtId="0" fontId="4" fillId="35" borderId="39" applyNumberFormat="0" applyFont="0" applyAlignment="0" applyProtection="0"/>
    <xf numFmtId="0" fontId="4" fillId="35" borderId="39" applyNumberFormat="0" applyFont="0" applyAlignment="0" applyProtection="0"/>
    <xf numFmtId="0" fontId="4" fillId="35" borderId="39" applyNumberFormat="0" applyFont="0" applyAlignment="0" applyProtection="0"/>
    <xf numFmtId="0" fontId="4" fillId="35" borderId="39" applyNumberFormat="0" applyFont="0" applyAlignment="0" applyProtection="0"/>
    <xf numFmtId="0" fontId="9" fillId="9" borderId="8" applyNumberFormat="0" applyFont="0" applyAlignment="0" applyProtection="0"/>
    <xf numFmtId="0" fontId="4" fillId="35" borderId="39" applyNumberFormat="0" applyFont="0" applyAlignment="0" applyProtection="0"/>
    <xf numFmtId="0" fontId="262" fillId="57" borderId="79" applyNumberFormat="0" applyAlignment="0" applyProtection="0"/>
    <xf numFmtId="0" fontId="25" fillId="8" borderId="9" applyNumberFormat="0" applyAlignment="0" applyProtection="0"/>
    <xf numFmtId="0" fontId="262" fillId="57" borderId="79" applyNumberFormat="0" applyAlignment="0" applyProtection="0"/>
    <xf numFmtId="0" fontId="25" fillId="8" borderId="9" applyNumberFormat="0" applyAlignment="0" applyProtection="0"/>
    <xf numFmtId="0" fontId="262" fillId="57" borderId="79" applyNumberFormat="0" applyAlignment="0" applyProtection="0"/>
    <xf numFmtId="0" fontId="25" fillId="8" borderId="9" applyNumberFormat="0" applyAlignment="0" applyProtection="0"/>
    <xf numFmtId="0" fontId="262" fillId="57" borderId="79" applyNumberFormat="0" applyAlignment="0" applyProtection="0"/>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0" fontId="262" fillId="57" borderId="79" applyNumberFormat="0" applyAlignment="0" applyProtection="0"/>
    <xf numFmtId="0" fontId="262" fillId="57" borderId="79" applyNumberFormat="0" applyAlignment="0" applyProtection="0"/>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0" fontId="262" fillId="57" borderId="79" applyNumberFormat="0" applyAlignment="0" applyProtection="0"/>
    <xf numFmtId="0" fontId="262" fillId="57" borderId="79" applyNumberFormat="0" applyAlignment="0" applyProtection="0"/>
    <xf numFmtId="0" fontId="262" fillId="57" borderId="79" applyNumberFormat="0" applyAlignment="0" applyProtection="0"/>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0" fontId="25" fillId="8" borderId="9" applyNumberFormat="0" applyAlignment="0" applyProtection="0"/>
    <xf numFmtId="0" fontId="262" fillId="57" borderId="79" applyNumberFormat="0" applyAlignment="0" applyProtection="0"/>
    <xf numFmtId="0" fontId="262" fillId="57" borderId="79" applyNumberFormat="0" applyAlignment="0" applyProtection="0"/>
    <xf numFmtId="0" fontId="262" fillId="57" borderId="79" applyNumberFormat="0" applyAlignment="0" applyProtection="0"/>
    <xf numFmtId="0" fontId="262" fillId="57" borderId="79" applyNumberFormat="0" applyAlignment="0" applyProtection="0"/>
    <xf numFmtId="0" fontId="262" fillId="57" borderId="79" applyNumberFormat="0" applyAlignment="0" applyProtection="0"/>
    <xf numFmtId="0" fontId="262" fillId="57" borderId="79" applyNumberFormat="0" applyAlignment="0" applyProtection="0"/>
    <xf numFmtId="0" fontId="262" fillId="57" borderId="79" applyNumberFormat="0" applyAlignment="0" applyProtection="0"/>
    <xf numFmtId="0" fontId="262" fillId="57" borderId="79" applyNumberFormat="0" applyAlignment="0" applyProtection="0"/>
    <xf numFmtId="0" fontId="262" fillId="57" borderId="79" applyNumberFormat="0" applyAlignment="0" applyProtection="0"/>
    <xf numFmtId="0" fontId="262" fillId="57" borderId="79" applyNumberFormat="0" applyAlignment="0" applyProtection="0"/>
    <xf numFmtId="0" fontId="262" fillId="57" borderId="79" applyNumberFormat="0" applyAlignment="0" applyProtection="0"/>
    <xf numFmtId="0" fontId="25" fillId="8" borderId="9" applyNumberFormat="0" applyAlignment="0" applyProtection="0"/>
    <xf numFmtId="0" fontId="262" fillId="57" borderId="79" applyNumberFormat="0" applyAlignment="0" applyProtection="0"/>
    <xf numFmtId="168" fontId="10" fillId="0" borderId="0" applyFont="0" applyFill="0" applyBorder="0" applyAlignment="0" applyProtection="0"/>
    <xf numFmtId="168" fontId="4" fillId="0" borderId="0" applyFont="0" applyFill="0" applyBorder="0" applyAlignment="0" applyProtection="0"/>
    <xf numFmtId="0" fontId="205" fillId="0" borderId="0" applyNumberFormat="0" applyFill="0" applyBorder="0" applyAlignment="0" applyProtection="0"/>
    <xf numFmtId="0" fontId="27" fillId="0" borderId="0" applyNumberFormat="0" applyFill="0" applyBorder="0" applyAlignment="0" applyProtection="0"/>
    <xf numFmtId="0" fontId="205" fillId="0" borderId="0" applyNumberFormat="0" applyFill="0" applyBorder="0" applyAlignment="0" applyProtection="0"/>
    <xf numFmtId="0" fontId="27" fillId="0" borderId="0" applyNumberFormat="0" applyFill="0" applyBorder="0" applyAlignment="0" applyProtection="0"/>
    <xf numFmtId="0" fontId="205" fillId="0" borderId="0" applyNumberFormat="0" applyFill="0" applyBorder="0" applyAlignment="0" applyProtection="0"/>
    <xf numFmtId="0" fontId="27" fillId="0" borderId="0" applyNumberFormat="0" applyFill="0" applyBorder="0" applyAlignment="0" applyProtection="0"/>
    <xf numFmtId="0" fontId="20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27" fillId="0" borderId="0" applyNumberFormat="0" applyFill="0" applyBorder="0" applyAlignment="0" applyProtection="0"/>
    <xf numFmtId="0" fontId="205" fillId="0" borderId="0" applyNumberFormat="0" applyFill="0" applyBorder="0" applyAlignment="0" applyProtection="0"/>
    <xf numFmtId="0" fontId="265" fillId="0" borderId="0" applyNumberFormat="0" applyFill="0" applyBorder="0" applyAlignment="0" applyProtection="0"/>
    <xf numFmtId="0" fontId="17" fillId="0" borderId="0" applyNumberFormat="0" applyFill="0" applyBorder="0" applyAlignment="0" applyProtection="0"/>
    <xf numFmtId="0" fontId="265" fillId="0" borderId="0" applyNumberFormat="0" applyFill="0" applyBorder="0" applyAlignment="0" applyProtection="0"/>
    <xf numFmtId="0" fontId="17" fillId="0" borderId="0" applyNumberFormat="0" applyFill="0" applyBorder="0" applyAlignment="0" applyProtection="0"/>
    <xf numFmtId="0" fontId="265" fillId="0" borderId="0" applyNumberFormat="0" applyFill="0" applyBorder="0" applyAlignment="0" applyProtection="0"/>
    <xf numFmtId="0" fontId="17" fillId="0" borderId="0" applyNumberFormat="0" applyFill="0" applyBorder="0" applyAlignment="0" applyProtection="0"/>
    <xf numFmtId="0" fontId="265"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65" fillId="0" borderId="0" applyNumberFormat="0" applyFill="0" applyBorder="0" applyAlignment="0" applyProtection="0"/>
    <xf numFmtId="0" fontId="265"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65" fillId="0" borderId="0" applyNumberFormat="0" applyFill="0" applyBorder="0" applyAlignment="0" applyProtection="0"/>
    <xf numFmtId="0" fontId="265" fillId="0" borderId="0" applyNumberFormat="0" applyFill="0" applyBorder="0" applyAlignment="0" applyProtection="0"/>
    <xf numFmtId="0" fontId="265"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65" fillId="0" borderId="0" applyNumberFormat="0" applyFill="0" applyBorder="0" applyAlignment="0" applyProtection="0"/>
    <xf numFmtId="0" fontId="265" fillId="0" borderId="0" applyNumberFormat="0" applyFill="0" applyBorder="0" applyAlignment="0" applyProtection="0"/>
    <xf numFmtId="0" fontId="265" fillId="0" borderId="0" applyNumberFormat="0" applyFill="0" applyBorder="0" applyAlignment="0" applyProtection="0"/>
    <xf numFmtId="0" fontId="265" fillId="0" borderId="0" applyNumberFormat="0" applyFill="0" applyBorder="0" applyAlignment="0" applyProtection="0"/>
    <xf numFmtId="0" fontId="265" fillId="0" borderId="0" applyNumberFormat="0" applyFill="0" applyBorder="0" applyAlignment="0" applyProtection="0"/>
    <xf numFmtId="0" fontId="265" fillId="0" borderId="0" applyNumberFormat="0" applyFill="0" applyBorder="0" applyAlignment="0" applyProtection="0"/>
    <xf numFmtId="0" fontId="265" fillId="0" borderId="0" applyNumberFormat="0" applyFill="0" applyBorder="0" applyAlignment="0" applyProtection="0"/>
    <xf numFmtId="0" fontId="265" fillId="0" borderId="0" applyNumberFormat="0" applyFill="0" applyBorder="0" applyAlignment="0" applyProtection="0"/>
    <xf numFmtId="0" fontId="265" fillId="0" borderId="0" applyNumberFormat="0" applyFill="0" applyBorder="0" applyAlignment="0" applyProtection="0"/>
    <xf numFmtId="0" fontId="265" fillId="0" borderId="0" applyNumberFormat="0" applyFill="0" applyBorder="0" applyAlignment="0" applyProtection="0"/>
    <xf numFmtId="0" fontId="265" fillId="0" borderId="0" applyNumberFormat="0" applyFill="0" applyBorder="0" applyAlignment="0" applyProtection="0"/>
    <xf numFmtId="0" fontId="17" fillId="0" borderId="0" applyNumberFormat="0" applyFill="0" applyBorder="0" applyAlignment="0" applyProtection="0"/>
    <xf numFmtId="0" fontId="265" fillId="0" borderId="0" applyNumberFormat="0" applyFill="0" applyBorder="0" applyAlignment="0" applyProtection="0"/>
    <xf numFmtId="0" fontId="256" fillId="0" borderId="75" applyNumberFormat="0" applyFill="0" applyAlignment="0" applyProtection="0"/>
    <xf numFmtId="0" fontId="19" fillId="0" borderId="71" applyNumberFormat="0" applyFill="0" applyAlignment="0" applyProtection="0"/>
    <xf numFmtId="0" fontId="256" fillId="0" borderId="75" applyNumberFormat="0" applyFill="0" applyAlignment="0" applyProtection="0"/>
    <xf numFmtId="0" fontId="19" fillId="0" borderId="71" applyNumberFormat="0" applyFill="0" applyAlignment="0" applyProtection="0"/>
    <xf numFmtId="0" fontId="256" fillId="0" borderId="75" applyNumberFormat="0" applyFill="0" applyAlignment="0" applyProtection="0"/>
    <xf numFmtId="0" fontId="19" fillId="0" borderId="71" applyNumberFormat="0" applyFill="0" applyAlignment="0" applyProtection="0"/>
    <xf numFmtId="0" fontId="256" fillId="0" borderId="75" applyNumberFormat="0" applyFill="0" applyAlignment="0" applyProtection="0"/>
    <xf numFmtId="0" fontId="19" fillId="0" borderId="71" applyNumberFormat="0" applyFill="0" applyAlignment="0" applyProtection="0"/>
    <xf numFmtId="0" fontId="19" fillId="0" borderId="71" applyNumberFormat="0" applyFill="0" applyAlignment="0" applyProtection="0"/>
    <xf numFmtId="0" fontId="19" fillId="0" borderId="71" applyNumberFormat="0" applyFill="0" applyAlignment="0" applyProtection="0"/>
    <xf numFmtId="0" fontId="256" fillId="0" borderId="75" applyNumberFormat="0" applyFill="0" applyAlignment="0" applyProtection="0"/>
    <xf numFmtId="0" fontId="256" fillId="0" borderId="75" applyNumberFormat="0" applyFill="0" applyAlignment="0" applyProtection="0"/>
    <xf numFmtId="0" fontId="19" fillId="0" borderId="71" applyNumberFormat="0" applyFill="0" applyAlignment="0" applyProtection="0"/>
    <xf numFmtId="0" fontId="19" fillId="0" borderId="71" applyNumberFormat="0" applyFill="0" applyAlignment="0" applyProtection="0"/>
    <xf numFmtId="0" fontId="19" fillId="0" borderId="71" applyNumberFormat="0" applyFill="0" applyAlignment="0" applyProtection="0"/>
    <xf numFmtId="0" fontId="256" fillId="0" borderId="75" applyNumberFormat="0" applyFill="0" applyAlignment="0" applyProtection="0"/>
    <xf numFmtId="0" fontId="256" fillId="0" borderId="75" applyNumberFormat="0" applyFill="0" applyAlignment="0" applyProtection="0"/>
    <xf numFmtId="0" fontId="256" fillId="0" borderId="75" applyNumberFormat="0" applyFill="0" applyAlignment="0" applyProtection="0"/>
    <xf numFmtId="0" fontId="19" fillId="0" borderId="71" applyNumberFormat="0" applyFill="0" applyAlignment="0" applyProtection="0"/>
    <xf numFmtId="0" fontId="19" fillId="0" borderId="71" applyNumberFormat="0" applyFill="0" applyAlignment="0" applyProtection="0"/>
    <xf numFmtId="0" fontId="19" fillId="0" borderId="71" applyNumberFormat="0" applyFill="0" applyAlignment="0" applyProtection="0"/>
    <xf numFmtId="0" fontId="19" fillId="0" borderId="71" applyNumberFormat="0" applyFill="0" applyAlignment="0" applyProtection="0"/>
    <xf numFmtId="0" fontId="19" fillId="0" borderId="71" applyNumberFormat="0" applyFill="0" applyAlignment="0" applyProtection="0"/>
    <xf numFmtId="0" fontId="256" fillId="0" borderId="75" applyNumberFormat="0" applyFill="0" applyAlignment="0" applyProtection="0"/>
    <xf numFmtId="0" fontId="256" fillId="0" borderId="75" applyNumberFormat="0" applyFill="0" applyAlignment="0" applyProtection="0"/>
    <xf numFmtId="0" fontId="256" fillId="0" borderId="75" applyNumberFormat="0" applyFill="0" applyAlignment="0" applyProtection="0"/>
    <xf numFmtId="0" fontId="256" fillId="0" borderId="75" applyNumberFormat="0" applyFill="0" applyAlignment="0" applyProtection="0"/>
    <xf numFmtId="0" fontId="256" fillId="0" borderId="75" applyNumberFormat="0" applyFill="0" applyAlignment="0" applyProtection="0"/>
    <xf numFmtId="0" fontId="256" fillId="0" borderId="75" applyNumberFormat="0" applyFill="0" applyAlignment="0" applyProtection="0"/>
    <xf numFmtId="0" fontId="256" fillId="0" borderId="75" applyNumberFormat="0" applyFill="0" applyAlignment="0" applyProtection="0"/>
    <xf numFmtId="0" fontId="256" fillId="0" borderId="75" applyNumberFormat="0" applyFill="0" applyAlignment="0" applyProtection="0"/>
    <xf numFmtId="0" fontId="256" fillId="0" borderId="75" applyNumberFormat="0" applyFill="0" applyAlignment="0" applyProtection="0"/>
    <xf numFmtId="0" fontId="256" fillId="0" borderId="75" applyNumberFormat="0" applyFill="0" applyAlignment="0" applyProtection="0"/>
    <xf numFmtId="0" fontId="256" fillId="0" borderId="75" applyNumberFormat="0" applyFill="0" applyAlignment="0" applyProtection="0"/>
    <xf numFmtId="0" fontId="19" fillId="0" borderId="71" applyNumberFormat="0" applyFill="0" applyAlignment="0" applyProtection="0"/>
    <xf numFmtId="0" fontId="256" fillId="0" borderId="75" applyNumberFormat="0" applyFill="0" applyAlignment="0" applyProtection="0"/>
    <xf numFmtId="0" fontId="267" fillId="0" borderId="0" applyNumberFormat="0" applyFill="0" applyBorder="0" applyAlignment="0" applyProtection="0"/>
    <xf numFmtId="0" fontId="257" fillId="0" borderId="76" applyNumberFormat="0" applyFill="0" applyAlignment="0" applyProtection="0"/>
    <xf numFmtId="0" fontId="20" fillId="0" borderId="72" applyNumberFormat="0" applyFill="0" applyAlignment="0" applyProtection="0"/>
    <xf numFmtId="0" fontId="257" fillId="0" borderId="76" applyNumberFormat="0" applyFill="0" applyAlignment="0" applyProtection="0"/>
    <xf numFmtId="0" fontId="20" fillId="0" borderId="72" applyNumberFormat="0" applyFill="0" applyAlignment="0" applyProtection="0"/>
    <xf numFmtId="0" fontId="257" fillId="0" borderId="76" applyNumberFormat="0" applyFill="0" applyAlignment="0" applyProtection="0"/>
    <xf numFmtId="0" fontId="20" fillId="0" borderId="72" applyNumberFormat="0" applyFill="0" applyAlignment="0" applyProtection="0"/>
    <xf numFmtId="0" fontId="257" fillId="0" borderId="76" applyNumberFormat="0" applyFill="0" applyAlignment="0" applyProtection="0"/>
    <xf numFmtId="0" fontId="20" fillId="0" borderId="72" applyNumberFormat="0" applyFill="0" applyAlignment="0" applyProtection="0"/>
    <xf numFmtId="0" fontId="20" fillId="0" borderId="72" applyNumberFormat="0" applyFill="0" applyAlignment="0" applyProtection="0"/>
    <xf numFmtId="0" fontId="20" fillId="0" borderId="72" applyNumberFormat="0" applyFill="0" applyAlignment="0" applyProtection="0"/>
    <xf numFmtId="0" fontId="257" fillId="0" borderId="76" applyNumberFormat="0" applyFill="0" applyAlignment="0" applyProtection="0"/>
    <xf numFmtId="0" fontId="257" fillId="0" borderId="76" applyNumberFormat="0" applyFill="0" applyAlignment="0" applyProtection="0"/>
    <xf numFmtId="0" fontId="20" fillId="0" borderId="72" applyNumberFormat="0" applyFill="0" applyAlignment="0" applyProtection="0"/>
    <xf numFmtId="0" fontId="20" fillId="0" borderId="72" applyNumberFormat="0" applyFill="0" applyAlignment="0" applyProtection="0"/>
    <xf numFmtId="0" fontId="20" fillId="0" borderId="72" applyNumberFormat="0" applyFill="0" applyAlignment="0" applyProtection="0"/>
    <xf numFmtId="0" fontId="257" fillId="0" borderId="76" applyNumberFormat="0" applyFill="0" applyAlignment="0" applyProtection="0"/>
    <xf numFmtId="0" fontId="257" fillId="0" borderId="76" applyNumberFormat="0" applyFill="0" applyAlignment="0" applyProtection="0"/>
    <xf numFmtId="0" fontId="257" fillId="0" borderId="76" applyNumberFormat="0" applyFill="0" applyAlignment="0" applyProtection="0"/>
    <xf numFmtId="0" fontId="20" fillId="0" borderId="72" applyNumberFormat="0" applyFill="0" applyAlignment="0" applyProtection="0"/>
    <xf numFmtId="0" fontId="20" fillId="0" borderId="72" applyNumberFormat="0" applyFill="0" applyAlignment="0" applyProtection="0"/>
    <xf numFmtId="0" fontId="20" fillId="0" borderId="72" applyNumberFormat="0" applyFill="0" applyAlignment="0" applyProtection="0"/>
    <xf numFmtId="0" fontId="20" fillId="0" borderId="72" applyNumberFormat="0" applyFill="0" applyAlignment="0" applyProtection="0"/>
    <xf numFmtId="0" fontId="20" fillId="0" borderId="72" applyNumberFormat="0" applyFill="0" applyAlignment="0" applyProtection="0"/>
    <xf numFmtId="0" fontId="257" fillId="0" borderId="76" applyNumberFormat="0" applyFill="0" applyAlignment="0" applyProtection="0"/>
    <xf numFmtId="0" fontId="257" fillId="0" borderId="76" applyNumberFormat="0" applyFill="0" applyAlignment="0" applyProtection="0"/>
    <xf numFmtId="0" fontId="257" fillId="0" borderId="76" applyNumberFormat="0" applyFill="0" applyAlignment="0" applyProtection="0"/>
    <xf numFmtId="0" fontId="257" fillId="0" borderId="76" applyNumberFormat="0" applyFill="0" applyAlignment="0" applyProtection="0"/>
    <xf numFmtId="0" fontId="257" fillId="0" borderId="76" applyNumberFormat="0" applyFill="0" applyAlignment="0" applyProtection="0"/>
    <xf numFmtId="0" fontId="257" fillId="0" borderId="76" applyNumberFormat="0" applyFill="0" applyAlignment="0" applyProtection="0"/>
    <xf numFmtId="0" fontId="257" fillId="0" borderId="76" applyNumberFormat="0" applyFill="0" applyAlignment="0" applyProtection="0"/>
    <xf numFmtId="0" fontId="257" fillId="0" borderId="76" applyNumberFormat="0" applyFill="0" applyAlignment="0" applyProtection="0"/>
    <xf numFmtId="0" fontId="257" fillId="0" borderId="76" applyNumberFormat="0" applyFill="0" applyAlignment="0" applyProtection="0"/>
    <xf numFmtId="0" fontId="257" fillId="0" borderId="76" applyNumberFormat="0" applyFill="0" applyAlignment="0" applyProtection="0"/>
    <xf numFmtId="0" fontId="257" fillId="0" borderId="76" applyNumberFormat="0" applyFill="0" applyAlignment="0" applyProtection="0"/>
    <xf numFmtId="0" fontId="20" fillId="0" borderId="72" applyNumberFormat="0" applyFill="0" applyAlignment="0" applyProtection="0"/>
    <xf numFmtId="0" fontId="257" fillId="0" borderId="76" applyNumberFormat="0" applyFill="0" applyAlignment="0" applyProtection="0"/>
    <xf numFmtId="0" fontId="258" fillId="0" borderId="77" applyNumberFormat="0" applyFill="0" applyAlignment="0" applyProtection="0"/>
    <xf numFmtId="0" fontId="21" fillId="0" borderId="6" applyNumberFormat="0" applyFill="0" applyAlignment="0" applyProtection="0"/>
    <xf numFmtId="0" fontId="258" fillId="0" borderId="77" applyNumberFormat="0" applyFill="0" applyAlignment="0" applyProtection="0"/>
    <xf numFmtId="0" fontId="21" fillId="0" borderId="6" applyNumberFormat="0" applyFill="0" applyAlignment="0" applyProtection="0"/>
    <xf numFmtId="0" fontId="258" fillId="0" borderId="77" applyNumberFormat="0" applyFill="0" applyAlignment="0" applyProtection="0"/>
    <xf numFmtId="0" fontId="21" fillId="0" borderId="6" applyNumberFormat="0" applyFill="0" applyAlignment="0" applyProtection="0"/>
    <xf numFmtId="0" fontId="258" fillId="0" borderId="77" applyNumberFormat="0" applyFill="0" applyAlignment="0" applyProtection="0"/>
    <xf numFmtId="0" fontId="21" fillId="0" borderId="6" applyNumberFormat="0" applyFill="0" applyAlignment="0" applyProtection="0"/>
    <xf numFmtId="0" fontId="21" fillId="0" borderId="6" applyNumberFormat="0" applyFill="0" applyAlignment="0" applyProtection="0"/>
    <xf numFmtId="0" fontId="21" fillId="0" borderId="6" applyNumberFormat="0" applyFill="0" applyAlignment="0" applyProtection="0"/>
    <xf numFmtId="0" fontId="258" fillId="0" borderId="77" applyNumberFormat="0" applyFill="0" applyAlignment="0" applyProtection="0"/>
    <xf numFmtId="0" fontId="258" fillId="0" borderId="77" applyNumberFormat="0" applyFill="0" applyAlignment="0" applyProtection="0"/>
    <xf numFmtId="0" fontId="21" fillId="0" borderId="6" applyNumberFormat="0" applyFill="0" applyAlignment="0" applyProtection="0"/>
    <xf numFmtId="0" fontId="21" fillId="0" borderId="6" applyNumberFormat="0" applyFill="0" applyAlignment="0" applyProtection="0"/>
    <xf numFmtId="0" fontId="21" fillId="0" borderId="6" applyNumberFormat="0" applyFill="0" applyAlignment="0" applyProtection="0"/>
    <xf numFmtId="0" fontId="258" fillId="0" borderId="77" applyNumberFormat="0" applyFill="0" applyAlignment="0" applyProtection="0"/>
    <xf numFmtId="0" fontId="258" fillId="0" borderId="77" applyNumberFormat="0" applyFill="0" applyAlignment="0" applyProtection="0"/>
    <xf numFmtId="0" fontId="258" fillId="0" borderId="77" applyNumberFormat="0" applyFill="0" applyAlignment="0" applyProtection="0"/>
    <xf numFmtId="0" fontId="21" fillId="0" borderId="6" applyNumberFormat="0" applyFill="0" applyAlignment="0" applyProtection="0"/>
    <xf numFmtId="0" fontId="21" fillId="0" borderId="6" applyNumberFormat="0" applyFill="0" applyAlignment="0" applyProtection="0"/>
    <xf numFmtId="0" fontId="21" fillId="0" borderId="6" applyNumberFormat="0" applyFill="0" applyAlignment="0" applyProtection="0"/>
    <xf numFmtId="0" fontId="21" fillId="0" borderId="6" applyNumberFormat="0" applyFill="0" applyAlignment="0" applyProtection="0"/>
    <xf numFmtId="0" fontId="21" fillId="0" borderId="6" applyNumberFormat="0" applyFill="0" applyAlignment="0" applyProtection="0"/>
    <xf numFmtId="0" fontId="258" fillId="0" borderId="77" applyNumberFormat="0" applyFill="0" applyAlignment="0" applyProtection="0"/>
    <xf numFmtId="0" fontId="258" fillId="0" borderId="77" applyNumberFormat="0" applyFill="0" applyAlignment="0" applyProtection="0"/>
    <xf numFmtId="0" fontId="258" fillId="0" borderId="77" applyNumberFormat="0" applyFill="0" applyAlignment="0" applyProtection="0"/>
    <xf numFmtId="0" fontId="258" fillId="0" borderId="77" applyNumberFormat="0" applyFill="0" applyAlignment="0" applyProtection="0"/>
    <xf numFmtId="0" fontId="258" fillId="0" borderId="77" applyNumberFormat="0" applyFill="0" applyAlignment="0" applyProtection="0"/>
    <xf numFmtId="0" fontId="258" fillId="0" borderId="77" applyNumberFormat="0" applyFill="0" applyAlignment="0" applyProtection="0"/>
    <xf numFmtId="0" fontId="258" fillId="0" borderId="77" applyNumberFormat="0" applyFill="0" applyAlignment="0" applyProtection="0"/>
    <xf numFmtId="0" fontId="258" fillId="0" borderId="77" applyNumberFormat="0" applyFill="0" applyAlignment="0" applyProtection="0"/>
    <xf numFmtId="0" fontId="258" fillId="0" borderId="77" applyNumberFormat="0" applyFill="0" applyAlignment="0" applyProtection="0"/>
    <xf numFmtId="0" fontId="258" fillId="0" borderId="77" applyNumberFormat="0" applyFill="0" applyAlignment="0" applyProtection="0"/>
    <xf numFmtId="0" fontId="258" fillId="0" borderId="77" applyNumberFormat="0" applyFill="0" applyAlignment="0" applyProtection="0"/>
    <xf numFmtId="0" fontId="21" fillId="0" borderId="6" applyNumberFormat="0" applyFill="0" applyAlignment="0" applyProtection="0"/>
    <xf numFmtId="0" fontId="258" fillId="0" borderId="77" applyNumberFormat="0" applyFill="0" applyAlignment="0" applyProtection="0"/>
    <xf numFmtId="0" fontId="258" fillId="0" borderId="0" applyNumberFormat="0" applyFill="0" applyBorder="0" applyAlignment="0" applyProtection="0"/>
    <xf numFmtId="0" fontId="21" fillId="0" borderId="0" applyNumberFormat="0" applyFill="0" applyBorder="0" applyAlignment="0" applyProtection="0"/>
    <xf numFmtId="0" fontId="258" fillId="0" borderId="0" applyNumberFormat="0" applyFill="0" applyBorder="0" applyAlignment="0" applyProtection="0"/>
    <xf numFmtId="0" fontId="21" fillId="0" borderId="0" applyNumberFormat="0" applyFill="0" applyBorder="0" applyAlignment="0" applyProtection="0"/>
    <xf numFmtId="0" fontId="258" fillId="0" borderId="0" applyNumberFormat="0" applyFill="0" applyBorder="0" applyAlignment="0" applyProtection="0"/>
    <xf numFmtId="0" fontId="21" fillId="0" borderId="0" applyNumberFormat="0" applyFill="0" applyBorder="0" applyAlignment="0" applyProtection="0"/>
    <xf numFmtId="0" fontId="25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58" fillId="0" borderId="0" applyNumberFormat="0" applyFill="0" applyBorder="0" applyAlignment="0" applyProtection="0"/>
    <xf numFmtId="0" fontId="25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58" fillId="0" borderId="0" applyNumberFormat="0" applyFill="0" applyBorder="0" applyAlignment="0" applyProtection="0"/>
    <xf numFmtId="0" fontId="258" fillId="0" borderId="0" applyNumberFormat="0" applyFill="0" applyBorder="0" applyAlignment="0" applyProtection="0"/>
    <xf numFmtId="0" fontId="25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58" fillId="0" borderId="0" applyNumberFormat="0" applyFill="0" applyBorder="0" applyAlignment="0" applyProtection="0"/>
    <xf numFmtId="0" fontId="258" fillId="0" borderId="0" applyNumberFormat="0" applyFill="0" applyBorder="0" applyAlignment="0" applyProtection="0"/>
    <xf numFmtId="0" fontId="258" fillId="0" borderId="0" applyNumberFormat="0" applyFill="0" applyBorder="0" applyAlignment="0" applyProtection="0"/>
    <xf numFmtId="0" fontId="258" fillId="0" borderId="0" applyNumberFormat="0" applyFill="0" applyBorder="0" applyAlignment="0" applyProtection="0"/>
    <xf numFmtId="0" fontId="258" fillId="0" borderId="0" applyNumberFormat="0" applyFill="0" applyBorder="0" applyAlignment="0" applyProtection="0"/>
    <xf numFmtId="0" fontId="258" fillId="0" borderId="0" applyNumberFormat="0" applyFill="0" applyBorder="0" applyAlignment="0" applyProtection="0"/>
    <xf numFmtId="0" fontId="258" fillId="0" borderId="0" applyNumberFormat="0" applyFill="0" applyBorder="0" applyAlignment="0" applyProtection="0"/>
    <xf numFmtId="0" fontId="258" fillId="0" borderId="0" applyNumberFormat="0" applyFill="0" applyBorder="0" applyAlignment="0" applyProtection="0"/>
    <xf numFmtId="0" fontId="258" fillId="0" borderId="0" applyNumberFormat="0" applyFill="0" applyBorder="0" applyAlignment="0" applyProtection="0"/>
    <xf numFmtId="0" fontId="258" fillId="0" borderId="0" applyNumberFormat="0" applyFill="0" applyBorder="0" applyAlignment="0" applyProtection="0"/>
    <xf numFmtId="0" fontId="258" fillId="0" borderId="0" applyNumberFormat="0" applyFill="0" applyBorder="0" applyAlignment="0" applyProtection="0"/>
    <xf numFmtId="0" fontId="21" fillId="0" borderId="0" applyNumberFormat="0" applyFill="0" applyBorder="0" applyAlignment="0" applyProtection="0"/>
    <xf numFmtId="0" fontId="258" fillId="0" borderId="0" applyNumberFormat="0" applyFill="0" applyBorder="0" applyAlignment="0" applyProtection="0"/>
    <xf numFmtId="0" fontId="267" fillId="0" borderId="0" applyNumberFormat="0" applyFill="0" applyBorder="0" applyAlignment="0" applyProtection="0"/>
    <xf numFmtId="0" fontId="26" fillId="0" borderId="0" applyNumberFormat="0" applyFill="0" applyBorder="0" applyAlignment="0" applyProtection="0"/>
    <xf numFmtId="0" fontId="267" fillId="0" borderId="0" applyNumberFormat="0" applyFill="0" applyBorder="0" applyAlignment="0" applyProtection="0"/>
    <xf numFmtId="0" fontId="26" fillId="0" borderId="0" applyNumberFormat="0" applyFill="0" applyBorder="0" applyAlignment="0" applyProtection="0"/>
    <xf numFmtId="0" fontId="267" fillId="0" borderId="0" applyNumberFormat="0" applyFill="0" applyBorder="0" applyAlignment="0" applyProtection="0"/>
    <xf numFmtId="0" fontId="26" fillId="0" borderId="0" applyNumberFormat="0" applyFill="0" applyBorder="0" applyAlignment="0" applyProtection="0"/>
    <xf numFmtId="0" fontId="267"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 fillId="0" borderId="0" applyNumberFormat="0" applyFill="0" applyBorder="0" applyAlignment="0" applyProtection="0"/>
    <xf numFmtId="0" fontId="268" fillId="0" borderId="82" applyNumberFormat="0" applyFill="0" applyAlignment="0" applyProtection="0"/>
    <xf numFmtId="0" fontId="204" fillId="0" borderId="66" applyNumberFormat="0" applyFill="0" applyAlignment="0" applyProtection="0"/>
    <xf numFmtId="0" fontId="268" fillId="0" borderId="82" applyNumberFormat="0" applyFill="0" applyAlignment="0" applyProtection="0"/>
    <xf numFmtId="0" fontId="204" fillId="0" borderId="66" applyNumberFormat="0" applyFill="0" applyAlignment="0" applyProtection="0"/>
    <xf numFmtId="0" fontId="268" fillId="0" borderId="82" applyNumberFormat="0" applyFill="0" applyAlignment="0" applyProtection="0"/>
    <xf numFmtId="0" fontId="204" fillId="0" borderId="66" applyNumberFormat="0" applyFill="0" applyAlignment="0" applyProtection="0"/>
    <xf numFmtId="0" fontId="268" fillId="0" borderId="82" applyNumberFormat="0" applyFill="0" applyAlignment="0" applyProtection="0"/>
    <xf numFmtId="0" fontId="204" fillId="0" borderId="66" applyNumberFormat="0" applyFill="0" applyAlignment="0" applyProtection="0"/>
    <xf numFmtId="0" fontId="268" fillId="0" borderId="82" applyNumberFormat="0" applyFill="0" applyAlignment="0" applyProtection="0"/>
    <xf numFmtId="0" fontId="268" fillId="0" borderId="82" applyNumberFormat="0" applyFill="0" applyAlignment="0" applyProtection="0"/>
    <xf numFmtId="0" fontId="268" fillId="0" borderId="82" applyNumberFormat="0" applyFill="0" applyAlignment="0" applyProtection="0"/>
    <xf numFmtId="0" fontId="204" fillId="0" borderId="66" applyNumberFormat="0" applyFill="0" applyAlignment="0" applyProtection="0"/>
    <xf numFmtId="0" fontId="204" fillId="0" borderId="66" applyNumberFormat="0" applyFill="0" applyAlignment="0" applyProtection="0"/>
    <xf numFmtId="0" fontId="268" fillId="0" borderId="82" applyNumberFormat="0" applyFill="0" applyAlignment="0" applyProtection="0"/>
    <xf numFmtId="0" fontId="268" fillId="0" borderId="82" applyNumberFormat="0" applyFill="0" applyAlignment="0" applyProtection="0"/>
    <xf numFmtId="0" fontId="268" fillId="0" borderId="82" applyNumberFormat="0" applyFill="0" applyAlignment="0" applyProtection="0"/>
    <xf numFmtId="0" fontId="204" fillId="0" borderId="66" applyNumberFormat="0" applyFill="0" applyAlignment="0" applyProtection="0"/>
    <xf numFmtId="0" fontId="204" fillId="0" borderId="66" applyNumberFormat="0" applyFill="0" applyAlignment="0" applyProtection="0"/>
    <xf numFmtId="0" fontId="204" fillId="0" borderId="66" applyNumberFormat="0" applyFill="0" applyAlignment="0" applyProtection="0"/>
    <xf numFmtId="0" fontId="268" fillId="0" borderId="82" applyNumberFormat="0" applyFill="0" applyAlignment="0" applyProtection="0"/>
    <xf numFmtId="0" fontId="268" fillId="0" borderId="82" applyNumberFormat="0" applyFill="0" applyAlignment="0" applyProtection="0"/>
    <xf numFmtId="0" fontId="268" fillId="0" borderId="82" applyNumberFormat="0" applyFill="0" applyAlignment="0" applyProtection="0"/>
    <xf numFmtId="0" fontId="268" fillId="0" borderId="82" applyNumberFormat="0" applyFill="0" applyAlignment="0" applyProtection="0"/>
    <xf numFmtId="0" fontId="268" fillId="0" borderId="82" applyNumberFormat="0" applyFill="0" applyAlignment="0" applyProtection="0"/>
    <xf numFmtId="0" fontId="204" fillId="0" borderId="66" applyNumberFormat="0" applyFill="0" applyAlignment="0" applyProtection="0"/>
    <xf numFmtId="0" fontId="204" fillId="0" borderId="66" applyNumberFormat="0" applyFill="0" applyAlignment="0" applyProtection="0"/>
    <xf numFmtId="0" fontId="204" fillId="0" borderId="66" applyNumberFormat="0" applyFill="0" applyAlignment="0" applyProtection="0"/>
    <xf numFmtId="0" fontId="204" fillId="0" borderId="66" applyNumberFormat="0" applyFill="0" applyAlignment="0" applyProtection="0"/>
    <xf numFmtId="0" fontId="204" fillId="0" borderId="66" applyNumberFormat="0" applyFill="0" applyAlignment="0" applyProtection="0"/>
    <xf numFmtId="0" fontId="204" fillId="0" borderId="66" applyNumberFormat="0" applyFill="0" applyAlignment="0" applyProtection="0"/>
    <xf numFmtId="0" fontId="204" fillId="0" borderId="66" applyNumberFormat="0" applyFill="0" applyAlignment="0" applyProtection="0"/>
    <xf numFmtId="0" fontId="204" fillId="0" borderId="66" applyNumberFormat="0" applyFill="0" applyAlignment="0" applyProtection="0"/>
    <xf numFmtId="0" fontId="204" fillId="0" borderId="66" applyNumberFormat="0" applyFill="0" applyAlignment="0" applyProtection="0"/>
    <xf numFmtId="0" fontId="204" fillId="0" borderId="66" applyNumberFormat="0" applyFill="0" applyAlignment="0" applyProtection="0"/>
    <xf numFmtId="0" fontId="204" fillId="0" borderId="66" applyNumberFormat="0" applyFill="0" applyAlignment="0" applyProtection="0"/>
    <xf numFmtId="0" fontId="268" fillId="0" borderId="82" applyNumberFormat="0" applyFill="0" applyAlignment="0" applyProtection="0"/>
    <xf numFmtId="0" fontId="204" fillId="0" borderId="66" applyNumberFormat="0" applyFill="0" applyAlignment="0" applyProtection="0"/>
    <xf numFmtId="0" fontId="10" fillId="0" borderId="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266" fillId="62" borderId="0" applyNumberFormat="0" applyBorder="0" applyAlignment="0" applyProtection="0"/>
    <xf numFmtId="0" fontId="266" fillId="62" borderId="0" applyNumberFormat="0" applyBorder="0" applyAlignment="0" applyProtection="0"/>
    <xf numFmtId="0" fontId="266" fillId="66" borderId="0" applyNumberFormat="0" applyBorder="0" applyAlignment="0" applyProtection="0"/>
    <xf numFmtId="0" fontId="266" fillId="66" borderId="0" applyNumberFormat="0" applyBorder="0" applyAlignment="0" applyProtection="0"/>
    <xf numFmtId="0" fontId="266" fillId="70" borderId="0" applyNumberFormat="0" applyBorder="0" applyAlignment="0" applyProtection="0"/>
    <xf numFmtId="0" fontId="266" fillId="70" borderId="0" applyNumberFormat="0" applyBorder="0" applyAlignment="0" applyProtection="0"/>
    <xf numFmtId="0" fontId="266" fillId="74" borderId="0" applyNumberFormat="0" applyBorder="0" applyAlignment="0" applyProtection="0"/>
    <xf numFmtId="0" fontId="266" fillId="74" borderId="0" applyNumberFormat="0" applyBorder="0" applyAlignment="0" applyProtection="0"/>
    <xf numFmtId="0" fontId="266" fillId="78" borderId="0" applyNumberFormat="0" applyBorder="0" applyAlignment="0" applyProtection="0"/>
    <xf numFmtId="0" fontId="266" fillId="78" borderId="0" applyNumberFormat="0" applyBorder="0" applyAlignment="0" applyProtection="0"/>
    <xf numFmtId="0" fontId="266" fillId="82" borderId="0" applyNumberFormat="0" applyBorder="0" applyAlignment="0" applyProtection="0"/>
    <xf numFmtId="0" fontId="266" fillId="82" borderId="0" applyNumberFormat="0" applyBorder="0" applyAlignment="0" applyProtection="0"/>
    <xf numFmtId="0" fontId="259" fillId="55" borderId="0" applyNumberFormat="0" applyBorder="0" applyAlignment="0" applyProtection="0"/>
    <xf numFmtId="0" fontId="259" fillId="55" borderId="0" applyNumberFormat="0" applyBorder="0" applyAlignment="0" applyProtection="0"/>
    <xf numFmtId="0" fontId="263" fillId="57" borderId="78" applyNumberFormat="0" applyAlignment="0" applyProtection="0"/>
    <xf numFmtId="0" fontId="263" fillId="57" borderId="78" applyNumberFormat="0" applyAlignment="0" applyProtection="0"/>
    <xf numFmtId="0" fontId="254" fillId="58" borderId="81" applyNumberFormat="0" applyAlignment="0" applyProtection="0"/>
    <xf numFmtId="0" fontId="254" fillId="58" borderId="81" applyNumberFormat="0" applyAlignment="0" applyProtection="0"/>
    <xf numFmtId="0" fontId="264" fillId="0" borderId="80" applyNumberFormat="0" applyFill="0" applyAlignment="0" applyProtection="0"/>
    <xf numFmtId="0" fontId="264" fillId="0" borderId="80" applyNumberFormat="0" applyFill="0" applyAlignment="0" applyProtection="0"/>
    <xf numFmtId="0" fontId="266" fillId="59" borderId="0" applyNumberFormat="0" applyBorder="0" applyAlignment="0" applyProtection="0"/>
    <xf numFmtId="0" fontId="266" fillId="59" borderId="0" applyNumberFormat="0" applyBorder="0" applyAlignment="0" applyProtection="0"/>
    <xf numFmtId="0" fontId="266" fillId="63" borderId="0" applyNumberFormat="0" applyBorder="0" applyAlignment="0" applyProtection="0"/>
    <xf numFmtId="0" fontId="266" fillId="63" borderId="0" applyNumberFormat="0" applyBorder="0" applyAlignment="0" applyProtection="0"/>
    <xf numFmtId="0" fontId="266" fillId="67" borderId="0" applyNumberFormat="0" applyBorder="0" applyAlignment="0" applyProtection="0"/>
    <xf numFmtId="0" fontId="266" fillId="67" borderId="0" applyNumberFormat="0" applyBorder="0" applyAlignment="0" applyProtection="0"/>
    <xf numFmtId="0" fontId="266" fillId="71" borderId="0" applyNumberFormat="0" applyBorder="0" applyAlignment="0" applyProtection="0"/>
    <xf numFmtId="0" fontId="266" fillId="71" borderId="0" applyNumberFormat="0" applyBorder="0" applyAlignment="0" applyProtection="0"/>
    <xf numFmtId="0" fontId="266" fillId="75" borderId="0" applyNumberFormat="0" applyBorder="0" applyAlignment="0" applyProtection="0"/>
    <xf numFmtId="0" fontId="266" fillId="75" borderId="0" applyNumberFormat="0" applyBorder="0" applyAlignment="0" applyProtection="0"/>
    <xf numFmtId="0" fontId="266" fillId="79" borderId="0" applyNumberFormat="0" applyBorder="0" applyAlignment="0" applyProtection="0"/>
    <xf numFmtId="0" fontId="266" fillId="79" borderId="0" applyNumberFormat="0" applyBorder="0" applyAlignment="0" applyProtection="0"/>
    <xf numFmtId="0" fontId="261" fillId="56" borderId="78" applyNumberFormat="0" applyAlignment="0" applyProtection="0"/>
    <xf numFmtId="0" fontId="261" fillId="56" borderId="78" applyNumberFormat="0" applyAlignment="0" applyProtection="0"/>
    <xf numFmtId="0" fontId="203" fillId="51" borderId="0" applyNumberFormat="0" applyBorder="0" applyAlignment="0" applyProtection="0"/>
    <xf numFmtId="0" fontId="203" fillId="51" borderId="0" applyNumberFormat="0" applyBorder="0" applyAlignment="0" applyProtection="0"/>
    <xf numFmtId="0" fontId="260" fillId="52" borderId="0" applyNumberFormat="0" applyBorder="0" applyAlignment="0" applyProtection="0"/>
    <xf numFmtId="0" fontId="260" fillId="52" borderId="0" applyNumberFormat="0" applyBorder="0" applyAlignment="0" applyProtection="0"/>
    <xf numFmtId="0" fontId="4" fillId="0" borderId="0"/>
    <xf numFmtId="0" fontId="4" fillId="0" borderId="0"/>
    <xf numFmtId="0" fontId="9" fillId="9" borderId="8" applyNumberFormat="0" applyFont="0" applyAlignment="0" applyProtection="0"/>
    <xf numFmtId="0" fontId="4" fillId="35" borderId="39" applyNumberFormat="0" applyFont="0" applyAlignment="0" applyProtection="0"/>
    <xf numFmtId="0" fontId="4" fillId="35" borderId="39" applyNumberFormat="0" applyFont="0" applyAlignment="0" applyProtection="0"/>
    <xf numFmtId="0" fontId="262" fillId="57" borderId="79" applyNumberFormat="0" applyAlignment="0" applyProtection="0"/>
    <xf numFmtId="0" fontId="262" fillId="57" borderId="79" applyNumberFormat="0" applyAlignment="0" applyProtection="0"/>
    <xf numFmtId="168" fontId="10" fillId="0" borderId="0" applyFon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265" fillId="0" borderId="0" applyNumberFormat="0" applyFill="0" applyBorder="0" applyAlignment="0" applyProtection="0"/>
    <xf numFmtId="0" fontId="265" fillId="0" borderId="0" applyNumberFormat="0" applyFill="0" applyBorder="0" applyAlignment="0" applyProtection="0"/>
    <xf numFmtId="0" fontId="256" fillId="0" borderId="75" applyNumberFormat="0" applyFill="0" applyAlignment="0" applyProtection="0"/>
    <xf numFmtId="0" fontId="256" fillId="0" borderId="75" applyNumberFormat="0" applyFill="0" applyAlignment="0" applyProtection="0"/>
    <xf numFmtId="0" fontId="267" fillId="0" borderId="0" applyNumberFormat="0" applyFill="0" applyBorder="0" applyAlignment="0" applyProtection="0"/>
    <xf numFmtId="0" fontId="257" fillId="0" borderId="76" applyNumberFormat="0" applyFill="0" applyAlignment="0" applyProtection="0"/>
    <xf numFmtId="0" fontId="257" fillId="0" borderId="76" applyNumberFormat="0" applyFill="0" applyAlignment="0" applyProtection="0"/>
    <xf numFmtId="0" fontId="258" fillId="0" borderId="77" applyNumberFormat="0" applyFill="0" applyAlignment="0" applyProtection="0"/>
    <xf numFmtId="0" fontId="258" fillId="0" borderId="77" applyNumberFormat="0" applyFill="0" applyAlignment="0" applyProtection="0"/>
    <xf numFmtId="0" fontId="258" fillId="0" borderId="0" applyNumberFormat="0" applyFill="0" applyBorder="0" applyAlignment="0" applyProtection="0"/>
    <xf numFmtId="0" fontId="258" fillId="0" borderId="0" applyNumberFormat="0" applyFill="0" applyBorder="0" applyAlignment="0" applyProtection="0"/>
    <xf numFmtId="0" fontId="267" fillId="0" borderId="0" applyNumberFormat="0" applyFill="0" applyBorder="0" applyAlignment="0" applyProtection="0"/>
    <xf numFmtId="0" fontId="268" fillId="0" borderId="82" applyNumberFormat="0" applyFill="0" applyAlignment="0" applyProtection="0"/>
    <xf numFmtId="0" fontId="204" fillId="0" borderId="66" applyNumberFormat="0" applyFill="0" applyAlignment="0" applyProtection="0"/>
    <xf numFmtId="0" fontId="204" fillId="0" borderId="66" applyNumberFormat="0" applyFill="0" applyAlignment="0" applyProtection="0"/>
    <xf numFmtId="0" fontId="267" fillId="0" borderId="0" applyNumberFormat="0" applyFill="0" applyBorder="0" applyAlignment="0" applyProtection="0"/>
    <xf numFmtId="0" fontId="4" fillId="0" borderId="0"/>
    <xf numFmtId="168" fontId="4" fillId="0" borderId="0" applyFont="0" applyFill="0" applyBorder="0" applyAlignment="0" applyProtection="0"/>
    <xf numFmtId="0" fontId="4" fillId="35" borderId="39" applyNumberFormat="0" applyFont="0" applyAlignment="0" applyProtection="0"/>
    <xf numFmtId="0" fontId="87" fillId="0" borderId="0"/>
    <xf numFmtId="168" fontId="87" fillId="0" borderId="0" applyFont="0" applyFill="0" applyBorder="0" applyAlignment="0" applyProtection="0"/>
    <xf numFmtId="0" fontId="218" fillId="0" borderId="0" applyFont="0" applyFill="0" applyBorder="0" applyAlignment="0" applyProtection="0"/>
    <xf numFmtId="2" fontId="218" fillId="0" borderId="0" applyFont="0" applyFill="0" applyBorder="0" applyAlignment="0" applyProtection="0"/>
    <xf numFmtId="0" fontId="4" fillId="0" borderId="0"/>
    <xf numFmtId="0" fontId="218" fillId="0" borderId="0" applyFont="0" applyFill="0" applyBorder="0" applyAlignment="0" applyProtection="0"/>
    <xf numFmtId="0" fontId="218" fillId="0" borderId="0" applyFont="0" applyFill="0" applyBorder="0" applyAlignment="0" applyProtection="0"/>
    <xf numFmtId="2" fontId="218" fillId="0" borderId="0" applyFont="0" applyFill="0" applyBorder="0" applyAlignment="0" applyProtection="0"/>
    <xf numFmtId="0" fontId="4" fillId="0" borderId="0"/>
    <xf numFmtId="2" fontId="218" fillId="0" borderId="0" applyFont="0" applyFill="0" applyBorder="0" applyAlignment="0" applyProtection="0"/>
    <xf numFmtId="0" fontId="218" fillId="0" borderId="0" applyFont="0" applyFill="0" applyBorder="0" applyAlignment="0" applyProtection="0"/>
    <xf numFmtId="0" fontId="4" fillId="0" borderId="0"/>
    <xf numFmtId="2" fontId="218" fillId="0" borderId="0" applyFont="0" applyFill="0" applyBorder="0" applyAlignment="0" applyProtection="0"/>
    <xf numFmtId="0" fontId="269" fillId="0" borderId="0"/>
    <xf numFmtId="298" fontId="10"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44" fontId="3" fillId="0" borderId="0" applyFont="0" applyFill="0" applyBorder="0" applyAlignment="0" applyProtection="0"/>
    <xf numFmtId="168" fontId="10" fillId="0" borderId="0" applyFont="0" applyFill="0" applyBorder="0" applyAlignment="0" applyProtection="0"/>
    <xf numFmtId="298" fontId="10" fillId="0" borderId="0" applyFont="0" applyFill="0" applyBorder="0" applyAlignment="0" applyProtection="0"/>
    <xf numFmtId="0" fontId="3" fillId="0" borderId="0"/>
    <xf numFmtId="0" fontId="269" fillId="0" borderId="0"/>
    <xf numFmtId="0" fontId="111" fillId="0" borderId="65" applyNumberFormat="0" applyFill="0" applyAlignment="0" applyProtection="0"/>
    <xf numFmtId="0" fontId="111" fillId="0" borderId="65" applyNumberFormat="0" applyFill="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11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 fillId="0" borderId="0" applyFont="0" applyFill="0" applyBorder="0" applyAlignment="0" applyProtection="0"/>
    <xf numFmtId="0" fontId="269" fillId="0" borderId="0"/>
    <xf numFmtId="0" fontId="269" fillId="0" borderId="0"/>
    <xf numFmtId="218" fontId="96" fillId="0" borderId="65"/>
    <xf numFmtId="218" fontId="96" fillId="0" borderId="65"/>
    <xf numFmtId="0" fontId="269" fillId="0" borderId="0"/>
    <xf numFmtId="0" fontId="3" fillId="0" borderId="0"/>
    <xf numFmtId="216" fontId="10" fillId="0" borderId="0" applyFont="0" applyFill="0" applyBorder="0" applyAlignment="0" applyProtection="0"/>
    <xf numFmtId="3" fontId="142" fillId="37" borderId="65">
      <alignment horizontal="center"/>
    </xf>
    <xf numFmtId="0" fontId="26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0"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6"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3" fillId="0" borderId="0" applyFont="0" applyFill="0" applyBorder="0" applyAlignment="0" applyProtection="0"/>
    <xf numFmtId="166" fontId="3" fillId="0" borderId="0" applyFont="0" applyFill="0" applyBorder="0" applyAlignment="0" applyProtection="0"/>
    <xf numFmtId="168" fontId="119"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93"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0"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3"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99" fontId="3" fillId="0" borderId="0" applyFont="0" applyFill="0" applyBorder="0" applyAlignment="0" applyProtection="0"/>
    <xf numFmtId="168" fontId="151" fillId="0" borderId="0" applyFont="0" applyFill="0" applyBorder="0" applyAlignment="0" applyProtection="0"/>
    <xf numFmtId="168" fontId="151" fillId="0" borderId="0" applyFont="0" applyFill="0" applyBorder="0" applyAlignment="0" applyProtection="0"/>
    <xf numFmtId="168" fontId="151"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151"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151"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10"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4" fontId="3" fillId="0" borderId="0" applyFont="0" applyFill="0" applyBorder="0" applyAlignment="0" applyProtection="0"/>
    <xf numFmtId="203" fontId="3"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205" fontId="3" fillId="0" borderId="0" applyFont="0" applyFill="0" applyBorder="0" applyAlignment="0" applyProtection="0"/>
    <xf numFmtId="168" fontId="10" fillId="0" borderId="0" applyFont="0" applyFill="0" applyBorder="0" applyAlignment="0" applyProtection="0"/>
    <xf numFmtId="168" fontId="3" fillId="0" borderId="0" applyFont="0" applyFill="0" applyBorder="0" applyAlignment="0" applyProtection="0"/>
    <xf numFmtId="168" fontId="10" fillId="0" borderId="0" applyFont="0" applyFill="0" applyBorder="0" applyAlignment="0" applyProtection="0"/>
    <xf numFmtId="168" fontId="3" fillId="0" borderId="0" applyFont="0" applyFill="0" applyBorder="0" applyAlignment="0" applyProtection="0"/>
    <xf numFmtId="168" fontId="10" fillId="0" borderId="0" applyFont="0" applyFill="0" applyBorder="0" applyAlignment="0" applyProtection="0"/>
    <xf numFmtId="174" fontId="3" fillId="0" borderId="0" applyFont="0" applyFill="0" applyBorder="0" applyAlignment="0" applyProtection="0"/>
    <xf numFmtId="228" fontId="3" fillId="0" borderId="0" applyFont="0" applyFill="0" applyBorder="0" applyAlignment="0" applyProtection="0"/>
    <xf numFmtId="168" fontId="10" fillId="0" borderId="0" applyFont="0" applyFill="0" applyBorder="0" applyAlignment="0" applyProtection="0"/>
    <xf numFmtId="200" fontId="3" fillId="0" borderId="0" applyFont="0" applyFill="0" applyBorder="0" applyAlignment="0" applyProtection="0"/>
    <xf numFmtId="173" fontId="3" fillId="0" borderId="0" applyFont="0" applyFill="0" applyBorder="0" applyAlignment="0" applyProtection="0"/>
    <xf numFmtId="168" fontId="10" fillId="0" borderId="0" applyFont="0" applyFill="0" applyBorder="0" applyAlignment="0" applyProtection="0"/>
    <xf numFmtId="202" fontId="3" fillId="0" borderId="0" applyFont="0" applyFill="0" applyBorder="0" applyAlignment="0" applyProtection="0"/>
    <xf numFmtId="166" fontId="3"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73"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99" fontId="3"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0" fontId="269" fillId="0" borderId="0"/>
    <xf numFmtId="0" fontId="269" fillId="0" borderId="0"/>
    <xf numFmtId="0" fontId="192" fillId="0" borderId="65" applyNumberFormat="0" applyProtection="0">
      <alignment horizontal="center"/>
    </xf>
    <xf numFmtId="3" fontId="142" fillId="27" borderId="65">
      <alignment horizontal="center" vertical="center"/>
    </xf>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0" fontId="3" fillId="0" borderId="0"/>
    <xf numFmtId="168" fontId="10"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7" fontId="3" fillId="0" borderId="0" applyFont="0" applyFill="0" applyBorder="0" applyAlignment="0" applyProtection="0"/>
    <xf numFmtId="0" fontId="3" fillId="0" borderId="0"/>
    <xf numFmtId="168" fontId="9" fillId="0" borderId="0" applyFont="0" applyFill="0" applyBorder="0" applyAlignment="0" applyProtection="0"/>
    <xf numFmtId="0" fontId="3" fillId="0" borderId="0"/>
    <xf numFmtId="168" fontId="10" fillId="0" borderId="0" applyFont="0" applyFill="0" applyBorder="0" applyAlignment="0" applyProtection="0"/>
    <xf numFmtId="168" fontId="10" fillId="0" borderId="0" applyFont="0" applyFill="0" applyBorder="0" applyAlignment="0" applyProtection="0"/>
    <xf numFmtId="0" fontId="3" fillId="0" borderId="0"/>
    <xf numFmtId="0" fontId="3" fillId="0" borderId="0"/>
    <xf numFmtId="0" fontId="3" fillId="0" borderId="0"/>
    <xf numFmtId="0" fontId="3" fillId="0" borderId="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8" fontId="3" fillId="0" borderId="0" applyFont="0" applyFill="0" applyBorder="0" applyAlignment="0" applyProtection="0"/>
    <xf numFmtId="168" fontId="10"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6"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6" fontId="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9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0"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9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99"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4" fontId="3" fillId="0" borderId="0" applyFont="0" applyFill="0" applyBorder="0" applyAlignment="0" applyProtection="0"/>
    <xf numFmtId="203" fontId="3" fillId="0" borderId="0" applyFont="0" applyFill="0" applyBorder="0" applyAlignment="0" applyProtection="0"/>
    <xf numFmtId="168" fontId="3" fillId="0" borderId="0" applyFont="0" applyFill="0" applyBorder="0" applyAlignment="0" applyProtection="0"/>
    <xf numFmtId="205"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74" fontId="3" fillId="0" borderId="0" applyFont="0" applyFill="0" applyBorder="0" applyAlignment="0" applyProtection="0"/>
    <xf numFmtId="228" fontId="3" fillId="0" borderId="0" applyFont="0" applyFill="0" applyBorder="0" applyAlignment="0" applyProtection="0"/>
    <xf numFmtId="200" fontId="3" fillId="0" borderId="0" applyFont="0" applyFill="0" applyBorder="0" applyAlignment="0" applyProtection="0"/>
    <xf numFmtId="173" fontId="3" fillId="0" borderId="0" applyFont="0" applyFill="0" applyBorder="0" applyAlignment="0" applyProtection="0"/>
    <xf numFmtId="202" fontId="3" fillId="0" borderId="0" applyFont="0" applyFill="0" applyBorder="0" applyAlignment="0" applyProtection="0"/>
    <xf numFmtId="166" fontId="3" fillId="0" borderId="0" applyFont="0" applyFill="0" applyBorder="0" applyAlignment="0" applyProtection="0"/>
    <xf numFmtId="173"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99" fontId="3" fillId="0" borderId="0" applyFont="0" applyFill="0" applyBorder="0" applyAlignment="0" applyProtection="0"/>
    <xf numFmtId="0" fontId="3" fillId="0" borderId="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7" fontId="3" fillId="0" borderId="0" applyFont="0" applyFill="0" applyBorder="0" applyAlignment="0" applyProtection="0"/>
    <xf numFmtId="0" fontId="3" fillId="0" borderId="0"/>
    <xf numFmtId="0" fontId="3" fillId="0" borderId="0"/>
    <xf numFmtId="168" fontId="10" fillId="0" borderId="0" applyFont="0" applyFill="0" applyBorder="0" applyAlignment="0" applyProtection="0"/>
    <xf numFmtId="0" fontId="10" fillId="0" borderId="0"/>
    <xf numFmtId="0" fontId="10" fillId="0" borderId="0"/>
    <xf numFmtId="0" fontId="10" fillId="0" borderId="0"/>
    <xf numFmtId="0" fontId="3" fillId="0" borderId="0"/>
    <xf numFmtId="197" fontId="10" fillId="0" borderId="0" applyFont="0" applyFill="0" applyBorder="0" applyAlignment="0" applyProtection="0"/>
    <xf numFmtId="0" fontId="10" fillId="0" borderId="0"/>
    <xf numFmtId="168" fontId="3" fillId="0" borderId="0" applyFont="0" applyFill="0" applyBorder="0" applyAlignment="0" applyProtection="0"/>
    <xf numFmtId="0" fontId="3" fillId="0" borderId="0"/>
    <xf numFmtId="197" fontId="10" fillId="0" borderId="0"/>
    <xf numFmtId="197" fontId="10" fillId="0" borderId="0"/>
    <xf numFmtId="0" fontId="3" fillId="0" borderId="0"/>
    <xf numFmtId="9" fontId="3" fillId="0" borderId="0" applyFont="0" applyFill="0" applyBorder="0" applyAlignment="0" applyProtection="0"/>
    <xf numFmtId="0" fontId="3" fillId="0" borderId="0"/>
    <xf numFmtId="168"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10" fillId="0" borderId="0"/>
    <xf numFmtId="0" fontId="10" fillId="0" borderId="0"/>
    <xf numFmtId="197" fontId="10" fillId="0" borderId="0"/>
    <xf numFmtId="197" fontId="10" fillId="0" borderId="0"/>
    <xf numFmtId="197" fontId="10" fillId="0" borderId="0"/>
    <xf numFmtId="197" fontId="10" fillId="0" borderId="0"/>
    <xf numFmtId="197" fontId="10" fillId="0" borderId="0"/>
    <xf numFmtId="197" fontId="10" fillId="0" borderId="0"/>
    <xf numFmtId="197" fontId="10" fillId="0" borderId="0"/>
    <xf numFmtId="197" fontId="10" fillId="0" borderId="0"/>
    <xf numFmtId="197" fontId="10" fillId="0" borderId="0"/>
    <xf numFmtId="197" fontId="10" fillId="0" borderId="0"/>
    <xf numFmtId="197" fontId="10" fillId="0" borderId="0"/>
    <xf numFmtId="197" fontId="10" fillId="0" borderId="0"/>
    <xf numFmtId="197" fontId="10" fillId="0" borderId="0"/>
    <xf numFmtId="0" fontId="269" fillId="0" borderId="0"/>
    <xf numFmtId="0" fontId="269" fillId="0" borderId="0"/>
    <xf numFmtId="0" fontId="269" fillId="0" borderId="0"/>
    <xf numFmtId="0" fontId="269" fillId="0" borderId="0"/>
    <xf numFmtId="0" fontId="269" fillId="0" borderId="0"/>
    <xf numFmtId="0" fontId="269" fillId="0" borderId="0"/>
    <xf numFmtId="0" fontId="269" fillId="0" borderId="0"/>
    <xf numFmtId="168" fontId="3" fillId="0" borderId="0" applyFont="0" applyFill="0" applyBorder="0" applyAlignment="0" applyProtection="0"/>
    <xf numFmtId="0" fontId="269" fillId="0" borderId="0"/>
    <xf numFmtId="0" fontId="269" fillId="0" borderId="0"/>
    <xf numFmtId="0" fontId="269" fillId="0" borderId="0"/>
    <xf numFmtId="0" fontId="269" fillId="0" borderId="0"/>
    <xf numFmtId="0" fontId="269" fillId="0" borderId="0"/>
    <xf numFmtId="0" fontId="269" fillId="0" borderId="0"/>
    <xf numFmtId="168" fontId="3" fillId="0" borderId="0" applyFont="0" applyFill="0" applyBorder="0" applyAlignment="0" applyProtection="0"/>
    <xf numFmtId="0" fontId="269" fillId="0" borderId="0"/>
    <xf numFmtId="0" fontId="269" fillId="0" borderId="0"/>
    <xf numFmtId="0" fontId="269" fillId="0" borderId="0"/>
    <xf numFmtId="0" fontId="269" fillId="0" borderId="0"/>
    <xf numFmtId="0" fontId="269" fillId="0" borderId="0"/>
    <xf numFmtId="0" fontId="14" fillId="8" borderId="83" applyNumberFormat="0" applyAlignment="0" applyProtection="0"/>
    <xf numFmtId="0" fontId="14" fillId="8" borderId="83" applyNumberFormat="0" applyAlignment="0" applyProtection="0"/>
    <xf numFmtId="0" fontId="14" fillId="8" borderId="83" applyNumberFormat="0" applyAlignment="0" applyProtection="0"/>
    <xf numFmtId="0" fontId="14" fillId="8" borderId="83" applyNumberFormat="0" applyAlignment="0" applyProtection="0"/>
    <xf numFmtId="0" fontId="14" fillId="8" borderId="83" applyNumberFormat="0" applyAlignment="0" applyProtection="0"/>
    <xf numFmtId="0" fontId="14" fillId="8" borderId="83" applyNumberFormat="0" applyAlignment="0" applyProtection="0"/>
    <xf numFmtId="0" fontId="14" fillId="8" borderId="83" applyNumberFormat="0" applyAlignment="0" applyProtection="0"/>
    <xf numFmtId="0" fontId="14" fillId="8" borderId="83" applyNumberFormat="0" applyAlignment="0" applyProtection="0"/>
    <xf numFmtId="0" fontId="14" fillId="8" borderId="83" applyNumberFormat="0" applyAlignment="0" applyProtection="0"/>
    <xf numFmtId="0" fontId="14" fillId="8" borderId="83" applyNumberFormat="0" applyAlignment="0" applyProtection="0"/>
    <xf numFmtId="0" fontId="14" fillId="8" borderId="83" applyNumberFormat="0" applyAlignment="0" applyProtection="0"/>
    <xf numFmtId="0" fontId="22" fillId="7" borderId="83" applyNumberFormat="0" applyAlignment="0" applyProtection="0"/>
    <xf numFmtId="0" fontId="269" fillId="0" borderId="0"/>
    <xf numFmtId="0" fontId="22" fillId="7" borderId="83" applyNumberFormat="0" applyAlignment="0" applyProtection="0"/>
    <xf numFmtId="0" fontId="22" fillId="7" borderId="83" applyNumberFormat="0" applyAlignment="0" applyProtection="0"/>
    <xf numFmtId="0" fontId="22" fillId="7" borderId="83" applyNumberFormat="0" applyAlignment="0" applyProtection="0"/>
    <xf numFmtId="0" fontId="22" fillId="7" borderId="83" applyNumberFormat="0" applyAlignment="0" applyProtection="0"/>
    <xf numFmtId="0" fontId="22" fillId="7" borderId="83" applyNumberFormat="0" applyAlignment="0" applyProtection="0"/>
    <xf numFmtId="0" fontId="22" fillId="7" borderId="83" applyNumberFormat="0" applyAlignment="0" applyProtection="0"/>
    <xf numFmtId="0" fontId="22" fillId="7" borderId="83" applyNumberFormat="0" applyAlignment="0" applyProtection="0"/>
    <xf numFmtId="0" fontId="22" fillId="7" borderId="83" applyNumberFormat="0" applyAlignment="0" applyProtection="0"/>
    <xf numFmtId="0" fontId="22" fillId="7" borderId="83" applyNumberFormat="0" applyAlignment="0" applyProtection="0"/>
    <xf numFmtId="0" fontId="269" fillId="0" borderId="0"/>
    <xf numFmtId="0" fontId="22" fillId="7" borderId="83" applyNumberFormat="0" applyAlignment="0" applyProtection="0"/>
    <xf numFmtId="0" fontId="22" fillId="7" borderId="83" applyNumberFormat="0" applyAlignment="0" applyProtection="0"/>
    <xf numFmtId="0" fontId="269" fillId="0" borderId="0"/>
    <xf numFmtId="0" fontId="22" fillId="7" borderId="83" applyNumberFormat="0" applyAlignment="0" applyProtection="0"/>
    <xf numFmtId="0" fontId="269" fillId="0" borderId="0"/>
    <xf numFmtId="0" fontId="22" fillId="7" borderId="83" applyNumberFormat="0" applyAlignment="0" applyProtection="0"/>
    <xf numFmtId="0" fontId="269" fillId="0" borderId="0"/>
    <xf numFmtId="0" fontId="269" fillId="0" borderId="0"/>
    <xf numFmtId="0" fontId="10" fillId="14" borderId="84" applyNumberFormat="0" applyFont="0" applyAlignment="0" applyProtection="0"/>
    <xf numFmtId="0" fontId="10" fillId="14" borderId="84" applyNumberFormat="0" applyFont="0" applyAlignment="0" applyProtection="0"/>
    <xf numFmtId="0" fontId="10" fillId="14" borderId="84" applyNumberFormat="0" applyFont="0" applyAlignment="0" applyProtection="0"/>
    <xf numFmtId="0" fontId="10" fillId="14" borderId="84" applyNumberFormat="0" applyFont="0" applyAlignment="0" applyProtection="0"/>
    <xf numFmtId="0" fontId="10" fillId="14" borderId="84" applyNumberFormat="0" applyFont="0" applyAlignment="0" applyProtection="0"/>
    <xf numFmtId="0" fontId="10" fillId="14" borderId="84" applyNumberFormat="0" applyFont="0" applyAlignment="0" applyProtection="0"/>
    <xf numFmtId="0" fontId="10" fillId="9" borderId="84" applyNumberFormat="0" applyFont="0" applyAlignment="0" applyProtection="0"/>
    <xf numFmtId="0" fontId="10" fillId="9" borderId="84" applyNumberFormat="0" applyFont="0" applyAlignment="0" applyProtection="0"/>
    <xf numFmtId="0" fontId="10" fillId="9" borderId="84" applyNumberFormat="0" applyFont="0" applyAlignment="0" applyProtection="0"/>
    <xf numFmtId="0" fontId="9" fillId="9" borderId="84" applyNumberFormat="0" applyFont="0" applyAlignment="0" applyProtection="0"/>
    <xf numFmtId="0" fontId="10" fillId="9" borderId="84" applyNumberFormat="0" applyFont="0" applyAlignment="0" applyProtection="0"/>
    <xf numFmtId="0" fontId="10" fillId="9" borderId="84" applyNumberFormat="0" applyFont="0" applyAlignment="0" applyProtection="0"/>
    <xf numFmtId="0" fontId="9" fillId="9" borderId="84" applyNumberFormat="0" applyFont="0" applyAlignment="0" applyProtection="0"/>
    <xf numFmtId="0" fontId="10" fillId="9" borderId="84" applyNumberFormat="0" applyFont="0" applyAlignment="0" applyProtection="0"/>
    <xf numFmtId="0" fontId="9" fillId="9" borderId="84" applyNumberFormat="0" applyFont="0" applyAlignment="0" applyProtection="0"/>
    <xf numFmtId="0" fontId="9" fillId="9" borderId="84" applyNumberFormat="0" applyFont="0" applyAlignment="0" applyProtection="0"/>
    <xf numFmtId="0" fontId="9" fillId="9" borderId="84" applyNumberFormat="0" applyFont="0" applyAlignment="0" applyProtection="0"/>
    <xf numFmtId="0" fontId="10" fillId="9" borderId="84" applyNumberFormat="0" applyFont="0" applyAlignment="0" applyProtection="0"/>
    <xf numFmtId="0" fontId="10" fillId="9" borderId="84" applyNumberFormat="0" applyFont="0" applyAlignment="0" applyProtection="0"/>
    <xf numFmtId="0" fontId="9" fillId="9" borderId="84" applyNumberFormat="0" applyFont="0" applyAlignment="0" applyProtection="0"/>
    <xf numFmtId="0" fontId="10" fillId="9" borderId="84" applyNumberFormat="0" applyFont="0" applyAlignment="0" applyProtection="0"/>
    <xf numFmtId="0" fontId="9" fillId="9" borderId="84" applyNumberFormat="0" applyFont="0" applyAlignment="0" applyProtection="0"/>
    <xf numFmtId="0" fontId="9" fillId="9" borderId="84" applyNumberFormat="0" applyFont="0" applyAlignment="0" applyProtection="0"/>
    <xf numFmtId="0" fontId="9" fillId="9" borderId="84" applyNumberFormat="0" applyFont="0" applyAlignment="0" applyProtection="0"/>
    <xf numFmtId="0" fontId="10" fillId="9" borderId="84" applyNumberFormat="0" applyFont="0" applyAlignment="0" applyProtection="0"/>
    <xf numFmtId="0" fontId="10" fillId="9" borderId="84" applyNumberFormat="0" applyFont="0" applyAlignment="0" applyProtection="0"/>
    <xf numFmtId="0" fontId="9" fillId="9" borderId="84" applyNumberFormat="0" applyFont="0" applyAlignment="0" applyProtection="0"/>
    <xf numFmtId="0" fontId="10" fillId="9" borderId="84" applyNumberFormat="0" applyFont="0" applyAlignment="0" applyProtection="0"/>
    <xf numFmtId="0" fontId="9" fillId="9" borderId="84" applyNumberFormat="0" applyFont="0" applyAlignment="0" applyProtection="0"/>
    <xf numFmtId="0" fontId="9" fillId="9" borderId="84" applyNumberFormat="0" applyFont="0" applyAlignment="0" applyProtection="0"/>
    <xf numFmtId="0" fontId="9" fillId="9" borderId="84" applyNumberFormat="0" applyFont="0" applyAlignment="0" applyProtection="0"/>
    <xf numFmtId="0" fontId="10" fillId="9" borderId="84" applyNumberFormat="0" applyFont="0" applyAlignment="0" applyProtection="0"/>
    <xf numFmtId="0" fontId="10" fillId="9" borderId="84" applyNumberFormat="0" applyFont="0" applyAlignment="0" applyProtection="0"/>
    <xf numFmtId="0" fontId="25" fillId="8" borderId="85" applyNumberFormat="0" applyAlignment="0" applyProtection="0"/>
    <xf numFmtId="0" fontId="25" fillId="8" borderId="85" applyNumberFormat="0" applyAlignment="0" applyProtection="0"/>
    <xf numFmtId="0" fontId="25" fillId="8" borderId="85" applyNumberFormat="0" applyAlignment="0" applyProtection="0"/>
    <xf numFmtId="0" fontId="25" fillId="8" borderId="85" applyNumberFormat="0" applyAlignment="0" applyProtection="0"/>
    <xf numFmtId="0" fontId="25" fillId="8" borderId="85" applyNumberFormat="0" applyAlignment="0" applyProtection="0"/>
    <xf numFmtId="0" fontId="25" fillId="8" borderId="85" applyNumberFormat="0" applyAlignment="0" applyProtection="0"/>
    <xf numFmtId="0" fontId="25" fillId="8" borderId="85" applyNumberFormat="0" applyAlignment="0" applyProtection="0"/>
    <xf numFmtId="0" fontId="25" fillId="8" borderId="85" applyNumberFormat="0" applyAlignment="0" applyProtection="0"/>
    <xf numFmtId="0" fontId="25" fillId="8" borderId="85" applyNumberFormat="0" applyAlignment="0" applyProtection="0"/>
    <xf numFmtId="0" fontId="22" fillId="7" borderId="83" applyNumberFormat="0" applyAlignment="0" applyProtection="0"/>
    <xf numFmtId="0" fontId="25" fillId="8" borderId="85" applyNumberFormat="0" applyAlignment="0" applyProtection="0"/>
    <xf numFmtId="0" fontId="25" fillId="8" borderId="85" applyNumberFormat="0" applyAlignment="0" applyProtection="0"/>
    <xf numFmtId="0" fontId="25" fillId="8" borderId="85" applyNumberFormat="0" applyAlignment="0" applyProtection="0"/>
    <xf numFmtId="0" fontId="25" fillId="8" borderId="85" applyNumberFormat="0" applyAlignment="0" applyProtection="0"/>
    <xf numFmtId="0" fontId="25" fillId="8" borderId="85" applyNumberFormat="0" applyAlignment="0" applyProtection="0"/>
    <xf numFmtId="0" fontId="25" fillId="8" borderId="85" applyNumberFormat="0" applyAlignment="0" applyProtection="0"/>
    <xf numFmtId="257" fontId="161" fillId="26" borderId="86" applyProtection="0">
      <alignment horizontal="right" vertical="center"/>
    </xf>
    <xf numFmtId="257" fontId="161" fillId="26" borderId="86" applyProtection="0">
      <alignment horizontal="right" vertical="center"/>
    </xf>
    <xf numFmtId="257" fontId="161" fillId="26" borderId="86" applyProtection="0">
      <alignment horizontal="right" vertical="center"/>
    </xf>
    <xf numFmtId="257" fontId="161" fillId="26" borderId="86" applyProtection="0">
      <alignment horizontal="right" vertical="center"/>
    </xf>
    <xf numFmtId="257" fontId="161" fillId="26" borderId="86" applyProtection="0">
      <alignment horizontal="right" vertical="center"/>
    </xf>
    <xf numFmtId="257" fontId="161" fillId="26" borderId="86" applyProtection="0">
      <alignment horizontal="right" vertical="center"/>
    </xf>
    <xf numFmtId="0" fontId="269" fillId="0" borderId="0"/>
    <xf numFmtId="0" fontId="269" fillId="0" borderId="0"/>
    <xf numFmtId="0" fontId="22" fillId="7" borderId="83" applyNumberFormat="0" applyAlignment="0" applyProtection="0"/>
    <xf numFmtId="0" fontId="22" fillId="7" borderId="83" applyNumberFormat="0" applyAlignment="0" applyProtection="0"/>
    <xf numFmtId="0" fontId="14" fillId="24" borderId="83" applyNumberFormat="0" applyAlignment="0" applyProtection="0"/>
    <xf numFmtId="0" fontId="22" fillId="7" borderId="83" applyNumberFormat="0" applyAlignment="0" applyProtection="0"/>
    <xf numFmtId="0" fontId="22" fillId="7" borderId="83" applyNumberFormat="0" applyAlignment="0" applyProtection="0"/>
    <xf numFmtId="0" fontId="25" fillId="24" borderId="85" applyNumberFormat="0" applyAlignment="0" applyProtection="0"/>
    <xf numFmtId="168" fontId="10" fillId="0" borderId="0" applyFont="0" applyFill="0" applyBorder="0" applyAlignment="0" applyProtection="0"/>
    <xf numFmtId="168" fontId="10" fillId="0" borderId="0" applyFont="0" applyFill="0" applyBorder="0" applyAlignment="0" applyProtection="0"/>
    <xf numFmtId="0" fontId="32" fillId="0" borderId="89" applyNumberFormat="0" applyFill="0" applyAlignment="0" applyProtection="0"/>
    <xf numFmtId="0" fontId="33" fillId="0" borderId="72" applyNumberFormat="0" applyFill="0" applyAlignment="0" applyProtection="0"/>
    <xf numFmtId="0" fontId="2" fillId="0" borderId="0"/>
    <xf numFmtId="168" fontId="10"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10" fillId="0" borderId="0" applyFont="0" applyFill="0" applyBorder="0" applyAlignment="0" applyProtection="0"/>
    <xf numFmtId="168" fontId="8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168" fontId="10"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168" fontId="1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97" fontId="10" fillId="0" borderId="0"/>
    <xf numFmtId="197" fontId="10" fillId="0" borderId="0"/>
    <xf numFmtId="197" fontId="10" fillId="0" borderId="0"/>
    <xf numFmtId="197" fontId="10" fillId="0" borderId="0"/>
    <xf numFmtId="197" fontId="10" fillId="0" borderId="0"/>
    <xf numFmtId="197" fontId="10" fillId="0" borderId="0"/>
    <xf numFmtId="197" fontId="10" fillId="0" borderId="0"/>
    <xf numFmtId="0" fontId="10" fillId="0" borderId="0"/>
    <xf numFmtId="197" fontId="10" fillId="0" borderId="0"/>
    <xf numFmtId="0" fontId="10" fillId="0" borderId="0"/>
    <xf numFmtId="197" fontId="10" fillId="0" borderId="0"/>
    <xf numFmtId="197" fontId="10" fillId="0" borderId="0"/>
    <xf numFmtId="197" fontId="10" fillId="0" borderId="0"/>
    <xf numFmtId="0" fontId="10" fillId="0" borderId="0"/>
    <xf numFmtId="197" fontId="10" fillId="0" borderId="0"/>
    <xf numFmtId="197" fontId="10" fillId="0" borderId="0"/>
    <xf numFmtId="0" fontId="2" fillId="0" borderId="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2" fillId="0" borderId="0" applyFont="0" applyFill="0" applyBorder="0" applyAlignment="0" applyProtection="0"/>
    <xf numFmtId="168" fontId="9" fillId="0" borderId="0" applyFont="0" applyFill="0" applyBorder="0" applyAlignment="0" applyProtection="0"/>
    <xf numFmtId="168" fontId="11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 fillId="9" borderId="8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9"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9" fillId="0" borderId="0" applyFont="0" applyFill="0" applyBorder="0" applyAlignment="0" applyProtection="0"/>
    <xf numFmtId="168" fontId="2" fillId="0" borderId="0" applyFont="0" applyFill="0" applyBorder="0" applyAlignment="0" applyProtection="0"/>
    <xf numFmtId="168" fontId="9" fillId="0" borderId="0" applyFont="0" applyFill="0" applyBorder="0" applyAlignment="0" applyProtection="0"/>
    <xf numFmtId="168" fontId="2" fillId="0" borderId="0" applyFont="0" applyFill="0" applyBorder="0" applyAlignment="0" applyProtection="0"/>
    <xf numFmtId="168" fontId="9" fillId="0" borderId="0" applyFont="0" applyFill="0" applyBorder="0" applyAlignment="0" applyProtection="0"/>
    <xf numFmtId="168" fontId="2" fillId="0" borderId="0" applyFont="0" applyFill="0" applyBorder="0" applyAlignment="0" applyProtection="0"/>
    <xf numFmtId="168" fontId="9"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8" fontId="119"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93" fillId="0" borderId="0" applyFont="0" applyFill="0" applyBorder="0" applyAlignment="0" applyProtection="0"/>
    <xf numFmtId="168" fontId="2"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2"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10"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3" fillId="0" borderId="0" applyFont="0" applyFill="0" applyBorder="0" applyAlignment="0" applyProtection="0"/>
    <xf numFmtId="168" fontId="2"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2"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2"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2"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99" fontId="2" fillId="0" borderId="0" applyFont="0" applyFill="0" applyBorder="0" applyAlignment="0" applyProtection="0"/>
    <xf numFmtId="168" fontId="151" fillId="0" borderId="0" applyFont="0" applyFill="0" applyBorder="0" applyAlignment="0" applyProtection="0"/>
    <xf numFmtId="168" fontId="151" fillId="0" borderId="0" applyFont="0" applyFill="0" applyBorder="0" applyAlignment="0" applyProtection="0"/>
    <xf numFmtId="168" fontId="151"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151"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151"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10" fillId="0" borderId="0" applyFont="0" applyFill="0" applyBorder="0" applyAlignment="0" applyProtection="0"/>
    <xf numFmtId="173" fontId="2" fillId="0" borderId="0" applyFont="0" applyFill="0" applyBorder="0" applyAlignment="0" applyProtection="0"/>
    <xf numFmtId="173" fontId="2" fillId="0" borderId="0" applyFont="0" applyFill="0" applyBorder="0" applyAlignment="0" applyProtection="0"/>
    <xf numFmtId="174" fontId="2" fillId="0" borderId="0" applyFont="0" applyFill="0" applyBorder="0" applyAlignment="0" applyProtection="0"/>
    <xf numFmtId="203" fontId="2" fillId="0" borderId="0" applyFont="0" applyFill="0" applyBorder="0" applyAlignment="0" applyProtection="0"/>
    <xf numFmtId="168" fontId="2"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205" fontId="2" fillId="0" borderId="0" applyFont="0" applyFill="0" applyBorder="0" applyAlignment="0" applyProtection="0"/>
    <xf numFmtId="168" fontId="10" fillId="0" borderId="0" applyFont="0" applyFill="0" applyBorder="0" applyAlignment="0" applyProtection="0"/>
    <xf numFmtId="168" fontId="2" fillId="0" borderId="0" applyFont="0" applyFill="0" applyBorder="0" applyAlignment="0" applyProtection="0"/>
    <xf numFmtId="168" fontId="10" fillId="0" borderId="0" applyFont="0" applyFill="0" applyBorder="0" applyAlignment="0" applyProtection="0"/>
    <xf numFmtId="168" fontId="2" fillId="0" borderId="0" applyFont="0" applyFill="0" applyBorder="0" applyAlignment="0" applyProtection="0"/>
    <xf numFmtId="168" fontId="10" fillId="0" borderId="0" applyFont="0" applyFill="0" applyBorder="0" applyAlignment="0" applyProtection="0"/>
    <xf numFmtId="174" fontId="2" fillId="0" borderId="0" applyFont="0" applyFill="0" applyBorder="0" applyAlignment="0" applyProtection="0"/>
    <xf numFmtId="228" fontId="2" fillId="0" borderId="0" applyFont="0" applyFill="0" applyBorder="0" applyAlignment="0" applyProtection="0"/>
    <xf numFmtId="168" fontId="10" fillId="0" borderId="0" applyFont="0" applyFill="0" applyBorder="0" applyAlignment="0" applyProtection="0"/>
    <xf numFmtId="200" fontId="2" fillId="0" borderId="0" applyFont="0" applyFill="0" applyBorder="0" applyAlignment="0" applyProtection="0"/>
    <xf numFmtId="173" fontId="2" fillId="0" borderId="0" applyFont="0" applyFill="0" applyBorder="0" applyAlignment="0" applyProtection="0"/>
    <xf numFmtId="168" fontId="10" fillId="0" borderId="0" applyFont="0" applyFill="0" applyBorder="0" applyAlignment="0" applyProtection="0"/>
    <xf numFmtId="202" fontId="2" fillId="0" borderId="0" applyFont="0" applyFill="0" applyBorder="0" applyAlignment="0" applyProtection="0"/>
    <xf numFmtId="166" fontId="2"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73"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99" fontId="2"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0" fontId="96" fillId="0" borderId="90" applyNumberFormat="0" applyFill="0" applyProtection="0">
      <alignment wrapText="1"/>
    </xf>
    <xf numFmtId="0" fontId="96" fillId="0" borderId="90" applyNumberFormat="0" applyFill="0" applyProtection="0">
      <alignment horizontal="center" wrapText="1"/>
    </xf>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0" fontId="2" fillId="0" borderId="0"/>
    <xf numFmtId="168" fontId="9" fillId="0" borderId="0" applyFont="0" applyFill="0" applyBorder="0" applyAlignment="0" applyProtection="0"/>
    <xf numFmtId="0" fontId="2" fillId="0" borderId="0"/>
    <xf numFmtId="168" fontId="10" fillId="0" borderId="0" applyFont="0" applyFill="0" applyBorder="0" applyAlignment="0" applyProtection="0"/>
    <xf numFmtId="168" fontId="10" fillId="0" borderId="0" applyFont="0" applyFill="0" applyBorder="0" applyAlignment="0" applyProtection="0"/>
    <xf numFmtId="0" fontId="2" fillId="0" borderId="0"/>
    <xf numFmtId="0" fontId="1" fillId="0" borderId="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1" fillId="0" borderId="0" applyFont="0" applyFill="0" applyBorder="0" applyAlignment="0" applyProtection="0"/>
    <xf numFmtId="168" fontId="9" fillId="0" borderId="0" applyFont="0" applyFill="0" applyBorder="0" applyAlignment="0" applyProtection="0"/>
    <xf numFmtId="168" fontId="11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 fillId="0" borderId="0" applyFont="0" applyFill="0" applyBorder="0" applyAlignment="0" applyProtection="0"/>
    <xf numFmtId="211" fontId="28" fillId="0" borderId="0" applyFont="0" applyFill="0" applyBorder="0" applyAlignment="0"/>
    <xf numFmtId="165" fontId="10" fillId="0" borderId="0" applyFont="0" applyFill="0" applyBorder="0" applyAlignment="0"/>
    <xf numFmtId="212" fontId="10" fillId="0" borderId="0" applyFont="0" applyFill="0" applyBorder="0" applyAlignment="0" applyProtection="0"/>
    <xf numFmtId="164" fontId="28" fillId="0" borderId="0"/>
    <xf numFmtId="0" fontId="22" fillId="7" borderId="83" applyNumberFormat="0" applyAlignment="0" applyProtection="0"/>
    <xf numFmtId="165"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6"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9"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9" fillId="0" borderId="0" applyFont="0" applyFill="0" applyBorder="0" applyAlignment="0" applyProtection="0"/>
    <xf numFmtId="168" fontId="1" fillId="0" borderId="0" applyFont="0" applyFill="0" applyBorder="0" applyAlignment="0" applyProtection="0"/>
    <xf numFmtId="168" fontId="9" fillId="0" borderId="0" applyFont="0" applyFill="0" applyBorder="0" applyAlignment="0" applyProtection="0"/>
    <xf numFmtId="168" fontId="1" fillId="0" borderId="0" applyFont="0" applyFill="0" applyBorder="0" applyAlignment="0" applyProtection="0"/>
    <xf numFmtId="168" fontId="9" fillId="0" borderId="0" applyFont="0" applyFill="0" applyBorder="0" applyAlignment="0" applyProtection="0"/>
    <xf numFmtId="168" fontId="1" fillId="0" borderId="0" applyFont="0" applyFill="0" applyBorder="0" applyAlignment="0" applyProtection="0"/>
    <xf numFmtId="168" fontId="9" fillId="0" borderId="0" applyFont="0" applyFill="0" applyBorder="0" applyAlignment="0" applyProtection="0"/>
    <xf numFmtId="168" fontId="1" fillId="0" borderId="0" applyFont="0" applyFill="0" applyBorder="0" applyAlignment="0" applyProtection="0"/>
    <xf numFmtId="166" fontId="1" fillId="0" borderId="0" applyFont="0" applyFill="0" applyBorder="0" applyAlignment="0" applyProtection="0"/>
    <xf numFmtId="168" fontId="119"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93" fillId="0" borderId="0" applyFont="0" applyFill="0" applyBorder="0" applyAlignment="0" applyProtection="0"/>
    <xf numFmtId="168" fontId="1"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3" fillId="0" borderId="0" applyFont="0" applyFill="0" applyBorder="0" applyAlignment="0" applyProtection="0"/>
    <xf numFmtId="168" fontId="1"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99" fontId="1" fillId="0" borderId="0" applyFont="0" applyFill="0" applyBorder="0" applyAlignment="0" applyProtection="0"/>
    <xf numFmtId="168" fontId="151" fillId="0" borderId="0" applyFont="0" applyFill="0" applyBorder="0" applyAlignment="0" applyProtection="0"/>
    <xf numFmtId="168" fontId="151" fillId="0" borderId="0" applyFont="0" applyFill="0" applyBorder="0" applyAlignment="0" applyProtection="0"/>
    <xf numFmtId="168" fontId="151"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151"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151"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8"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1" fillId="0" borderId="0" applyFont="0" applyFill="0" applyBorder="0" applyAlignment="0" applyProtection="0"/>
    <xf numFmtId="203" fontId="1" fillId="0" borderId="0" applyFont="0" applyFill="0" applyBorder="0" applyAlignment="0" applyProtection="0"/>
    <xf numFmtId="168" fontId="1"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205"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74" fontId="1" fillId="0" borderId="0" applyFont="0" applyFill="0" applyBorder="0" applyAlignment="0" applyProtection="0"/>
    <xf numFmtId="228" fontId="1" fillId="0" borderId="0" applyFont="0" applyFill="0" applyBorder="0" applyAlignment="0" applyProtection="0"/>
    <xf numFmtId="168" fontId="10" fillId="0" borderId="0" applyFont="0" applyFill="0" applyBorder="0" applyAlignment="0" applyProtection="0"/>
    <xf numFmtId="200" fontId="1" fillId="0" borderId="0" applyFont="0" applyFill="0" applyBorder="0" applyAlignment="0" applyProtection="0"/>
    <xf numFmtId="173" fontId="1" fillId="0" borderId="0" applyFont="0" applyFill="0" applyBorder="0" applyAlignment="0" applyProtection="0"/>
    <xf numFmtId="168" fontId="10" fillId="0" borderId="0" applyFont="0" applyFill="0" applyBorder="0" applyAlignment="0" applyProtection="0"/>
    <xf numFmtId="202" fontId="1" fillId="0" borderId="0" applyFont="0" applyFill="0" applyBorder="0" applyAlignment="0" applyProtection="0"/>
    <xf numFmtId="166" fontId="1"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73"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99" fontId="1"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211" fontId="10" fillId="0" borderId="0" applyFont="0" applyFill="0" applyBorder="0" applyAlignment="0" applyProtection="0"/>
    <xf numFmtId="212" fontId="10" fillId="0" borderId="0" applyFont="0" applyFill="0" applyBorder="0" applyAlignment="0" applyProtection="0"/>
    <xf numFmtId="212" fontId="10"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7" fontId="1" fillId="0" borderId="0" applyFont="0" applyFill="0" applyBorder="0" applyAlignment="0" applyProtection="0"/>
    <xf numFmtId="0" fontId="1" fillId="0" borderId="0"/>
    <xf numFmtId="168" fontId="9" fillId="0" borderId="0" applyFont="0" applyFill="0" applyBorder="0" applyAlignment="0" applyProtection="0"/>
    <xf numFmtId="0" fontId="1" fillId="0" borderId="0"/>
    <xf numFmtId="168" fontId="10"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cellStyleXfs>
  <cellXfs count="619">
    <xf numFmtId="0" fontId="0" fillId="0" borderId="0" xfId="0"/>
    <xf numFmtId="0" fontId="68" fillId="0" borderId="0" xfId="0" applyFont="1" applyFill="1" applyBorder="1" applyAlignment="1">
      <alignment horizontal="right" wrapText="1"/>
    </xf>
    <xf numFmtId="0" fontId="71" fillId="0" borderId="0" xfId="0" applyFont="1" applyFill="1" applyBorder="1" applyAlignment="1">
      <alignment horizontal="right" wrapText="1"/>
    </xf>
    <xf numFmtId="0" fontId="79" fillId="0" borderId="0" xfId="63" applyFont="1" applyFill="1" applyBorder="1" applyAlignment="1" applyProtection="1">
      <alignment horizontal="right" vertical="center"/>
    </xf>
    <xf numFmtId="0" fontId="35" fillId="26" borderId="0" xfId="69" applyFont="1" applyFill="1"/>
    <xf numFmtId="0" fontId="36" fillId="26" borderId="0" xfId="69" applyFont="1" applyFill="1"/>
    <xf numFmtId="0" fontId="36" fillId="0" borderId="0" xfId="69" applyFont="1"/>
    <xf numFmtId="166" fontId="39" fillId="26" borderId="12" xfId="78" applyNumberFormat="1" applyFont="1" applyFill="1" applyBorder="1" applyAlignment="1">
      <alignment horizontal="right" vertical="center"/>
    </xf>
    <xf numFmtId="173" fontId="39" fillId="26" borderId="12" xfId="78" applyNumberFormat="1" applyFont="1" applyFill="1" applyBorder="1" applyAlignment="1">
      <alignment horizontal="right" vertical="center"/>
    </xf>
    <xf numFmtId="0" fontId="36" fillId="0" borderId="0" xfId="69" applyFont="1" applyFill="1"/>
    <xf numFmtId="166" fontId="39" fillId="0" borderId="12" xfId="78" applyNumberFormat="1" applyFont="1" applyFill="1" applyBorder="1" applyAlignment="1">
      <alignment horizontal="right" vertical="center"/>
    </xf>
    <xf numFmtId="174" fontId="39" fillId="0" borderId="13" xfId="69" applyNumberFormat="1" applyFont="1" applyFill="1" applyBorder="1" applyAlignment="1">
      <alignment horizontal="right" vertical="center"/>
    </xf>
    <xf numFmtId="173" fontId="39" fillId="0" borderId="12" xfId="78" applyNumberFormat="1" applyFont="1" applyFill="1" applyBorder="1" applyAlignment="1">
      <alignment horizontal="right" vertical="center"/>
    </xf>
    <xf numFmtId="9" fontId="39" fillId="0" borderId="13" xfId="75" applyFont="1" applyFill="1" applyBorder="1" applyAlignment="1">
      <alignment horizontal="right" vertical="center"/>
    </xf>
    <xf numFmtId="0" fontId="36" fillId="26" borderId="0" xfId="69" applyFont="1" applyFill="1" applyBorder="1"/>
    <xf numFmtId="0" fontId="36" fillId="0" borderId="0" xfId="69" applyFont="1" applyFill="1" applyBorder="1"/>
    <xf numFmtId="166" fontId="39" fillId="0" borderId="8" xfId="69" applyNumberFormat="1" applyFont="1" applyFill="1" applyBorder="1" applyAlignment="1">
      <alignment vertical="center"/>
    </xf>
    <xf numFmtId="0" fontId="39" fillId="26" borderId="0" xfId="69" applyFont="1" applyFill="1"/>
    <xf numFmtId="0" fontId="39" fillId="0" borderId="0" xfId="69" applyFont="1"/>
    <xf numFmtId="0" fontId="43" fillId="0" borderId="0" xfId="69" applyFont="1"/>
    <xf numFmtId="0" fontId="39" fillId="0" borderId="0" xfId="69" applyFont="1" applyFill="1"/>
    <xf numFmtId="166" fontId="37" fillId="0" borderId="8" xfId="69" applyNumberFormat="1" applyFont="1" applyFill="1" applyBorder="1" applyAlignment="1">
      <alignment vertical="center"/>
    </xf>
    <xf numFmtId="174" fontId="37" fillId="0" borderId="8" xfId="75" applyNumberFormat="1" applyFont="1" applyFill="1" applyBorder="1" applyAlignment="1">
      <alignment horizontal="right" vertical="center"/>
    </xf>
    <xf numFmtId="0" fontId="37" fillId="0" borderId="0" xfId="69" applyFont="1" applyFill="1"/>
    <xf numFmtId="174" fontId="39" fillId="0" borderId="8" xfId="69" applyNumberFormat="1" applyFont="1" applyFill="1" applyBorder="1" applyAlignment="1">
      <alignment vertical="center"/>
    </xf>
    <xf numFmtId="166" fontId="39" fillId="0" borderId="8" xfId="78" applyNumberFormat="1" applyFont="1" applyFill="1" applyBorder="1" applyAlignment="1">
      <alignment horizontal="left" vertical="center"/>
    </xf>
    <xf numFmtId="174" fontId="39" fillId="0" borderId="8" xfId="75" applyNumberFormat="1" applyFont="1" applyFill="1" applyBorder="1" applyAlignment="1">
      <alignment horizontal="right" vertical="center"/>
    </xf>
    <xf numFmtId="174" fontId="39" fillId="0" borderId="8" xfId="69" applyNumberFormat="1" applyFont="1" applyFill="1" applyBorder="1" applyAlignment="1">
      <alignment horizontal="right" vertical="center"/>
    </xf>
    <xf numFmtId="166" fontId="39" fillId="0" borderId="8" xfId="69" applyNumberFormat="1" applyFont="1" applyFill="1" applyBorder="1" applyAlignment="1">
      <alignment horizontal="right" vertical="center"/>
    </xf>
    <xf numFmtId="173" fontId="39" fillId="0" borderId="8" xfId="69" applyNumberFormat="1" applyFont="1" applyFill="1" applyBorder="1" applyAlignment="1">
      <alignment vertical="center"/>
    </xf>
    <xf numFmtId="166" fontId="37" fillId="0" borderId="8" xfId="69" applyNumberFormat="1" applyFont="1" applyFill="1" applyBorder="1" applyAlignment="1">
      <alignment horizontal="right" vertical="center"/>
    </xf>
    <xf numFmtId="166" fontId="37" fillId="0" borderId="8" xfId="78" applyNumberFormat="1" applyFont="1" applyFill="1" applyBorder="1" applyAlignment="1">
      <alignment vertical="center"/>
    </xf>
    <xf numFmtId="166" fontId="39" fillId="0" borderId="8" xfId="78" applyNumberFormat="1" applyFont="1" applyFill="1" applyBorder="1" applyAlignment="1">
      <alignment vertical="center"/>
    </xf>
    <xf numFmtId="173" fontId="39" fillId="0" borderId="8" xfId="78" applyNumberFormat="1" applyFont="1" applyFill="1" applyBorder="1" applyAlignment="1">
      <alignment horizontal="right" vertical="center"/>
    </xf>
    <xf numFmtId="166" fontId="39" fillId="0" borderId="8" xfId="69" applyNumberFormat="1" applyFont="1" applyFill="1" applyBorder="1" applyAlignment="1">
      <alignment vertical="center" wrapText="1"/>
    </xf>
    <xf numFmtId="0" fontId="43" fillId="0" borderId="0" xfId="69" applyFont="1" applyFill="1"/>
    <xf numFmtId="0" fontId="39" fillId="0" borderId="8" xfId="69" applyFont="1" applyFill="1" applyBorder="1" applyAlignment="1">
      <alignment horizontal="left" vertical="center" indent="1"/>
    </xf>
    <xf numFmtId="166" fontId="39" fillId="26" borderId="8" xfId="78" applyNumberFormat="1" applyFont="1" applyFill="1" applyBorder="1" applyAlignment="1">
      <alignment vertical="center"/>
    </xf>
    <xf numFmtId="166" fontId="39" fillId="0" borderId="0" xfId="69" applyNumberFormat="1" applyFont="1" applyFill="1"/>
    <xf numFmtId="174" fontId="39" fillId="0" borderId="8" xfId="75" applyNumberFormat="1" applyFont="1" applyFill="1" applyBorder="1" applyAlignment="1">
      <alignment vertical="center" wrapText="1"/>
    </xf>
    <xf numFmtId="0" fontId="38" fillId="26" borderId="0" xfId="69" applyFont="1" applyFill="1"/>
    <xf numFmtId="0" fontId="38" fillId="26" borderId="8" xfId="69" applyFont="1" applyFill="1" applyBorder="1" applyAlignment="1">
      <alignment horizontal="center" vertical="center"/>
    </xf>
    <xf numFmtId="0" fontId="38" fillId="26" borderId="0" xfId="69" applyFont="1" applyFill="1" applyAlignment="1">
      <alignment vertical="center"/>
    </xf>
    <xf numFmtId="0" fontId="36" fillId="26" borderId="0" xfId="69" applyFont="1" applyFill="1" applyAlignment="1">
      <alignment vertical="center"/>
    </xf>
    <xf numFmtId="0" fontId="44" fillId="28" borderId="0" xfId="69" applyFont="1" applyFill="1" applyBorder="1" applyAlignment="1">
      <alignment horizontal="center" vertical="center"/>
    </xf>
    <xf numFmtId="166" fontId="47" fillId="28" borderId="12" xfId="78" applyNumberFormat="1" applyFont="1" applyFill="1" applyBorder="1" applyAlignment="1">
      <alignment horizontal="right" vertical="center"/>
    </xf>
    <xf numFmtId="173" fontId="47" fillId="28" borderId="12" xfId="78" applyNumberFormat="1" applyFont="1" applyFill="1" applyBorder="1" applyAlignment="1">
      <alignment horizontal="right" vertical="center"/>
    </xf>
    <xf numFmtId="0" fontId="47" fillId="28" borderId="8" xfId="69" applyFont="1" applyFill="1" applyBorder="1" applyAlignment="1">
      <alignment vertical="center"/>
    </xf>
    <xf numFmtId="166" fontId="47" fillId="28" borderId="8" xfId="78" applyNumberFormat="1" applyFont="1" applyFill="1" applyBorder="1" applyAlignment="1">
      <alignment vertical="center"/>
    </xf>
    <xf numFmtId="174" fontId="47" fillId="28" borderId="8" xfId="75" applyNumberFormat="1" applyFont="1" applyFill="1" applyBorder="1" applyAlignment="1">
      <alignment horizontal="right" vertical="center"/>
    </xf>
    <xf numFmtId="166" fontId="47" fillId="28" borderId="8" xfId="78" applyNumberFormat="1" applyFont="1" applyFill="1" applyBorder="1" applyAlignment="1">
      <alignment vertical="center" wrapText="1"/>
    </xf>
    <xf numFmtId="166" fontId="47" fillId="28" borderId="8" xfId="69" applyNumberFormat="1" applyFont="1" applyFill="1" applyBorder="1" applyAlignment="1">
      <alignment vertical="center"/>
    </xf>
    <xf numFmtId="0" fontId="44" fillId="28" borderId="0" xfId="69" applyFont="1" applyFill="1" applyBorder="1" applyAlignment="1">
      <alignment horizontal="center" vertical="center" wrapText="1"/>
    </xf>
    <xf numFmtId="0" fontId="44" fillId="28" borderId="13" xfId="69" applyFont="1" applyFill="1" applyBorder="1" applyAlignment="1">
      <alignment vertical="center"/>
    </xf>
    <xf numFmtId="15" fontId="44" fillId="28" borderId="13" xfId="69" applyNumberFormat="1" applyFont="1" applyFill="1" applyBorder="1" applyAlignment="1">
      <alignment horizontal="center" vertical="center"/>
    </xf>
    <xf numFmtId="178" fontId="44" fillId="28" borderId="13" xfId="69" applyNumberFormat="1" applyFont="1" applyFill="1" applyBorder="1" applyAlignment="1">
      <alignment horizontal="center" vertical="center"/>
    </xf>
    <xf numFmtId="172" fontId="44" fillId="28" borderId="13" xfId="69" applyNumberFormat="1" applyFont="1" applyFill="1" applyBorder="1" applyAlignment="1">
      <alignment horizontal="center" vertical="center"/>
    </xf>
    <xf numFmtId="174" fontId="44" fillId="28" borderId="13" xfId="69" applyNumberFormat="1" applyFont="1" applyFill="1" applyBorder="1" applyAlignment="1">
      <alignment horizontal="center" vertical="center"/>
    </xf>
    <xf numFmtId="10" fontId="44" fillId="28" borderId="13" xfId="69" applyNumberFormat="1" applyFont="1" applyFill="1" applyBorder="1" applyAlignment="1">
      <alignment horizontal="center" vertical="center"/>
    </xf>
    <xf numFmtId="0" fontId="44" fillId="28" borderId="8" xfId="69" applyFont="1" applyFill="1" applyBorder="1" applyAlignment="1">
      <alignment vertical="center"/>
    </xf>
    <xf numFmtId="178" fontId="44" fillId="28" borderId="8" xfId="69" applyNumberFormat="1" applyFont="1" applyFill="1" applyBorder="1" applyAlignment="1">
      <alignment horizontal="center"/>
    </xf>
    <xf numFmtId="172" fontId="44" fillId="28" borderId="8" xfId="69" applyNumberFormat="1" applyFont="1" applyFill="1" applyBorder="1" applyAlignment="1">
      <alignment horizontal="center"/>
    </xf>
    <xf numFmtId="174" fontId="44" fillId="28" borderId="8" xfId="69" applyNumberFormat="1" applyFont="1" applyFill="1" applyBorder="1" applyAlignment="1">
      <alignment horizontal="center" vertical="center"/>
    </xf>
    <xf numFmtId="10" fontId="44" fillId="28" borderId="8" xfId="69" applyNumberFormat="1" applyFont="1" applyFill="1" applyBorder="1" applyAlignment="1">
      <alignment horizontal="center" vertical="center"/>
    </xf>
    <xf numFmtId="178" fontId="44" fillId="28" borderId="8" xfId="69" applyNumberFormat="1" applyFont="1" applyFill="1" applyBorder="1" applyAlignment="1">
      <alignment horizontal="center" vertical="center"/>
    </xf>
    <xf numFmtId="172" fontId="44" fillId="28" borderId="8" xfId="69" applyNumberFormat="1" applyFont="1" applyFill="1" applyBorder="1" applyAlignment="1">
      <alignment horizontal="center" vertical="center"/>
    </xf>
    <xf numFmtId="0" fontId="37" fillId="26" borderId="8" xfId="69" applyFont="1" applyFill="1" applyBorder="1" applyAlignment="1">
      <alignment vertical="center"/>
    </xf>
    <xf numFmtId="166" fontId="37" fillId="26" borderId="8" xfId="69" applyNumberFormat="1" applyFont="1" applyFill="1" applyBorder="1" applyAlignment="1">
      <alignment vertical="center"/>
    </xf>
    <xf numFmtId="174" fontId="37" fillId="26" borderId="8" xfId="75" applyNumberFormat="1" applyFont="1" applyFill="1" applyBorder="1" applyAlignment="1">
      <alignment vertical="center"/>
    </xf>
    <xf numFmtId="166" fontId="37" fillId="26" borderId="8" xfId="69" applyNumberFormat="1" applyFont="1" applyFill="1" applyBorder="1" applyAlignment="1">
      <alignment horizontal="right" vertical="center"/>
    </xf>
    <xf numFmtId="174" fontId="37" fillId="26" borderId="8" xfId="75" applyNumberFormat="1" applyFont="1" applyFill="1" applyBorder="1" applyAlignment="1">
      <alignment horizontal="right" vertical="center"/>
    </xf>
    <xf numFmtId="174" fontId="37" fillId="26" borderId="8" xfId="69" applyNumberFormat="1" applyFont="1" applyFill="1" applyBorder="1" applyAlignment="1">
      <alignment horizontal="right" vertical="center"/>
    </xf>
    <xf numFmtId="0" fontId="39" fillId="0" borderId="8" xfId="69" applyFont="1" applyFill="1" applyBorder="1" applyAlignment="1">
      <alignment horizontal="right" vertical="center"/>
    </xf>
    <xf numFmtId="166" fontId="47" fillId="28" borderId="8" xfId="69" applyNumberFormat="1" applyFont="1" applyFill="1" applyBorder="1" applyAlignment="1">
      <alignment horizontal="right" vertical="center"/>
    </xf>
    <xf numFmtId="0" fontId="29" fillId="0" borderId="0" xfId="63" applyFont="1" applyAlignment="1" applyProtection="1"/>
    <xf numFmtId="0" fontId="36" fillId="26" borderId="14" xfId="69" applyFont="1" applyFill="1" applyBorder="1"/>
    <xf numFmtId="178" fontId="45" fillId="0" borderId="14" xfId="69" applyNumberFormat="1" applyFont="1" applyFill="1" applyBorder="1"/>
    <xf numFmtId="0" fontId="36" fillId="26" borderId="14" xfId="69" applyFont="1" applyFill="1" applyBorder="1" applyAlignment="1">
      <alignment vertical="center"/>
    </xf>
    <xf numFmtId="0" fontId="47" fillId="28" borderId="0" xfId="69" applyFont="1" applyFill="1" applyBorder="1" applyAlignment="1">
      <alignment horizontal="left" vertical="center"/>
    </xf>
    <xf numFmtId="0" fontId="40" fillId="0" borderId="8" xfId="69" applyFont="1" applyFill="1" applyBorder="1" applyAlignment="1">
      <alignment vertical="center"/>
    </xf>
    <xf numFmtId="173" fontId="41" fillId="26" borderId="8" xfId="78" applyNumberFormat="1" applyFont="1" applyFill="1" applyBorder="1" applyAlignment="1">
      <alignment horizontal="right" vertical="center"/>
    </xf>
    <xf numFmtId="177" fontId="41" fillId="26" borderId="8" xfId="78" applyNumberFormat="1" applyFont="1" applyFill="1" applyBorder="1" applyAlignment="1">
      <alignment horizontal="right" vertical="center"/>
    </xf>
    <xf numFmtId="177" fontId="41" fillId="0" borderId="8" xfId="78" applyNumberFormat="1" applyFont="1" applyFill="1" applyBorder="1" applyAlignment="1">
      <alignment horizontal="right" vertical="center"/>
    </xf>
    <xf numFmtId="174" fontId="41" fillId="26" borderId="8" xfId="78" applyNumberFormat="1" applyFont="1" applyFill="1" applyBorder="1" applyAlignment="1">
      <alignment horizontal="right" vertical="center"/>
    </xf>
    <xf numFmtId="174" fontId="41" fillId="0" borderId="8" xfId="78" applyNumberFormat="1" applyFont="1" applyFill="1" applyBorder="1" applyAlignment="1">
      <alignment horizontal="right" vertical="center"/>
    </xf>
    <xf numFmtId="168" fontId="41" fillId="26" borderId="8" xfId="78" applyNumberFormat="1" applyFont="1" applyFill="1" applyBorder="1" applyAlignment="1">
      <alignment horizontal="right" vertical="center"/>
    </xf>
    <xf numFmtId="168" fontId="41" fillId="0" borderId="8" xfId="78" applyNumberFormat="1" applyFont="1" applyFill="1" applyBorder="1" applyAlignment="1">
      <alignment horizontal="right" vertical="center"/>
    </xf>
    <xf numFmtId="49" fontId="44" fillId="28" borderId="13" xfId="69" applyNumberFormat="1" applyFont="1" applyFill="1" applyBorder="1" applyAlignment="1">
      <alignment horizontal="center" vertical="center"/>
    </xf>
    <xf numFmtId="49" fontId="44" fillId="28" borderId="12" xfId="69" applyNumberFormat="1" applyFont="1" applyFill="1" applyBorder="1" applyAlignment="1">
      <alignment horizontal="center" vertical="center"/>
    </xf>
    <xf numFmtId="49" fontId="44" fillId="28" borderId="8" xfId="69" applyNumberFormat="1" applyFont="1" applyFill="1" applyBorder="1" applyAlignment="1">
      <alignment horizontal="center" vertical="center"/>
    </xf>
    <xf numFmtId="0" fontId="36" fillId="0" borderId="8" xfId="0" applyFont="1" applyFill="1" applyBorder="1" applyAlignment="1">
      <alignment vertical="center"/>
    </xf>
    <xf numFmtId="15" fontId="36" fillId="0" borderId="8" xfId="0" applyNumberFormat="1" applyFont="1" applyFill="1" applyBorder="1" applyAlignment="1">
      <alignment horizontal="center" vertical="center"/>
    </xf>
    <xf numFmtId="0" fontId="29" fillId="0" borderId="0" xfId="63" applyAlignment="1" applyProtection="1">
      <alignment horizontal="left"/>
    </xf>
    <xf numFmtId="166" fontId="39" fillId="0" borderId="8" xfId="78" applyNumberFormat="1" applyFont="1" applyFill="1" applyBorder="1" applyAlignment="1">
      <alignment horizontal="right" vertical="center"/>
    </xf>
    <xf numFmtId="0" fontId="50" fillId="28" borderId="8" xfId="69" applyFont="1" applyFill="1" applyBorder="1" applyAlignment="1">
      <alignment vertical="center"/>
    </xf>
    <xf numFmtId="166" fontId="50" fillId="28" borderId="8" xfId="69" applyNumberFormat="1" applyFont="1" applyFill="1" applyBorder="1" applyAlignment="1">
      <alignment vertical="center"/>
    </xf>
    <xf numFmtId="174" fontId="50" fillId="28" borderId="8" xfId="69" applyNumberFormat="1" applyFont="1" applyFill="1" applyBorder="1" applyAlignment="1">
      <alignment vertical="center"/>
    </xf>
    <xf numFmtId="174" fontId="50" fillId="28" borderId="8" xfId="75" applyNumberFormat="1" applyFont="1" applyFill="1" applyBorder="1" applyAlignment="1">
      <alignment horizontal="right" vertical="center"/>
    </xf>
    <xf numFmtId="174" fontId="50" fillId="28" borderId="8" xfId="69" applyNumberFormat="1" applyFont="1" applyFill="1" applyBorder="1" applyAlignment="1">
      <alignment horizontal="right" vertical="center"/>
    </xf>
    <xf numFmtId="174" fontId="50" fillId="28" borderId="13" xfId="69" applyNumberFormat="1" applyFont="1" applyFill="1" applyBorder="1" applyAlignment="1">
      <alignment horizontal="right" vertical="center"/>
    </xf>
    <xf numFmtId="37" fontId="39" fillId="0" borderId="8" xfId="69" applyNumberFormat="1" applyFont="1" applyFill="1" applyBorder="1" applyAlignment="1">
      <alignment horizontal="right" vertical="center"/>
    </xf>
    <xf numFmtId="0" fontId="29" fillId="0" borderId="0" xfId="63" applyFill="1" applyBorder="1" applyAlignment="1" applyProtection="1">
      <alignment horizontal="left"/>
    </xf>
    <xf numFmtId="0" fontId="39" fillId="26" borderId="0" xfId="71" applyFont="1" applyFill="1"/>
    <xf numFmtId="0" fontId="39" fillId="0" borderId="0" xfId="71" applyFont="1"/>
    <xf numFmtId="0" fontId="43" fillId="0" borderId="0" xfId="71" applyFont="1"/>
    <xf numFmtId="0" fontId="39" fillId="0" borderId="0" xfId="71" applyFont="1" applyFill="1"/>
    <xf numFmtId="173" fontId="39" fillId="0" borderId="0" xfId="78" applyNumberFormat="1" applyFont="1" applyFill="1"/>
    <xf numFmtId="0" fontId="36" fillId="26" borderId="0" xfId="71" applyFont="1" applyFill="1"/>
    <xf numFmtId="0" fontId="37" fillId="0" borderId="0" xfId="71" applyFont="1" applyFill="1" applyAlignment="1">
      <alignment horizontal="right" vertical="center"/>
    </xf>
    <xf numFmtId="0" fontId="37" fillId="0" borderId="8" xfId="71" applyFont="1" applyFill="1" applyBorder="1" applyAlignment="1">
      <alignment vertical="center"/>
    </xf>
    <xf numFmtId="166" fontId="37" fillId="0" borderId="8" xfId="71" applyNumberFormat="1" applyFont="1" applyFill="1" applyBorder="1" applyAlignment="1">
      <alignment vertical="center"/>
    </xf>
    <xf numFmtId="174" fontId="37" fillId="0" borderId="8" xfId="71" applyNumberFormat="1" applyFont="1" applyFill="1" applyBorder="1" applyAlignment="1">
      <alignment vertical="center"/>
    </xf>
    <xf numFmtId="174" fontId="37" fillId="0" borderId="8" xfId="71" applyNumberFormat="1" applyFont="1" applyFill="1" applyBorder="1" applyAlignment="1">
      <alignment horizontal="right" vertical="center"/>
    </xf>
    <xf numFmtId="174" fontId="37" fillId="0" borderId="13" xfId="71" applyNumberFormat="1" applyFont="1" applyFill="1" applyBorder="1" applyAlignment="1">
      <alignment horizontal="right" vertical="center"/>
    </xf>
    <xf numFmtId="0" fontId="37" fillId="0" borderId="0" xfId="71" applyFont="1" applyFill="1"/>
    <xf numFmtId="0" fontId="39" fillId="0" borderId="8" xfId="71" applyFont="1" applyFill="1" applyBorder="1" applyAlignment="1">
      <alignment horizontal="left" vertical="center" indent="1"/>
    </xf>
    <xf numFmtId="0" fontId="39" fillId="0" borderId="8" xfId="71" applyFont="1" applyFill="1" applyBorder="1" applyAlignment="1">
      <alignment horizontal="left" vertical="center" indent="2"/>
    </xf>
    <xf numFmtId="166" fontId="39" fillId="0" borderId="8" xfId="71" applyNumberFormat="1" applyFont="1" applyFill="1" applyBorder="1" applyAlignment="1">
      <alignment horizontal="left" vertical="center"/>
    </xf>
    <xf numFmtId="174" fontId="39" fillId="0" borderId="8" xfId="71" applyNumberFormat="1" applyFont="1" applyFill="1" applyBorder="1" applyAlignment="1">
      <alignment vertical="center"/>
    </xf>
    <xf numFmtId="174" fontId="39" fillId="0" borderId="8" xfId="71" applyNumberFormat="1" applyFont="1" applyFill="1" applyBorder="1" applyAlignment="1">
      <alignment horizontal="right" vertical="center"/>
    </xf>
    <xf numFmtId="166" fontId="39" fillId="0" borderId="8" xfId="71" applyNumberFormat="1" applyFont="1" applyFill="1" applyBorder="1" applyAlignment="1">
      <alignment horizontal="right" vertical="center"/>
    </xf>
    <xf numFmtId="166" fontId="39" fillId="0" borderId="8" xfId="71" applyNumberFormat="1" applyFont="1" applyFill="1" applyBorder="1" applyAlignment="1">
      <alignment vertical="center"/>
    </xf>
    <xf numFmtId="173" fontId="39" fillId="0" borderId="8" xfId="71" applyNumberFormat="1" applyFont="1" applyFill="1" applyBorder="1" applyAlignment="1">
      <alignment vertical="center"/>
    </xf>
    <xf numFmtId="174" fontId="39" fillId="0" borderId="13" xfId="71" applyNumberFormat="1" applyFont="1" applyFill="1" applyBorder="1" applyAlignment="1">
      <alignment horizontal="right" vertical="center"/>
    </xf>
    <xf numFmtId="0" fontId="47" fillId="28" borderId="8" xfId="71" applyFont="1" applyFill="1" applyBorder="1" applyAlignment="1">
      <alignment vertical="center"/>
    </xf>
    <xf numFmtId="174" fontId="47" fillId="28" borderId="8" xfId="71" applyNumberFormat="1" applyFont="1" applyFill="1" applyBorder="1" applyAlignment="1">
      <alignment vertical="center"/>
    </xf>
    <xf numFmtId="174" fontId="47" fillId="28" borderId="8" xfId="71" applyNumberFormat="1" applyFont="1" applyFill="1" applyBorder="1" applyAlignment="1">
      <alignment horizontal="right" vertical="center"/>
    </xf>
    <xf numFmtId="0" fontId="39" fillId="0" borderId="8" xfId="71" applyFont="1" applyFill="1" applyBorder="1" applyAlignment="1">
      <alignment vertical="center"/>
    </xf>
    <xf numFmtId="166" fontId="39" fillId="0" borderId="8" xfId="71" applyNumberFormat="1" applyFont="1" applyFill="1" applyBorder="1" applyAlignment="1">
      <alignment horizontal="left" vertical="center" wrapText="1"/>
    </xf>
    <xf numFmtId="173" fontId="39" fillId="26" borderId="8" xfId="71" applyNumberFormat="1" applyFont="1" applyFill="1" applyBorder="1" applyAlignment="1">
      <alignment vertical="center"/>
    </xf>
    <xf numFmtId="0" fontId="47" fillId="28" borderId="8" xfId="71" applyFont="1" applyFill="1" applyBorder="1" applyAlignment="1">
      <alignment vertical="center" wrapText="1"/>
    </xf>
    <xf numFmtId="166" fontId="47" fillId="28" borderId="8" xfId="71" applyNumberFormat="1" applyFont="1" applyFill="1" applyBorder="1" applyAlignment="1">
      <alignment vertical="center" wrapText="1"/>
    </xf>
    <xf numFmtId="0" fontId="39" fillId="0" borderId="8" xfId="71" applyFont="1" applyFill="1" applyBorder="1" applyAlignment="1">
      <alignment horizontal="left" vertical="center" wrapText="1" indent="1"/>
    </xf>
    <xf numFmtId="0" fontId="39" fillId="0" borderId="8" xfId="71" applyFont="1" applyFill="1" applyBorder="1" applyAlignment="1">
      <alignment horizontal="left" vertical="center" wrapText="1" indent="2"/>
    </xf>
    <xf numFmtId="166" fontId="39" fillId="0" borderId="8" xfId="71" applyNumberFormat="1" applyFont="1" applyFill="1" applyBorder="1" applyAlignment="1">
      <alignment vertical="center" wrapText="1"/>
    </xf>
    <xf numFmtId="0" fontId="37" fillId="0" borderId="0" xfId="71" applyFont="1"/>
    <xf numFmtId="180" fontId="39" fillId="0" borderId="8" xfId="71" applyNumberFormat="1" applyFont="1" applyFill="1" applyBorder="1" applyAlignment="1">
      <alignment vertical="center"/>
    </xf>
    <xf numFmtId="179" fontId="39" fillId="0" borderId="8" xfId="71" applyNumberFormat="1" applyFont="1" applyFill="1" applyBorder="1" applyAlignment="1">
      <alignment vertical="center"/>
    </xf>
    <xf numFmtId="0" fontId="39" fillId="0" borderId="8" xfId="71" applyFont="1" applyFill="1" applyBorder="1" applyAlignment="1">
      <alignment horizontal="left" vertical="center" wrapText="1"/>
    </xf>
    <xf numFmtId="0" fontId="39" fillId="0" borderId="15" xfId="71" applyFont="1" applyFill="1" applyBorder="1" applyAlignment="1">
      <alignment horizontal="left" wrapText="1" indent="1"/>
    </xf>
    <xf numFmtId="166" fontId="39" fillId="0" borderId="15" xfId="71" applyNumberFormat="1" applyFont="1" applyFill="1" applyBorder="1" applyAlignment="1">
      <alignment horizontal="left" vertical="center" wrapText="1"/>
    </xf>
    <xf numFmtId="0" fontId="39" fillId="0" borderId="0" xfId="71" applyFont="1" applyFill="1" applyBorder="1"/>
    <xf numFmtId="173" fontId="39" fillId="0" borderId="15" xfId="78" applyNumberFormat="1" applyFont="1" applyFill="1" applyBorder="1" applyAlignment="1">
      <alignment horizontal="left" vertical="center" wrapText="1"/>
    </xf>
    <xf numFmtId="0" fontId="39" fillId="0" borderId="0" xfId="71" applyFont="1" applyBorder="1"/>
    <xf numFmtId="0" fontId="43" fillId="0" borderId="0" xfId="71" applyFont="1" applyFill="1"/>
    <xf numFmtId="0" fontId="38" fillId="0" borderId="0" xfId="70" applyFont="1"/>
    <xf numFmtId="0" fontId="38" fillId="26" borderId="0" xfId="70" applyFont="1" applyFill="1"/>
    <xf numFmtId="0" fontId="35" fillId="0" borderId="0" xfId="70" applyFont="1"/>
    <xf numFmtId="166" fontId="35" fillId="0" borderId="0" xfId="70" applyNumberFormat="1" applyFont="1"/>
    <xf numFmtId="0" fontId="35" fillId="26" borderId="0" xfId="70" applyFont="1" applyFill="1"/>
    <xf numFmtId="0" fontId="36" fillId="0" borderId="0" xfId="70" applyFont="1"/>
    <xf numFmtId="0" fontId="36" fillId="26" borderId="0" xfId="70" applyFont="1" applyFill="1"/>
    <xf numFmtId="0" fontId="36" fillId="0" borderId="21" xfId="70" applyFont="1" applyFill="1" applyBorder="1"/>
    <xf numFmtId="0" fontId="36" fillId="27" borderId="22" xfId="70" applyFont="1" applyFill="1" applyBorder="1"/>
    <xf numFmtId="0" fontId="44" fillId="0" borderId="0" xfId="70" applyFont="1" applyFill="1"/>
    <xf numFmtId="0" fontId="46" fillId="28" borderId="8" xfId="70" applyFont="1" applyFill="1" applyBorder="1" applyAlignment="1">
      <alignment horizontal="left" vertical="center" indent="1"/>
    </xf>
    <xf numFmtId="0" fontId="46" fillId="28" borderId="16" xfId="70" applyFont="1" applyFill="1" applyBorder="1" applyAlignment="1">
      <alignment horizontal="left" vertical="center" indent="1"/>
    </xf>
    <xf numFmtId="166" fontId="47" fillId="28" borderId="16" xfId="70" applyNumberFormat="1" applyFont="1" applyFill="1" applyBorder="1" applyAlignment="1">
      <alignment horizontal="right" vertical="center"/>
    </xf>
    <xf numFmtId="174" fontId="47" fillId="28" borderId="13" xfId="70" applyNumberFormat="1" applyFont="1" applyFill="1" applyBorder="1" applyAlignment="1">
      <alignment horizontal="right" vertical="center"/>
    </xf>
    <xf numFmtId="166" fontId="47" fillId="28" borderId="8" xfId="70" applyNumberFormat="1" applyFont="1" applyFill="1" applyBorder="1" applyAlignment="1">
      <alignment horizontal="right" vertical="center"/>
    </xf>
    <xf numFmtId="166" fontId="47" fillId="28" borderId="13" xfId="70" applyNumberFormat="1" applyFont="1" applyFill="1" applyBorder="1" applyAlignment="1">
      <alignment horizontal="right" vertical="center"/>
    </xf>
    <xf numFmtId="0" fontId="46" fillId="28" borderId="12" xfId="70" applyFont="1" applyFill="1" applyBorder="1" applyAlignment="1">
      <alignment horizontal="left" vertical="center" indent="1"/>
    </xf>
    <xf numFmtId="166" fontId="47" fillId="28" borderId="12" xfId="70" applyNumberFormat="1" applyFont="1" applyFill="1" applyBorder="1" applyAlignment="1">
      <alignment horizontal="right" vertical="center"/>
    </xf>
    <xf numFmtId="0" fontId="41" fillId="26" borderId="8" xfId="70" applyFont="1" applyFill="1" applyBorder="1" applyAlignment="1">
      <alignment horizontal="left" vertical="center" indent="1"/>
    </xf>
    <xf numFmtId="0" fontId="41" fillId="26" borderId="12" xfId="70" applyFont="1" applyFill="1" applyBorder="1" applyAlignment="1">
      <alignment horizontal="left" vertical="center" indent="1"/>
    </xf>
    <xf numFmtId="174" fontId="39" fillId="26" borderId="13" xfId="70" applyNumberFormat="1" applyFont="1" applyFill="1" applyBorder="1" applyAlignment="1">
      <alignment horizontal="right" vertical="center"/>
    </xf>
    <xf numFmtId="166" fontId="39" fillId="26" borderId="12" xfId="70" applyNumberFormat="1" applyFont="1" applyFill="1" applyBorder="1" applyAlignment="1">
      <alignment horizontal="right" vertical="center"/>
    </xf>
    <xf numFmtId="173" fontId="39" fillId="26" borderId="8" xfId="78" applyNumberFormat="1" applyFont="1" applyFill="1" applyBorder="1" applyAlignment="1">
      <alignment horizontal="right" vertical="center"/>
    </xf>
    <xf numFmtId="166" fontId="39" fillId="26" borderId="8" xfId="70" applyNumberFormat="1" applyFont="1" applyFill="1" applyBorder="1" applyAlignment="1">
      <alignment horizontal="right" vertical="center"/>
    </xf>
    <xf numFmtId="174" fontId="39" fillId="26" borderId="8" xfId="70" applyNumberFormat="1" applyFont="1" applyFill="1" applyBorder="1" applyAlignment="1">
      <alignment horizontal="right" vertical="center"/>
    </xf>
    <xf numFmtId="0" fontId="38" fillId="0" borderId="0" xfId="70" applyFont="1" applyFill="1"/>
    <xf numFmtId="0" fontId="36" fillId="0" borderId="0" xfId="70" applyFont="1" applyFill="1"/>
    <xf numFmtId="0" fontId="41" fillId="0" borderId="8" xfId="70" applyFont="1" applyFill="1" applyBorder="1" applyAlignment="1">
      <alignment horizontal="left" vertical="center" indent="1"/>
    </xf>
    <xf numFmtId="0" fontId="41" fillId="0" borderId="12" xfId="70" applyFont="1" applyFill="1" applyBorder="1" applyAlignment="1">
      <alignment horizontal="left" vertical="center" indent="1"/>
    </xf>
    <xf numFmtId="174" fontId="39" fillId="0" borderId="13" xfId="70" applyNumberFormat="1" applyFont="1" applyFill="1" applyBorder="1" applyAlignment="1">
      <alignment horizontal="right" vertical="center"/>
    </xf>
    <xf numFmtId="166" fontId="39" fillId="0" borderId="12" xfId="70" applyNumberFormat="1" applyFont="1" applyFill="1" applyBorder="1" applyAlignment="1">
      <alignment horizontal="right" vertical="center"/>
    </xf>
    <xf numFmtId="166" fontId="39" fillId="0" borderId="8" xfId="70" applyNumberFormat="1" applyFont="1" applyFill="1" applyBorder="1" applyAlignment="1">
      <alignment horizontal="right" vertical="center"/>
    </xf>
    <xf numFmtId="173" fontId="47" fillId="28" borderId="8" xfId="78" applyNumberFormat="1" applyFont="1" applyFill="1" applyBorder="1" applyAlignment="1">
      <alignment horizontal="right" vertical="center"/>
    </xf>
    <xf numFmtId="0" fontId="41" fillId="26" borderId="8" xfId="70" applyFont="1" applyFill="1" applyBorder="1" applyAlignment="1">
      <alignment horizontal="left" vertical="center" wrapText="1" indent="1"/>
    </xf>
    <xf numFmtId="0" fontId="41" fillId="26" borderId="12" xfId="70" applyFont="1" applyFill="1" applyBorder="1" applyAlignment="1">
      <alignment horizontal="left" vertical="center" wrapText="1" indent="1"/>
    </xf>
    <xf numFmtId="174" fontId="39" fillId="0" borderId="8" xfId="70" applyNumberFormat="1" applyFont="1" applyFill="1" applyBorder="1" applyAlignment="1">
      <alignment horizontal="right" vertical="center"/>
    </xf>
    <xf numFmtId="0" fontId="41" fillId="0" borderId="8" xfId="70" applyFont="1" applyFill="1" applyBorder="1" applyAlignment="1">
      <alignment horizontal="left" vertical="center" wrapText="1" indent="1"/>
    </xf>
    <xf numFmtId="0" fontId="36" fillId="26" borderId="0" xfId="70" applyFont="1" applyFill="1" applyBorder="1"/>
    <xf numFmtId="166" fontId="36" fillId="26" borderId="0" xfId="70" applyNumberFormat="1" applyFont="1" applyFill="1" applyBorder="1"/>
    <xf numFmtId="0" fontId="51" fillId="0" borderId="0" xfId="71" applyFont="1" applyFill="1" applyBorder="1" applyAlignment="1"/>
    <xf numFmtId="166" fontId="39" fillId="29" borderId="8" xfId="69" applyNumberFormat="1" applyFont="1" applyFill="1" applyBorder="1" applyAlignment="1">
      <alignment horizontal="right" vertical="center"/>
    </xf>
    <xf numFmtId="174" fontId="39" fillId="26" borderId="8" xfId="75" applyNumberFormat="1" applyFont="1" applyFill="1" applyBorder="1" applyAlignment="1">
      <alignment horizontal="right" vertical="center"/>
    </xf>
    <xf numFmtId="181" fontId="39" fillId="0" borderId="15" xfId="71" applyNumberFormat="1" applyFont="1" applyFill="1" applyBorder="1" applyAlignment="1">
      <alignment horizontal="left" vertical="center" wrapText="1"/>
    </xf>
    <xf numFmtId="174" fontId="39" fillId="26" borderId="12" xfId="75" applyNumberFormat="1" applyFont="1" applyFill="1" applyBorder="1" applyAlignment="1">
      <alignment horizontal="right" vertical="center"/>
    </xf>
    <xf numFmtId="166" fontId="41" fillId="0" borderId="8" xfId="78" applyNumberFormat="1" applyFont="1" applyFill="1" applyBorder="1" applyAlignment="1">
      <alignment horizontal="right" vertical="center"/>
    </xf>
    <xf numFmtId="174" fontId="39" fillId="0" borderId="8" xfId="75" applyNumberFormat="1" applyFont="1" applyFill="1" applyBorder="1" applyAlignment="1">
      <alignment horizontal="right" vertical="center" wrapText="1"/>
    </xf>
    <xf numFmtId="182" fontId="36" fillId="26" borderId="8" xfId="0" applyNumberFormat="1" applyFont="1" applyFill="1" applyBorder="1" applyAlignment="1">
      <alignment horizontal="center" vertical="center"/>
    </xf>
    <xf numFmtId="164" fontId="36" fillId="26" borderId="8" xfId="0" applyNumberFormat="1" applyFont="1" applyFill="1" applyBorder="1" applyAlignment="1">
      <alignment horizontal="center" vertical="center"/>
    </xf>
    <xf numFmtId="174" fontId="37" fillId="0" borderId="8" xfId="75" applyNumberFormat="1" applyFont="1" applyFill="1" applyBorder="1" applyAlignment="1">
      <alignment vertical="center"/>
    </xf>
    <xf numFmtId="0" fontId="36" fillId="0" borderId="8" xfId="69" applyFont="1" applyFill="1" applyBorder="1" applyAlignment="1">
      <alignment horizontal="center" vertical="center"/>
    </xf>
    <xf numFmtId="0" fontId="53" fillId="26" borderId="0" xfId="69" applyFont="1" applyFill="1"/>
    <xf numFmtId="0" fontId="39" fillId="26" borderId="13" xfId="70" applyNumberFormat="1" applyFont="1" applyFill="1" applyBorder="1" applyAlignment="1">
      <alignment horizontal="right" vertical="center"/>
    </xf>
    <xf numFmtId="183" fontId="36" fillId="26" borderId="8" xfId="0" applyNumberFormat="1" applyFont="1" applyFill="1" applyBorder="1" applyAlignment="1">
      <alignment horizontal="center" vertical="center"/>
    </xf>
    <xf numFmtId="184" fontId="44" fillId="28" borderId="13" xfId="69" applyNumberFormat="1" applyFont="1" applyFill="1" applyBorder="1" applyAlignment="1">
      <alignment horizontal="center" vertical="center"/>
    </xf>
    <xf numFmtId="0" fontId="37" fillId="0" borderId="0" xfId="69" applyFont="1" applyFill="1" applyAlignment="1">
      <alignment horizontal="right" vertical="center"/>
    </xf>
    <xf numFmtId="0" fontId="50" fillId="0" borderId="0" xfId="69" applyFont="1" applyFill="1"/>
    <xf numFmtId="166" fontId="39" fillId="0" borderId="0" xfId="71" applyNumberFormat="1" applyFont="1" applyFill="1"/>
    <xf numFmtId="185" fontId="39" fillId="0" borderId="0" xfId="78" applyNumberFormat="1" applyFont="1" applyFill="1"/>
    <xf numFmtId="166" fontId="37" fillId="0" borderId="0" xfId="69" applyNumberFormat="1" applyFont="1" applyFill="1"/>
    <xf numFmtId="0" fontId="54" fillId="0" borderId="0" xfId="69" applyFont="1" applyFill="1"/>
    <xf numFmtId="173" fontId="39" fillId="0" borderId="8" xfId="78" applyNumberFormat="1" applyFont="1" applyFill="1" applyBorder="1" applyAlignment="1">
      <alignment vertical="center"/>
    </xf>
    <xf numFmtId="186" fontId="39" fillId="0" borderId="8" xfId="71" applyNumberFormat="1" applyFont="1" applyFill="1" applyBorder="1" applyAlignment="1">
      <alignment vertical="center"/>
    </xf>
    <xf numFmtId="166" fontId="37" fillId="0" borderId="8" xfId="69" applyNumberFormat="1" applyFont="1" applyFill="1" applyBorder="1" applyAlignment="1">
      <alignment vertical="center" wrapText="1"/>
    </xf>
    <xf numFmtId="173" fontId="36" fillId="0" borderId="0" xfId="69" applyNumberFormat="1" applyFont="1"/>
    <xf numFmtId="173" fontId="36" fillId="26" borderId="0" xfId="69" applyNumberFormat="1" applyFont="1" applyFill="1" applyBorder="1"/>
    <xf numFmtId="166" fontId="39" fillId="26" borderId="8" xfId="69" applyNumberFormat="1" applyFont="1" applyFill="1" applyBorder="1" applyAlignment="1">
      <alignment horizontal="right" vertical="center"/>
    </xf>
    <xf numFmtId="166" fontId="39" fillId="26" borderId="8" xfId="69" applyNumberFormat="1" applyFont="1" applyFill="1" applyBorder="1" applyAlignment="1">
      <alignment vertical="center"/>
    </xf>
    <xf numFmtId="174" fontId="39" fillId="26" borderId="8" xfId="75" applyNumberFormat="1" applyFont="1" applyFill="1" applyBorder="1" applyAlignment="1">
      <alignment vertical="center"/>
    </xf>
    <xf numFmtId="174" fontId="39" fillId="26" borderId="8" xfId="69" applyNumberFormat="1" applyFont="1" applyFill="1" applyBorder="1" applyAlignment="1">
      <alignment horizontal="right" vertical="center"/>
    </xf>
    <xf numFmtId="166" fontId="38" fillId="0" borderId="0" xfId="70" applyNumberFormat="1" applyFont="1"/>
    <xf numFmtId="166" fontId="38" fillId="26" borderId="0" xfId="70" applyNumberFormat="1" applyFont="1" applyFill="1"/>
    <xf numFmtId="0" fontId="36" fillId="26" borderId="0" xfId="0" applyFont="1" applyFill="1"/>
    <xf numFmtId="174" fontId="55" fillId="0" borderId="8" xfId="0" applyNumberFormat="1" applyFont="1" applyFill="1" applyBorder="1" applyAlignment="1">
      <alignment horizontal="center" vertical="center"/>
    </xf>
    <xf numFmtId="0" fontId="39" fillId="26" borderId="8" xfId="69" applyFont="1" applyFill="1" applyBorder="1" applyAlignment="1">
      <alignment horizontal="left" vertical="center" indent="2"/>
    </xf>
    <xf numFmtId="178" fontId="36" fillId="26" borderId="8" xfId="0" applyNumberFormat="1" applyFont="1" applyFill="1" applyBorder="1" applyAlignment="1">
      <alignment horizontal="center" vertical="center"/>
    </xf>
    <xf numFmtId="178" fontId="44" fillId="28" borderId="13" xfId="69" quotePrefix="1" applyNumberFormat="1" applyFont="1" applyFill="1" applyBorder="1" applyAlignment="1">
      <alignment horizontal="center" vertical="center"/>
    </xf>
    <xf numFmtId="0" fontId="35" fillId="26" borderId="0" xfId="0" applyFont="1" applyFill="1"/>
    <xf numFmtId="0" fontId="39" fillId="0" borderId="8" xfId="69" applyFont="1" applyFill="1" applyBorder="1" applyAlignment="1">
      <alignment horizontal="left" vertical="center" indent="2"/>
    </xf>
    <xf numFmtId="166" fontId="39" fillId="0" borderId="8" xfId="69" applyNumberFormat="1" applyFont="1" applyFill="1" applyBorder="1" applyAlignment="1">
      <alignment horizontal="right" vertical="center" wrapText="1"/>
    </xf>
    <xf numFmtId="0" fontId="42" fillId="0" borderId="0" xfId="0" applyFont="1" applyAlignment="1">
      <alignment vertical="center"/>
    </xf>
    <xf numFmtId="0" fontId="42" fillId="0" borderId="0" xfId="0" applyFont="1" applyBorder="1" applyAlignment="1">
      <alignment vertical="center"/>
    </xf>
    <xf numFmtId="187" fontId="39" fillId="0" borderId="8" xfId="75" applyNumberFormat="1" applyFont="1" applyFill="1" applyBorder="1" applyAlignment="1">
      <alignment horizontal="right" vertical="center"/>
    </xf>
    <xf numFmtId="188" fontId="39" fillId="0" borderId="8" xfId="78" applyNumberFormat="1" applyFont="1" applyFill="1" applyBorder="1" applyAlignment="1">
      <alignment horizontal="right" vertical="center"/>
    </xf>
    <xf numFmtId="176" fontId="36" fillId="0" borderId="0" xfId="69" applyNumberFormat="1" applyFont="1" applyFill="1"/>
    <xf numFmtId="189" fontId="39" fillId="0" borderId="8" xfId="78" applyNumberFormat="1" applyFont="1" applyFill="1" applyBorder="1" applyAlignment="1">
      <alignment horizontal="right" vertical="center"/>
    </xf>
    <xf numFmtId="185" fontId="39" fillId="0" borderId="8" xfId="78" applyNumberFormat="1" applyFont="1" applyFill="1" applyBorder="1" applyAlignment="1">
      <alignment horizontal="right" vertical="center"/>
    </xf>
    <xf numFmtId="0" fontId="40" fillId="0" borderId="8" xfId="69" applyFont="1" applyFill="1" applyBorder="1" applyAlignment="1">
      <alignment horizontal="left" vertical="center"/>
    </xf>
    <xf numFmtId="0" fontId="47" fillId="30" borderId="0" xfId="69" applyFont="1" applyFill="1" applyBorder="1" applyAlignment="1">
      <alignment horizontal="left" vertical="center"/>
    </xf>
    <xf numFmtId="0" fontId="56" fillId="0" borderId="23" xfId="69" applyFont="1" applyFill="1" applyBorder="1" applyAlignment="1">
      <alignment horizontal="left" vertical="center"/>
    </xf>
    <xf numFmtId="166" fontId="41" fillId="26" borderId="8" xfId="78" applyNumberFormat="1" applyFont="1" applyFill="1" applyBorder="1" applyAlignment="1">
      <alignment horizontal="right" vertical="center"/>
    </xf>
    <xf numFmtId="166" fontId="41" fillId="0" borderId="8" xfId="78" applyNumberFormat="1" applyFont="1" applyFill="1" applyBorder="1" applyAlignment="1">
      <alignment horizontal="right" vertical="center"/>
    </xf>
    <xf numFmtId="174" fontId="41" fillId="0" borderId="8" xfId="75" applyNumberFormat="1" applyFont="1" applyFill="1" applyBorder="1" applyAlignment="1">
      <alignment horizontal="right" vertical="center"/>
    </xf>
    <xf numFmtId="0" fontId="44" fillId="30" borderId="0" xfId="69" applyFont="1" applyFill="1" applyBorder="1" applyAlignment="1">
      <alignment horizontal="center" vertical="center"/>
    </xf>
    <xf numFmtId="0" fontId="56" fillId="0" borderId="25" xfId="69" applyFont="1" applyFill="1" applyBorder="1" applyAlignment="1">
      <alignment horizontal="left" vertical="center"/>
    </xf>
    <xf numFmtId="0" fontId="57" fillId="29" borderId="24" xfId="69" applyFont="1" applyFill="1" applyBorder="1" applyAlignment="1">
      <alignment horizontal="center" vertical="center"/>
    </xf>
    <xf numFmtId="0" fontId="40" fillId="0" borderId="8" xfId="69" applyFont="1" applyFill="1" applyBorder="1" applyAlignment="1">
      <alignment horizontal="left" vertical="center" indent="2"/>
    </xf>
    <xf numFmtId="190" fontId="36" fillId="0" borderId="0" xfId="69" applyNumberFormat="1" applyFont="1" applyFill="1"/>
    <xf numFmtId="177" fontId="36" fillId="0" borderId="0" xfId="69" applyNumberFormat="1" applyFont="1"/>
    <xf numFmtId="166" fontId="36" fillId="0" borderId="0" xfId="69" applyNumberFormat="1" applyFont="1"/>
    <xf numFmtId="168" fontId="36" fillId="0" borderId="0" xfId="69" applyNumberFormat="1" applyFont="1" applyFill="1"/>
    <xf numFmtId="164" fontId="36" fillId="0" borderId="8" xfId="0" applyNumberFormat="1" applyFont="1" applyFill="1" applyBorder="1" applyAlignment="1">
      <alignment horizontal="center" vertical="center"/>
    </xf>
    <xf numFmtId="0" fontId="58" fillId="30" borderId="0" xfId="69" applyFont="1" applyFill="1" applyBorder="1" applyAlignment="1">
      <alignment horizontal="center" vertical="center"/>
    </xf>
    <xf numFmtId="0" fontId="59" fillId="30" borderId="8" xfId="70" applyFont="1" applyFill="1" applyBorder="1" applyAlignment="1">
      <alignment horizontal="left" vertical="center"/>
    </xf>
    <xf numFmtId="0" fontId="59" fillId="30" borderId="16" xfId="70" applyFont="1" applyFill="1" applyBorder="1" applyAlignment="1">
      <alignment horizontal="left" vertical="center"/>
    </xf>
    <xf numFmtId="0" fontId="60" fillId="30" borderId="16" xfId="69" applyFont="1" applyFill="1" applyBorder="1" applyAlignment="1">
      <alignment horizontal="left" vertical="center" wrapText="1"/>
    </xf>
    <xf numFmtId="166" fontId="60" fillId="30" borderId="8" xfId="69" applyNumberFormat="1" applyFont="1" applyFill="1" applyBorder="1" applyAlignment="1">
      <alignment horizontal="center" vertical="center"/>
    </xf>
    <xf numFmtId="174" fontId="59" fillId="30" borderId="17" xfId="69" applyNumberFormat="1" applyFont="1" applyFill="1" applyBorder="1" applyAlignment="1">
      <alignment horizontal="center" vertical="center"/>
    </xf>
    <xf numFmtId="166" fontId="60" fillId="30" borderId="17" xfId="69" applyNumberFormat="1" applyFont="1" applyFill="1" applyBorder="1" applyAlignment="1">
      <alignment horizontal="center" vertical="center"/>
    </xf>
    <xf numFmtId="0" fontId="60" fillId="30" borderId="17" xfId="69" applyNumberFormat="1" applyFont="1" applyFill="1" applyBorder="1" applyAlignment="1">
      <alignment horizontal="center" vertical="center"/>
    </xf>
    <xf numFmtId="0" fontId="61" fillId="0" borderId="26" xfId="69" applyFont="1" applyFill="1" applyBorder="1" applyAlignment="1">
      <alignment horizontal="center" vertical="center"/>
    </xf>
    <xf numFmtId="15" fontId="61" fillId="0" borderId="26" xfId="0" applyNumberFormat="1" applyFont="1" applyFill="1" applyBorder="1" applyAlignment="1">
      <alignment horizontal="center" vertical="center"/>
    </xf>
    <xf numFmtId="0" fontId="61" fillId="26" borderId="0" xfId="69" applyFont="1" applyFill="1" applyBorder="1" applyAlignment="1">
      <alignment horizontal="center" wrapText="1"/>
    </xf>
    <xf numFmtId="178" fontId="36" fillId="26" borderId="0" xfId="69" applyNumberFormat="1" applyFont="1" applyFill="1"/>
    <xf numFmtId="191" fontId="36" fillId="26" borderId="0" xfId="69" applyNumberFormat="1" applyFont="1" applyFill="1"/>
    <xf numFmtId="186" fontId="36" fillId="26" borderId="0" xfId="69" applyNumberFormat="1" applyFont="1" applyFill="1"/>
    <xf numFmtId="0" fontId="36" fillId="0" borderId="0" xfId="69" applyFont="1" applyAlignment="1">
      <alignment horizontal="right" vertical="center"/>
    </xf>
    <xf numFmtId="0" fontId="67" fillId="0" borderId="0" xfId="0" applyFont="1" applyFill="1" applyBorder="1"/>
    <xf numFmtId="0" fontId="68" fillId="0" borderId="0" xfId="0" applyFont="1" applyFill="1" applyBorder="1" applyAlignment="1">
      <alignment horizontal="left"/>
    </xf>
    <xf numFmtId="0" fontId="69" fillId="0" borderId="0" xfId="0" applyFont="1" applyFill="1" applyBorder="1"/>
    <xf numFmtId="192" fontId="39" fillId="0" borderId="0" xfId="71" applyNumberFormat="1" applyFont="1" applyFill="1"/>
    <xf numFmtId="174" fontId="39" fillId="0" borderId="15" xfId="75" applyNumberFormat="1" applyFont="1" applyFill="1" applyBorder="1" applyAlignment="1">
      <alignment horizontal="right" vertical="center" wrapText="1"/>
    </xf>
    <xf numFmtId="0" fontId="39" fillId="0" borderId="22" xfId="0" applyFont="1" applyBorder="1" applyAlignment="1">
      <alignment vertical="center" wrapText="1"/>
    </xf>
    <xf numFmtId="0" fontId="37" fillId="31" borderId="8" xfId="69" applyFont="1" applyFill="1" applyBorder="1" applyAlignment="1">
      <alignment horizontal="left" vertical="center" indent="1"/>
    </xf>
    <xf numFmtId="166" fontId="37" fillId="31" borderId="8" xfId="69" applyNumberFormat="1" applyFont="1" applyFill="1" applyBorder="1" applyAlignment="1">
      <alignment vertical="center"/>
    </xf>
    <xf numFmtId="174" fontId="37" fillId="31" borderId="8" xfId="69" applyNumberFormat="1" applyFont="1" applyFill="1" applyBorder="1" applyAlignment="1">
      <alignment vertical="center"/>
    </xf>
    <xf numFmtId="174" fontId="37" fillId="31" borderId="8" xfId="69" applyNumberFormat="1" applyFont="1" applyFill="1" applyBorder="1" applyAlignment="1">
      <alignment horizontal="right" vertical="center"/>
    </xf>
    <xf numFmtId="174" fontId="37" fillId="31" borderId="8" xfId="75" applyNumberFormat="1" applyFont="1" applyFill="1" applyBorder="1" applyAlignment="1">
      <alignment horizontal="right" vertical="center"/>
    </xf>
    <xf numFmtId="174" fontId="37" fillId="31" borderId="13" xfId="69" applyNumberFormat="1" applyFont="1" applyFill="1" applyBorder="1" applyAlignment="1">
      <alignment horizontal="right" vertical="center"/>
    </xf>
    <xf numFmtId="166" fontId="37" fillId="31" borderId="8" xfId="69" applyNumberFormat="1" applyFont="1" applyFill="1" applyBorder="1" applyAlignment="1">
      <alignment horizontal="right" vertical="center"/>
    </xf>
    <xf numFmtId="0" fontId="47" fillId="32" borderId="8" xfId="69" applyFont="1" applyFill="1" applyBorder="1" applyAlignment="1">
      <alignment vertical="center"/>
    </xf>
    <xf numFmtId="166" fontId="50" fillId="32" borderId="8" xfId="69" applyNumberFormat="1" applyFont="1" applyFill="1" applyBorder="1" applyAlignment="1">
      <alignment vertical="center"/>
    </xf>
    <xf numFmtId="174" fontId="50" fillId="32" borderId="8" xfId="69" applyNumberFormat="1" applyFont="1" applyFill="1" applyBorder="1" applyAlignment="1">
      <alignment vertical="center"/>
    </xf>
    <xf numFmtId="174" fontId="50" fillId="32" borderId="8" xfId="69" applyNumberFormat="1" applyFont="1" applyFill="1" applyBorder="1" applyAlignment="1">
      <alignment horizontal="right" vertical="center"/>
    </xf>
    <xf numFmtId="174" fontId="50" fillId="32" borderId="8" xfId="75" applyNumberFormat="1" applyFont="1" applyFill="1" applyBorder="1" applyAlignment="1">
      <alignment horizontal="right" vertical="center"/>
    </xf>
    <xf numFmtId="174" fontId="50" fillId="32" borderId="13" xfId="69" applyNumberFormat="1" applyFont="1" applyFill="1" applyBorder="1" applyAlignment="1">
      <alignment horizontal="right" vertical="center"/>
    </xf>
    <xf numFmtId="0" fontId="48" fillId="30" borderId="8" xfId="69" applyFont="1" applyFill="1" applyBorder="1" applyAlignment="1">
      <alignment horizontal="left" vertical="center"/>
    </xf>
    <xf numFmtId="0" fontId="48" fillId="30" borderId="8" xfId="69" applyNumberFormat="1" applyFont="1" applyFill="1" applyBorder="1" applyAlignment="1">
      <alignment horizontal="center" vertical="center"/>
    </xf>
    <xf numFmtId="174" fontId="47" fillId="30" borderId="8" xfId="69" applyNumberFormat="1" applyFont="1" applyFill="1" applyBorder="1" applyAlignment="1">
      <alignment horizontal="center" vertical="center"/>
    </xf>
    <xf numFmtId="0" fontId="47" fillId="30" borderId="8" xfId="69" applyFont="1" applyFill="1" applyBorder="1" applyAlignment="1">
      <alignment horizontal="center" vertical="center"/>
    </xf>
    <xf numFmtId="0" fontId="48" fillId="30" borderId="8" xfId="69" applyFont="1" applyFill="1" applyBorder="1" applyAlignment="1">
      <alignment horizontal="center" vertical="center"/>
    </xf>
    <xf numFmtId="0" fontId="48" fillId="30" borderId="16" xfId="71" applyFont="1" applyFill="1" applyBorder="1" applyAlignment="1">
      <alignment horizontal="left" vertical="center"/>
    </xf>
    <xf numFmtId="0" fontId="48" fillId="30" borderId="8" xfId="71" applyFont="1" applyFill="1" applyBorder="1" applyAlignment="1">
      <alignment horizontal="left" vertical="center"/>
    </xf>
    <xf numFmtId="166" fontId="48" fillId="30" borderId="8" xfId="71" applyNumberFormat="1" applyFont="1" applyFill="1" applyBorder="1" applyAlignment="1">
      <alignment horizontal="center" vertical="center"/>
    </xf>
    <xf numFmtId="174" fontId="47" fillId="30" borderId="17" xfId="71" applyNumberFormat="1" applyFont="1" applyFill="1" applyBorder="1" applyAlignment="1">
      <alignment horizontal="center" vertical="center"/>
    </xf>
    <xf numFmtId="166" fontId="48" fillId="30" borderId="17" xfId="71" applyNumberFormat="1" applyFont="1" applyFill="1" applyBorder="1" applyAlignment="1">
      <alignment horizontal="center" vertical="center"/>
    </xf>
    <xf numFmtId="0" fontId="48" fillId="30" borderId="17" xfId="71" applyNumberFormat="1" applyFont="1" applyFill="1" applyBorder="1" applyAlignment="1">
      <alignment horizontal="center" vertical="center"/>
    </xf>
    <xf numFmtId="0" fontId="48" fillId="30" borderId="18" xfId="71" applyNumberFormat="1" applyFont="1" applyFill="1" applyBorder="1" applyAlignment="1">
      <alignment horizontal="center" vertical="center"/>
    </xf>
    <xf numFmtId="174" fontId="47" fillId="30" borderId="18" xfId="71" applyNumberFormat="1" applyFont="1" applyFill="1" applyBorder="1" applyAlignment="1">
      <alignment horizontal="center" vertical="center"/>
    </xf>
    <xf numFmtId="173" fontId="47" fillId="30" borderId="19" xfId="78" applyNumberFormat="1" applyFont="1" applyFill="1" applyBorder="1" applyAlignment="1">
      <alignment horizontal="center" vertical="center"/>
    </xf>
    <xf numFmtId="0" fontId="58" fillId="32" borderId="8" xfId="70" applyFont="1" applyFill="1" applyBorder="1" applyAlignment="1">
      <alignment horizontal="left" vertical="center" wrapText="1"/>
    </xf>
    <xf numFmtId="0" fontId="58" fillId="32" borderId="22" xfId="70" applyFont="1" applyFill="1" applyBorder="1" applyAlignment="1">
      <alignment horizontal="left" vertical="center" wrapText="1"/>
    </xf>
    <xf numFmtId="173" fontId="54" fillId="32" borderId="12" xfId="78" applyNumberFormat="1" applyFont="1" applyFill="1" applyBorder="1" applyAlignment="1">
      <alignment horizontal="right" vertical="center"/>
    </xf>
    <xf numFmtId="10" fontId="54" fillId="32" borderId="8" xfId="70" applyNumberFormat="1" applyFont="1" applyFill="1" applyBorder="1" applyAlignment="1">
      <alignment horizontal="right" vertical="center"/>
    </xf>
    <xf numFmtId="166" fontId="54" fillId="32" borderId="12" xfId="70" applyNumberFormat="1" applyFont="1" applyFill="1" applyBorder="1" applyAlignment="1">
      <alignment horizontal="right" vertical="center"/>
    </xf>
    <xf numFmtId="166" fontId="54" fillId="32" borderId="8" xfId="70" applyNumberFormat="1" applyFont="1" applyFill="1" applyBorder="1" applyAlignment="1">
      <alignment horizontal="right" vertical="center"/>
    </xf>
    <xf numFmtId="0" fontId="54" fillId="32" borderId="12" xfId="70" applyFont="1" applyFill="1" applyBorder="1" applyAlignment="1">
      <alignment horizontal="right" vertical="center"/>
    </xf>
    <xf numFmtId="0" fontId="54" fillId="32" borderId="8" xfId="70" applyFont="1" applyFill="1" applyBorder="1" applyAlignment="1">
      <alignment horizontal="right" vertical="center"/>
    </xf>
    <xf numFmtId="174" fontId="54" fillId="32" borderId="8" xfId="70" applyNumberFormat="1" applyFont="1" applyFill="1" applyBorder="1" applyAlignment="1">
      <alignment horizontal="right" vertical="center"/>
    </xf>
    <xf numFmtId="0" fontId="47" fillId="32" borderId="15" xfId="71" applyFont="1" applyFill="1" applyBorder="1" applyAlignment="1">
      <alignment vertical="center"/>
    </xf>
    <xf numFmtId="166" fontId="47" fillId="32" borderId="8" xfId="71" applyNumberFormat="1" applyFont="1" applyFill="1" applyBorder="1" applyAlignment="1">
      <alignment vertical="center"/>
    </xf>
    <xf numFmtId="174" fontId="47" fillId="32" borderId="8" xfId="71" applyNumberFormat="1" applyFont="1" applyFill="1" applyBorder="1" applyAlignment="1">
      <alignment vertical="center"/>
    </xf>
    <xf numFmtId="174" fontId="47" fillId="32" borderId="8" xfId="75" applyNumberFormat="1" applyFont="1" applyFill="1" applyBorder="1" applyAlignment="1">
      <alignment vertical="center"/>
    </xf>
    <xf numFmtId="174" fontId="47" fillId="32" borderId="8" xfId="71" applyNumberFormat="1" applyFont="1" applyFill="1" applyBorder="1" applyAlignment="1">
      <alignment horizontal="right" vertical="center"/>
    </xf>
    <xf numFmtId="174" fontId="47" fillId="32" borderId="13" xfId="71" applyNumberFormat="1" applyFont="1" applyFill="1" applyBorder="1" applyAlignment="1">
      <alignment vertical="center"/>
    </xf>
    <xf numFmtId="174" fontId="47" fillId="32" borderId="13" xfId="71" applyNumberFormat="1" applyFont="1" applyFill="1" applyBorder="1" applyAlignment="1">
      <alignment horizontal="right" vertical="center"/>
    </xf>
    <xf numFmtId="166" fontId="47" fillId="32" borderId="8" xfId="78" applyNumberFormat="1" applyFont="1" applyFill="1" applyBorder="1" applyAlignment="1">
      <alignment vertical="center"/>
    </xf>
    <xf numFmtId="0" fontId="47" fillId="32" borderId="8" xfId="71" applyFont="1" applyFill="1" applyBorder="1" applyAlignment="1">
      <alignment vertical="center"/>
    </xf>
    <xf numFmtId="0" fontId="0" fillId="0" borderId="0" xfId="0" applyAlignment="1">
      <alignment vertical="center"/>
    </xf>
    <xf numFmtId="0" fontId="29" fillId="0" borderId="0" xfId="63" applyFill="1" applyBorder="1" applyAlignment="1" applyProtection="1">
      <alignment vertical="center"/>
    </xf>
    <xf numFmtId="0" fontId="42" fillId="0" borderId="0" xfId="0" applyFont="1" applyFill="1" applyAlignment="1">
      <alignment vertical="center"/>
    </xf>
    <xf numFmtId="0" fontId="29" fillId="0" borderId="0" xfId="63" applyFill="1" applyBorder="1" applyAlignment="1" applyProtection="1">
      <alignment horizontal="left" vertical="center"/>
    </xf>
    <xf numFmtId="0" fontId="29" fillId="0" borderId="0" xfId="63" applyBorder="1" applyAlignment="1" applyProtection="1">
      <alignment horizontal="left" vertical="center"/>
    </xf>
    <xf numFmtId="0" fontId="29" fillId="0" borderId="20" xfId="63" applyBorder="1" applyAlignment="1" applyProtection="1">
      <alignment horizontal="left" vertical="center"/>
    </xf>
    <xf numFmtId="0" fontId="29" fillId="26" borderId="0" xfId="63" applyFill="1" applyBorder="1" applyAlignment="1" applyProtection="1">
      <alignment horizontal="left" vertical="center"/>
    </xf>
    <xf numFmtId="0" fontId="42" fillId="0" borderId="27" xfId="0" applyFont="1" applyBorder="1" applyAlignment="1">
      <alignment vertical="center"/>
    </xf>
    <xf numFmtId="0" fontId="42" fillId="0" borderId="15" xfId="0" applyFont="1" applyBorder="1" applyAlignment="1">
      <alignment vertical="center"/>
    </xf>
    <xf numFmtId="166" fontId="42" fillId="0" borderId="15" xfId="0" applyNumberFormat="1" applyFont="1" applyBorder="1" applyAlignment="1">
      <alignment vertical="center"/>
    </xf>
    <xf numFmtId="0" fontId="42" fillId="0" borderId="22" xfId="0" applyFont="1" applyBorder="1" applyAlignment="1">
      <alignment vertical="center"/>
    </xf>
    <xf numFmtId="0" fontId="48" fillId="33" borderId="8" xfId="69" applyNumberFormat="1" applyFont="1" applyFill="1" applyBorder="1" applyAlignment="1">
      <alignment horizontal="center" vertical="center"/>
    </xf>
    <xf numFmtId="174" fontId="47" fillId="33" borderId="8" xfId="69" applyNumberFormat="1" applyFont="1" applyFill="1" applyBorder="1" applyAlignment="1">
      <alignment horizontal="center" vertical="center"/>
    </xf>
    <xf numFmtId="0" fontId="47" fillId="33" borderId="8" xfId="69" applyFont="1" applyFill="1" applyBorder="1" applyAlignment="1">
      <alignment horizontal="center" vertical="center"/>
    </xf>
    <xf numFmtId="0" fontId="48" fillId="33" borderId="8" xfId="69" applyFont="1" applyFill="1" applyBorder="1" applyAlignment="1">
      <alignment horizontal="center" vertical="center"/>
    </xf>
    <xf numFmtId="0" fontId="48" fillId="32" borderId="8" xfId="69" applyNumberFormat="1" applyFont="1" applyFill="1" applyBorder="1" applyAlignment="1">
      <alignment horizontal="center" vertical="center"/>
    </xf>
    <xf numFmtId="174" fontId="47" fillId="32" borderId="8" xfId="69" applyNumberFormat="1" applyFont="1" applyFill="1" applyBorder="1" applyAlignment="1">
      <alignment horizontal="center" vertical="center"/>
    </xf>
    <xf numFmtId="0" fontId="47" fillId="32" borderId="8" xfId="69" applyFont="1" applyFill="1" applyBorder="1" applyAlignment="1">
      <alignment horizontal="center" vertical="center"/>
    </xf>
    <xf numFmtId="0" fontId="48" fillId="32" borderId="8" xfId="69" applyFont="1" applyFill="1" applyBorder="1" applyAlignment="1">
      <alignment horizontal="center" vertical="center"/>
    </xf>
    <xf numFmtId="0" fontId="56" fillId="0" borderId="8" xfId="0" applyFont="1" applyFill="1" applyBorder="1" applyAlignment="1">
      <alignment horizontal="left" vertical="center"/>
    </xf>
    <xf numFmtId="173" fontId="56" fillId="0" borderId="8" xfId="78" applyNumberFormat="1" applyFont="1" applyFill="1" applyBorder="1" applyAlignment="1">
      <alignment horizontal="right" vertical="center"/>
    </xf>
    <xf numFmtId="173" fontId="56" fillId="0" borderId="8" xfId="78" applyNumberFormat="1" applyFont="1" applyFill="1" applyBorder="1" applyAlignment="1">
      <alignment vertical="center"/>
    </xf>
    <xf numFmtId="173" fontId="56" fillId="0" borderId="8" xfId="69" applyNumberFormat="1" applyFont="1" applyFill="1" applyBorder="1" applyAlignment="1">
      <alignment vertical="center"/>
    </xf>
    <xf numFmtId="0" fontId="37" fillId="31" borderId="8" xfId="69" applyFont="1" applyFill="1" applyBorder="1" applyAlignment="1">
      <alignment vertical="center"/>
    </xf>
    <xf numFmtId="187" fontId="37" fillId="31" borderId="8" xfId="75" applyNumberFormat="1" applyFont="1" applyFill="1" applyBorder="1" applyAlignment="1">
      <alignment horizontal="right" vertical="center"/>
    </xf>
    <xf numFmtId="0" fontId="47" fillId="33" borderId="8" xfId="69" applyFont="1" applyFill="1" applyBorder="1" applyAlignment="1">
      <alignment horizontal="left" vertical="center"/>
    </xf>
    <xf numFmtId="0" fontId="47" fillId="32" borderId="8" xfId="69" applyFont="1" applyFill="1" applyBorder="1" applyAlignment="1">
      <alignment horizontal="left" vertical="center"/>
    </xf>
    <xf numFmtId="0" fontId="39" fillId="26" borderId="22" xfId="69" applyFont="1" applyFill="1" applyBorder="1"/>
    <xf numFmtId="0" fontId="36" fillId="0" borderId="22" xfId="69" applyFont="1" applyFill="1" applyBorder="1"/>
    <xf numFmtId="0" fontId="47" fillId="33" borderId="8" xfId="69" applyFont="1" applyFill="1" applyBorder="1" applyAlignment="1">
      <alignment vertical="center"/>
    </xf>
    <xf numFmtId="166" fontId="47" fillId="33" borderId="8" xfId="69" applyNumberFormat="1" applyFont="1" applyFill="1" applyBorder="1" applyAlignment="1">
      <alignment horizontal="right" vertical="center"/>
    </xf>
    <xf numFmtId="174" fontId="47" fillId="33" borderId="8" xfId="75" applyNumberFormat="1" applyFont="1" applyFill="1" applyBorder="1" applyAlignment="1">
      <alignment horizontal="right" vertical="center"/>
    </xf>
    <xf numFmtId="166" fontId="47" fillId="33" borderId="8" xfId="69" applyNumberFormat="1" applyFont="1" applyFill="1" applyBorder="1" applyAlignment="1">
      <alignment vertical="center"/>
    </xf>
    <xf numFmtId="174" fontId="47" fillId="33" borderId="8" xfId="75" applyNumberFormat="1" applyFont="1" applyFill="1" applyBorder="1" applyAlignment="1">
      <alignment vertical="center"/>
    </xf>
    <xf numFmtId="174" fontId="47" fillId="33" borderId="8" xfId="69" applyNumberFormat="1" applyFont="1" applyFill="1" applyBorder="1" applyAlignment="1">
      <alignment horizontal="right" vertical="center"/>
    </xf>
    <xf numFmtId="166" fontId="52" fillId="33" borderId="8" xfId="69" applyNumberFormat="1" applyFont="1" applyFill="1" applyBorder="1" applyAlignment="1">
      <alignment horizontal="right" vertical="center"/>
    </xf>
    <xf numFmtId="185" fontId="47" fillId="33" borderId="8" xfId="78" applyNumberFormat="1" applyFont="1" applyFill="1" applyBorder="1" applyAlignment="1">
      <alignment horizontal="right" vertical="center"/>
    </xf>
    <xf numFmtId="166" fontId="50" fillId="28" borderId="8" xfId="69" applyNumberFormat="1" applyFont="1" applyFill="1" applyBorder="1" applyAlignment="1">
      <alignment horizontal="right" vertical="center"/>
    </xf>
    <xf numFmtId="166" fontId="50" fillId="32" borderId="8" xfId="69" applyNumberFormat="1" applyFont="1" applyFill="1" applyBorder="1" applyAlignment="1">
      <alignment horizontal="right" vertical="center"/>
    </xf>
    <xf numFmtId="0" fontId="56" fillId="0" borderId="14" xfId="69" applyFont="1" applyFill="1" applyBorder="1" applyAlignment="1">
      <alignment vertical="center"/>
    </xf>
    <xf numFmtId="0" fontId="56" fillId="0" borderId="21" xfId="69" applyFont="1" applyFill="1" applyBorder="1" applyAlignment="1">
      <alignment vertical="center"/>
    </xf>
    <xf numFmtId="0" fontId="29" fillId="0" borderId="0" xfId="63" applyBorder="1" applyAlignment="1" applyProtection="1">
      <alignment vertical="center"/>
    </xf>
    <xf numFmtId="0" fontId="29" fillId="26" borderId="0" xfId="63" applyFill="1" applyBorder="1" applyAlignment="1" applyProtection="1">
      <alignment vertical="center"/>
    </xf>
    <xf numFmtId="174" fontId="42" fillId="0" borderId="15" xfId="75" applyNumberFormat="1" applyFont="1" applyBorder="1" applyAlignment="1">
      <alignment vertical="center"/>
    </xf>
    <xf numFmtId="193" fontId="41" fillId="0" borderId="8" xfId="78" applyNumberFormat="1" applyFont="1" applyFill="1" applyBorder="1" applyAlignment="1">
      <alignment horizontal="right" vertical="center"/>
    </xf>
    <xf numFmtId="9" fontId="39" fillId="0" borderId="0" xfId="75" applyFont="1" applyFill="1"/>
    <xf numFmtId="0" fontId="39" fillId="26" borderId="0" xfId="69" quotePrefix="1" applyFont="1" applyFill="1"/>
    <xf numFmtId="0" fontId="39" fillId="26" borderId="0" xfId="69" applyFont="1" applyFill="1" applyAlignment="1">
      <alignment horizontal="left"/>
    </xf>
    <xf numFmtId="174" fontId="39" fillId="0" borderId="0" xfId="75" applyNumberFormat="1" applyFont="1" applyFill="1"/>
    <xf numFmtId="166" fontId="39" fillId="0" borderId="0" xfId="71" applyNumberFormat="1" applyFont="1"/>
    <xf numFmtId="192" fontId="39" fillId="0" borderId="0" xfId="69" applyNumberFormat="1" applyFont="1" applyFill="1"/>
    <xf numFmtId="0" fontId="39" fillId="0" borderId="0" xfId="71" applyFont="1" applyFill="1" applyAlignment="1"/>
    <xf numFmtId="0" fontId="73" fillId="0" borderId="0" xfId="0" applyFont="1" applyFill="1" applyBorder="1" applyAlignment="1">
      <alignment vertical="center"/>
    </xf>
    <xf numFmtId="0" fontId="67" fillId="0" borderId="29" xfId="0" applyFont="1" applyFill="1" applyBorder="1"/>
    <xf numFmtId="0" fontId="67" fillId="0" borderId="30" xfId="0" applyFont="1" applyFill="1" applyBorder="1"/>
    <xf numFmtId="0" fontId="67" fillId="0" borderId="32" xfId="0" applyFont="1" applyFill="1" applyBorder="1"/>
    <xf numFmtId="0" fontId="68" fillId="0" borderId="31" xfId="0" applyFont="1" applyFill="1" applyBorder="1" applyAlignment="1">
      <alignment horizontal="left"/>
    </xf>
    <xf numFmtId="0" fontId="69" fillId="0" borderId="32" xfId="0" applyFont="1" applyFill="1" applyBorder="1"/>
    <xf numFmtId="0" fontId="69" fillId="0" borderId="31" xfId="0" applyFont="1" applyFill="1" applyBorder="1"/>
    <xf numFmtId="0" fontId="69" fillId="0" borderId="33" xfId="0" applyFont="1" applyFill="1" applyBorder="1"/>
    <xf numFmtId="0" fontId="69" fillId="0" borderId="34" xfId="0" applyFont="1" applyFill="1" applyBorder="1"/>
    <xf numFmtId="0" fontId="69" fillId="0" borderId="35" xfId="0" applyFont="1" applyFill="1" applyBorder="1"/>
    <xf numFmtId="0" fontId="36" fillId="0" borderId="8" xfId="69" applyFont="1" applyFill="1" applyBorder="1" applyAlignment="1">
      <alignment horizontal="center" vertical="center" wrapText="1"/>
    </xf>
    <xf numFmtId="0" fontId="75" fillId="0" borderId="0" xfId="0" applyFont="1" applyFill="1" applyBorder="1" applyAlignment="1">
      <alignment vertical="center"/>
    </xf>
    <xf numFmtId="0" fontId="76" fillId="0" borderId="0" xfId="0" applyFont="1" applyFill="1" applyBorder="1"/>
    <xf numFmtId="0" fontId="78" fillId="0" borderId="0" xfId="0" applyFont="1" applyFill="1" applyBorder="1"/>
    <xf numFmtId="0" fontId="80" fillId="0" borderId="31" xfId="63" applyFont="1" applyFill="1" applyBorder="1" applyAlignment="1" applyProtection="1">
      <alignment horizontal="left"/>
    </xf>
    <xf numFmtId="0" fontId="80" fillId="0" borderId="0" xfId="63" applyFont="1" applyFill="1" applyBorder="1" applyAlignment="1" applyProtection="1">
      <alignment horizontal="left"/>
    </xf>
    <xf numFmtId="0" fontId="77" fillId="0" borderId="31" xfId="63" applyFont="1" applyBorder="1" applyAlignment="1" applyProtection="1"/>
    <xf numFmtId="0" fontId="81" fillId="0" borderId="0" xfId="0" applyFont="1" applyBorder="1"/>
    <xf numFmtId="0" fontId="81" fillId="0" borderId="0" xfId="0" applyFont="1"/>
    <xf numFmtId="0" fontId="77" fillId="0" borderId="0" xfId="63" applyFont="1" applyFill="1" applyBorder="1" applyAlignment="1" applyProtection="1">
      <alignment horizontal="left"/>
    </xf>
    <xf numFmtId="0" fontId="77" fillId="0" borderId="31" xfId="63" applyFont="1" applyFill="1" applyBorder="1" applyAlignment="1" applyProtection="1">
      <alignment horizontal="left"/>
    </xf>
    <xf numFmtId="0" fontId="77" fillId="0" borderId="0" xfId="63" applyFont="1" applyBorder="1" applyAlignment="1" applyProtection="1"/>
    <xf numFmtId="0" fontId="78" fillId="0" borderId="31" xfId="0" applyFont="1" applyFill="1" applyBorder="1"/>
    <xf numFmtId="185" fontId="41" fillId="0" borderId="8" xfId="78" applyNumberFormat="1" applyFont="1" applyFill="1" applyBorder="1" applyAlignment="1">
      <alignment horizontal="right" vertical="center"/>
    </xf>
    <xf numFmtId="15" fontId="85" fillId="31" borderId="8" xfId="0" applyNumberFormat="1" applyFont="1" applyFill="1" applyBorder="1" applyAlignment="1">
      <alignment horizontal="left" vertical="center" indent="1"/>
    </xf>
    <xf numFmtId="192" fontId="36" fillId="26" borderId="0" xfId="69" applyNumberFormat="1" applyFont="1" applyFill="1"/>
    <xf numFmtId="195" fontId="44" fillId="28" borderId="13" xfId="69" quotePrefix="1" applyNumberFormat="1" applyFont="1" applyFill="1" applyBorder="1" applyAlignment="1">
      <alignment horizontal="center" vertical="center"/>
    </xf>
    <xf numFmtId="174" fontId="39" fillId="26" borderId="16" xfId="70" applyNumberFormat="1" applyFont="1" applyFill="1" applyBorder="1" applyAlignment="1">
      <alignment horizontal="right" vertical="center"/>
    </xf>
    <xf numFmtId="15" fontId="36" fillId="0" borderId="8" xfId="0" applyNumberFormat="1" applyFont="1" applyFill="1" applyBorder="1" applyAlignment="1">
      <alignment horizontal="center" vertical="center" wrapText="1"/>
    </xf>
    <xf numFmtId="174" fontId="47" fillId="28" borderId="13" xfId="69" applyNumberFormat="1" applyFont="1" applyFill="1" applyBorder="1" applyAlignment="1">
      <alignment horizontal="right" vertical="center"/>
    </xf>
    <xf numFmtId="178" fontId="36" fillId="26" borderId="8" xfId="0" applyNumberFormat="1" applyFont="1" applyFill="1" applyBorder="1" applyAlignment="1">
      <alignment horizontal="center" vertical="center"/>
    </xf>
    <xf numFmtId="9" fontId="39" fillId="0" borderId="0" xfId="75" applyFont="1" applyFill="1"/>
    <xf numFmtId="174" fontId="39" fillId="0" borderId="0" xfId="75" applyNumberFormat="1" applyFont="1" applyFill="1"/>
    <xf numFmtId="0" fontId="36" fillId="26" borderId="0" xfId="112" applyFont="1" applyFill="1"/>
    <xf numFmtId="0" fontId="36" fillId="26" borderId="0" xfId="112" applyFont="1" applyFill="1" applyAlignment="1">
      <alignment horizontal="center"/>
    </xf>
    <xf numFmtId="0" fontId="36" fillId="26" borderId="0" xfId="112" applyFont="1" applyFill="1" applyAlignment="1">
      <alignment wrapText="1"/>
    </xf>
    <xf numFmtId="0" fontId="83" fillId="26" borderId="0" xfId="112" applyFont="1" applyFill="1" applyAlignment="1">
      <alignment vertical="center"/>
    </xf>
    <xf numFmtId="0" fontId="38" fillId="26" borderId="0" xfId="112" applyFont="1" applyFill="1" applyAlignment="1">
      <alignment horizontal="center" vertical="center"/>
    </xf>
    <xf numFmtId="0" fontId="38" fillId="26" borderId="0" xfId="112" applyFont="1" applyFill="1" applyAlignment="1">
      <alignment vertical="center"/>
    </xf>
    <xf numFmtId="0" fontId="36" fillId="26" borderId="0" xfId="112" applyFont="1" applyFill="1" applyAlignment="1">
      <alignment horizontal="center" vertical="center"/>
    </xf>
    <xf numFmtId="0" fontId="82" fillId="26" borderId="0" xfId="112" applyFont="1" applyFill="1" applyAlignment="1">
      <alignment horizontal="center" vertical="center"/>
    </xf>
    <xf numFmtId="0" fontId="38" fillId="29" borderId="0" xfId="112" applyFont="1" applyFill="1" applyAlignment="1">
      <alignment vertical="center"/>
    </xf>
    <xf numFmtId="0" fontId="36" fillId="29" borderId="0" xfId="112" applyFont="1" applyFill="1" applyAlignment="1">
      <alignment horizontal="center" vertical="center"/>
    </xf>
    <xf numFmtId="0" fontId="82" fillId="29" borderId="0" xfId="112" applyFont="1" applyFill="1" applyAlignment="1">
      <alignment horizontal="center" vertical="center"/>
    </xf>
    <xf numFmtId="0" fontId="84" fillId="26" borderId="0" xfId="112" applyFont="1" applyFill="1" applyAlignment="1">
      <alignment horizontal="right"/>
    </xf>
    <xf numFmtId="168" fontId="84" fillId="26" borderId="0" xfId="112" applyNumberFormat="1" applyFont="1" applyFill="1"/>
    <xf numFmtId="0" fontId="36" fillId="0" borderId="0" xfId="112" applyFont="1" applyAlignment="1">
      <alignment horizontal="right" vertical="center"/>
    </xf>
    <xf numFmtId="0" fontId="36" fillId="0" borderId="0" xfId="112" applyFont="1"/>
    <xf numFmtId="0" fontId="44" fillId="28" borderId="0" xfId="112" applyFont="1" applyFill="1" applyBorder="1" applyAlignment="1">
      <alignment horizontal="center" vertical="center" wrapText="1"/>
    </xf>
    <xf numFmtId="0" fontId="44" fillId="28" borderId="0" xfId="112" applyFont="1" applyFill="1" applyBorder="1" applyAlignment="1">
      <alignment horizontal="center" vertical="center"/>
    </xf>
    <xf numFmtId="0" fontId="57" fillId="29" borderId="24" xfId="112" applyFont="1" applyFill="1" applyBorder="1" applyAlignment="1">
      <alignment horizontal="center" vertical="center"/>
    </xf>
    <xf numFmtId="0" fontId="44" fillId="30" borderId="0" xfId="112" applyFont="1" applyFill="1" applyBorder="1" applyAlignment="1">
      <alignment horizontal="center" vertical="center"/>
    </xf>
    <xf numFmtId="0" fontId="36" fillId="0" borderId="0" xfId="112" applyFont="1" applyFill="1"/>
    <xf numFmtId="0" fontId="38" fillId="29" borderId="38" xfId="112" applyFont="1" applyFill="1" applyBorder="1" applyAlignment="1">
      <alignment horizontal="center" vertical="center"/>
    </xf>
    <xf numFmtId="173" fontId="39" fillId="0" borderId="0" xfId="78" applyNumberFormat="1" applyFont="1" applyFill="1" applyBorder="1" applyAlignment="1">
      <alignment horizontal="center"/>
    </xf>
    <xf numFmtId="166" fontId="36" fillId="0" borderId="0" xfId="70" applyNumberFormat="1" applyFont="1"/>
    <xf numFmtId="174" fontId="88" fillId="0" borderId="0" xfId="75" applyNumberFormat="1" applyFont="1"/>
    <xf numFmtId="174" fontId="36" fillId="26" borderId="0" xfId="75" applyNumberFormat="1" applyFont="1" applyFill="1"/>
    <xf numFmtId="0" fontId="82" fillId="26" borderId="0" xfId="70" applyFont="1" applyFill="1"/>
    <xf numFmtId="0" fontId="82" fillId="0" borderId="0" xfId="70" applyFont="1"/>
    <xf numFmtId="166" fontId="82" fillId="0" borderId="0" xfId="70" applyNumberFormat="1" applyFont="1"/>
    <xf numFmtId="0" fontId="36" fillId="34" borderId="8" xfId="0" applyFont="1" applyFill="1" applyBorder="1" applyAlignment="1">
      <alignment horizontal="left" vertical="center" indent="1"/>
    </xf>
    <xf numFmtId="14" fontId="36" fillId="34" borderId="8" xfId="0" applyNumberFormat="1" applyFont="1" applyFill="1" applyBorder="1" applyAlignment="1">
      <alignment horizontal="center" vertical="center"/>
    </xf>
    <xf numFmtId="15" fontId="36" fillId="34" borderId="8" xfId="0" applyNumberFormat="1" applyFont="1" applyFill="1" applyBorder="1" applyAlignment="1">
      <alignment horizontal="left" vertical="center" indent="1"/>
    </xf>
    <xf numFmtId="0" fontId="36" fillId="34" borderId="8" xfId="112" applyFont="1" applyFill="1" applyBorder="1" applyAlignment="1">
      <alignment horizontal="center" vertical="center"/>
    </xf>
    <xf numFmtId="178" fontId="36" fillId="34" borderId="8" xfId="0" applyNumberFormat="1" applyFont="1" applyFill="1" applyBorder="1" applyAlignment="1">
      <alignment horizontal="left" vertical="center" indent="1"/>
    </xf>
    <xf numFmtId="182" fontId="36" fillId="34" borderId="8" xfId="0" applyNumberFormat="1" applyFont="1" applyFill="1" applyBorder="1" applyAlignment="1">
      <alignment horizontal="left" vertical="center" indent="1"/>
    </xf>
    <xf numFmtId="176" fontId="36" fillId="34" borderId="8" xfId="78" applyNumberFormat="1" applyFont="1" applyFill="1" applyBorder="1" applyAlignment="1">
      <alignment horizontal="right" vertical="center" indent="1"/>
    </xf>
    <xf numFmtId="166" fontId="39" fillId="31" borderId="8" xfId="69" applyNumberFormat="1" applyFont="1" applyFill="1" applyBorder="1" applyAlignment="1">
      <alignment vertical="center"/>
    </xf>
    <xf numFmtId="0" fontId="39" fillId="0" borderId="8" xfId="69" applyFont="1" applyFill="1" applyBorder="1" applyAlignment="1">
      <alignment horizontal="left" vertical="center" indent="3"/>
    </xf>
    <xf numFmtId="168" fontId="39" fillId="26" borderId="13" xfId="78" applyFont="1" applyFill="1" applyBorder="1" applyAlignment="1">
      <alignment horizontal="right" vertical="center"/>
    </xf>
    <xf numFmtId="166" fontId="39" fillId="29" borderId="8" xfId="69" applyNumberFormat="1" applyFont="1" applyFill="1" applyBorder="1" applyAlignment="1">
      <alignment vertical="center"/>
    </xf>
    <xf numFmtId="166" fontId="37" fillId="29" borderId="8" xfId="69" applyNumberFormat="1" applyFont="1" applyFill="1" applyBorder="1" applyAlignment="1">
      <alignment horizontal="right" vertical="center"/>
    </xf>
    <xf numFmtId="174" fontId="37" fillId="29" borderId="8" xfId="69" applyNumberFormat="1" applyFont="1" applyFill="1" applyBorder="1" applyAlignment="1">
      <alignment vertical="center"/>
    </xf>
    <xf numFmtId="174" fontId="37" fillId="29" borderId="13" xfId="69" applyNumberFormat="1" applyFont="1" applyFill="1" applyBorder="1" applyAlignment="1">
      <alignment horizontal="right" vertical="center"/>
    </xf>
    <xf numFmtId="174" fontId="37" fillId="29" borderId="8" xfId="69" applyNumberFormat="1" applyFont="1" applyFill="1" applyBorder="1" applyAlignment="1">
      <alignment horizontal="right" vertical="center"/>
    </xf>
    <xf numFmtId="166" fontId="37" fillId="29" borderId="8" xfId="69" applyNumberFormat="1" applyFont="1" applyFill="1" applyBorder="1" applyAlignment="1">
      <alignment vertical="center"/>
    </xf>
    <xf numFmtId="174" fontId="39" fillId="29" borderId="8" xfId="69" applyNumberFormat="1" applyFont="1" applyFill="1" applyBorder="1" applyAlignment="1">
      <alignment vertical="center"/>
    </xf>
    <xf numFmtId="174" fontId="39" fillId="29" borderId="13" xfId="69" applyNumberFormat="1" applyFont="1" applyFill="1" applyBorder="1" applyAlignment="1">
      <alignment horizontal="right" vertical="center"/>
    </xf>
    <xf numFmtId="185" fontId="42" fillId="0" borderId="0" xfId="0" applyNumberFormat="1" applyFont="1" applyAlignment="1">
      <alignment vertical="center"/>
    </xf>
    <xf numFmtId="14" fontId="36" fillId="29" borderId="8" xfId="0" applyNumberFormat="1" applyFont="1" applyFill="1" applyBorder="1" applyAlignment="1">
      <alignment horizontal="center" vertical="center"/>
    </xf>
    <xf numFmtId="0" fontId="36" fillId="29" borderId="8" xfId="112" applyFont="1" applyFill="1" applyBorder="1" applyAlignment="1">
      <alignment horizontal="center" vertical="center"/>
    </xf>
    <xf numFmtId="178" fontId="36" fillId="29" borderId="8" xfId="0" applyNumberFormat="1" applyFont="1" applyFill="1" applyBorder="1" applyAlignment="1">
      <alignment horizontal="left" vertical="center" indent="1"/>
    </xf>
    <xf numFmtId="182" fontId="36" fillId="29" borderId="8" xfId="0" applyNumberFormat="1" applyFont="1" applyFill="1" applyBorder="1" applyAlignment="1">
      <alignment horizontal="left" vertical="center" indent="1"/>
    </xf>
    <xf numFmtId="176" fontId="36" fillId="29" borderId="8" xfId="78" applyNumberFormat="1" applyFont="1" applyFill="1" applyBorder="1" applyAlignment="1">
      <alignment horizontal="right" vertical="center" indent="1"/>
    </xf>
    <xf numFmtId="168" fontId="36" fillId="26" borderId="0" xfId="78" applyFont="1" applyFill="1"/>
    <xf numFmtId="196" fontId="41" fillId="26" borderId="8" xfId="78" applyNumberFormat="1" applyFont="1" applyFill="1" applyBorder="1" applyAlignment="1">
      <alignment horizontal="right" vertical="center"/>
    </xf>
    <xf numFmtId="166" fontId="47" fillId="0" borderId="0" xfId="78" applyNumberFormat="1" applyFont="1" applyFill="1" applyBorder="1" applyAlignment="1">
      <alignment vertical="center"/>
    </xf>
    <xf numFmtId="166" fontId="39" fillId="0" borderId="0" xfId="71" applyNumberFormat="1" applyFont="1" applyFill="1" applyBorder="1"/>
    <xf numFmtId="10" fontId="44" fillId="28" borderId="13" xfId="112" applyNumberFormat="1" applyFont="1" applyFill="1" applyBorder="1" applyAlignment="1">
      <alignment horizontal="center" vertical="center"/>
    </xf>
    <xf numFmtId="174" fontId="44" fillId="28" borderId="13" xfId="112" applyNumberFormat="1" applyFont="1" applyFill="1" applyBorder="1" applyAlignment="1">
      <alignment horizontal="center" vertical="center"/>
    </xf>
    <xf numFmtId="195" fontId="44" fillId="28" borderId="13" xfId="112" quotePrefix="1" applyNumberFormat="1" applyFont="1" applyFill="1" applyBorder="1" applyAlignment="1">
      <alignment horizontal="center" vertical="center"/>
    </xf>
    <xf numFmtId="15" fontId="44" fillId="28" borderId="13" xfId="112" applyNumberFormat="1" applyFont="1" applyFill="1" applyBorder="1" applyAlignment="1">
      <alignment horizontal="center" vertical="center"/>
    </xf>
    <xf numFmtId="0" fontId="44" fillId="28" borderId="13" xfId="112" applyFont="1" applyFill="1" applyBorder="1" applyAlignment="1">
      <alignment vertical="center"/>
    </xf>
    <xf numFmtId="266" fontId="91" fillId="0" borderId="0" xfId="0" applyNumberFormat="1" applyFont="1"/>
    <xf numFmtId="267" fontId="36" fillId="26" borderId="0" xfId="78" applyNumberFormat="1" applyFont="1" applyFill="1"/>
    <xf numFmtId="0" fontId="38" fillId="26" borderId="38" xfId="112" applyFont="1" applyFill="1" applyBorder="1" applyAlignment="1">
      <alignment vertical="center"/>
    </xf>
    <xf numFmtId="0" fontId="38" fillId="26" borderId="38" xfId="112" applyFont="1" applyFill="1" applyBorder="1" applyAlignment="1">
      <alignment horizontal="center" vertical="center"/>
    </xf>
    <xf numFmtId="0" fontId="38" fillId="26" borderId="63" xfId="112" applyFont="1" applyFill="1" applyBorder="1" applyAlignment="1">
      <alignment vertical="center"/>
    </xf>
    <xf numFmtId="0" fontId="38" fillId="26" borderId="63" xfId="112" applyFont="1" applyFill="1" applyBorder="1" applyAlignment="1">
      <alignment horizontal="center" vertical="center"/>
    </xf>
    <xf numFmtId="0" fontId="36" fillId="34" borderId="62" xfId="0" applyFont="1" applyFill="1" applyBorder="1" applyAlignment="1">
      <alignment horizontal="left" vertical="center" indent="1"/>
    </xf>
    <xf numFmtId="0" fontId="29" fillId="0" borderId="0" xfId="63" applyAlignment="1" applyProtection="1"/>
    <xf numFmtId="185" fontId="37" fillId="31" borderId="8" xfId="69" applyNumberFormat="1" applyFont="1" applyFill="1" applyBorder="1" applyAlignment="1">
      <alignment vertical="center"/>
    </xf>
    <xf numFmtId="0" fontId="36" fillId="0" borderId="8" xfId="0" applyFont="1" applyBorder="1" applyAlignment="1">
      <alignment vertical="center"/>
    </xf>
    <xf numFmtId="15" fontId="36" fillId="0" borderId="8" xfId="0" applyNumberFormat="1" applyFont="1" applyBorder="1" applyAlignment="1">
      <alignment horizontal="center" vertical="center"/>
    </xf>
    <xf numFmtId="0" fontId="38" fillId="26" borderId="8" xfId="112" applyFont="1" applyFill="1" applyBorder="1" applyAlignment="1">
      <alignment horizontal="center" vertical="center"/>
    </xf>
    <xf numFmtId="0" fontId="72" fillId="30" borderId="0" xfId="112" applyFont="1" applyFill="1" applyAlignment="1">
      <alignment horizontal="center" vertical="center" wrapText="1"/>
    </xf>
    <xf numFmtId="0" fontId="58" fillId="30" borderId="0" xfId="112" applyFont="1" applyFill="1" applyAlignment="1">
      <alignment horizontal="center" vertical="center" wrapText="1"/>
    </xf>
    <xf numFmtId="0" fontId="36" fillId="0" borderId="62" xfId="0" applyFont="1" applyBorder="1" applyAlignment="1">
      <alignment horizontal="left" vertical="center" indent="1"/>
    </xf>
    <xf numFmtId="14" fontId="36" fillId="0" borderId="62" xfId="0" applyNumberFormat="1" applyFont="1" applyBorder="1" applyAlignment="1">
      <alignment horizontal="center" vertical="center"/>
    </xf>
    <xf numFmtId="15" fontId="202" fillId="0" borderId="62" xfId="0" applyNumberFormat="1" applyFont="1" applyBorder="1" applyAlignment="1">
      <alignment horizontal="left" vertical="center" indent="1"/>
    </xf>
    <xf numFmtId="0" fontId="36" fillId="0" borderId="8" xfId="112" applyFont="1" applyBorder="1" applyAlignment="1">
      <alignment horizontal="center" vertical="center"/>
    </xf>
    <xf numFmtId="178" fontId="36" fillId="0" borderId="8" xfId="0" applyNumberFormat="1" applyFont="1" applyBorder="1" applyAlignment="1">
      <alignment horizontal="left" vertical="center" indent="1"/>
    </xf>
    <xf numFmtId="182" fontId="36" fillId="0" borderId="8" xfId="0" applyNumberFormat="1" applyFont="1" applyBorder="1" applyAlignment="1">
      <alignment horizontal="left" vertical="center" indent="1"/>
    </xf>
    <xf numFmtId="176" fontId="36" fillId="0" borderId="62" xfId="78" applyNumberFormat="1" applyFont="1" applyBorder="1" applyAlignment="1">
      <alignment horizontal="right" vertical="center" indent="1"/>
    </xf>
    <xf numFmtId="0" fontId="65" fillId="0" borderId="62" xfId="78" applyNumberFormat="1" applyFont="1" applyBorder="1" applyAlignment="1">
      <alignment horizontal="center" vertical="center"/>
    </xf>
    <xf numFmtId="0" fontId="38" fillId="0" borderId="62" xfId="0" applyFont="1" applyBorder="1" applyAlignment="1">
      <alignment horizontal="center" vertical="center"/>
    </xf>
    <xf numFmtId="0" fontId="36" fillId="0" borderId="62" xfId="78" applyNumberFormat="1" applyFont="1" applyBorder="1" applyAlignment="1">
      <alignment horizontal="center" vertical="center"/>
    </xf>
    <xf numFmtId="0" fontId="36" fillId="0" borderId="62" xfId="0" applyFont="1" applyBorder="1" applyAlignment="1">
      <alignment horizontal="center" vertical="center"/>
    </xf>
    <xf numFmtId="15" fontId="36" fillId="0" borderId="62" xfId="0" applyNumberFormat="1" applyFont="1" applyBorder="1" applyAlignment="1">
      <alignment horizontal="left" vertical="center" indent="1"/>
    </xf>
    <xf numFmtId="15" fontId="36" fillId="0" borderId="8" xfId="0" applyNumberFormat="1" applyFont="1" applyBorder="1" applyAlignment="1">
      <alignment horizontal="left" vertical="center" indent="1"/>
    </xf>
    <xf numFmtId="0" fontId="89" fillId="0" borderId="62" xfId="0" applyFont="1" applyBorder="1" applyAlignment="1">
      <alignment horizontal="left" vertical="center" indent="1"/>
    </xf>
    <xf numFmtId="0" fontId="201" fillId="0" borderId="62" xfId="0" applyFont="1" applyBorder="1" applyAlignment="1">
      <alignment horizontal="center" vertical="center"/>
    </xf>
    <xf numFmtId="0" fontId="38" fillId="0" borderId="62" xfId="78" applyNumberFormat="1" applyFont="1" applyBorder="1" applyAlignment="1">
      <alignment horizontal="center" vertical="center"/>
    </xf>
    <xf numFmtId="182" fontId="36" fillId="0" borderId="62" xfId="0" applyNumberFormat="1" applyFont="1" applyBorder="1" applyAlignment="1">
      <alignment horizontal="left" vertical="center" indent="1"/>
    </xf>
    <xf numFmtId="0" fontId="57" fillId="0" borderId="62" xfId="78" applyNumberFormat="1" applyFont="1" applyBorder="1" applyAlignment="1">
      <alignment horizontal="center" vertical="center"/>
    </xf>
    <xf numFmtId="0" fontId="36" fillId="0" borderId="62" xfId="112" applyFont="1" applyBorder="1" applyAlignment="1">
      <alignment horizontal="center" vertical="center"/>
    </xf>
    <xf numFmtId="178" fontId="36" fillId="0" borderId="62" xfId="0" applyNumberFormat="1" applyFont="1" applyBorder="1" applyAlignment="1">
      <alignment horizontal="left" vertical="center" indent="1"/>
    </xf>
    <xf numFmtId="0" fontId="36" fillId="0" borderId="64" xfId="0" applyFont="1" applyBorder="1" applyAlignment="1">
      <alignment horizontal="left" vertical="center" indent="1"/>
    </xf>
    <xf numFmtId="14" fontId="36" fillId="0" borderId="64" xfId="0" applyNumberFormat="1" applyFont="1" applyBorder="1" applyAlignment="1">
      <alignment horizontal="center" vertical="center"/>
    </xf>
    <xf numFmtId="15" fontId="36" fillId="0" borderId="64" xfId="0" applyNumberFormat="1" applyFont="1" applyBorder="1" applyAlignment="1">
      <alignment horizontal="left" vertical="center" indent="1"/>
    </xf>
    <xf numFmtId="0" fontId="36" fillId="0" borderId="64" xfId="112" applyFont="1" applyBorder="1" applyAlignment="1">
      <alignment horizontal="center" vertical="center"/>
    </xf>
    <xf numFmtId="178" fontId="36" fillId="0" borderId="64" xfId="0" applyNumberFormat="1" applyFont="1" applyBorder="1" applyAlignment="1">
      <alignment horizontal="left" vertical="center" indent="1"/>
    </xf>
    <xf numFmtId="182" fontId="36" fillId="0" borderId="64" xfId="0" applyNumberFormat="1" applyFont="1" applyBorder="1" applyAlignment="1">
      <alignment horizontal="left" vertical="center" indent="1"/>
    </xf>
    <xf numFmtId="176" fontId="36" fillId="0" borderId="64" xfId="78" applyNumberFormat="1" applyFont="1" applyBorder="1" applyAlignment="1">
      <alignment horizontal="right" vertical="center" indent="1"/>
    </xf>
    <xf numFmtId="0" fontId="36" fillId="0" borderId="64" xfId="0" applyFont="1" applyBorder="1" applyAlignment="1">
      <alignment horizontal="center" vertical="center"/>
    </xf>
    <xf numFmtId="0" fontId="36" fillId="0" borderId="8" xfId="0" applyFont="1" applyBorder="1" applyAlignment="1">
      <alignment horizontal="left" vertical="center" indent="1"/>
    </xf>
    <xf numFmtId="14" fontId="36" fillId="0" borderId="8" xfId="0" applyNumberFormat="1" applyFont="1" applyBorder="1" applyAlignment="1">
      <alignment horizontal="center" vertical="center"/>
    </xf>
    <xf numFmtId="176" fontId="36" fillId="0" borderId="8" xfId="78" applyNumberFormat="1" applyFont="1" applyBorder="1" applyAlignment="1">
      <alignment horizontal="right" vertical="center" indent="1"/>
    </xf>
    <xf numFmtId="0" fontId="36" fillId="0" borderId="8" xfId="0" applyFont="1" applyBorder="1" applyAlignment="1">
      <alignment horizontal="center" vertical="center"/>
    </xf>
    <xf numFmtId="0" fontId="36" fillId="0" borderId="8" xfId="78" applyNumberFormat="1" applyFont="1" applyBorder="1" applyAlignment="1">
      <alignment horizontal="center" vertical="center"/>
    </xf>
    <xf numFmtId="15" fontId="85" fillId="0" borderId="8" xfId="0" applyNumberFormat="1" applyFont="1" applyBorder="1" applyAlignment="1">
      <alignment horizontal="left" vertical="center" indent="1"/>
    </xf>
    <xf numFmtId="0" fontId="89" fillId="0" borderId="8" xfId="0" applyFont="1" applyBorder="1" applyAlignment="1">
      <alignment horizontal="left" vertical="center" indent="1"/>
    </xf>
    <xf numFmtId="0" fontId="36" fillId="29" borderId="8" xfId="0" applyFont="1" applyFill="1" applyBorder="1" applyAlignment="1">
      <alignment horizontal="center" vertical="center"/>
    </xf>
    <xf numFmtId="0" fontId="36" fillId="34" borderId="8" xfId="0" applyFont="1" applyFill="1" applyBorder="1" applyAlignment="1">
      <alignment horizontal="center" vertical="center"/>
    </xf>
    <xf numFmtId="0" fontId="36" fillId="26" borderId="61" xfId="112" applyFont="1" applyFill="1" applyBorder="1"/>
    <xf numFmtId="0" fontId="36" fillId="26" borderId="61" xfId="112" applyFont="1" applyFill="1" applyBorder="1" applyAlignment="1">
      <alignment horizontal="center"/>
    </xf>
    <xf numFmtId="0" fontId="38" fillId="26" borderId="65" xfId="112" applyFont="1" applyFill="1" applyBorder="1" applyAlignment="1">
      <alignment vertical="center"/>
    </xf>
    <xf numFmtId="0" fontId="36" fillId="26" borderId="65" xfId="112" applyFont="1" applyFill="1" applyBorder="1" applyAlignment="1">
      <alignment horizontal="center" vertical="center"/>
    </xf>
    <xf numFmtId="0" fontId="82" fillId="26" borderId="65" xfId="112" applyFont="1" applyFill="1" applyBorder="1" applyAlignment="1">
      <alignment horizontal="center" vertical="center"/>
    </xf>
    <xf numFmtId="0" fontId="36" fillId="26" borderId="0" xfId="112" applyFont="1" applyFill="1" applyAlignment="1">
      <alignment vertical="center" wrapText="1"/>
    </xf>
    <xf numFmtId="0" fontId="36" fillId="29" borderId="0" xfId="112" applyFont="1" applyFill="1" applyAlignment="1">
      <alignment vertical="center" wrapText="1"/>
    </xf>
    <xf numFmtId="0" fontId="38" fillId="29" borderId="63" xfId="112" applyFont="1" applyFill="1" applyBorder="1" applyAlignment="1">
      <alignment vertical="center"/>
    </xf>
    <xf numFmtId="174" fontId="39" fillId="0" borderId="64" xfId="70" applyNumberFormat="1" applyFont="1" applyFill="1" applyBorder="1" applyAlignment="1">
      <alignment horizontal="right" vertical="center"/>
    </xf>
    <xf numFmtId="178" fontId="36" fillId="0" borderId="8" xfId="0" applyNumberFormat="1" applyFont="1" applyFill="1" applyBorder="1" applyAlignment="1">
      <alignment horizontal="center" vertical="center"/>
    </xf>
    <xf numFmtId="0" fontId="38" fillId="0" borderId="8" xfId="69" applyFont="1" applyFill="1" applyBorder="1" applyAlignment="1">
      <alignment horizontal="center" vertical="center"/>
    </xf>
    <xf numFmtId="168" fontId="36" fillId="0" borderId="0" xfId="69" applyNumberFormat="1" applyFont="1" applyFill="1"/>
    <xf numFmtId="164" fontId="36" fillId="26" borderId="0" xfId="78" applyNumberFormat="1" applyFont="1" applyFill="1"/>
    <xf numFmtId="166" fontId="36" fillId="26" borderId="0" xfId="112" applyNumberFormat="1" applyFont="1" applyFill="1"/>
    <xf numFmtId="9" fontId="36" fillId="26" borderId="0" xfId="69" applyNumberFormat="1" applyFont="1" applyFill="1"/>
    <xf numFmtId="164" fontId="36" fillId="26" borderId="0" xfId="69" applyNumberFormat="1" applyFont="1" applyFill="1"/>
    <xf numFmtId="168" fontId="36" fillId="26" borderId="0" xfId="69" applyNumberFormat="1" applyFont="1" applyFill="1"/>
    <xf numFmtId="185" fontId="41" fillId="26" borderId="8" xfId="78" applyNumberFormat="1" applyFont="1" applyFill="1" applyBorder="1" applyAlignment="1">
      <alignment horizontal="right" vertical="center"/>
    </xf>
    <xf numFmtId="0" fontId="36" fillId="0" borderId="8" xfId="112" applyFont="1" applyFill="1" applyBorder="1" applyAlignment="1">
      <alignment horizontal="center" vertical="center" wrapText="1"/>
    </xf>
    <xf numFmtId="185" fontId="50" fillId="28" borderId="8" xfId="69" applyNumberFormat="1" applyFont="1" applyFill="1" applyBorder="1" applyAlignment="1">
      <alignment vertical="center"/>
    </xf>
    <xf numFmtId="15" fontId="36" fillId="34" borderId="62" xfId="0" applyNumberFormat="1" applyFont="1" applyFill="1" applyBorder="1" applyAlignment="1">
      <alignment horizontal="left" vertical="center" indent="1"/>
    </xf>
    <xf numFmtId="0" fontId="36" fillId="0" borderId="62" xfId="0" applyFont="1" applyFill="1" applyBorder="1" applyAlignment="1">
      <alignment horizontal="left" vertical="center" indent="1"/>
    </xf>
    <xf numFmtId="14" fontId="36" fillId="0" borderId="8" xfId="0" applyNumberFormat="1" applyFont="1" applyFill="1" applyBorder="1" applyAlignment="1">
      <alignment horizontal="center" vertical="center"/>
    </xf>
    <xf numFmtId="15" fontId="36" fillId="0" borderId="8" xfId="0" applyNumberFormat="1" applyFont="1" applyFill="1" applyBorder="1" applyAlignment="1">
      <alignment horizontal="left" vertical="center" indent="1"/>
    </xf>
    <xf numFmtId="0" fontId="36" fillId="0" borderId="8" xfId="112" applyFont="1" applyFill="1" applyBorder="1" applyAlignment="1">
      <alignment horizontal="center" vertical="center"/>
    </xf>
    <xf numFmtId="178" fontId="36" fillId="0" borderId="8" xfId="0" applyNumberFormat="1" applyFont="1" applyFill="1" applyBorder="1" applyAlignment="1">
      <alignment horizontal="left" vertical="center" indent="1"/>
    </xf>
    <xf numFmtId="182" fontId="36" fillId="0" borderId="8" xfId="0" applyNumberFormat="1" applyFont="1" applyFill="1" applyBorder="1" applyAlignment="1">
      <alignment horizontal="left" vertical="center" indent="1"/>
    </xf>
    <xf numFmtId="176" fontId="36" fillId="0" borderId="8" xfId="78" applyNumberFormat="1" applyFont="1" applyFill="1" applyBorder="1" applyAlignment="1">
      <alignment horizontal="right" vertical="center" indent="1"/>
    </xf>
    <xf numFmtId="0" fontId="36" fillId="0" borderId="8" xfId="0" applyFont="1" applyFill="1" applyBorder="1" applyAlignment="1">
      <alignment horizontal="center" vertical="center"/>
    </xf>
    <xf numFmtId="0" fontId="29" fillId="0" borderId="31" xfId="63" applyBorder="1" applyAlignment="1" applyProtection="1"/>
    <xf numFmtId="0" fontId="56" fillId="0" borderId="0" xfId="69" applyFont="1" applyFill="1" applyBorder="1" applyAlignment="1">
      <alignment vertical="center"/>
    </xf>
    <xf numFmtId="173" fontId="39" fillId="26" borderId="12" xfId="78" quotePrefix="1" applyNumberFormat="1" applyFont="1" applyFill="1" applyBorder="1" applyAlignment="1">
      <alignment horizontal="right" vertical="center"/>
    </xf>
    <xf numFmtId="0" fontId="41" fillId="26" borderId="84" xfId="70" applyFont="1" applyFill="1" applyBorder="1" applyAlignment="1">
      <alignment horizontal="left" vertical="center" wrapText="1" indent="1"/>
    </xf>
    <xf numFmtId="174" fontId="39" fillId="26" borderId="64" xfId="70" applyNumberFormat="1" applyFont="1" applyFill="1" applyBorder="1" applyAlignment="1">
      <alignment horizontal="right" vertical="center"/>
    </xf>
    <xf numFmtId="174" fontId="39" fillId="26" borderId="87" xfId="70" applyNumberFormat="1" applyFont="1" applyFill="1" applyBorder="1" applyAlignment="1">
      <alignment horizontal="right" vertical="center"/>
    </xf>
    <xf numFmtId="166" fontId="39" fillId="26" borderId="87" xfId="78" applyNumberFormat="1" applyFont="1" applyFill="1" applyBorder="1" applyAlignment="1">
      <alignment horizontal="right" vertical="center"/>
    </xf>
    <xf numFmtId="173" fontId="39" fillId="26" borderId="84" xfId="78" applyNumberFormat="1" applyFont="1" applyFill="1" applyBorder="1" applyAlignment="1">
      <alignment horizontal="right" vertical="center"/>
    </xf>
    <xf numFmtId="174" fontId="39" fillId="0" borderId="87" xfId="70" applyNumberFormat="1" applyFont="1" applyFill="1" applyBorder="1" applyAlignment="1">
      <alignment horizontal="right" vertical="center"/>
    </xf>
    <xf numFmtId="166" fontId="39" fillId="0" borderId="84" xfId="71" applyNumberFormat="1" applyFont="1" applyBorder="1" applyAlignment="1">
      <alignment horizontal="right" vertical="center"/>
    </xf>
    <xf numFmtId="166" fontId="39" fillId="29" borderId="8" xfId="78" applyNumberFormat="1" applyFont="1" applyFill="1" applyBorder="1" applyAlignment="1">
      <alignment vertical="center"/>
    </xf>
    <xf numFmtId="174" fontId="39" fillId="29" borderId="8" xfId="71" applyNumberFormat="1" applyFont="1" applyFill="1" applyBorder="1" applyAlignment="1">
      <alignment horizontal="right" vertical="center"/>
    </xf>
    <xf numFmtId="173" fontId="39" fillId="29" borderId="8" xfId="78" applyNumberFormat="1" applyFont="1" applyFill="1" applyBorder="1" applyAlignment="1">
      <alignment vertical="center"/>
    </xf>
    <xf numFmtId="173" fontId="39" fillId="29" borderId="8" xfId="78" applyNumberFormat="1" applyFont="1" applyFill="1" applyBorder="1" applyAlignment="1">
      <alignment horizontal="right" vertical="center"/>
    </xf>
    <xf numFmtId="166" fontId="39" fillId="29" borderId="8" xfId="78" applyNumberFormat="1" applyFont="1" applyFill="1" applyBorder="1" applyAlignment="1">
      <alignment horizontal="right" vertical="center"/>
    </xf>
    <xf numFmtId="166" fontId="47" fillId="32" borderId="84" xfId="78" applyNumberFormat="1" applyFont="1" applyFill="1" applyBorder="1" applyAlignment="1">
      <alignment vertical="center"/>
    </xf>
    <xf numFmtId="166" fontId="37" fillId="0" borderId="0" xfId="78" applyNumberFormat="1" applyFont="1" applyFill="1" applyBorder="1" applyAlignment="1">
      <alignment vertical="center"/>
    </xf>
    <xf numFmtId="0" fontId="54" fillId="0" borderId="0" xfId="71" applyFont="1"/>
    <xf numFmtId="0" fontId="39" fillId="0" borderId="0" xfId="71" applyFont="1" applyFill="1" applyAlignment="1">
      <alignment horizontal="right"/>
    </xf>
    <xf numFmtId="166" fontId="47" fillId="32" borderId="88" xfId="78" applyNumberFormat="1" applyFont="1" applyFill="1" applyBorder="1" applyAlignment="1">
      <alignment vertical="center"/>
    </xf>
    <xf numFmtId="174" fontId="47" fillId="32" borderId="88" xfId="71" applyNumberFormat="1" applyFont="1" applyFill="1" applyBorder="1" applyAlignment="1">
      <alignment horizontal="right" vertical="center"/>
    </xf>
    <xf numFmtId="192" fontId="39" fillId="0" borderId="0" xfId="71" applyNumberFormat="1" applyFont="1" applyFill="1" applyBorder="1"/>
    <xf numFmtId="194" fontId="39" fillId="0" borderId="0" xfId="71" applyNumberFormat="1" applyFont="1" applyFill="1" applyBorder="1"/>
    <xf numFmtId="174" fontId="88" fillId="0" borderId="0" xfId="75" applyNumberFormat="1" applyFont="1" applyFill="1" applyBorder="1"/>
    <xf numFmtId="185" fontId="88" fillId="0" borderId="0" xfId="78" applyNumberFormat="1" applyFont="1" applyFill="1" applyBorder="1"/>
    <xf numFmtId="174" fontId="41" fillId="29" borderId="8" xfId="78" applyNumberFormat="1" applyFont="1" applyFill="1" applyBorder="1" applyAlignment="1">
      <alignment horizontal="right" vertical="center"/>
    </xf>
    <xf numFmtId="0" fontId="40" fillId="0" borderId="84" xfId="112" applyFont="1" applyFill="1" applyBorder="1" applyAlignment="1">
      <alignment vertical="center"/>
    </xf>
    <xf numFmtId="0" fontId="40" fillId="0" borderId="64" xfId="112" applyFont="1" applyFill="1" applyBorder="1" applyAlignment="1">
      <alignment horizontal="left" vertical="center"/>
    </xf>
    <xf numFmtId="173" fontId="41" fillId="26" borderId="64" xfId="78" applyNumberFormat="1" applyFont="1" applyFill="1" applyBorder="1" applyAlignment="1">
      <alignment horizontal="right" vertical="center"/>
    </xf>
    <xf numFmtId="0" fontId="40" fillId="0" borderId="84" xfId="112" applyFont="1" applyFill="1" applyBorder="1" applyAlignment="1">
      <alignment horizontal="left" vertical="center"/>
    </xf>
    <xf numFmtId="173" fontId="41" fillId="26" borderId="84" xfId="78" applyNumberFormat="1" applyFont="1" applyFill="1" applyBorder="1" applyAlignment="1">
      <alignment horizontal="right" vertical="center"/>
    </xf>
    <xf numFmtId="174" fontId="39" fillId="0" borderId="12" xfId="75" applyNumberFormat="1" applyFont="1" applyFill="1" applyBorder="1" applyAlignment="1">
      <alignment horizontal="right" vertical="center"/>
    </xf>
    <xf numFmtId="3" fontId="91" fillId="0" borderId="0" xfId="0" applyNumberFormat="1" applyFont="1" applyFill="1"/>
    <xf numFmtId="166" fontId="36" fillId="0" borderId="0" xfId="70" applyNumberFormat="1" applyFont="1" applyFill="1"/>
    <xf numFmtId="0" fontId="38" fillId="0" borderId="62" xfId="0" applyFont="1" applyBorder="1" applyAlignment="1">
      <alignment horizontal="left" vertical="center" indent="1"/>
    </xf>
    <xf numFmtId="14" fontId="36" fillId="0" borderId="62" xfId="0" applyNumberFormat="1" applyFont="1" applyBorder="1" applyAlignment="1">
      <alignment horizontal="center" vertical="center"/>
    </xf>
    <xf numFmtId="0" fontId="36" fillId="0" borderId="84" xfId="112" applyFont="1" applyBorder="1" applyAlignment="1">
      <alignment horizontal="center" vertical="center"/>
    </xf>
    <xf numFmtId="178" fontId="36" fillId="0" borderId="84" xfId="0" applyNumberFormat="1" applyFont="1" applyBorder="1" applyAlignment="1">
      <alignment horizontal="left" vertical="center" indent="1"/>
    </xf>
    <xf numFmtId="182" fontId="36" fillId="0" borderId="84" xfId="0" applyNumberFormat="1" applyFont="1" applyBorder="1" applyAlignment="1">
      <alignment horizontal="left" vertical="center" indent="1"/>
    </xf>
    <xf numFmtId="176" fontId="36" fillId="0" borderId="62" xfId="10598" applyNumberFormat="1" applyFont="1" applyBorder="1" applyAlignment="1">
      <alignment horizontal="right" vertical="center" indent="1"/>
    </xf>
    <xf numFmtId="0" fontId="38" fillId="0" borderId="62" xfId="0" applyFont="1" applyBorder="1" applyAlignment="1">
      <alignment horizontal="center" vertical="center"/>
    </xf>
    <xf numFmtId="0" fontId="36" fillId="0" borderId="62" xfId="10598" applyNumberFormat="1" applyFont="1" applyBorder="1" applyAlignment="1">
      <alignment horizontal="center" vertical="center"/>
    </xf>
    <xf numFmtId="0" fontId="36" fillId="0" borderId="62" xfId="0" applyFont="1" applyBorder="1" applyAlignment="1">
      <alignment horizontal="center" vertical="center"/>
    </xf>
    <xf numFmtId="15" fontId="36" fillId="0" borderId="84" xfId="0" applyNumberFormat="1" applyFont="1" applyBorder="1" applyAlignment="1">
      <alignment horizontal="left" vertical="center" indent="1"/>
    </xf>
    <xf numFmtId="0" fontId="38" fillId="0" borderId="62" xfId="10598" applyNumberFormat="1" applyFont="1" applyBorder="1" applyAlignment="1">
      <alignment horizontal="center" vertical="center"/>
    </xf>
    <xf numFmtId="166" fontId="39" fillId="0" borderId="87" xfId="70" applyNumberFormat="1" applyFont="1" applyFill="1" applyBorder="1" applyAlignment="1">
      <alignment horizontal="right" vertical="center"/>
    </xf>
    <xf numFmtId="0" fontId="41" fillId="0" borderId="8" xfId="70" applyFont="1" applyFill="1" applyBorder="1" applyAlignment="1">
      <alignment horizontal="left" vertical="center" indent="3"/>
    </xf>
    <xf numFmtId="0" fontId="0" fillId="0" borderId="0" xfId="0"/>
    <xf numFmtId="0" fontId="58" fillId="30" borderId="84" xfId="70" applyFont="1" applyFill="1" applyBorder="1" applyAlignment="1">
      <alignment horizontal="center" vertical="center"/>
    </xf>
    <xf numFmtId="0" fontId="58" fillId="30" borderId="84" xfId="70" applyFont="1" applyFill="1" applyBorder="1" applyAlignment="1">
      <alignment horizontal="center" vertical="center" wrapText="1"/>
    </xf>
    <xf numFmtId="17" fontId="58" fillId="30" borderId="84" xfId="70" applyNumberFormat="1" applyFont="1" applyFill="1" applyBorder="1" applyAlignment="1">
      <alignment horizontal="center" vertical="center" wrapText="1"/>
    </xf>
    <xf numFmtId="3" fontId="91" fillId="0" borderId="0" xfId="0" applyNumberFormat="1" applyFont="1"/>
    <xf numFmtId="174" fontId="39" fillId="0" borderId="0" xfId="75" applyNumberFormat="1" applyFont="1"/>
    <xf numFmtId="166" fontId="41" fillId="83" borderId="8" xfId="78" applyNumberFormat="1" applyFont="1" applyFill="1" applyBorder="1" applyAlignment="1">
      <alignment horizontal="right" vertical="center"/>
    </xf>
    <xf numFmtId="299" fontId="36" fillId="0" borderId="8" xfId="0" applyNumberFormat="1" applyFont="1" applyBorder="1" applyAlignment="1">
      <alignment horizontal="center" vertical="center"/>
    </xf>
    <xf numFmtId="174" fontId="41" fillId="0" borderId="64" xfId="78" applyNumberFormat="1" applyFont="1" applyFill="1" applyBorder="1" applyAlignment="1">
      <alignment horizontal="right" vertical="center"/>
    </xf>
    <xf numFmtId="173" fontId="41" fillId="0" borderId="84" xfId="78" applyNumberFormat="1" applyFont="1" applyFill="1" applyBorder="1" applyAlignment="1">
      <alignment horizontal="right" vertical="center"/>
    </xf>
    <xf numFmtId="198" fontId="41" fillId="0" borderId="84" xfId="78" applyNumberFormat="1" applyFont="1" applyFill="1" applyBorder="1" applyAlignment="1">
      <alignment horizontal="right" vertical="center"/>
    </xf>
    <xf numFmtId="173" fontId="41" fillId="0" borderId="64" xfId="78" applyNumberFormat="1" applyFont="1" applyFill="1" applyBorder="1" applyAlignment="1">
      <alignment horizontal="right" vertical="center"/>
    </xf>
    <xf numFmtId="173" fontId="41" fillId="0" borderId="8" xfId="78" applyNumberFormat="1" applyFont="1" applyFill="1" applyBorder="1" applyAlignment="1">
      <alignment horizontal="right" vertical="center"/>
    </xf>
    <xf numFmtId="185" fontId="39" fillId="0" borderId="0" xfId="69" applyNumberFormat="1" applyFont="1" applyFill="1"/>
    <xf numFmtId="0" fontId="0" fillId="0" borderId="0" xfId="0"/>
    <xf numFmtId="0" fontId="29" fillId="0" borderId="0" xfId="63" applyFill="1" applyAlignment="1" applyProtection="1"/>
    <xf numFmtId="0" fontId="66" fillId="0" borderId="28" xfId="0" applyFont="1" applyFill="1" applyBorder="1" applyAlignment="1">
      <alignment horizontal="left"/>
    </xf>
    <xf numFmtId="0" fontId="66" fillId="0" borderId="29" xfId="0" applyFont="1" applyFill="1" applyBorder="1" applyAlignment="1">
      <alignment horizontal="left"/>
    </xf>
    <xf numFmtId="0" fontId="68" fillId="0" borderId="31" xfId="0" applyFont="1" applyFill="1" applyBorder="1" applyAlignment="1">
      <alignment horizontal="left"/>
    </xf>
    <xf numFmtId="0" fontId="68" fillId="0" borderId="0" xfId="0" applyFont="1" applyFill="1" applyBorder="1" applyAlignment="1">
      <alignment horizontal="left"/>
    </xf>
    <xf numFmtId="0" fontId="29" fillId="0" borderId="31" xfId="63" applyBorder="1" applyAlignment="1" applyProtection="1"/>
    <xf numFmtId="0" fontId="29" fillId="0" borderId="0" xfId="63" applyBorder="1" applyAlignment="1" applyProtection="1"/>
    <xf numFmtId="0" fontId="74" fillId="0" borderId="31" xfId="0" applyFont="1" applyFill="1" applyBorder="1" applyAlignment="1">
      <alignment horizontal="left"/>
    </xf>
    <xf numFmtId="0" fontId="74" fillId="0" borderId="0" xfId="0" applyFont="1" applyFill="1" applyBorder="1" applyAlignment="1">
      <alignment horizontal="left"/>
    </xf>
    <xf numFmtId="0" fontId="70" fillId="0" borderId="31" xfId="0" applyFont="1" applyFill="1" applyBorder="1" applyAlignment="1">
      <alignment horizontal="left"/>
    </xf>
    <xf numFmtId="0" fontId="70" fillId="0" borderId="0" xfId="0" applyFont="1" applyFill="1" applyBorder="1" applyAlignment="1">
      <alignment horizontal="left"/>
    </xf>
    <xf numFmtId="0" fontId="79" fillId="0" borderId="0" xfId="0" applyFont="1" applyFill="1" applyBorder="1" applyAlignment="1">
      <alignment horizontal="right" vertical="center"/>
    </xf>
    <xf numFmtId="0" fontId="29" fillId="0" borderId="0" xfId="63" applyAlignment="1" applyProtection="1"/>
    <xf numFmtId="0" fontId="29" fillId="0" borderId="0" xfId="63" applyAlignment="1" applyProtection="1">
      <alignment horizontal="left"/>
    </xf>
    <xf numFmtId="0" fontId="29" fillId="26" borderId="0" xfId="63" applyFill="1" applyAlignment="1" applyProtection="1">
      <alignment horizontal="left"/>
    </xf>
    <xf numFmtId="0" fontId="29" fillId="0" borderId="0" xfId="63" applyFill="1" applyBorder="1" applyAlignment="1" applyProtection="1">
      <alignment horizontal="left"/>
    </xf>
    <xf numFmtId="0" fontId="29" fillId="26" borderId="0" xfId="63" applyFill="1" applyBorder="1" applyAlignment="1" applyProtection="1">
      <alignment horizontal="left"/>
    </xf>
    <xf numFmtId="0" fontId="0" fillId="0" borderId="0" xfId="0"/>
    <xf numFmtId="0" fontId="49" fillId="26" borderId="0" xfId="69" applyFont="1" applyFill="1" applyAlignment="1">
      <alignment horizontal="left"/>
    </xf>
  </cellXfs>
  <cellStyles count="13852">
    <cellStyle name="_x000a_386grabber=M" xfId="164" xr:uid="{00000000-0005-0000-0000-000000000000}"/>
    <cellStyle name="_x000a_386grabber=M 2" xfId="165" xr:uid="{00000000-0005-0000-0000-000001000000}"/>
    <cellStyle name="_x000a_386grabber=M 2 2" xfId="166" xr:uid="{00000000-0005-0000-0000-000002000000}"/>
    <cellStyle name="_x000a_386grabber=M 3" xfId="167" xr:uid="{00000000-0005-0000-0000-000003000000}"/>
    <cellStyle name="_x000a_386grabber=M 4" xfId="168" xr:uid="{00000000-0005-0000-0000-000004000000}"/>
    <cellStyle name="_x000a_386grabber=M 5" xfId="169" xr:uid="{00000000-0005-0000-0000-000005000000}"/>
    <cellStyle name="(Red)" xfId="4916" xr:uid="{00000000-0005-0000-0000-000006000000}"/>
    <cellStyle name="_%(SignOnly)" xfId="4917" xr:uid="{00000000-0005-0000-0000-000007000000}"/>
    <cellStyle name="_%(SignSpaceOnly)" xfId="4918" xr:uid="{00000000-0005-0000-0000-000008000000}"/>
    <cellStyle name="_Comma" xfId="4919" xr:uid="{00000000-0005-0000-0000-000009000000}"/>
    <cellStyle name="_Currency" xfId="4920" xr:uid="{00000000-0005-0000-0000-00000A000000}"/>
    <cellStyle name="_CurrencySpace" xfId="4921" xr:uid="{00000000-0005-0000-0000-00000B000000}"/>
    <cellStyle name="_Euro" xfId="4922" xr:uid="{00000000-0005-0000-0000-00000C000000}"/>
    <cellStyle name="_Heading" xfId="4923" xr:uid="{00000000-0005-0000-0000-00000D000000}"/>
    <cellStyle name="_Highlight" xfId="4924" xr:uid="{00000000-0005-0000-0000-00000E000000}"/>
    <cellStyle name="_Multiple" xfId="4925" xr:uid="{00000000-0005-0000-0000-00000F000000}"/>
    <cellStyle name="_MultipleSpace" xfId="4926" xr:uid="{00000000-0005-0000-0000-000010000000}"/>
    <cellStyle name="_Percent" xfId="4927" xr:uid="{00000000-0005-0000-0000-000011000000}"/>
    <cellStyle name="_SubHeading" xfId="4928" xr:uid="{00000000-0005-0000-0000-000012000000}"/>
    <cellStyle name="_Table" xfId="4929" xr:uid="{00000000-0005-0000-0000-000013000000}"/>
    <cellStyle name="_TableHead" xfId="4930" xr:uid="{00000000-0005-0000-0000-000014000000}"/>
    <cellStyle name="_TableRowHead" xfId="4931" xr:uid="{00000000-0005-0000-0000-000015000000}"/>
    <cellStyle name="_TableSuperHead" xfId="4932" xr:uid="{00000000-0005-0000-0000-000016000000}"/>
    <cellStyle name="£ BP" xfId="170" xr:uid="{00000000-0005-0000-0000-000017000000}"/>
    <cellStyle name="¥ JY" xfId="171" xr:uid="{00000000-0005-0000-0000-000018000000}"/>
    <cellStyle name="¶W³sµ²" xfId="4933" xr:uid="{00000000-0005-0000-0000-000019000000}"/>
    <cellStyle name="10" xfId="4934" xr:uid="{00000000-0005-0000-0000-00001A000000}"/>
    <cellStyle name="1o.nível" xfId="172" xr:uid="{00000000-0005-0000-0000-00001B000000}"/>
    <cellStyle name="20% - Accent1" xfId="1" xr:uid="{00000000-0005-0000-0000-00001C000000}"/>
    <cellStyle name="20% - Accent1 2" xfId="100" xr:uid="{00000000-0005-0000-0000-00001D000000}"/>
    <cellStyle name="20% - Accent1 3" xfId="173" xr:uid="{00000000-0005-0000-0000-00001E000000}"/>
    <cellStyle name="20% - Accent1 4" xfId="174" xr:uid="{00000000-0005-0000-0000-00001F000000}"/>
    <cellStyle name="20% - Accent1 5" xfId="175" xr:uid="{00000000-0005-0000-0000-000020000000}"/>
    <cellStyle name="20% - Accent1 6" xfId="176" xr:uid="{00000000-0005-0000-0000-000021000000}"/>
    <cellStyle name="20% - Accent1 7" xfId="177" xr:uid="{00000000-0005-0000-0000-000022000000}"/>
    <cellStyle name="20% - Accent2" xfId="2" xr:uid="{00000000-0005-0000-0000-000023000000}"/>
    <cellStyle name="20% - Accent2 2" xfId="101" xr:uid="{00000000-0005-0000-0000-000024000000}"/>
    <cellStyle name="20% - Accent2 3" xfId="178" xr:uid="{00000000-0005-0000-0000-000025000000}"/>
    <cellStyle name="20% - Accent2 4" xfId="179" xr:uid="{00000000-0005-0000-0000-000026000000}"/>
    <cellStyle name="20% - Accent2 5" xfId="180" xr:uid="{00000000-0005-0000-0000-000027000000}"/>
    <cellStyle name="20% - Accent2 6" xfId="181" xr:uid="{00000000-0005-0000-0000-000028000000}"/>
    <cellStyle name="20% - Accent2 7" xfId="182" xr:uid="{00000000-0005-0000-0000-000029000000}"/>
    <cellStyle name="20% - Accent3" xfId="3" xr:uid="{00000000-0005-0000-0000-00002A000000}"/>
    <cellStyle name="20% - Accent3 2" xfId="102" xr:uid="{00000000-0005-0000-0000-00002B000000}"/>
    <cellStyle name="20% - Accent3 3" xfId="183" xr:uid="{00000000-0005-0000-0000-00002C000000}"/>
    <cellStyle name="20% - Accent3 4" xfId="184" xr:uid="{00000000-0005-0000-0000-00002D000000}"/>
    <cellStyle name="20% - Accent3 5" xfId="185" xr:uid="{00000000-0005-0000-0000-00002E000000}"/>
    <cellStyle name="20% - Accent3 6" xfId="186" xr:uid="{00000000-0005-0000-0000-00002F000000}"/>
    <cellStyle name="20% - Accent3 7" xfId="187" xr:uid="{00000000-0005-0000-0000-000030000000}"/>
    <cellStyle name="20% - Accent4" xfId="4" xr:uid="{00000000-0005-0000-0000-000031000000}"/>
    <cellStyle name="20% - Accent4 2" xfId="103" xr:uid="{00000000-0005-0000-0000-000032000000}"/>
    <cellStyle name="20% - Accent4 3" xfId="188" xr:uid="{00000000-0005-0000-0000-000033000000}"/>
    <cellStyle name="20% - Accent4 4" xfId="189" xr:uid="{00000000-0005-0000-0000-000034000000}"/>
    <cellStyle name="20% - Accent4 5" xfId="190" xr:uid="{00000000-0005-0000-0000-000035000000}"/>
    <cellStyle name="20% - Accent4 6" xfId="191" xr:uid="{00000000-0005-0000-0000-000036000000}"/>
    <cellStyle name="20% - Accent4 7" xfId="192" xr:uid="{00000000-0005-0000-0000-000037000000}"/>
    <cellStyle name="20% - Accent5" xfId="5" xr:uid="{00000000-0005-0000-0000-000038000000}"/>
    <cellStyle name="20% - Accent5 2" xfId="104" xr:uid="{00000000-0005-0000-0000-000039000000}"/>
    <cellStyle name="20% - Accent5 3" xfId="193" xr:uid="{00000000-0005-0000-0000-00003A000000}"/>
    <cellStyle name="20% - Accent5 4" xfId="194" xr:uid="{00000000-0005-0000-0000-00003B000000}"/>
    <cellStyle name="20% - Accent5 5" xfId="195" xr:uid="{00000000-0005-0000-0000-00003C000000}"/>
    <cellStyle name="20% - Accent5 6" xfId="196" xr:uid="{00000000-0005-0000-0000-00003D000000}"/>
    <cellStyle name="20% - Accent5 7" xfId="197" xr:uid="{00000000-0005-0000-0000-00003E000000}"/>
    <cellStyle name="20% - Accent6" xfId="6" xr:uid="{00000000-0005-0000-0000-00003F000000}"/>
    <cellStyle name="20% - Accent6 2" xfId="105" xr:uid="{00000000-0005-0000-0000-000040000000}"/>
    <cellStyle name="20% - Accent6 3" xfId="198" xr:uid="{00000000-0005-0000-0000-000041000000}"/>
    <cellStyle name="20% - Accent6 4" xfId="199" xr:uid="{00000000-0005-0000-0000-000042000000}"/>
    <cellStyle name="20% - Accent6 5" xfId="200" xr:uid="{00000000-0005-0000-0000-000043000000}"/>
    <cellStyle name="20% - Accent6 6" xfId="201" xr:uid="{00000000-0005-0000-0000-000044000000}"/>
    <cellStyle name="20% - Accent6 7" xfId="202" xr:uid="{00000000-0005-0000-0000-000045000000}"/>
    <cellStyle name="20% - Ênfase1" xfId="7" xr:uid="{00000000-0005-0000-0000-000046000000}"/>
    <cellStyle name="20% - Ênfase1 10" xfId="5489" xr:uid="{00000000-0005-0000-0000-000047000000}"/>
    <cellStyle name="20% - Ênfase1 11" xfId="5602" xr:uid="{00000000-0005-0000-0000-000048000000}"/>
    <cellStyle name="20% - Ênfase1 12" xfId="5631" xr:uid="{00000000-0005-0000-0000-000049000000}"/>
    <cellStyle name="20% - Ênfase1 13" xfId="5656" xr:uid="{00000000-0005-0000-0000-00004A000000}"/>
    <cellStyle name="20% - Ênfase1 14" xfId="5669" xr:uid="{00000000-0005-0000-0000-00004B000000}"/>
    <cellStyle name="20% - Ênfase1 15" xfId="5684" xr:uid="{00000000-0005-0000-0000-00004C000000}"/>
    <cellStyle name="20% - Ênfase1 16" xfId="5752" xr:uid="{00000000-0005-0000-0000-00004D000000}"/>
    <cellStyle name="20% - Ênfase1 17" xfId="5784" xr:uid="{00000000-0005-0000-0000-00004E000000}"/>
    <cellStyle name="20% - Ênfase1 2" xfId="4935" xr:uid="{00000000-0005-0000-0000-00004F000000}"/>
    <cellStyle name="20% - Ênfase1 2 2" xfId="5812" xr:uid="{00000000-0005-0000-0000-000050000000}"/>
    <cellStyle name="20% - Ênfase1 2 2 2" xfId="5813" xr:uid="{00000000-0005-0000-0000-000051000000}"/>
    <cellStyle name="20% - Ênfase1 2 2 2 2" xfId="5814" xr:uid="{00000000-0005-0000-0000-000052000000}"/>
    <cellStyle name="20% - Ênfase1 2 2 2 2 2" xfId="5815" xr:uid="{00000000-0005-0000-0000-000053000000}"/>
    <cellStyle name="20% - Ênfase1 2 2 2 2 2 2" xfId="5816" xr:uid="{00000000-0005-0000-0000-000054000000}"/>
    <cellStyle name="20% - Ênfase1 2 2 2 2 2 2 2" xfId="5817" xr:uid="{00000000-0005-0000-0000-000055000000}"/>
    <cellStyle name="20% - Ênfase1 2 2 2 2 2 2 2 2" xfId="5818" xr:uid="{00000000-0005-0000-0000-000056000000}"/>
    <cellStyle name="20% - Ênfase1 2 2 2 2 2 2 3" xfId="5819" xr:uid="{00000000-0005-0000-0000-000057000000}"/>
    <cellStyle name="20% - Ênfase1 2 2 2 2 2 3" xfId="5820" xr:uid="{00000000-0005-0000-0000-000058000000}"/>
    <cellStyle name="20% - Ênfase1 2 2 2 2 2 3 2" xfId="5821" xr:uid="{00000000-0005-0000-0000-000059000000}"/>
    <cellStyle name="20% - Ênfase1 2 2 2 2 3" xfId="5822" xr:uid="{00000000-0005-0000-0000-00005A000000}"/>
    <cellStyle name="20% - Ênfase1 2 2 2 2 3 2" xfId="5823" xr:uid="{00000000-0005-0000-0000-00005B000000}"/>
    <cellStyle name="20% - Ênfase1 2 2 2 3" xfId="5824" xr:uid="{00000000-0005-0000-0000-00005C000000}"/>
    <cellStyle name="20% - Ênfase1 2 2 2 4" xfId="5825" xr:uid="{00000000-0005-0000-0000-00005D000000}"/>
    <cellStyle name="20% - Ênfase1 2 2 2 4 2" xfId="5826" xr:uid="{00000000-0005-0000-0000-00005E000000}"/>
    <cellStyle name="20% - Ênfase1 2 2 3" xfId="5827" xr:uid="{00000000-0005-0000-0000-00005F000000}"/>
    <cellStyle name="20% - Ênfase1 2 2 4" xfId="5828" xr:uid="{00000000-0005-0000-0000-000060000000}"/>
    <cellStyle name="20% - Ênfase1 2 2 4 2" xfId="5829" xr:uid="{00000000-0005-0000-0000-000061000000}"/>
    <cellStyle name="20% - Ênfase1 2 3" xfId="5830" xr:uid="{00000000-0005-0000-0000-000062000000}"/>
    <cellStyle name="20% - Ênfase1 2 4" xfId="5831" xr:uid="{00000000-0005-0000-0000-000063000000}"/>
    <cellStyle name="20% - Ênfase1 2 5" xfId="5832" xr:uid="{00000000-0005-0000-0000-000064000000}"/>
    <cellStyle name="20% - Ênfase1 2 6" xfId="5833" xr:uid="{00000000-0005-0000-0000-000065000000}"/>
    <cellStyle name="20% - Ênfase1 2 6 2" xfId="5834" xr:uid="{00000000-0005-0000-0000-000066000000}"/>
    <cellStyle name="20% - Ênfase1 2 7" xfId="5811" xr:uid="{00000000-0005-0000-0000-000067000000}"/>
    <cellStyle name="20% - Ênfase1 3" xfId="5206" xr:uid="{00000000-0005-0000-0000-000068000000}"/>
    <cellStyle name="20% - Ênfase1 3 2" xfId="5836" xr:uid="{00000000-0005-0000-0000-000069000000}"/>
    <cellStyle name="20% - Ênfase1 3 3" xfId="5837" xr:uid="{00000000-0005-0000-0000-00006A000000}"/>
    <cellStyle name="20% - Ênfase1 3 4" xfId="5838" xr:uid="{00000000-0005-0000-0000-00006B000000}"/>
    <cellStyle name="20% - Ênfase1 3 5" xfId="5835" xr:uid="{00000000-0005-0000-0000-00006C000000}"/>
    <cellStyle name="20% - Ênfase1 4" xfId="5338" xr:uid="{00000000-0005-0000-0000-00006D000000}"/>
    <cellStyle name="20% - Ênfase1 4 2" xfId="5840" xr:uid="{00000000-0005-0000-0000-00006E000000}"/>
    <cellStyle name="20% - Ênfase1 4 3" xfId="5841" xr:uid="{00000000-0005-0000-0000-00006F000000}"/>
    <cellStyle name="20% - Ênfase1 4 4" xfId="5839" xr:uid="{00000000-0005-0000-0000-000070000000}"/>
    <cellStyle name="20% - Ênfase1 5" xfId="5367" xr:uid="{00000000-0005-0000-0000-000071000000}"/>
    <cellStyle name="20% - Ênfase1 5 2" xfId="5843" xr:uid="{00000000-0005-0000-0000-000072000000}"/>
    <cellStyle name="20% - Ênfase1 5 3" xfId="5842" xr:uid="{00000000-0005-0000-0000-000073000000}"/>
    <cellStyle name="20% - Ênfase1 6" xfId="5395" xr:uid="{00000000-0005-0000-0000-000074000000}"/>
    <cellStyle name="20% - Ênfase1 6 2" xfId="5845" xr:uid="{00000000-0005-0000-0000-000075000000}"/>
    <cellStyle name="20% - Ênfase1 6 3" xfId="7305" xr:uid="{00000000-0005-0000-0000-000076000000}"/>
    <cellStyle name="20% - Ênfase1 6 4" xfId="5844" xr:uid="{00000000-0005-0000-0000-000077000000}"/>
    <cellStyle name="20% - Ênfase1 7" xfId="5422" xr:uid="{00000000-0005-0000-0000-000078000000}"/>
    <cellStyle name="20% - Ênfase1 7 2" xfId="7306" xr:uid="{00000000-0005-0000-0000-000079000000}"/>
    <cellStyle name="20% - Ênfase1 7 3" xfId="5846" xr:uid="{00000000-0005-0000-0000-00007A000000}"/>
    <cellStyle name="20% - Ênfase1 8" xfId="5447" xr:uid="{00000000-0005-0000-0000-00007B000000}"/>
    <cellStyle name="20% - Ênfase1 9" xfId="5460" xr:uid="{00000000-0005-0000-0000-00007C000000}"/>
    <cellStyle name="20% - Ênfase2" xfId="8" xr:uid="{00000000-0005-0000-0000-00007D000000}"/>
    <cellStyle name="20% - Ênfase2 10" xfId="5490" xr:uid="{00000000-0005-0000-0000-00007E000000}"/>
    <cellStyle name="20% - Ênfase2 11" xfId="5601" xr:uid="{00000000-0005-0000-0000-00007F000000}"/>
    <cellStyle name="20% - Ênfase2 12" xfId="5630" xr:uid="{00000000-0005-0000-0000-000080000000}"/>
    <cellStyle name="20% - Ênfase2 13" xfId="5655" xr:uid="{00000000-0005-0000-0000-000081000000}"/>
    <cellStyle name="20% - Ênfase2 14" xfId="5668" xr:uid="{00000000-0005-0000-0000-000082000000}"/>
    <cellStyle name="20% - Ênfase2 15" xfId="5685" xr:uid="{00000000-0005-0000-0000-000083000000}"/>
    <cellStyle name="20% - Ênfase2 16" xfId="5751" xr:uid="{00000000-0005-0000-0000-000084000000}"/>
    <cellStyle name="20% - Ênfase2 17" xfId="5788" xr:uid="{00000000-0005-0000-0000-000085000000}"/>
    <cellStyle name="20% - Ênfase2 2" xfId="4936" xr:uid="{00000000-0005-0000-0000-000086000000}"/>
    <cellStyle name="20% - Ênfase2 2 2" xfId="5848" xr:uid="{00000000-0005-0000-0000-000087000000}"/>
    <cellStyle name="20% - Ênfase2 2 2 2" xfId="5849" xr:uid="{00000000-0005-0000-0000-000088000000}"/>
    <cellStyle name="20% - Ênfase2 2 2 2 2" xfId="5850" xr:uid="{00000000-0005-0000-0000-000089000000}"/>
    <cellStyle name="20% - Ênfase2 2 2 2 2 2" xfId="5851" xr:uid="{00000000-0005-0000-0000-00008A000000}"/>
    <cellStyle name="20% - Ênfase2 2 2 2 2 2 2" xfId="5852" xr:uid="{00000000-0005-0000-0000-00008B000000}"/>
    <cellStyle name="20% - Ênfase2 2 2 2 2 2 2 2" xfId="5853" xr:uid="{00000000-0005-0000-0000-00008C000000}"/>
    <cellStyle name="20% - Ênfase2 2 2 2 2 2 2 2 2" xfId="5854" xr:uid="{00000000-0005-0000-0000-00008D000000}"/>
    <cellStyle name="20% - Ênfase2 2 2 2 2 2 2 3" xfId="5855" xr:uid="{00000000-0005-0000-0000-00008E000000}"/>
    <cellStyle name="20% - Ênfase2 2 2 2 2 2 3" xfId="5856" xr:uid="{00000000-0005-0000-0000-00008F000000}"/>
    <cellStyle name="20% - Ênfase2 2 2 2 2 2 3 2" xfId="5857" xr:uid="{00000000-0005-0000-0000-000090000000}"/>
    <cellStyle name="20% - Ênfase2 2 2 2 2 3" xfId="5858" xr:uid="{00000000-0005-0000-0000-000091000000}"/>
    <cellStyle name="20% - Ênfase2 2 2 2 2 3 2" xfId="5859" xr:uid="{00000000-0005-0000-0000-000092000000}"/>
    <cellStyle name="20% - Ênfase2 2 2 2 3" xfId="5860" xr:uid="{00000000-0005-0000-0000-000093000000}"/>
    <cellStyle name="20% - Ênfase2 2 2 2 4" xfId="5861" xr:uid="{00000000-0005-0000-0000-000094000000}"/>
    <cellStyle name="20% - Ênfase2 2 2 2 4 2" xfId="5862" xr:uid="{00000000-0005-0000-0000-000095000000}"/>
    <cellStyle name="20% - Ênfase2 2 2 3" xfId="5863" xr:uid="{00000000-0005-0000-0000-000096000000}"/>
    <cellStyle name="20% - Ênfase2 2 2 4" xfId="5864" xr:uid="{00000000-0005-0000-0000-000097000000}"/>
    <cellStyle name="20% - Ênfase2 2 2 4 2" xfId="5865" xr:uid="{00000000-0005-0000-0000-000098000000}"/>
    <cellStyle name="20% - Ênfase2 2 3" xfId="5866" xr:uid="{00000000-0005-0000-0000-000099000000}"/>
    <cellStyle name="20% - Ênfase2 2 4" xfId="5867" xr:uid="{00000000-0005-0000-0000-00009A000000}"/>
    <cellStyle name="20% - Ênfase2 2 5" xfId="5868" xr:uid="{00000000-0005-0000-0000-00009B000000}"/>
    <cellStyle name="20% - Ênfase2 2 6" xfId="5869" xr:uid="{00000000-0005-0000-0000-00009C000000}"/>
    <cellStyle name="20% - Ênfase2 2 6 2" xfId="5870" xr:uid="{00000000-0005-0000-0000-00009D000000}"/>
    <cellStyle name="20% - Ênfase2 2 7" xfId="5847" xr:uid="{00000000-0005-0000-0000-00009E000000}"/>
    <cellStyle name="20% - Ênfase2 3" xfId="5207" xr:uid="{00000000-0005-0000-0000-00009F000000}"/>
    <cellStyle name="20% - Ênfase2 3 2" xfId="5872" xr:uid="{00000000-0005-0000-0000-0000A0000000}"/>
    <cellStyle name="20% - Ênfase2 3 3" xfId="5873" xr:uid="{00000000-0005-0000-0000-0000A1000000}"/>
    <cellStyle name="20% - Ênfase2 3 4" xfId="5874" xr:uid="{00000000-0005-0000-0000-0000A2000000}"/>
    <cellStyle name="20% - Ênfase2 3 5" xfId="5871" xr:uid="{00000000-0005-0000-0000-0000A3000000}"/>
    <cellStyle name="20% - Ênfase2 4" xfId="5337" xr:uid="{00000000-0005-0000-0000-0000A4000000}"/>
    <cellStyle name="20% - Ênfase2 4 2" xfId="5876" xr:uid="{00000000-0005-0000-0000-0000A5000000}"/>
    <cellStyle name="20% - Ênfase2 4 3" xfId="5877" xr:uid="{00000000-0005-0000-0000-0000A6000000}"/>
    <cellStyle name="20% - Ênfase2 4 4" xfId="5875" xr:uid="{00000000-0005-0000-0000-0000A7000000}"/>
    <cellStyle name="20% - Ênfase2 5" xfId="5366" xr:uid="{00000000-0005-0000-0000-0000A8000000}"/>
    <cellStyle name="20% - Ênfase2 5 2" xfId="5879" xr:uid="{00000000-0005-0000-0000-0000A9000000}"/>
    <cellStyle name="20% - Ênfase2 5 3" xfId="5878" xr:uid="{00000000-0005-0000-0000-0000AA000000}"/>
    <cellStyle name="20% - Ênfase2 6" xfId="5394" xr:uid="{00000000-0005-0000-0000-0000AB000000}"/>
    <cellStyle name="20% - Ênfase2 6 2" xfId="5881" xr:uid="{00000000-0005-0000-0000-0000AC000000}"/>
    <cellStyle name="20% - Ênfase2 6 3" xfId="7307" xr:uid="{00000000-0005-0000-0000-0000AD000000}"/>
    <cellStyle name="20% - Ênfase2 6 4" xfId="5880" xr:uid="{00000000-0005-0000-0000-0000AE000000}"/>
    <cellStyle name="20% - Ênfase2 7" xfId="5421" xr:uid="{00000000-0005-0000-0000-0000AF000000}"/>
    <cellStyle name="20% - Ênfase2 7 2" xfId="7308" xr:uid="{00000000-0005-0000-0000-0000B0000000}"/>
    <cellStyle name="20% - Ênfase2 7 3" xfId="5882" xr:uid="{00000000-0005-0000-0000-0000B1000000}"/>
    <cellStyle name="20% - Ênfase2 8" xfId="5446" xr:uid="{00000000-0005-0000-0000-0000B2000000}"/>
    <cellStyle name="20% - Ênfase2 9" xfId="5459" xr:uid="{00000000-0005-0000-0000-0000B3000000}"/>
    <cellStyle name="20% - Ênfase3" xfId="9" xr:uid="{00000000-0005-0000-0000-0000B4000000}"/>
    <cellStyle name="20% - Ênfase3 10" xfId="5491" xr:uid="{00000000-0005-0000-0000-0000B5000000}"/>
    <cellStyle name="20% - Ênfase3 11" xfId="5600" xr:uid="{00000000-0005-0000-0000-0000B6000000}"/>
    <cellStyle name="20% - Ênfase3 12" xfId="5629" xr:uid="{00000000-0005-0000-0000-0000B7000000}"/>
    <cellStyle name="20% - Ênfase3 13" xfId="5654" xr:uid="{00000000-0005-0000-0000-0000B8000000}"/>
    <cellStyle name="20% - Ênfase3 14" xfId="5667" xr:uid="{00000000-0005-0000-0000-0000B9000000}"/>
    <cellStyle name="20% - Ênfase3 15" xfId="5686" xr:uid="{00000000-0005-0000-0000-0000BA000000}"/>
    <cellStyle name="20% - Ênfase3 16" xfId="5750" xr:uid="{00000000-0005-0000-0000-0000BB000000}"/>
    <cellStyle name="20% - Ênfase3 17" xfId="5792" xr:uid="{00000000-0005-0000-0000-0000BC000000}"/>
    <cellStyle name="20% - Ênfase3 2" xfId="4937" xr:uid="{00000000-0005-0000-0000-0000BD000000}"/>
    <cellStyle name="20% - Ênfase3 2 2" xfId="5884" xr:uid="{00000000-0005-0000-0000-0000BE000000}"/>
    <cellStyle name="20% - Ênfase3 2 2 2" xfId="5885" xr:uid="{00000000-0005-0000-0000-0000BF000000}"/>
    <cellStyle name="20% - Ênfase3 2 2 2 2" xfId="5886" xr:uid="{00000000-0005-0000-0000-0000C0000000}"/>
    <cellStyle name="20% - Ênfase3 2 2 2 2 2" xfId="5887" xr:uid="{00000000-0005-0000-0000-0000C1000000}"/>
    <cellStyle name="20% - Ênfase3 2 2 2 2 2 2" xfId="5888" xr:uid="{00000000-0005-0000-0000-0000C2000000}"/>
    <cellStyle name="20% - Ênfase3 2 2 2 2 2 2 2" xfId="5889" xr:uid="{00000000-0005-0000-0000-0000C3000000}"/>
    <cellStyle name="20% - Ênfase3 2 2 2 2 2 2 2 2" xfId="5890" xr:uid="{00000000-0005-0000-0000-0000C4000000}"/>
    <cellStyle name="20% - Ênfase3 2 2 2 2 2 2 3" xfId="5891" xr:uid="{00000000-0005-0000-0000-0000C5000000}"/>
    <cellStyle name="20% - Ênfase3 2 2 2 2 2 3" xfId="5892" xr:uid="{00000000-0005-0000-0000-0000C6000000}"/>
    <cellStyle name="20% - Ênfase3 2 2 2 2 2 3 2" xfId="5893" xr:uid="{00000000-0005-0000-0000-0000C7000000}"/>
    <cellStyle name="20% - Ênfase3 2 2 2 2 3" xfId="5894" xr:uid="{00000000-0005-0000-0000-0000C8000000}"/>
    <cellStyle name="20% - Ênfase3 2 2 2 2 3 2" xfId="5895" xr:uid="{00000000-0005-0000-0000-0000C9000000}"/>
    <cellStyle name="20% - Ênfase3 2 2 2 3" xfId="5896" xr:uid="{00000000-0005-0000-0000-0000CA000000}"/>
    <cellStyle name="20% - Ênfase3 2 2 2 4" xfId="5897" xr:uid="{00000000-0005-0000-0000-0000CB000000}"/>
    <cellStyle name="20% - Ênfase3 2 2 2 4 2" xfId="5898" xr:uid="{00000000-0005-0000-0000-0000CC000000}"/>
    <cellStyle name="20% - Ênfase3 2 2 3" xfId="5899" xr:uid="{00000000-0005-0000-0000-0000CD000000}"/>
    <cellStyle name="20% - Ênfase3 2 2 4" xfId="5900" xr:uid="{00000000-0005-0000-0000-0000CE000000}"/>
    <cellStyle name="20% - Ênfase3 2 2 4 2" xfId="5901" xr:uid="{00000000-0005-0000-0000-0000CF000000}"/>
    <cellStyle name="20% - Ênfase3 2 3" xfId="5902" xr:uid="{00000000-0005-0000-0000-0000D0000000}"/>
    <cellStyle name="20% - Ênfase3 2 4" xfId="5903" xr:uid="{00000000-0005-0000-0000-0000D1000000}"/>
    <cellStyle name="20% - Ênfase3 2 5" xfId="5904" xr:uid="{00000000-0005-0000-0000-0000D2000000}"/>
    <cellStyle name="20% - Ênfase3 2 6" xfId="5905" xr:uid="{00000000-0005-0000-0000-0000D3000000}"/>
    <cellStyle name="20% - Ênfase3 2 6 2" xfId="5906" xr:uid="{00000000-0005-0000-0000-0000D4000000}"/>
    <cellStyle name="20% - Ênfase3 2 7" xfId="5883" xr:uid="{00000000-0005-0000-0000-0000D5000000}"/>
    <cellStyle name="20% - Ênfase3 3" xfId="5208" xr:uid="{00000000-0005-0000-0000-0000D6000000}"/>
    <cellStyle name="20% - Ênfase3 3 2" xfId="5908" xr:uid="{00000000-0005-0000-0000-0000D7000000}"/>
    <cellStyle name="20% - Ênfase3 3 3" xfId="5909" xr:uid="{00000000-0005-0000-0000-0000D8000000}"/>
    <cellStyle name="20% - Ênfase3 3 4" xfId="5910" xr:uid="{00000000-0005-0000-0000-0000D9000000}"/>
    <cellStyle name="20% - Ênfase3 3 5" xfId="5907" xr:uid="{00000000-0005-0000-0000-0000DA000000}"/>
    <cellStyle name="20% - Ênfase3 4" xfId="5336" xr:uid="{00000000-0005-0000-0000-0000DB000000}"/>
    <cellStyle name="20% - Ênfase3 4 2" xfId="5912" xr:uid="{00000000-0005-0000-0000-0000DC000000}"/>
    <cellStyle name="20% - Ênfase3 4 3" xfId="5913" xr:uid="{00000000-0005-0000-0000-0000DD000000}"/>
    <cellStyle name="20% - Ênfase3 4 4" xfId="5911" xr:uid="{00000000-0005-0000-0000-0000DE000000}"/>
    <cellStyle name="20% - Ênfase3 5" xfId="5365" xr:uid="{00000000-0005-0000-0000-0000DF000000}"/>
    <cellStyle name="20% - Ênfase3 5 2" xfId="5915" xr:uid="{00000000-0005-0000-0000-0000E0000000}"/>
    <cellStyle name="20% - Ênfase3 5 3" xfId="5914" xr:uid="{00000000-0005-0000-0000-0000E1000000}"/>
    <cellStyle name="20% - Ênfase3 6" xfId="5393" xr:uid="{00000000-0005-0000-0000-0000E2000000}"/>
    <cellStyle name="20% - Ênfase3 6 2" xfId="5917" xr:uid="{00000000-0005-0000-0000-0000E3000000}"/>
    <cellStyle name="20% - Ênfase3 6 3" xfId="7309" xr:uid="{00000000-0005-0000-0000-0000E4000000}"/>
    <cellStyle name="20% - Ênfase3 6 4" xfId="5916" xr:uid="{00000000-0005-0000-0000-0000E5000000}"/>
    <cellStyle name="20% - Ênfase3 7" xfId="5420" xr:uid="{00000000-0005-0000-0000-0000E6000000}"/>
    <cellStyle name="20% - Ênfase3 7 2" xfId="7310" xr:uid="{00000000-0005-0000-0000-0000E7000000}"/>
    <cellStyle name="20% - Ênfase3 7 3" xfId="5918" xr:uid="{00000000-0005-0000-0000-0000E8000000}"/>
    <cellStyle name="20% - Ênfase3 8" xfId="5445" xr:uid="{00000000-0005-0000-0000-0000E9000000}"/>
    <cellStyle name="20% - Ênfase3 9" xfId="5458" xr:uid="{00000000-0005-0000-0000-0000EA000000}"/>
    <cellStyle name="20% - Ênfase4" xfId="10" xr:uid="{00000000-0005-0000-0000-0000EB000000}"/>
    <cellStyle name="20% - Ênfase4 10" xfId="5492" xr:uid="{00000000-0005-0000-0000-0000EC000000}"/>
    <cellStyle name="20% - Ênfase4 11" xfId="5599" xr:uid="{00000000-0005-0000-0000-0000ED000000}"/>
    <cellStyle name="20% - Ênfase4 12" xfId="5628" xr:uid="{00000000-0005-0000-0000-0000EE000000}"/>
    <cellStyle name="20% - Ênfase4 13" xfId="5653" xr:uid="{00000000-0005-0000-0000-0000EF000000}"/>
    <cellStyle name="20% - Ênfase4 14" xfId="5666" xr:uid="{00000000-0005-0000-0000-0000F0000000}"/>
    <cellStyle name="20% - Ênfase4 15" xfId="5687" xr:uid="{00000000-0005-0000-0000-0000F1000000}"/>
    <cellStyle name="20% - Ênfase4 16" xfId="5749" xr:uid="{00000000-0005-0000-0000-0000F2000000}"/>
    <cellStyle name="20% - Ênfase4 17" xfId="5796" xr:uid="{00000000-0005-0000-0000-0000F3000000}"/>
    <cellStyle name="20% - Ênfase4 2" xfId="4938" xr:uid="{00000000-0005-0000-0000-0000F4000000}"/>
    <cellStyle name="20% - Ênfase4 2 2" xfId="5920" xr:uid="{00000000-0005-0000-0000-0000F5000000}"/>
    <cellStyle name="20% - Ênfase4 2 2 2" xfId="5921" xr:uid="{00000000-0005-0000-0000-0000F6000000}"/>
    <cellStyle name="20% - Ênfase4 2 2 2 2" xfId="5922" xr:uid="{00000000-0005-0000-0000-0000F7000000}"/>
    <cellStyle name="20% - Ênfase4 2 2 2 2 2" xfId="5923" xr:uid="{00000000-0005-0000-0000-0000F8000000}"/>
    <cellStyle name="20% - Ênfase4 2 2 2 2 2 2" xfId="5924" xr:uid="{00000000-0005-0000-0000-0000F9000000}"/>
    <cellStyle name="20% - Ênfase4 2 2 2 2 2 2 2" xfId="5925" xr:uid="{00000000-0005-0000-0000-0000FA000000}"/>
    <cellStyle name="20% - Ênfase4 2 2 2 2 2 2 2 2" xfId="5926" xr:uid="{00000000-0005-0000-0000-0000FB000000}"/>
    <cellStyle name="20% - Ênfase4 2 2 2 2 2 2 3" xfId="5927" xr:uid="{00000000-0005-0000-0000-0000FC000000}"/>
    <cellStyle name="20% - Ênfase4 2 2 2 2 2 3" xfId="5928" xr:uid="{00000000-0005-0000-0000-0000FD000000}"/>
    <cellStyle name="20% - Ênfase4 2 2 2 2 2 3 2" xfId="5929" xr:uid="{00000000-0005-0000-0000-0000FE000000}"/>
    <cellStyle name="20% - Ênfase4 2 2 2 2 3" xfId="5930" xr:uid="{00000000-0005-0000-0000-0000FF000000}"/>
    <cellStyle name="20% - Ênfase4 2 2 2 2 3 2" xfId="5931" xr:uid="{00000000-0005-0000-0000-000000010000}"/>
    <cellStyle name="20% - Ênfase4 2 2 2 3" xfId="5932" xr:uid="{00000000-0005-0000-0000-000001010000}"/>
    <cellStyle name="20% - Ênfase4 2 2 2 4" xfId="5933" xr:uid="{00000000-0005-0000-0000-000002010000}"/>
    <cellStyle name="20% - Ênfase4 2 2 2 4 2" xfId="5934" xr:uid="{00000000-0005-0000-0000-000003010000}"/>
    <cellStyle name="20% - Ênfase4 2 2 3" xfId="5935" xr:uid="{00000000-0005-0000-0000-000004010000}"/>
    <cellStyle name="20% - Ênfase4 2 2 4" xfId="5936" xr:uid="{00000000-0005-0000-0000-000005010000}"/>
    <cellStyle name="20% - Ênfase4 2 2 4 2" xfId="5937" xr:uid="{00000000-0005-0000-0000-000006010000}"/>
    <cellStyle name="20% - Ênfase4 2 3" xfId="5938" xr:uid="{00000000-0005-0000-0000-000007010000}"/>
    <cellStyle name="20% - Ênfase4 2 4" xfId="5939" xr:uid="{00000000-0005-0000-0000-000008010000}"/>
    <cellStyle name="20% - Ênfase4 2 5" xfId="5940" xr:uid="{00000000-0005-0000-0000-000009010000}"/>
    <cellStyle name="20% - Ênfase4 2 6" xfId="5941" xr:uid="{00000000-0005-0000-0000-00000A010000}"/>
    <cellStyle name="20% - Ênfase4 2 6 2" xfId="5942" xr:uid="{00000000-0005-0000-0000-00000B010000}"/>
    <cellStyle name="20% - Ênfase4 2 7" xfId="5919" xr:uid="{00000000-0005-0000-0000-00000C010000}"/>
    <cellStyle name="20% - Ênfase4 3" xfId="5209" xr:uid="{00000000-0005-0000-0000-00000D010000}"/>
    <cellStyle name="20% - Ênfase4 3 2" xfId="5944" xr:uid="{00000000-0005-0000-0000-00000E010000}"/>
    <cellStyle name="20% - Ênfase4 3 3" xfId="5945" xr:uid="{00000000-0005-0000-0000-00000F010000}"/>
    <cellStyle name="20% - Ênfase4 3 4" xfId="5946" xr:uid="{00000000-0005-0000-0000-000010010000}"/>
    <cellStyle name="20% - Ênfase4 3 5" xfId="5943" xr:uid="{00000000-0005-0000-0000-000011010000}"/>
    <cellStyle name="20% - Ênfase4 4" xfId="5335" xr:uid="{00000000-0005-0000-0000-000012010000}"/>
    <cellStyle name="20% - Ênfase4 4 2" xfId="5948" xr:uid="{00000000-0005-0000-0000-000013010000}"/>
    <cellStyle name="20% - Ênfase4 4 3" xfId="5949" xr:uid="{00000000-0005-0000-0000-000014010000}"/>
    <cellStyle name="20% - Ênfase4 4 4" xfId="5947" xr:uid="{00000000-0005-0000-0000-000015010000}"/>
    <cellStyle name="20% - Ênfase4 5" xfId="5364" xr:uid="{00000000-0005-0000-0000-000016010000}"/>
    <cellStyle name="20% - Ênfase4 5 2" xfId="5951" xr:uid="{00000000-0005-0000-0000-000017010000}"/>
    <cellStyle name="20% - Ênfase4 5 3" xfId="5950" xr:uid="{00000000-0005-0000-0000-000018010000}"/>
    <cellStyle name="20% - Ênfase4 6" xfId="5392" xr:uid="{00000000-0005-0000-0000-000019010000}"/>
    <cellStyle name="20% - Ênfase4 6 2" xfId="5953" xr:uid="{00000000-0005-0000-0000-00001A010000}"/>
    <cellStyle name="20% - Ênfase4 6 3" xfId="7311" xr:uid="{00000000-0005-0000-0000-00001B010000}"/>
    <cellStyle name="20% - Ênfase4 6 4" xfId="5952" xr:uid="{00000000-0005-0000-0000-00001C010000}"/>
    <cellStyle name="20% - Ênfase4 7" xfId="5419" xr:uid="{00000000-0005-0000-0000-00001D010000}"/>
    <cellStyle name="20% - Ênfase4 7 2" xfId="7312" xr:uid="{00000000-0005-0000-0000-00001E010000}"/>
    <cellStyle name="20% - Ênfase4 7 3" xfId="5954" xr:uid="{00000000-0005-0000-0000-00001F010000}"/>
    <cellStyle name="20% - Ênfase4 8" xfId="5444" xr:uid="{00000000-0005-0000-0000-000020010000}"/>
    <cellStyle name="20% - Ênfase4 9" xfId="5457" xr:uid="{00000000-0005-0000-0000-000021010000}"/>
    <cellStyle name="20% - Ênfase5" xfId="11" xr:uid="{00000000-0005-0000-0000-000022010000}"/>
    <cellStyle name="20% - Ênfase5 10" xfId="5493" xr:uid="{00000000-0005-0000-0000-000023010000}"/>
    <cellStyle name="20% - Ênfase5 11" xfId="5598" xr:uid="{00000000-0005-0000-0000-000024010000}"/>
    <cellStyle name="20% - Ênfase5 12" xfId="5627" xr:uid="{00000000-0005-0000-0000-000025010000}"/>
    <cellStyle name="20% - Ênfase5 13" xfId="5652" xr:uid="{00000000-0005-0000-0000-000026010000}"/>
    <cellStyle name="20% - Ênfase5 14" xfId="5665" xr:uid="{00000000-0005-0000-0000-000027010000}"/>
    <cellStyle name="20% - Ênfase5 15" xfId="5688" xr:uid="{00000000-0005-0000-0000-000028010000}"/>
    <cellStyle name="20% - Ênfase5 16" xfId="5748" xr:uid="{00000000-0005-0000-0000-000029010000}"/>
    <cellStyle name="20% - Ênfase5 17" xfId="5800" xr:uid="{00000000-0005-0000-0000-00002A010000}"/>
    <cellStyle name="20% - Ênfase5 2" xfId="4939" xr:uid="{00000000-0005-0000-0000-00002B010000}"/>
    <cellStyle name="20% - Ênfase5 2 2" xfId="5956" xr:uid="{00000000-0005-0000-0000-00002C010000}"/>
    <cellStyle name="20% - Ênfase5 2 2 2" xfId="5957" xr:uid="{00000000-0005-0000-0000-00002D010000}"/>
    <cellStyle name="20% - Ênfase5 2 2 2 2" xfId="5958" xr:uid="{00000000-0005-0000-0000-00002E010000}"/>
    <cellStyle name="20% - Ênfase5 2 2 2 2 2" xfId="5959" xr:uid="{00000000-0005-0000-0000-00002F010000}"/>
    <cellStyle name="20% - Ênfase5 2 2 2 2 2 2" xfId="5960" xr:uid="{00000000-0005-0000-0000-000030010000}"/>
    <cellStyle name="20% - Ênfase5 2 2 2 2 2 2 2" xfId="5961" xr:uid="{00000000-0005-0000-0000-000031010000}"/>
    <cellStyle name="20% - Ênfase5 2 2 2 2 2 2 2 2" xfId="5962" xr:uid="{00000000-0005-0000-0000-000032010000}"/>
    <cellStyle name="20% - Ênfase5 2 2 2 2 2 2 3" xfId="5963" xr:uid="{00000000-0005-0000-0000-000033010000}"/>
    <cellStyle name="20% - Ênfase5 2 2 2 2 2 3" xfId="5964" xr:uid="{00000000-0005-0000-0000-000034010000}"/>
    <cellStyle name="20% - Ênfase5 2 2 2 2 2 3 2" xfId="5965" xr:uid="{00000000-0005-0000-0000-000035010000}"/>
    <cellStyle name="20% - Ênfase5 2 2 2 2 3" xfId="5966" xr:uid="{00000000-0005-0000-0000-000036010000}"/>
    <cellStyle name="20% - Ênfase5 2 2 2 2 3 2" xfId="5967" xr:uid="{00000000-0005-0000-0000-000037010000}"/>
    <cellStyle name="20% - Ênfase5 2 2 2 3" xfId="5968" xr:uid="{00000000-0005-0000-0000-000038010000}"/>
    <cellStyle name="20% - Ênfase5 2 2 2 4" xfId="5969" xr:uid="{00000000-0005-0000-0000-000039010000}"/>
    <cellStyle name="20% - Ênfase5 2 2 2 4 2" xfId="5970" xr:uid="{00000000-0005-0000-0000-00003A010000}"/>
    <cellStyle name="20% - Ênfase5 2 2 3" xfId="5971" xr:uid="{00000000-0005-0000-0000-00003B010000}"/>
    <cellStyle name="20% - Ênfase5 2 2 4" xfId="5972" xr:uid="{00000000-0005-0000-0000-00003C010000}"/>
    <cellStyle name="20% - Ênfase5 2 2 4 2" xfId="5973" xr:uid="{00000000-0005-0000-0000-00003D010000}"/>
    <cellStyle name="20% - Ênfase5 2 3" xfId="5974" xr:uid="{00000000-0005-0000-0000-00003E010000}"/>
    <cellStyle name="20% - Ênfase5 2 4" xfId="5975" xr:uid="{00000000-0005-0000-0000-00003F010000}"/>
    <cellStyle name="20% - Ênfase5 2 5" xfId="5976" xr:uid="{00000000-0005-0000-0000-000040010000}"/>
    <cellStyle name="20% - Ênfase5 2 6" xfId="5977" xr:uid="{00000000-0005-0000-0000-000041010000}"/>
    <cellStyle name="20% - Ênfase5 2 6 2" xfId="5978" xr:uid="{00000000-0005-0000-0000-000042010000}"/>
    <cellStyle name="20% - Ênfase5 2 7" xfId="5955" xr:uid="{00000000-0005-0000-0000-000043010000}"/>
    <cellStyle name="20% - Ênfase5 3" xfId="5210" xr:uid="{00000000-0005-0000-0000-000044010000}"/>
    <cellStyle name="20% - Ênfase5 3 2" xfId="5980" xr:uid="{00000000-0005-0000-0000-000045010000}"/>
    <cellStyle name="20% - Ênfase5 3 3" xfId="5981" xr:uid="{00000000-0005-0000-0000-000046010000}"/>
    <cellStyle name="20% - Ênfase5 3 4" xfId="5982" xr:uid="{00000000-0005-0000-0000-000047010000}"/>
    <cellStyle name="20% - Ênfase5 3 5" xfId="5979" xr:uid="{00000000-0005-0000-0000-000048010000}"/>
    <cellStyle name="20% - Ênfase5 4" xfId="5334" xr:uid="{00000000-0005-0000-0000-000049010000}"/>
    <cellStyle name="20% - Ênfase5 4 2" xfId="5984" xr:uid="{00000000-0005-0000-0000-00004A010000}"/>
    <cellStyle name="20% - Ênfase5 4 3" xfId="5985" xr:uid="{00000000-0005-0000-0000-00004B010000}"/>
    <cellStyle name="20% - Ênfase5 4 4" xfId="5983" xr:uid="{00000000-0005-0000-0000-00004C010000}"/>
    <cellStyle name="20% - Ênfase5 5" xfId="5363" xr:uid="{00000000-0005-0000-0000-00004D010000}"/>
    <cellStyle name="20% - Ênfase5 5 2" xfId="5987" xr:uid="{00000000-0005-0000-0000-00004E010000}"/>
    <cellStyle name="20% - Ênfase5 5 3" xfId="5986" xr:uid="{00000000-0005-0000-0000-00004F010000}"/>
    <cellStyle name="20% - Ênfase5 6" xfId="5391" xr:uid="{00000000-0005-0000-0000-000050010000}"/>
    <cellStyle name="20% - Ênfase5 6 2" xfId="5989" xr:uid="{00000000-0005-0000-0000-000051010000}"/>
    <cellStyle name="20% - Ênfase5 6 3" xfId="7313" xr:uid="{00000000-0005-0000-0000-000052010000}"/>
    <cellStyle name="20% - Ênfase5 6 4" xfId="5988" xr:uid="{00000000-0005-0000-0000-000053010000}"/>
    <cellStyle name="20% - Ênfase5 7" xfId="5418" xr:uid="{00000000-0005-0000-0000-000054010000}"/>
    <cellStyle name="20% - Ênfase5 7 2" xfId="7314" xr:uid="{00000000-0005-0000-0000-000055010000}"/>
    <cellStyle name="20% - Ênfase5 7 3" xfId="5990" xr:uid="{00000000-0005-0000-0000-000056010000}"/>
    <cellStyle name="20% - Ênfase5 8" xfId="5443" xr:uid="{00000000-0005-0000-0000-000057010000}"/>
    <cellStyle name="20% - Ênfase5 9" xfId="5456" xr:uid="{00000000-0005-0000-0000-000058010000}"/>
    <cellStyle name="20% - Ênfase6" xfId="12" xr:uid="{00000000-0005-0000-0000-000059010000}"/>
    <cellStyle name="20% - Ênfase6 10" xfId="5494" xr:uid="{00000000-0005-0000-0000-00005A010000}"/>
    <cellStyle name="20% - Ênfase6 11" xfId="5597" xr:uid="{00000000-0005-0000-0000-00005B010000}"/>
    <cellStyle name="20% - Ênfase6 12" xfId="5626" xr:uid="{00000000-0005-0000-0000-00005C010000}"/>
    <cellStyle name="20% - Ênfase6 13" xfId="5651" xr:uid="{00000000-0005-0000-0000-00005D010000}"/>
    <cellStyle name="20% - Ênfase6 14" xfId="5664" xr:uid="{00000000-0005-0000-0000-00005E010000}"/>
    <cellStyle name="20% - Ênfase6 15" xfId="5689" xr:uid="{00000000-0005-0000-0000-00005F010000}"/>
    <cellStyle name="20% - Ênfase6 16" xfId="5747" xr:uid="{00000000-0005-0000-0000-000060010000}"/>
    <cellStyle name="20% - Ênfase6 17" xfId="5804" xr:uid="{00000000-0005-0000-0000-000061010000}"/>
    <cellStyle name="20% - Ênfase6 2" xfId="4940" xr:uid="{00000000-0005-0000-0000-000062010000}"/>
    <cellStyle name="20% - Ênfase6 2 2" xfId="5992" xr:uid="{00000000-0005-0000-0000-000063010000}"/>
    <cellStyle name="20% - Ênfase6 2 2 2" xfId="5993" xr:uid="{00000000-0005-0000-0000-000064010000}"/>
    <cellStyle name="20% - Ênfase6 2 2 2 2" xfId="5994" xr:uid="{00000000-0005-0000-0000-000065010000}"/>
    <cellStyle name="20% - Ênfase6 2 2 2 2 2" xfId="5995" xr:uid="{00000000-0005-0000-0000-000066010000}"/>
    <cellStyle name="20% - Ênfase6 2 2 2 2 2 2" xfId="5996" xr:uid="{00000000-0005-0000-0000-000067010000}"/>
    <cellStyle name="20% - Ênfase6 2 2 2 2 2 2 2" xfId="5997" xr:uid="{00000000-0005-0000-0000-000068010000}"/>
    <cellStyle name="20% - Ênfase6 2 2 2 2 2 2 2 2" xfId="5998" xr:uid="{00000000-0005-0000-0000-000069010000}"/>
    <cellStyle name="20% - Ênfase6 2 2 2 2 2 2 3" xfId="5999" xr:uid="{00000000-0005-0000-0000-00006A010000}"/>
    <cellStyle name="20% - Ênfase6 2 2 2 2 2 3" xfId="6000" xr:uid="{00000000-0005-0000-0000-00006B010000}"/>
    <cellStyle name="20% - Ênfase6 2 2 2 2 2 3 2" xfId="6001" xr:uid="{00000000-0005-0000-0000-00006C010000}"/>
    <cellStyle name="20% - Ênfase6 2 2 2 2 3" xfId="6002" xr:uid="{00000000-0005-0000-0000-00006D010000}"/>
    <cellStyle name="20% - Ênfase6 2 2 2 2 3 2" xfId="6003" xr:uid="{00000000-0005-0000-0000-00006E010000}"/>
    <cellStyle name="20% - Ênfase6 2 2 2 3" xfId="6004" xr:uid="{00000000-0005-0000-0000-00006F010000}"/>
    <cellStyle name="20% - Ênfase6 2 2 2 4" xfId="6005" xr:uid="{00000000-0005-0000-0000-000070010000}"/>
    <cellStyle name="20% - Ênfase6 2 2 2 4 2" xfId="6006" xr:uid="{00000000-0005-0000-0000-000071010000}"/>
    <cellStyle name="20% - Ênfase6 2 2 3" xfId="6007" xr:uid="{00000000-0005-0000-0000-000072010000}"/>
    <cellStyle name="20% - Ênfase6 2 2 4" xfId="6008" xr:uid="{00000000-0005-0000-0000-000073010000}"/>
    <cellStyle name="20% - Ênfase6 2 2 4 2" xfId="6009" xr:uid="{00000000-0005-0000-0000-000074010000}"/>
    <cellStyle name="20% - Ênfase6 2 3" xfId="6010" xr:uid="{00000000-0005-0000-0000-000075010000}"/>
    <cellStyle name="20% - Ênfase6 2 4" xfId="6011" xr:uid="{00000000-0005-0000-0000-000076010000}"/>
    <cellStyle name="20% - Ênfase6 2 5" xfId="6012" xr:uid="{00000000-0005-0000-0000-000077010000}"/>
    <cellStyle name="20% - Ênfase6 2 6" xfId="6013" xr:uid="{00000000-0005-0000-0000-000078010000}"/>
    <cellStyle name="20% - Ênfase6 2 6 2" xfId="6014" xr:uid="{00000000-0005-0000-0000-000079010000}"/>
    <cellStyle name="20% - Ênfase6 2 7" xfId="5991" xr:uid="{00000000-0005-0000-0000-00007A010000}"/>
    <cellStyle name="20% - Ênfase6 3" xfId="5211" xr:uid="{00000000-0005-0000-0000-00007B010000}"/>
    <cellStyle name="20% - Ênfase6 3 2" xfId="6016" xr:uid="{00000000-0005-0000-0000-00007C010000}"/>
    <cellStyle name="20% - Ênfase6 3 3" xfId="6017" xr:uid="{00000000-0005-0000-0000-00007D010000}"/>
    <cellStyle name="20% - Ênfase6 3 4" xfId="6018" xr:uid="{00000000-0005-0000-0000-00007E010000}"/>
    <cellStyle name="20% - Ênfase6 3 5" xfId="6015" xr:uid="{00000000-0005-0000-0000-00007F010000}"/>
    <cellStyle name="20% - Ênfase6 4" xfId="5333" xr:uid="{00000000-0005-0000-0000-000080010000}"/>
    <cellStyle name="20% - Ênfase6 4 2" xfId="6020" xr:uid="{00000000-0005-0000-0000-000081010000}"/>
    <cellStyle name="20% - Ênfase6 4 3" xfId="6021" xr:uid="{00000000-0005-0000-0000-000082010000}"/>
    <cellStyle name="20% - Ênfase6 4 4" xfId="6019" xr:uid="{00000000-0005-0000-0000-000083010000}"/>
    <cellStyle name="20% - Ênfase6 5" xfId="5362" xr:uid="{00000000-0005-0000-0000-000084010000}"/>
    <cellStyle name="20% - Ênfase6 5 2" xfId="6023" xr:uid="{00000000-0005-0000-0000-000085010000}"/>
    <cellStyle name="20% - Ênfase6 5 3" xfId="6022" xr:uid="{00000000-0005-0000-0000-000086010000}"/>
    <cellStyle name="20% - Ênfase6 6" xfId="5390" xr:uid="{00000000-0005-0000-0000-000087010000}"/>
    <cellStyle name="20% - Ênfase6 6 2" xfId="6025" xr:uid="{00000000-0005-0000-0000-000088010000}"/>
    <cellStyle name="20% - Ênfase6 6 3" xfId="7315" xr:uid="{00000000-0005-0000-0000-000089010000}"/>
    <cellStyle name="20% - Ênfase6 6 4" xfId="6024" xr:uid="{00000000-0005-0000-0000-00008A010000}"/>
    <cellStyle name="20% - Ênfase6 7" xfId="5417" xr:uid="{00000000-0005-0000-0000-00008B010000}"/>
    <cellStyle name="20% - Ênfase6 7 2" xfId="7316" xr:uid="{00000000-0005-0000-0000-00008C010000}"/>
    <cellStyle name="20% - Ênfase6 7 3" xfId="6026" xr:uid="{00000000-0005-0000-0000-00008D010000}"/>
    <cellStyle name="20% - Ênfase6 8" xfId="5442" xr:uid="{00000000-0005-0000-0000-00008E010000}"/>
    <cellStyle name="20% - Ênfase6 9" xfId="5455" xr:uid="{00000000-0005-0000-0000-00008F010000}"/>
    <cellStyle name="20% - Énfasis1" xfId="203" xr:uid="{00000000-0005-0000-0000-000090010000}"/>
    <cellStyle name="20% - Énfasis1 2" xfId="204" xr:uid="{00000000-0005-0000-0000-000091010000}"/>
    <cellStyle name="20% - Énfasis1 3" xfId="205" xr:uid="{00000000-0005-0000-0000-000092010000}"/>
    <cellStyle name="20% - Énfasis1 4" xfId="206" xr:uid="{00000000-0005-0000-0000-000093010000}"/>
    <cellStyle name="20% - Énfasis1 5" xfId="207" xr:uid="{00000000-0005-0000-0000-000094010000}"/>
    <cellStyle name="20% - Énfasis1 6" xfId="208" xr:uid="{00000000-0005-0000-0000-000095010000}"/>
    <cellStyle name="20% - Énfasis1 7" xfId="209" xr:uid="{00000000-0005-0000-0000-000096010000}"/>
    <cellStyle name="20% - Énfasis2" xfId="210" xr:uid="{00000000-0005-0000-0000-000097010000}"/>
    <cellStyle name="20% - Énfasis2 2" xfId="211" xr:uid="{00000000-0005-0000-0000-000098010000}"/>
    <cellStyle name="20% - Énfasis2 3" xfId="212" xr:uid="{00000000-0005-0000-0000-000099010000}"/>
    <cellStyle name="20% - Énfasis2 4" xfId="213" xr:uid="{00000000-0005-0000-0000-00009A010000}"/>
    <cellStyle name="20% - Énfasis2 5" xfId="214" xr:uid="{00000000-0005-0000-0000-00009B010000}"/>
    <cellStyle name="20% - Énfasis2 6" xfId="215" xr:uid="{00000000-0005-0000-0000-00009C010000}"/>
    <cellStyle name="20% - Énfasis2 7" xfId="216" xr:uid="{00000000-0005-0000-0000-00009D010000}"/>
    <cellStyle name="20% - Énfasis3" xfId="217" xr:uid="{00000000-0005-0000-0000-00009E010000}"/>
    <cellStyle name="20% - Énfasis3 2" xfId="218" xr:uid="{00000000-0005-0000-0000-00009F010000}"/>
    <cellStyle name="20% - Énfasis3 3" xfId="219" xr:uid="{00000000-0005-0000-0000-0000A0010000}"/>
    <cellStyle name="20% - Énfasis3 4" xfId="220" xr:uid="{00000000-0005-0000-0000-0000A1010000}"/>
    <cellStyle name="20% - Énfasis3 5" xfId="221" xr:uid="{00000000-0005-0000-0000-0000A2010000}"/>
    <cellStyle name="20% - Énfasis3 6" xfId="222" xr:uid="{00000000-0005-0000-0000-0000A3010000}"/>
    <cellStyle name="20% - Énfasis3 7" xfId="223" xr:uid="{00000000-0005-0000-0000-0000A4010000}"/>
    <cellStyle name="20% - Énfasis4" xfId="224" xr:uid="{00000000-0005-0000-0000-0000A5010000}"/>
    <cellStyle name="20% - Énfasis4 2" xfId="225" xr:uid="{00000000-0005-0000-0000-0000A6010000}"/>
    <cellStyle name="20% - Énfasis4 3" xfId="226" xr:uid="{00000000-0005-0000-0000-0000A7010000}"/>
    <cellStyle name="20% - Énfasis4 4" xfId="227" xr:uid="{00000000-0005-0000-0000-0000A8010000}"/>
    <cellStyle name="20% - Énfasis4 5" xfId="228" xr:uid="{00000000-0005-0000-0000-0000A9010000}"/>
    <cellStyle name="20% - Énfasis4 6" xfId="229" xr:uid="{00000000-0005-0000-0000-0000AA010000}"/>
    <cellStyle name="20% - Énfasis4 7" xfId="230" xr:uid="{00000000-0005-0000-0000-0000AB010000}"/>
    <cellStyle name="20% - Énfasis5" xfId="231" xr:uid="{00000000-0005-0000-0000-0000AC010000}"/>
    <cellStyle name="20% - Énfasis5 2" xfId="232" xr:uid="{00000000-0005-0000-0000-0000AD010000}"/>
    <cellStyle name="20% - Énfasis5 3" xfId="233" xr:uid="{00000000-0005-0000-0000-0000AE010000}"/>
    <cellStyle name="20% - Énfasis5 4" xfId="234" xr:uid="{00000000-0005-0000-0000-0000AF010000}"/>
    <cellStyle name="20% - Énfasis5 5" xfId="235" xr:uid="{00000000-0005-0000-0000-0000B0010000}"/>
    <cellStyle name="20% - Énfasis5 6" xfId="236" xr:uid="{00000000-0005-0000-0000-0000B1010000}"/>
    <cellStyle name="20% - Énfasis5 7" xfId="237" xr:uid="{00000000-0005-0000-0000-0000B2010000}"/>
    <cellStyle name="20% - Énfasis6" xfId="238" xr:uid="{00000000-0005-0000-0000-0000B3010000}"/>
    <cellStyle name="20% - Énfasis6 2" xfId="239" xr:uid="{00000000-0005-0000-0000-0000B4010000}"/>
    <cellStyle name="20% - Énfasis6 3" xfId="240" xr:uid="{00000000-0005-0000-0000-0000B5010000}"/>
    <cellStyle name="20% - Énfasis6 4" xfId="241" xr:uid="{00000000-0005-0000-0000-0000B6010000}"/>
    <cellStyle name="20% - Énfasis6 5" xfId="242" xr:uid="{00000000-0005-0000-0000-0000B7010000}"/>
    <cellStyle name="20% - Énfasis6 6" xfId="243" xr:uid="{00000000-0005-0000-0000-0000B8010000}"/>
    <cellStyle name="20% - Énfasis6 7" xfId="244" xr:uid="{00000000-0005-0000-0000-0000B9010000}"/>
    <cellStyle name="2o.nível" xfId="245" xr:uid="{00000000-0005-0000-0000-0000BA010000}"/>
    <cellStyle name="³f¹ô [0]_ATT4" xfId="4941" xr:uid="{00000000-0005-0000-0000-0000BB010000}"/>
    <cellStyle name="³f¹ô[0]_Template 12 - Bank (3)" xfId="4942" xr:uid="{00000000-0005-0000-0000-0000BC010000}"/>
    <cellStyle name="³f¹ô_ATT4" xfId="4943" xr:uid="{00000000-0005-0000-0000-0000BD010000}"/>
    <cellStyle name="40% - Accent1" xfId="13" xr:uid="{00000000-0005-0000-0000-0000BE010000}"/>
    <cellStyle name="40% - Accent1 2" xfId="106" xr:uid="{00000000-0005-0000-0000-0000BF010000}"/>
    <cellStyle name="40% - Accent1 3" xfId="246" xr:uid="{00000000-0005-0000-0000-0000C0010000}"/>
    <cellStyle name="40% - Accent1 4" xfId="247" xr:uid="{00000000-0005-0000-0000-0000C1010000}"/>
    <cellStyle name="40% - Accent1 5" xfId="248" xr:uid="{00000000-0005-0000-0000-0000C2010000}"/>
    <cellStyle name="40% - Accent1 6" xfId="249" xr:uid="{00000000-0005-0000-0000-0000C3010000}"/>
    <cellStyle name="40% - Accent1 7" xfId="250" xr:uid="{00000000-0005-0000-0000-0000C4010000}"/>
    <cellStyle name="40% - Accent2" xfId="14" xr:uid="{00000000-0005-0000-0000-0000C5010000}"/>
    <cellStyle name="40% - Accent2 2" xfId="107" xr:uid="{00000000-0005-0000-0000-0000C6010000}"/>
    <cellStyle name="40% - Accent2 3" xfId="251" xr:uid="{00000000-0005-0000-0000-0000C7010000}"/>
    <cellStyle name="40% - Accent2 4" xfId="252" xr:uid="{00000000-0005-0000-0000-0000C8010000}"/>
    <cellStyle name="40% - Accent2 5" xfId="253" xr:uid="{00000000-0005-0000-0000-0000C9010000}"/>
    <cellStyle name="40% - Accent2 6" xfId="254" xr:uid="{00000000-0005-0000-0000-0000CA010000}"/>
    <cellStyle name="40% - Accent2 7" xfId="255" xr:uid="{00000000-0005-0000-0000-0000CB010000}"/>
    <cellStyle name="40% - Accent3" xfId="15" xr:uid="{00000000-0005-0000-0000-0000CC010000}"/>
    <cellStyle name="40% - Accent3 2" xfId="108" xr:uid="{00000000-0005-0000-0000-0000CD010000}"/>
    <cellStyle name="40% - Accent3 3" xfId="256" xr:uid="{00000000-0005-0000-0000-0000CE010000}"/>
    <cellStyle name="40% - Accent3 4" xfId="257" xr:uid="{00000000-0005-0000-0000-0000CF010000}"/>
    <cellStyle name="40% - Accent3 5" xfId="258" xr:uid="{00000000-0005-0000-0000-0000D0010000}"/>
    <cellStyle name="40% - Accent3 6" xfId="259" xr:uid="{00000000-0005-0000-0000-0000D1010000}"/>
    <cellStyle name="40% - Accent3 7" xfId="260" xr:uid="{00000000-0005-0000-0000-0000D2010000}"/>
    <cellStyle name="40% - Accent4" xfId="16" xr:uid="{00000000-0005-0000-0000-0000D3010000}"/>
    <cellStyle name="40% - Accent4 2" xfId="109" xr:uid="{00000000-0005-0000-0000-0000D4010000}"/>
    <cellStyle name="40% - Accent4 3" xfId="261" xr:uid="{00000000-0005-0000-0000-0000D5010000}"/>
    <cellStyle name="40% - Accent4 4" xfId="262" xr:uid="{00000000-0005-0000-0000-0000D6010000}"/>
    <cellStyle name="40% - Accent4 5" xfId="263" xr:uid="{00000000-0005-0000-0000-0000D7010000}"/>
    <cellStyle name="40% - Accent4 6" xfId="264" xr:uid="{00000000-0005-0000-0000-0000D8010000}"/>
    <cellStyle name="40% - Accent4 7" xfId="265" xr:uid="{00000000-0005-0000-0000-0000D9010000}"/>
    <cellStyle name="40% - Accent5" xfId="17" xr:uid="{00000000-0005-0000-0000-0000DA010000}"/>
    <cellStyle name="40% - Accent5 2" xfId="110" xr:uid="{00000000-0005-0000-0000-0000DB010000}"/>
    <cellStyle name="40% - Accent5 3" xfId="266" xr:uid="{00000000-0005-0000-0000-0000DC010000}"/>
    <cellStyle name="40% - Accent5 4" xfId="267" xr:uid="{00000000-0005-0000-0000-0000DD010000}"/>
    <cellStyle name="40% - Accent5 5" xfId="268" xr:uid="{00000000-0005-0000-0000-0000DE010000}"/>
    <cellStyle name="40% - Accent5 6" xfId="269" xr:uid="{00000000-0005-0000-0000-0000DF010000}"/>
    <cellStyle name="40% - Accent5 7" xfId="270" xr:uid="{00000000-0005-0000-0000-0000E0010000}"/>
    <cellStyle name="40% - Accent6" xfId="18" xr:uid="{00000000-0005-0000-0000-0000E1010000}"/>
    <cellStyle name="40% - Accent6 2" xfId="111" xr:uid="{00000000-0005-0000-0000-0000E2010000}"/>
    <cellStyle name="40% - Accent6 3" xfId="271" xr:uid="{00000000-0005-0000-0000-0000E3010000}"/>
    <cellStyle name="40% - Accent6 4" xfId="272" xr:uid="{00000000-0005-0000-0000-0000E4010000}"/>
    <cellStyle name="40% - Accent6 5" xfId="273" xr:uid="{00000000-0005-0000-0000-0000E5010000}"/>
    <cellStyle name="40% - Accent6 6" xfId="274" xr:uid="{00000000-0005-0000-0000-0000E6010000}"/>
    <cellStyle name="40% - Accent6 7" xfId="275" xr:uid="{00000000-0005-0000-0000-0000E7010000}"/>
    <cellStyle name="40% - Ênfase1" xfId="19" xr:uid="{00000000-0005-0000-0000-0000E8010000}"/>
    <cellStyle name="40% - Ênfase1 10" xfId="5499" xr:uid="{00000000-0005-0000-0000-0000E9010000}"/>
    <cellStyle name="40% - Ênfase1 11" xfId="5595" xr:uid="{00000000-0005-0000-0000-0000EA010000}"/>
    <cellStyle name="40% - Ênfase1 12" xfId="5475" xr:uid="{00000000-0005-0000-0000-0000EB010000}"/>
    <cellStyle name="40% - Ênfase1 13" xfId="5622" xr:uid="{00000000-0005-0000-0000-0000EC010000}"/>
    <cellStyle name="40% - Ênfase1 14" xfId="5650" xr:uid="{00000000-0005-0000-0000-0000ED010000}"/>
    <cellStyle name="40% - Ênfase1 15" xfId="5692" xr:uid="{00000000-0005-0000-0000-0000EE010000}"/>
    <cellStyle name="40% - Ênfase1 16" xfId="5746" xr:uid="{00000000-0005-0000-0000-0000EF010000}"/>
    <cellStyle name="40% - Ênfase1 17" xfId="5785" xr:uid="{00000000-0005-0000-0000-0000F0010000}"/>
    <cellStyle name="40% - Ênfase1 2" xfId="4944" xr:uid="{00000000-0005-0000-0000-0000F1010000}"/>
    <cellStyle name="40% - Ênfase1 2 2" xfId="6028" xr:uid="{00000000-0005-0000-0000-0000F2010000}"/>
    <cellStyle name="40% - Ênfase1 2 2 2" xfId="6029" xr:uid="{00000000-0005-0000-0000-0000F3010000}"/>
    <cellStyle name="40% - Ênfase1 2 2 2 2" xfId="6030" xr:uid="{00000000-0005-0000-0000-0000F4010000}"/>
    <cellStyle name="40% - Ênfase1 2 2 2 2 2" xfId="6031" xr:uid="{00000000-0005-0000-0000-0000F5010000}"/>
    <cellStyle name="40% - Ênfase1 2 2 2 2 2 2" xfId="6032" xr:uid="{00000000-0005-0000-0000-0000F6010000}"/>
    <cellStyle name="40% - Ênfase1 2 2 2 2 2 2 2" xfId="6033" xr:uid="{00000000-0005-0000-0000-0000F7010000}"/>
    <cellStyle name="40% - Ênfase1 2 2 2 2 2 2 2 2" xfId="6034" xr:uid="{00000000-0005-0000-0000-0000F8010000}"/>
    <cellStyle name="40% - Ênfase1 2 2 2 2 2 2 3" xfId="6035" xr:uid="{00000000-0005-0000-0000-0000F9010000}"/>
    <cellStyle name="40% - Ênfase1 2 2 2 2 2 3" xfId="6036" xr:uid="{00000000-0005-0000-0000-0000FA010000}"/>
    <cellStyle name="40% - Ênfase1 2 2 2 2 2 3 2" xfId="6037" xr:uid="{00000000-0005-0000-0000-0000FB010000}"/>
    <cellStyle name="40% - Ênfase1 2 2 2 2 3" xfId="6038" xr:uid="{00000000-0005-0000-0000-0000FC010000}"/>
    <cellStyle name="40% - Ênfase1 2 2 2 2 3 2" xfId="6039" xr:uid="{00000000-0005-0000-0000-0000FD010000}"/>
    <cellStyle name="40% - Ênfase1 2 2 2 3" xfId="6040" xr:uid="{00000000-0005-0000-0000-0000FE010000}"/>
    <cellStyle name="40% - Ênfase1 2 2 2 4" xfId="6041" xr:uid="{00000000-0005-0000-0000-0000FF010000}"/>
    <cellStyle name="40% - Ênfase1 2 2 2 4 2" xfId="6042" xr:uid="{00000000-0005-0000-0000-000000020000}"/>
    <cellStyle name="40% - Ênfase1 2 2 3" xfId="6043" xr:uid="{00000000-0005-0000-0000-000001020000}"/>
    <cellStyle name="40% - Ênfase1 2 2 4" xfId="6044" xr:uid="{00000000-0005-0000-0000-000002020000}"/>
    <cellStyle name="40% - Ênfase1 2 2 4 2" xfId="6045" xr:uid="{00000000-0005-0000-0000-000003020000}"/>
    <cellStyle name="40% - Ênfase1 2 3" xfId="6046" xr:uid="{00000000-0005-0000-0000-000004020000}"/>
    <cellStyle name="40% - Ênfase1 2 4" xfId="6047" xr:uid="{00000000-0005-0000-0000-000005020000}"/>
    <cellStyle name="40% - Ênfase1 2 5" xfId="6048" xr:uid="{00000000-0005-0000-0000-000006020000}"/>
    <cellStyle name="40% - Ênfase1 2 6" xfId="6049" xr:uid="{00000000-0005-0000-0000-000007020000}"/>
    <cellStyle name="40% - Ênfase1 2 6 2" xfId="6050" xr:uid="{00000000-0005-0000-0000-000008020000}"/>
    <cellStyle name="40% - Ênfase1 2 7" xfId="6027" xr:uid="{00000000-0005-0000-0000-000009020000}"/>
    <cellStyle name="40% - Ênfase1 3" xfId="5214" xr:uid="{00000000-0005-0000-0000-00000A020000}"/>
    <cellStyle name="40% - Ênfase1 3 2" xfId="6052" xr:uid="{00000000-0005-0000-0000-00000B020000}"/>
    <cellStyle name="40% - Ênfase1 3 3" xfId="6053" xr:uid="{00000000-0005-0000-0000-00000C020000}"/>
    <cellStyle name="40% - Ênfase1 3 4" xfId="6054" xr:uid="{00000000-0005-0000-0000-00000D020000}"/>
    <cellStyle name="40% - Ênfase1 3 5" xfId="6051" xr:uid="{00000000-0005-0000-0000-00000E020000}"/>
    <cellStyle name="40% - Ênfase1 4" xfId="5330" xr:uid="{00000000-0005-0000-0000-00000F020000}"/>
    <cellStyle name="40% - Ênfase1 4 2" xfId="6056" xr:uid="{00000000-0005-0000-0000-000010020000}"/>
    <cellStyle name="40% - Ênfase1 4 3" xfId="6057" xr:uid="{00000000-0005-0000-0000-000011020000}"/>
    <cellStyle name="40% - Ênfase1 4 4" xfId="6055" xr:uid="{00000000-0005-0000-0000-000012020000}"/>
    <cellStyle name="40% - Ênfase1 5" xfId="5191" xr:uid="{00000000-0005-0000-0000-000013020000}"/>
    <cellStyle name="40% - Ênfase1 5 2" xfId="6059" xr:uid="{00000000-0005-0000-0000-000014020000}"/>
    <cellStyle name="40% - Ênfase1 5 3" xfId="6058" xr:uid="{00000000-0005-0000-0000-000015020000}"/>
    <cellStyle name="40% - Ênfase1 6" xfId="5359" xr:uid="{00000000-0005-0000-0000-000016020000}"/>
    <cellStyle name="40% - Ênfase1 6 2" xfId="6061" xr:uid="{00000000-0005-0000-0000-000017020000}"/>
    <cellStyle name="40% - Ênfase1 6 3" xfId="7317" xr:uid="{00000000-0005-0000-0000-000018020000}"/>
    <cellStyle name="40% - Ênfase1 6 4" xfId="6060" xr:uid="{00000000-0005-0000-0000-000019020000}"/>
    <cellStyle name="40% - Ênfase1 7" xfId="5388" xr:uid="{00000000-0005-0000-0000-00001A020000}"/>
    <cellStyle name="40% - Ênfase1 7 2" xfId="7318" xr:uid="{00000000-0005-0000-0000-00001B020000}"/>
    <cellStyle name="40% - Ênfase1 7 3" xfId="6062" xr:uid="{00000000-0005-0000-0000-00001C020000}"/>
    <cellStyle name="40% - Ênfase1 8" xfId="5415" xr:uid="{00000000-0005-0000-0000-00001D020000}"/>
    <cellStyle name="40% - Ênfase1 9" xfId="5441" xr:uid="{00000000-0005-0000-0000-00001E020000}"/>
    <cellStyle name="40% - Ênfase2" xfId="20" xr:uid="{00000000-0005-0000-0000-00001F020000}"/>
    <cellStyle name="40% - Ênfase2 10" xfId="5500" xr:uid="{00000000-0005-0000-0000-000020020000}"/>
    <cellStyle name="40% - Ênfase2 11" xfId="5594" xr:uid="{00000000-0005-0000-0000-000021020000}"/>
    <cellStyle name="40% - Ênfase2 12" xfId="5476" xr:uid="{00000000-0005-0000-0000-000022020000}"/>
    <cellStyle name="40% - Ênfase2 13" xfId="5621" xr:uid="{00000000-0005-0000-0000-000023020000}"/>
    <cellStyle name="40% - Ênfase2 14" xfId="5649" xr:uid="{00000000-0005-0000-0000-000024020000}"/>
    <cellStyle name="40% - Ênfase2 15" xfId="5693" xr:uid="{00000000-0005-0000-0000-000025020000}"/>
    <cellStyle name="40% - Ênfase2 16" xfId="5745" xr:uid="{00000000-0005-0000-0000-000026020000}"/>
    <cellStyle name="40% - Ênfase2 17" xfId="5789" xr:uid="{00000000-0005-0000-0000-000027020000}"/>
    <cellStyle name="40% - Ênfase2 2" xfId="4945" xr:uid="{00000000-0005-0000-0000-000028020000}"/>
    <cellStyle name="40% - Ênfase2 2 2" xfId="6064" xr:uid="{00000000-0005-0000-0000-000029020000}"/>
    <cellStyle name="40% - Ênfase2 2 2 2" xfId="6065" xr:uid="{00000000-0005-0000-0000-00002A020000}"/>
    <cellStyle name="40% - Ênfase2 2 2 2 2" xfId="6066" xr:uid="{00000000-0005-0000-0000-00002B020000}"/>
    <cellStyle name="40% - Ênfase2 2 2 2 2 2" xfId="6067" xr:uid="{00000000-0005-0000-0000-00002C020000}"/>
    <cellStyle name="40% - Ênfase2 2 2 2 2 2 2" xfId="6068" xr:uid="{00000000-0005-0000-0000-00002D020000}"/>
    <cellStyle name="40% - Ênfase2 2 2 2 2 2 2 2" xfId="6069" xr:uid="{00000000-0005-0000-0000-00002E020000}"/>
    <cellStyle name="40% - Ênfase2 2 2 2 2 2 2 2 2" xfId="6070" xr:uid="{00000000-0005-0000-0000-00002F020000}"/>
    <cellStyle name="40% - Ênfase2 2 2 2 2 2 2 3" xfId="6071" xr:uid="{00000000-0005-0000-0000-000030020000}"/>
    <cellStyle name="40% - Ênfase2 2 2 2 2 2 3" xfId="6072" xr:uid="{00000000-0005-0000-0000-000031020000}"/>
    <cellStyle name="40% - Ênfase2 2 2 2 2 2 3 2" xfId="6073" xr:uid="{00000000-0005-0000-0000-000032020000}"/>
    <cellStyle name="40% - Ênfase2 2 2 2 2 3" xfId="6074" xr:uid="{00000000-0005-0000-0000-000033020000}"/>
    <cellStyle name="40% - Ênfase2 2 2 2 2 3 2" xfId="6075" xr:uid="{00000000-0005-0000-0000-000034020000}"/>
    <cellStyle name="40% - Ênfase2 2 2 2 3" xfId="6076" xr:uid="{00000000-0005-0000-0000-000035020000}"/>
    <cellStyle name="40% - Ênfase2 2 2 2 4" xfId="6077" xr:uid="{00000000-0005-0000-0000-000036020000}"/>
    <cellStyle name="40% - Ênfase2 2 2 2 4 2" xfId="6078" xr:uid="{00000000-0005-0000-0000-000037020000}"/>
    <cellStyle name="40% - Ênfase2 2 2 3" xfId="6079" xr:uid="{00000000-0005-0000-0000-000038020000}"/>
    <cellStyle name="40% - Ênfase2 2 2 4" xfId="6080" xr:uid="{00000000-0005-0000-0000-000039020000}"/>
    <cellStyle name="40% - Ênfase2 2 2 4 2" xfId="6081" xr:uid="{00000000-0005-0000-0000-00003A020000}"/>
    <cellStyle name="40% - Ênfase2 2 3" xfId="6082" xr:uid="{00000000-0005-0000-0000-00003B020000}"/>
    <cellStyle name="40% - Ênfase2 2 4" xfId="6083" xr:uid="{00000000-0005-0000-0000-00003C020000}"/>
    <cellStyle name="40% - Ênfase2 2 5" xfId="6084" xr:uid="{00000000-0005-0000-0000-00003D020000}"/>
    <cellStyle name="40% - Ênfase2 2 6" xfId="6085" xr:uid="{00000000-0005-0000-0000-00003E020000}"/>
    <cellStyle name="40% - Ênfase2 2 6 2" xfId="6086" xr:uid="{00000000-0005-0000-0000-00003F020000}"/>
    <cellStyle name="40% - Ênfase2 2 7" xfId="6063" xr:uid="{00000000-0005-0000-0000-000040020000}"/>
    <cellStyle name="40% - Ênfase2 3" xfId="5215" xr:uid="{00000000-0005-0000-0000-000041020000}"/>
    <cellStyle name="40% - Ênfase2 3 2" xfId="6088" xr:uid="{00000000-0005-0000-0000-000042020000}"/>
    <cellStyle name="40% - Ênfase2 3 3" xfId="6089" xr:uid="{00000000-0005-0000-0000-000043020000}"/>
    <cellStyle name="40% - Ênfase2 3 4" xfId="6090" xr:uid="{00000000-0005-0000-0000-000044020000}"/>
    <cellStyle name="40% - Ênfase2 3 5" xfId="6087" xr:uid="{00000000-0005-0000-0000-000045020000}"/>
    <cellStyle name="40% - Ênfase2 4" xfId="5329" xr:uid="{00000000-0005-0000-0000-000046020000}"/>
    <cellStyle name="40% - Ênfase2 4 2" xfId="6092" xr:uid="{00000000-0005-0000-0000-000047020000}"/>
    <cellStyle name="40% - Ênfase2 4 3" xfId="6093" xr:uid="{00000000-0005-0000-0000-000048020000}"/>
    <cellStyle name="40% - Ênfase2 4 4" xfId="6091" xr:uid="{00000000-0005-0000-0000-000049020000}"/>
    <cellStyle name="40% - Ênfase2 5" xfId="5192" xr:uid="{00000000-0005-0000-0000-00004A020000}"/>
    <cellStyle name="40% - Ênfase2 5 2" xfId="6095" xr:uid="{00000000-0005-0000-0000-00004B020000}"/>
    <cellStyle name="40% - Ênfase2 5 3" xfId="6094" xr:uid="{00000000-0005-0000-0000-00004C020000}"/>
    <cellStyle name="40% - Ênfase2 6" xfId="5358" xr:uid="{00000000-0005-0000-0000-00004D020000}"/>
    <cellStyle name="40% - Ênfase2 6 2" xfId="6097" xr:uid="{00000000-0005-0000-0000-00004E020000}"/>
    <cellStyle name="40% - Ênfase2 6 3" xfId="7319" xr:uid="{00000000-0005-0000-0000-00004F020000}"/>
    <cellStyle name="40% - Ênfase2 6 4" xfId="6096" xr:uid="{00000000-0005-0000-0000-000050020000}"/>
    <cellStyle name="40% - Ênfase2 7" xfId="5387" xr:uid="{00000000-0005-0000-0000-000051020000}"/>
    <cellStyle name="40% - Ênfase2 7 2" xfId="7320" xr:uid="{00000000-0005-0000-0000-000052020000}"/>
    <cellStyle name="40% - Ênfase2 7 3" xfId="6098" xr:uid="{00000000-0005-0000-0000-000053020000}"/>
    <cellStyle name="40% - Ênfase2 8" xfId="5414" xr:uid="{00000000-0005-0000-0000-000054020000}"/>
    <cellStyle name="40% - Ênfase2 9" xfId="5440" xr:uid="{00000000-0005-0000-0000-000055020000}"/>
    <cellStyle name="40% - Ênfase3" xfId="21" xr:uid="{00000000-0005-0000-0000-000056020000}"/>
    <cellStyle name="40% - Ênfase3 10" xfId="5501" xr:uid="{00000000-0005-0000-0000-000057020000}"/>
    <cellStyle name="40% - Ênfase3 11" xfId="5593" xr:uid="{00000000-0005-0000-0000-000058020000}"/>
    <cellStyle name="40% - Ênfase3 12" xfId="5477" xr:uid="{00000000-0005-0000-0000-000059020000}"/>
    <cellStyle name="40% - Ênfase3 13" xfId="5620" xr:uid="{00000000-0005-0000-0000-00005A020000}"/>
    <cellStyle name="40% - Ênfase3 14" xfId="5648" xr:uid="{00000000-0005-0000-0000-00005B020000}"/>
    <cellStyle name="40% - Ênfase3 15" xfId="5694" xr:uid="{00000000-0005-0000-0000-00005C020000}"/>
    <cellStyle name="40% - Ênfase3 16" xfId="5744" xr:uid="{00000000-0005-0000-0000-00005D020000}"/>
    <cellStyle name="40% - Ênfase3 17" xfId="5793" xr:uid="{00000000-0005-0000-0000-00005E020000}"/>
    <cellStyle name="40% - Ênfase3 2" xfId="4946" xr:uid="{00000000-0005-0000-0000-00005F020000}"/>
    <cellStyle name="40% - Ênfase3 2 2" xfId="6100" xr:uid="{00000000-0005-0000-0000-000060020000}"/>
    <cellStyle name="40% - Ênfase3 2 2 2" xfId="6101" xr:uid="{00000000-0005-0000-0000-000061020000}"/>
    <cellStyle name="40% - Ênfase3 2 2 2 2" xfId="6102" xr:uid="{00000000-0005-0000-0000-000062020000}"/>
    <cellStyle name="40% - Ênfase3 2 2 2 2 2" xfId="6103" xr:uid="{00000000-0005-0000-0000-000063020000}"/>
    <cellStyle name="40% - Ênfase3 2 2 2 2 2 2" xfId="6104" xr:uid="{00000000-0005-0000-0000-000064020000}"/>
    <cellStyle name="40% - Ênfase3 2 2 2 2 2 2 2" xfId="6105" xr:uid="{00000000-0005-0000-0000-000065020000}"/>
    <cellStyle name="40% - Ênfase3 2 2 2 2 2 2 2 2" xfId="6106" xr:uid="{00000000-0005-0000-0000-000066020000}"/>
    <cellStyle name="40% - Ênfase3 2 2 2 2 2 2 3" xfId="6107" xr:uid="{00000000-0005-0000-0000-000067020000}"/>
    <cellStyle name="40% - Ênfase3 2 2 2 2 2 3" xfId="6108" xr:uid="{00000000-0005-0000-0000-000068020000}"/>
    <cellStyle name="40% - Ênfase3 2 2 2 2 2 3 2" xfId="6109" xr:uid="{00000000-0005-0000-0000-000069020000}"/>
    <cellStyle name="40% - Ênfase3 2 2 2 2 3" xfId="6110" xr:uid="{00000000-0005-0000-0000-00006A020000}"/>
    <cellStyle name="40% - Ênfase3 2 2 2 2 3 2" xfId="6111" xr:uid="{00000000-0005-0000-0000-00006B020000}"/>
    <cellStyle name="40% - Ênfase3 2 2 2 3" xfId="6112" xr:uid="{00000000-0005-0000-0000-00006C020000}"/>
    <cellStyle name="40% - Ênfase3 2 2 2 4" xfId="6113" xr:uid="{00000000-0005-0000-0000-00006D020000}"/>
    <cellStyle name="40% - Ênfase3 2 2 2 4 2" xfId="6114" xr:uid="{00000000-0005-0000-0000-00006E020000}"/>
    <cellStyle name="40% - Ênfase3 2 2 3" xfId="6115" xr:uid="{00000000-0005-0000-0000-00006F020000}"/>
    <cellStyle name="40% - Ênfase3 2 2 4" xfId="6116" xr:uid="{00000000-0005-0000-0000-000070020000}"/>
    <cellStyle name="40% - Ênfase3 2 2 4 2" xfId="6117" xr:uid="{00000000-0005-0000-0000-000071020000}"/>
    <cellStyle name="40% - Ênfase3 2 3" xfId="6118" xr:uid="{00000000-0005-0000-0000-000072020000}"/>
    <cellStyle name="40% - Ênfase3 2 4" xfId="6119" xr:uid="{00000000-0005-0000-0000-000073020000}"/>
    <cellStyle name="40% - Ênfase3 2 5" xfId="6120" xr:uid="{00000000-0005-0000-0000-000074020000}"/>
    <cellStyle name="40% - Ênfase3 2 6" xfId="6121" xr:uid="{00000000-0005-0000-0000-000075020000}"/>
    <cellStyle name="40% - Ênfase3 2 6 2" xfId="6122" xr:uid="{00000000-0005-0000-0000-000076020000}"/>
    <cellStyle name="40% - Ênfase3 2 7" xfId="6099" xr:uid="{00000000-0005-0000-0000-000077020000}"/>
    <cellStyle name="40% - Ênfase3 3" xfId="5216" xr:uid="{00000000-0005-0000-0000-000078020000}"/>
    <cellStyle name="40% - Ênfase3 3 2" xfId="6124" xr:uid="{00000000-0005-0000-0000-000079020000}"/>
    <cellStyle name="40% - Ênfase3 3 3" xfId="6125" xr:uid="{00000000-0005-0000-0000-00007A020000}"/>
    <cellStyle name="40% - Ênfase3 3 4" xfId="6126" xr:uid="{00000000-0005-0000-0000-00007B020000}"/>
    <cellStyle name="40% - Ênfase3 3 5" xfId="6123" xr:uid="{00000000-0005-0000-0000-00007C020000}"/>
    <cellStyle name="40% - Ênfase3 4" xfId="5328" xr:uid="{00000000-0005-0000-0000-00007D020000}"/>
    <cellStyle name="40% - Ênfase3 4 2" xfId="6128" xr:uid="{00000000-0005-0000-0000-00007E020000}"/>
    <cellStyle name="40% - Ênfase3 4 3" xfId="6129" xr:uid="{00000000-0005-0000-0000-00007F020000}"/>
    <cellStyle name="40% - Ênfase3 4 4" xfId="6127" xr:uid="{00000000-0005-0000-0000-000080020000}"/>
    <cellStyle name="40% - Ênfase3 5" xfId="5193" xr:uid="{00000000-0005-0000-0000-000081020000}"/>
    <cellStyle name="40% - Ênfase3 5 2" xfId="6131" xr:uid="{00000000-0005-0000-0000-000082020000}"/>
    <cellStyle name="40% - Ênfase3 5 3" xfId="6130" xr:uid="{00000000-0005-0000-0000-000083020000}"/>
    <cellStyle name="40% - Ênfase3 6" xfId="5357" xr:uid="{00000000-0005-0000-0000-000084020000}"/>
    <cellStyle name="40% - Ênfase3 6 2" xfId="6133" xr:uid="{00000000-0005-0000-0000-000085020000}"/>
    <cellStyle name="40% - Ênfase3 6 3" xfId="7321" xr:uid="{00000000-0005-0000-0000-000086020000}"/>
    <cellStyle name="40% - Ênfase3 6 4" xfId="6132" xr:uid="{00000000-0005-0000-0000-000087020000}"/>
    <cellStyle name="40% - Ênfase3 7" xfId="5386" xr:uid="{00000000-0005-0000-0000-000088020000}"/>
    <cellStyle name="40% - Ênfase3 7 2" xfId="7322" xr:uid="{00000000-0005-0000-0000-000089020000}"/>
    <cellStyle name="40% - Ênfase3 7 3" xfId="6134" xr:uid="{00000000-0005-0000-0000-00008A020000}"/>
    <cellStyle name="40% - Ênfase3 8" xfId="5413" xr:uid="{00000000-0005-0000-0000-00008B020000}"/>
    <cellStyle name="40% - Ênfase3 9" xfId="5439" xr:uid="{00000000-0005-0000-0000-00008C020000}"/>
    <cellStyle name="40% - Ênfase4" xfId="22" xr:uid="{00000000-0005-0000-0000-00008D020000}"/>
    <cellStyle name="40% - Ênfase4 10" xfId="5502" xr:uid="{00000000-0005-0000-0000-00008E020000}"/>
    <cellStyle name="40% - Ênfase4 11" xfId="5592" xr:uid="{00000000-0005-0000-0000-00008F020000}"/>
    <cellStyle name="40% - Ênfase4 12" xfId="5478" xr:uid="{00000000-0005-0000-0000-000090020000}"/>
    <cellStyle name="40% - Ênfase4 13" xfId="5619" xr:uid="{00000000-0005-0000-0000-000091020000}"/>
    <cellStyle name="40% - Ênfase4 14" xfId="5647" xr:uid="{00000000-0005-0000-0000-000092020000}"/>
    <cellStyle name="40% - Ênfase4 15" xfId="5695" xr:uid="{00000000-0005-0000-0000-000093020000}"/>
    <cellStyle name="40% - Ênfase4 16" xfId="5743" xr:uid="{00000000-0005-0000-0000-000094020000}"/>
    <cellStyle name="40% - Ênfase4 17" xfId="5797" xr:uid="{00000000-0005-0000-0000-000095020000}"/>
    <cellStyle name="40% - Ênfase4 2" xfId="4947" xr:uid="{00000000-0005-0000-0000-000096020000}"/>
    <cellStyle name="40% - Ênfase4 2 2" xfId="6136" xr:uid="{00000000-0005-0000-0000-000097020000}"/>
    <cellStyle name="40% - Ênfase4 2 2 2" xfId="6137" xr:uid="{00000000-0005-0000-0000-000098020000}"/>
    <cellStyle name="40% - Ênfase4 2 2 2 2" xfId="6138" xr:uid="{00000000-0005-0000-0000-000099020000}"/>
    <cellStyle name="40% - Ênfase4 2 2 2 2 2" xfId="6139" xr:uid="{00000000-0005-0000-0000-00009A020000}"/>
    <cellStyle name="40% - Ênfase4 2 2 2 2 2 2" xfId="6140" xr:uid="{00000000-0005-0000-0000-00009B020000}"/>
    <cellStyle name="40% - Ênfase4 2 2 2 2 2 2 2" xfId="6141" xr:uid="{00000000-0005-0000-0000-00009C020000}"/>
    <cellStyle name="40% - Ênfase4 2 2 2 2 2 2 2 2" xfId="6142" xr:uid="{00000000-0005-0000-0000-00009D020000}"/>
    <cellStyle name="40% - Ênfase4 2 2 2 2 2 2 3" xfId="6143" xr:uid="{00000000-0005-0000-0000-00009E020000}"/>
    <cellStyle name="40% - Ênfase4 2 2 2 2 2 3" xfId="6144" xr:uid="{00000000-0005-0000-0000-00009F020000}"/>
    <cellStyle name="40% - Ênfase4 2 2 2 2 2 3 2" xfId="6145" xr:uid="{00000000-0005-0000-0000-0000A0020000}"/>
    <cellStyle name="40% - Ênfase4 2 2 2 2 3" xfId="6146" xr:uid="{00000000-0005-0000-0000-0000A1020000}"/>
    <cellStyle name="40% - Ênfase4 2 2 2 2 3 2" xfId="6147" xr:uid="{00000000-0005-0000-0000-0000A2020000}"/>
    <cellStyle name="40% - Ênfase4 2 2 2 3" xfId="6148" xr:uid="{00000000-0005-0000-0000-0000A3020000}"/>
    <cellStyle name="40% - Ênfase4 2 2 2 4" xfId="6149" xr:uid="{00000000-0005-0000-0000-0000A4020000}"/>
    <cellStyle name="40% - Ênfase4 2 2 2 4 2" xfId="6150" xr:uid="{00000000-0005-0000-0000-0000A5020000}"/>
    <cellStyle name="40% - Ênfase4 2 2 3" xfId="6151" xr:uid="{00000000-0005-0000-0000-0000A6020000}"/>
    <cellStyle name="40% - Ênfase4 2 2 4" xfId="6152" xr:uid="{00000000-0005-0000-0000-0000A7020000}"/>
    <cellStyle name="40% - Ênfase4 2 2 4 2" xfId="6153" xr:uid="{00000000-0005-0000-0000-0000A8020000}"/>
    <cellStyle name="40% - Ênfase4 2 3" xfId="6154" xr:uid="{00000000-0005-0000-0000-0000A9020000}"/>
    <cellStyle name="40% - Ênfase4 2 4" xfId="6155" xr:uid="{00000000-0005-0000-0000-0000AA020000}"/>
    <cellStyle name="40% - Ênfase4 2 5" xfId="6156" xr:uid="{00000000-0005-0000-0000-0000AB020000}"/>
    <cellStyle name="40% - Ênfase4 2 6" xfId="6157" xr:uid="{00000000-0005-0000-0000-0000AC020000}"/>
    <cellStyle name="40% - Ênfase4 2 6 2" xfId="6158" xr:uid="{00000000-0005-0000-0000-0000AD020000}"/>
    <cellStyle name="40% - Ênfase4 2 7" xfId="6135" xr:uid="{00000000-0005-0000-0000-0000AE020000}"/>
    <cellStyle name="40% - Ênfase4 3" xfId="5217" xr:uid="{00000000-0005-0000-0000-0000AF020000}"/>
    <cellStyle name="40% - Ênfase4 3 2" xfId="6160" xr:uid="{00000000-0005-0000-0000-0000B0020000}"/>
    <cellStyle name="40% - Ênfase4 3 3" xfId="6161" xr:uid="{00000000-0005-0000-0000-0000B1020000}"/>
    <cellStyle name="40% - Ênfase4 3 4" xfId="6162" xr:uid="{00000000-0005-0000-0000-0000B2020000}"/>
    <cellStyle name="40% - Ênfase4 3 5" xfId="6159" xr:uid="{00000000-0005-0000-0000-0000B3020000}"/>
    <cellStyle name="40% - Ênfase4 4" xfId="5327" xr:uid="{00000000-0005-0000-0000-0000B4020000}"/>
    <cellStyle name="40% - Ênfase4 4 2" xfId="6164" xr:uid="{00000000-0005-0000-0000-0000B5020000}"/>
    <cellStyle name="40% - Ênfase4 4 3" xfId="6165" xr:uid="{00000000-0005-0000-0000-0000B6020000}"/>
    <cellStyle name="40% - Ênfase4 4 4" xfId="6163" xr:uid="{00000000-0005-0000-0000-0000B7020000}"/>
    <cellStyle name="40% - Ênfase4 5" xfId="5194" xr:uid="{00000000-0005-0000-0000-0000B8020000}"/>
    <cellStyle name="40% - Ênfase4 5 2" xfId="6167" xr:uid="{00000000-0005-0000-0000-0000B9020000}"/>
    <cellStyle name="40% - Ênfase4 5 3" xfId="6166" xr:uid="{00000000-0005-0000-0000-0000BA020000}"/>
    <cellStyle name="40% - Ênfase4 6" xfId="5356" xr:uid="{00000000-0005-0000-0000-0000BB020000}"/>
    <cellStyle name="40% - Ênfase4 6 2" xfId="6169" xr:uid="{00000000-0005-0000-0000-0000BC020000}"/>
    <cellStyle name="40% - Ênfase4 6 3" xfId="7323" xr:uid="{00000000-0005-0000-0000-0000BD020000}"/>
    <cellStyle name="40% - Ênfase4 6 4" xfId="6168" xr:uid="{00000000-0005-0000-0000-0000BE020000}"/>
    <cellStyle name="40% - Ênfase4 7" xfId="5385" xr:uid="{00000000-0005-0000-0000-0000BF020000}"/>
    <cellStyle name="40% - Ênfase4 7 2" xfId="7324" xr:uid="{00000000-0005-0000-0000-0000C0020000}"/>
    <cellStyle name="40% - Ênfase4 7 3" xfId="6170" xr:uid="{00000000-0005-0000-0000-0000C1020000}"/>
    <cellStyle name="40% - Ênfase4 8" xfId="5412" xr:uid="{00000000-0005-0000-0000-0000C2020000}"/>
    <cellStyle name="40% - Ênfase4 9" xfId="5438" xr:uid="{00000000-0005-0000-0000-0000C3020000}"/>
    <cellStyle name="40% - Ênfase5" xfId="23" xr:uid="{00000000-0005-0000-0000-0000C4020000}"/>
    <cellStyle name="40% - Ênfase5 10" xfId="5503" xr:uid="{00000000-0005-0000-0000-0000C5020000}"/>
    <cellStyle name="40% - Ênfase5 11" xfId="5591" xr:uid="{00000000-0005-0000-0000-0000C6020000}"/>
    <cellStyle name="40% - Ênfase5 12" xfId="5479" xr:uid="{00000000-0005-0000-0000-0000C7020000}"/>
    <cellStyle name="40% - Ênfase5 13" xfId="5618" xr:uid="{00000000-0005-0000-0000-0000C8020000}"/>
    <cellStyle name="40% - Ênfase5 14" xfId="5646" xr:uid="{00000000-0005-0000-0000-0000C9020000}"/>
    <cellStyle name="40% - Ênfase5 15" xfId="5696" xr:uid="{00000000-0005-0000-0000-0000CA020000}"/>
    <cellStyle name="40% - Ênfase5 16" xfId="5742" xr:uid="{00000000-0005-0000-0000-0000CB020000}"/>
    <cellStyle name="40% - Ênfase5 17" xfId="5801" xr:uid="{00000000-0005-0000-0000-0000CC020000}"/>
    <cellStyle name="40% - Ênfase5 2" xfId="4948" xr:uid="{00000000-0005-0000-0000-0000CD020000}"/>
    <cellStyle name="40% - Ênfase5 2 2" xfId="6172" xr:uid="{00000000-0005-0000-0000-0000CE020000}"/>
    <cellStyle name="40% - Ênfase5 2 2 2" xfId="6173" xr:uid="{00000000-0005-0000-0000-0000CF020000}"/>
    <cellStyle name="40% - Ênfase5 2 2 2 2" xfId="6174" xr:uid="{00000000-0005-0000-0000-0000D0020000}"/>
    <cellStyle name="40% - Ênfase5 2 2 2 2 2" xfId="6175" xr:uid="{00000000-0005-0000-0000-0000D1020000}"/>
    <cellStyle name="40% - Ênfase5 2 2 2 2 2 2" xfId="6176" xr:uid="{00000000-0005-0000-0000-0000D2020000}"/>
    <cellStyle name="40% - Ênfase5 2 2 2 2 2 2 2" xfId="6177" xr:uid="{00000000-0005-0000-0000-0000D3020000}"/>
    <cellStyle name="40% - Ênfase5 2 2 2 2 2 2 2 2" xfId="6178" xr:uid="{00000000-0005-0000-0000-0000D4020000}"/>
    <cellStyle name="40% - Ênfase5 2 2 2 2 2 2 3" xfId="6179" xr:uid="{00000000-0005-0000-0000-0000D5020000}"/>
    <cellStyle name="40% - Ênfase5 2 2 2 2 2 3" xfId="6180" xr:uid="{00000000-0005-0000-0000-0000D6020000}"/>
    <cellStyle name="40% - Ênfase5 2 2 2 2 2 3 2" xfId="6181" xr:uid="{00000000-0005-0000-0000-0000D7020000}"/>
    <cellStyle name="40% - Ênfase5 2 2 2 2 3" xfId="6182" xr:uid="{00000000-0005-0000-0000-0000D8020000}"/>
    <cellStyle name="40% - Ênfase5 2 2 2 2 3 2" xfId="6183" xr:uid="{00000000-0005-0000-0000-0000D9020000}"/>
    <cellStyle name="40% - Ênfase5 2 2 2 3" xfId="6184" xr:uid="{00000000-0005-0000-0000-0000DA020000}"/>
    <cellStyle name="40% - Ênfase5 2 2 2 4" xfId="6185" xr:uid="{00000000-0005-0000-0000-0000DB020000}"/>
    <cellStyle name="40% - Ênfase5 2 2 2 4 2" xfId="6186" xr:uid="{00000000-0005-0000-0000-0000DC020000}"/>
    <cellStyle name="40% - Ênfase5 2 2 3" xfId="6187" xr:uid="{00000000-0005-0000-0000-0000DD020000}"/>
    <cellStyle name="40% - Ênfase5 2 2 4" xfId="6188" xr:uid="{00000000-0005-0000-0000-0000DE020000}"/>
    <cellStyle name="40% - Ênfase5 2 2 4 2" xfId="6189" xr:uid="{00000000-0005-0000-0000-0000DF020000}"/>
    <cellStyle name="40% - Ênfase5 2 3" xfId="6190" xr:uid="{00000000-0005-0000-0000-0000E0020000}"/>
    <cellStyle name="40% - Ênfase5 2 4" xfId="6191" xr:uid="{00000000-0005-0000-0000-0000E1020000}"/>
    <cellStyle name="40% - Ênfase5 2 5" xfId="6192" xr:uid="{00000000-0005-0000-0000-0000E2020000}"/>
    <cellStyle name="40% - Ênfase5 2 6" xfId="6193" xr:uid="{00000000-0005-0000-0000-0000E3020000}"/>
    <cellStyle name="40% - Ênfase5 2 6 2" xfId="6194" xr:uid="{00000000-0005-0000-0000-0000E4020000}"/>
    <cellStyle name="40% - Ênfase5 2 7" xfId="6171" xr:uid="{00000000-0005-0000-0000-0000E5020000}"/>
    <cellStyle name="40% - Ênfase5 3" xfId="5218" xr:uid="{00000000-0005-0000-0000-0000E6020000}"/>
    <cellStyle name="40% - Ênfase5 3 2" xfId="6196" xr:uid="{00000000-0005-0000-0000-0000E7020000}"/>
    <cellStyle name="40% - Ênfase5 3 3" xfId="6197" xr:uid="{00000000-0005-0000-0000-0000E8020000}"/>
    <cellStyle name="40% - Ênfase5 3 4" xfId="6198" xr:uid="{00000000-0005-0000-0000-0000E9020000}"/>
    <cellStyle name="40% - Ênfase5 3 5" xfId="6195" xr:uid="{00000000-0005-0000-0000-0000EA020000}"/>
    <cellStyle name="40% - Ênfase5 4" xfId="5326" xr:uid="{00000000-0005-0000-0000-0000EB020000}"/>
    <cellStyle name="40% - Ênfase5 4 2" xfId="6200" xr:uid="{00000000-0005-0000-0000-0000EC020000}"/>
    <cellStyle name="40% - Ênfase5 4 3" xfId="6201" xr:uid="{00000000-0005-0000-0000-0000ED020000}"/>
    <cellStyle name="40% - Ênfase5 4 4" xfId="6199" xr:uid="{00000000-0005-0000-0000-0000EE020000}"/>
    <cellStyle name="40% - Ênfase5 5" xfId="5195" xr:uid="{00000000-0005-0000-0000-0000EF020000}"/>
    <cellStyle name="40% - Ênfase5 5 2" xfId="6203" xr:uid="{00000000-0005-0000-0000-0000F0020000}"/>
    <cellStyle name="40% - Ênfase5 5 3" xfId="6202" xr:uid="{00000000-0005-0000-0000-0000F1020000}"/>
    <cellStyle name="40% - Ênfase5 6" xfId="5355" xr:uid="{00000000-0005-0000-0000-0000F2020000}"/>
    <cellStyle name="40% - Ênfase5 6 2" xfId="6205" xr:uid="{00000000-0005-0000-0000-0000F3020000}"/>
    <cellStyle name="40% - Ênfase5 6 3" xfId="7325" xr:uid="{00000000-0005-0000-0000-0000F4020000}"/>
    <cellStyle name="40% - Ênfase5 6 4" xfId="6204" xr:uid="{00000000-0005-0000-0000-0000F5020000}"/>
    <cellStyle name="40% - Ênfase5 7" xfId="5384" xr:uid="{00000000-0005-0000-0000-0000F6020000}"/>
    <cellStyle name="40% - Ênfase5 7 2" xfId="7326" xr:uid="{00000000-0005-0000-0000-0000F7020000}"/>
    <cellStyle name="40% - Ênfase5 7 3" xfId="6206" xr:uid="{00000000-0005-0000-0000-0000F8020000}"/>
    <cellStyle name="40% - Ênfase5 8" xfId="5411" xr:uid="{00000000-0005-0000-0000-0000F9020000}"/>
    <cellStyle name="40% - Ênfase5 9" xfId="5437" xr:uid="{00000000-0005-0000-0000-0000FA020000}"/>
    <cellStyle name="40% - Ênfase6" xfId="24" xr:uid="{00000000-0005-0000-0000-0000FB020000}"/>
    <cellStyle name="40% - Ênfase6 10" xfId="5504" xr:uid="{00000000-0005-0000-0000-0000FC020000}"/>
    <cellStyle name="40% - Ênfase6 11" xfId="5590" xr:uid="{00000000-0005-0000-0000-0000FD020000}"/>
    <cellStyle name="40% - Ênfase6 12" xfId="5480" xr:uid="{00000000-0005-0000-0000-0000FE020000}"/>
    <cellStyle name="40% - Ênfase6 13" xfId="5617" xr:uid="{00000000-0005-0000-0000-0000FF020000}"/>
    <cellStyle name="40% - Ênfase6 14" xfId="5645" xr:uid="{00000000-0005-0000-0000-000000030000}"/>
    <cellStyle name="40% - Ênfase6 15" xfId="5697" xr:uid="{00000000-0005-0000-0000-000001030000}"/>
    <cellStyle name="40% - Ênfase6 16" xfId="5741" xr:uid="{00000000-0005-0000-0000-000002030000}"/>
    <cellStyle name="40% - Ênfase6 17" xfId="5805" xr:uid="{00000000-0005-0000-0000-000003030000}"/>
    <cellStyle name="40% - Ênfase6 2" xfId="4949" xr:uid="{00000000-0005-0000-0000-000004030000}"/>
    <cellStyle name="40% - Ênfase6 2 2" xfId="6208" xr:uid="{00000000-0005-0000-0000-000005030000}"/>
    <cellStyle name="40% - Ênfase6 2 2 2" xfId="6209" xr:uid="{00000000-0005-0000-0000-000006030000}"/>
    <cellStyle name="40% - Ênfase6 2 2 2 2" xfId="6210" xr:uid="{00000000-0005-0000-0000-000007030000}"/>
    <cellStyle name="40% - Ênfase6 2 2 2 2 2" xfId="6211" xr:uid="{00000000-0005-0000-0000-000008030000}"/>
    <cellStyle name="40% - Ênfase6 2 2 2 2 2 2" xfId="6212" xr:uid="{00000000-0005-0000-0000-000009030000}"/>
    <cellStyle name="40% - Ênfase6 2 2 2 2 2 2 2" xfId="6213" xr:uid="{00000000-0005-0000-0000-00000A030000}"/>
    <cellStyle name="40% - Ênfase6 2 2 2 2 2 2 2 2" xfId="6214" xr:uid="{00000000-0005-0000-0000-00000B030000}"/>
    <cellStyle name="40% - Ênfase6 2 2 2 2 2 2 3" xfId="6215" xr:uid="{00000000-0005-0000-0000-00000C030000}"/>
    <cellStyle name="40% - Ênfase6 2 2 2 2 2 3" xfId="6216" xr:uid="{00000000-0005-0000-0000-00000D030000}"/>
    <cellStyle name="40% - Ênfase6 2 2 2 2 2 3 2" xfId="6217" xr:uid="{00000000-0005-0000-0000-00000E030000}"/>
    <cellStyle name="40% - Ênfase6 2 2 2 2 3" xfId="6218" xr:uid="{00000000-0005-0000-0000-00000F030000}"/>
    <cellStyle name="40% - Ênfase6 2 2 2 2 3 2" xfId="6219" xr:uid="{00000000-0005-0000-0000-000010030000}"/>
    <cellStyle name="40% - Ênfase6 2 2 2 3" xfId="6220" xr:uid="{00000000-0005-0000-0000-000011030000}"/>
    <cellStyle name="40% - Ênfase6 2 2 2 4" xfId="6221" xr:uid="{00000000-0005-0000-0000-000012030000}"/>
    <cellStyle name="40% - Ênfase6 2 2 2 4 2" xfId="6222" xr:uid="{00000000-0005-0000-0000-000013030000}"/>
    <cellStyle name="40% - Ênfase6 2 2 3" xfId="6223" xr:uid="{00000000-0005-0000-0000-000014030000}"/>
    <cellStyle name="40% - Ênfase6 2 2 4" xfId="6224" xr:uid="{00000000-0005-0000-0000-000015030000}"/>
    <cellStyle name="40% - Ênfase6 2 2 4 2" xfId="6225" xr:uid="{00000000-0005-0000-0000-000016030000}"/>
    <cellStyle name="40% - Ênfase6 2 3" xfId="6226" xr:uid="{00000000-0005-0000-0000-000017030000}"/>
    <cellStyle name="40% - Ênfase6 2 4" xfId="6227" xr:uid="{00000000-0005-0000-0000-000018030000}"/>
    <cellStyle name="40% - Ênfase6 2 5" xfId="6228" xr:uid="{00000000-0005-0000-0000-000019030000}"/>
    <cellStyle name="40% - Ênfase6 2 6" xfId="6229" xr:uid="{00000000-0005-0000-0000-00001A030000}"/>
    <cellStyle name="40% - Ênfase6 2 6 2" xfId="6230" xr:uid="{00000000-0005-0000-0000-00001B030000}"/>
    <cellStyle name="40% - Ênfase6 2 7" xfId="6207" xr:uid="{00000000-0005-0000-0000-00001C030000}"/>
    <cellStyle name="40% - Ênfase6 3" xfId="5219" xr:uid="{00000000-0005-0000-0000-00001D030000}"/>
    <cellStyle name="40% - Ênfase6 3 2" xfId="6232" xr:uid="{00000000-0005-0000-0000-00001E030000}"/>
    <cellStyle name="40% - Ênfase6 3 3" xfId="6233" xr:uid="{00000000-0005-0000-0000-00001F030000}"/>
    <cellStyle name="40% - Ênfase6 3 4" xfId="6234" xr:uid="{00000000-0005-0000-0000-000020030000}"/>
    <cellStyle name="40% - Ênfase6 3 5" xfId="6231" xr:uid="{00000000-0005-0000-0000-000021030000}"/>
    <cellStyle name="40% - Ênfase6 4" xfId="5325" xr:uid="{00000000-0005-0000-0000-000022030000}"/>
    <cellStyle name="40% - Ênfase6 4 2" xfId="6236" xr:uid="{00000000-0005-0000-0000-000023030000}"/>
    <cellStyle name="40% - Ênfase6 4 3" xfId="6237" xr:uid="{00000000-0005-0000-0000-000024030000}"/>
    <cellStyle name="40% - Ênfase6 4 4" xfId="6235" xr:uid="{00000000-0005-0000-0000-000025030000}"/>
    <cellStyle name="40% - Ênfase6 5" xfId="5196" xr:uid="{00000000-0005-0000-0000-000026030000}"/>
    <cellStyle name="40% - Ênfase6 5 2" xfId="6239" xr:uid="{00000000-0005-0000-0000-000027030000}"/>
    <cellStyle name="40% - Ênfase6 5 3" xfId="6238" xr:uid="{00000000-0005-0000-0000-000028030000}"/>
    <cellStyle name="40% - Ênfase6 6" xfId="5354" xr:uid="{00000000-0005-0000-0000-000029030000}"/>
    <cellStyle name="40% - Ênfase6 6 2" xfId="6241" xr:uid="{00000000-0005-0000-0000-00002A030000}"/>
    <cellStyle name="40% - Ênfase6 6 3" xfId="7327" xr:uid="{00000000-0005-0000-0000-00002B030000}"/>
    <cellStyle name="40% - Ênfase6 6 4" xfId="6240" xr:uid="{00000000-0005-0000-0000-00002C030000}"/>
    <cellStyle name="40% - Ênfase6 7" xfId="5383" xr:uid="{00000000-0005-0000-0000-00002D030000}"/>
    <cellStyle name="40% - Ênfase6 7 2" xfId="7328" xr:uid="{00000000-0005-0000-0000-00002E030000}"/>
    <cellStyle name="40% - Ênfase6 7 3" xfId="6242" xr:uid="{00000000-0005-0000-0000-00002F030000}"/>
    <cellStyle name="40% - Ênfase6 8" xfId="5410" xr:uid="{00000000-0005-0000-0000-000030030000}"/>
    <cellStyle name="40% - Ênfase6 9" xfId="5436" xr:uid="{00000000-0005-0000-0000-000031030000}"/>
    <cellStyle name="40% - Énfasis1" xfId="276" xr:uid="{00000000-0005-0000-0000-000032030000}"/>
    <cellStyle name="40% - Énfasis1 2" xfId="277" xr:uid="{00000000-0005-0000-0000-000033030000}"/>
    <cellStyle name="40% - Énfasis1 3" xfId="278" xr:uid="{00000000-0005-0000-0000-000034030000}"/>
    <cellStyle name="40% - Énfasis1 4" xfId="279" xr:uid="{00000000-0005-0000-0000-000035030000}"/>
    <cellStyle name="40% - Énfasis1 5" xfId="280" xr:uid="{00000000-0005-0000-0000-000036030000}"/>
    <cellStyle name="40% - Énfasis1 6" xfId="281" xr:uid="{00000000-0005-0000-0000-000037030000}"/>
    <cellStyle name="40% - Énfasis1 7" xfId="282" xr:uid="{00000000-0005-0000-0000-000038030000}"/>
    <cellStyle name="40% - Énfasis2" xfId="283" xr:uid="{00000000-0005-0000-0000-000039030000}"/>
    <cellStyle name="40% - Énfasis2 2" xfId="284" xr:uid="{00000000-0005-0000-0000-00003A030000}"/>
    <cellStyle name="40% - Énfasis2 3" xfId="285" xr:uid="{00000000-0005-0000-0000-00003B030000}"/>
    <cellStyle name="40% - Énfasis2 4" xfId="286" xr:uid="{00000000-0005-0000-0000-00003C030000}"/>
    <cellStyle name="40% - Énfasis2 5" xfId="287" xr:uid="{00000000-0005-0000-0000-00003D030000}"/>
    <cellStyle name="40% - Énfasis2 6" xfId="288" xr:uid="{00000000-0005-0000-0000-00003E030000}"/>
    <cellStyle name="40% - Énfasis2 7" xfId="289" xr:uid="{00000000-0005-0000-0000-00003F030000}"/>
    <cellStyle name="40% - Énfasis3" xfId="290" xr:uid="{00000000-0005-0000-0000-000040030000}"/>
    <cellStyle name="40% - Énfasis3 2" xfId="291" xr:uid="{00000000-0005-0000-0000-000041030000}"/>
    <cellStyle name="40% - Énfasis3 3" xfId="292" xr:uid="{00000000-0005-0000-0000-000042030000}"/>
    <cellStyle name="40% - Énfasis3 4" xfId="293" xr:uid="{00000000-0005-0000-0000-000043030000}"/>
    <cellStyle name="40% - Énfasis3 5" xfId="294" xr:uid="{00000000-0005-0000-0000-000044030000}"/>
    <cellStyle name="40% - Énfasis3 6" xfId="295" xr:uid="{00000000-0005-0000-0000-000045030000}"/>
    <cellStyle name="40% - Énfasis3 7" xfId="296" xr:uid="{00000000-0005-0000-0000-000046030000}"/>
    <cellStyle name="40% - Énfasis4" xfId="297" xr:uid="{00000000-0005-0000-0000-000047030000}"/>
    <cellStyle name="40% - Énfasis4 2" xfId="298" xr:uid="{00000000-0005-0000-0000-000048030000}"/>
    <cellStyle name="40% - Énfasis4 3" xfId="299" xr:uid="{00000000-0005-0000-0000-000049030000}"/>
    <cellStyle name="40% - Énfasis4 4" xfId="300" xr:uid="{00000000-0005-0000-0000-00004A030000}"/>
    <cellStyle name="40% - Énfasis4 5" xfId="301" xr:uid="{00000000-0005-0000-0000-00004B030000}"/>
    <cellStyle name="40% - Énfasis4 6" xfId="302" xr:uid="{00000000-0005-0000-0000-00004C030000}"/>
    <cellStyle name="40% - Énfasis4 7" xfId="303" xr:uid="{00000000-0005-0000-0000-00004D030000}"/>
    <cellStyle name="40% - Énfasis5" xfId="304" xr:uid="{00000000-0005-0000-0000-00004E030000}"/>
    <cellStyle name="40% - Énfasis5 2" xfId="305" xr:uid="{00000000-0005-0000-0000-00004F030000}"/>
    <cellStyle name="40% - Énfasis5 3" xfId="306" xr:uid="{00000000-0005-0000-0000-000050030000}"/>
    <cellStyle name="40% - Énfasis5 4" xfId="307" xr:uid="{00000000-0005-0000-0000-000051030000}"/>
    <cellStyle name="40% - Énfasis5 5" xfId="308" xr:uid="{00000000-0005-0000-0000-000052030000}"/>
    <cellStyle name="40% - Énfasis5 6" xfId="309" xr:uid="{00000000-0005-0000-0000-000053030000}"/>
    <cellStyle name="40% - Énfasis5 7" xfId="310" xr:uid="{00000000-0005-0000-0000-000054030000}"/>
    <cellStyle name="40% - Énfasis6" xfId="311" xr:uid="{00000000-0005-0000-0000-000055030000}"/>
    <cellStyle name="40% - Énfasis6 2" xfId="312" xr:uid="{00000000-0005-0000-0000-000056030000}"/>
    <cellStyle name="40% - Énfasis6 3" xfId="313" xr:uid="{00000000-0005-0000-0000-000057030000}"/>
    <cellStyle name="40% - Énfasis6 4" xfId="314" xr:uid="{00000000-0005-0000-0000-000058030000}"/>
    <cellStyle name="40% - Énfasis6 5" xfId="315" xr:uid="{00000000-0005-0000-0000-000059030000}"/>
    <cellStyle name="40% - Énfasis6 6" xfId="316" xr:uid="{00000000-0005-0000-0000-00005A030000}"/>
    <cellStyle name="40% - Énfasis6 7" xfId="317" xr:uid="{00000000-0005-0000-0000-00005B030000}"/>
    <cellStyle name="60% - Accent1" xfId="25" xr:uid="{00000000-0005-0000-0000-00005C030000}"/>
    <cellStyle name="60% - Accent2" xfId="26" xr:uid="{00000000-0005-0000-0000-00005D030000}"/>
    <cellStyle name="60% - Accent3" xfId="27" xr:uid="{00000000-0005-0000-0000-00005E030000}"/>
    <cellStyle name="60% - Accent4" xfId="28" xr:uid="{00000000-0005-0000-0000-00005F030000}"/>
    <cellStyle name="60% - Accent5" xfId="29" xr:uid="{00000000-0005-0000-0000-000060030000}"/>
    <cellStyle name="60% - Accent6" xfId="30" xr:uid="{00000000-0005-0000-0000-000061030000}"/>
    <cellStyle name="60% - Ênfase1" xfId="31" xr:uid="{00000000-0005-0000-0000-000062030000}"/>
    <cellStyle name="60% - Ênfase1 10" xfId="5506" xr:uid="{00000000-0005-0000-0000-000063030000}"/>
    <cellStyle name="60% - Ênfase1 11" xfId="5587" xr:uid="{00000000-0005-0000-0000-000064030000}"/>
    <cellStyle name="60% - Ênfase1 12" xfId="5483" xr:uid="{00000000-0005-0000-0000-000065030000}"/>
    <cellStyle name="60% - Ênfase1 13" xfId="5610" xr:uid="{00000000-0005-0000-0000-000066030000}"/>
    <cellStyle name="60% - Ênfase1 14" xfId="5639" xr:uid="{00000000-0005-0000-0000-000067030000}"/>
    <cellStyle name="60% - Ênfase1 15" xfId="5698" xr:uid="{00000000-0005-0000-0000-000068030000}"/>
    <cellStyle name="60% - Ênfase1 16" xfId="5740" xr:uid="{00000000-0005-0000-0000-000069030000}"/>
    <cellStyle name="60% - Ênfase1 17" xfId="5786" xr:uid="{00000000-0005-0000-0000-00006A030000}"/>
    <cellStyle name="60% - Ênfase1 2" xfId="4950" xr:uid="{00000000-0005-0000-0000-00006B030000}"/>
    <cellStyle name="60% - Ênfase1 2 2" xfId="6244" xr:uid="{00000000-0005-0000-0000-00006C030000}"/>
    <cellStyle name="60% - Ênfase1 2 2 2" xfId="6245" xr:uid="{00000000-0005-0000-0000-00006D030000}"/>
    <cellStyle name="60% - Ênfase1 2 2 2 2" xfId="6246" xr:uid="{00000000-0005-0000-0000-00006E030000}"/>
    <cellStyle name="60% - Ênfase1 2 2 2 2 2" xfId="6247" xr:uid="{00000000-0005-0000-0000-00006F030000}"/>
    <cellStyle name="60% - Ênfase1 2 2 2 2 2 2" xfId="6248" xr:uid="{00000000-0005-0000-0000-000070030000}"/>
    <cellStyle name="60% - Ênfase1 2 2 2 2 2 2 2" xfId="6249" xr:uid="{00000000-0005-0000-0000-000071030000}"/>
    <cellStyle name="60% - Ênfase1 2 2 2 2 2 2 2 2" xfId="6250" xr:uid="{00000000-0005-0000-0000-000072030000}"/>
    <cellStyle name="60% - Ênfase1 2 2 2 2 2 2 3" xfId="6251" xr:uid="{00000000-0005-0000-0000-000073030000}"/>
    <cellStyle name="60% - Ênfase1 2 2 2 2 2 3" xfId="6252" xr:uid="{00000000-0005-0000-0000-000074030000}"/>
    <cellStyle name="60% - Ênfase1 2 2 2 2 2 3 2" xfId="6253" xr:uid="{00000000-0005-0000-0000-000075030000}"/>
    <cellStyle name="60% - Ênfase1 2 2 2 2 3" xfId="6254" xr:uid="{00000000-0005-0000-0000-000076030000}"/>
    <cellStyle name="60% - Ênfase1 2 2 2 2 3 2" xfId="6255" xr:uid="{00000000-0005-0000-0000-000077030000}"/>
    <cellStyle name="60% - Ênfase1 2 2 2 3" xfId="6256" xr:uid="{00000000-0005-0000-0000-000078030000}"/>
    <cellStyle name="60% - Ênfase1 2 2 2 4" xfId="6257" xr:uid="{00000000-0005-0000-0000-000079030000}"/>
    <cellStyle name="60% - Ênfase1 2 2 2 4 2" xfId="6258" xr:uid="{00000000-0005-0000-0000-00007A030000}"/>
    <cellStyle name="60% - Ênfase1 2 2 3" xfId="6259" xr:uid="{00000000-0005-0000-0000-00007B030000}"/>
    <cellStyle name="60% - Ênfase1 2 2 4" xfId="6260" xr:uid="{00000000-0005-0000-0000-00007C030000}"/>
    <cellStyle name="60% - Ênfase1 2 2 4 2" xfId="6261" xr:uid="{00000000-0005-0000-0000-00007D030000}"/>
    <cellStyle name="60% - Ênfase1 2 3" xfId="6262" xr:uid="{00000000-0005-0000-0000-00007E030000}"/>
    <cellStyle name="60% - Ênfase1 2 4" xfId="6263" xr:uid="{00000000-0005-0000-0000-00007F030000}"/>
    <cellStyle name="60% - Ênfase1 2 5" xfId="6264" xr:uid="{00000000-0005-0000-0000-000080030000}"/>
    <cellStyle name="60% - Ênfase1 2 6" xfId="6265" xr:uid="{00000000-0005-0000-0000-000081030000}"/>
    <cellStyle name="60% - Ênfase1 2 6 2" xfId="6266" xr:uid="{00000000-0005-0000-0000-000082030000}"/>
    <cellStyle name="60% - Ênfase1 2 7" xfId="6243" xr:uid="{00000000-0005-0000-0000-000083030000}"/>
    <cellStyle name="60% - Ênfase1 3" xfId="5223" xr:uid="{00000000-0005-0000-0000-000084030000}"/>
    <cellStyle name="60% - Ênfase1 3 2" xfId="6268" xr:uid="{00000000-0005-0000-0000-000085030000}"/>
    <cellStyle name="60% - Ênfase1 3 3" xfId="6269" xr:uid="{00000000-0005-0000-0000-000086030000}"/>
    <cellStyle name="60% - Ênfase1 3 4" xfId="6270" xr:uid="{00000000-0005-0000-0000-000087030000}"/>
    <cellStyle name="60% - Ênfase1 3 5" xfId="6267" xr:uid="{00000000-0005-0000-0000-000088030000}"/>
    <cellStyle name="60% - Ênfase1 4" xfId="5321" xr:uid="{00000000-0005-0000-0000-000089030000}"/>
    <cellStyle name="60% - Ênfase1 4 2" xfId="6272" xr:uid="{00000000-0005-0000-0000-00008A030000}"/>
    <cellStyle name="60% - Ênfase1 4 3" xfId="6273" xr:uid="{00000000-0005-0000-0000-00008B030000}"/>
    <cellStyle name="60% - Ênfase1 4 4" xfId="6271" xr:uid="{00000000-0005-0000-0000-00008C030000}"/>
    <cellStyle name="60% - Ênfase1 5" xfId="5200" xr:uid="{00000000-0005-0000-0000-00008D030000}"/>
    <cellStyle name="60% - Ênfase1 5 2" xfId="6275" xr:uid="{00000000-0005-0000-0000-00008E030000}"/>
    <cellStyle name="60% - Ênfase1 5 3" xfId="6274" xr:uid="{00000000-0005-0000-0000-00008F030000}"/>
    <cellStyle name="60% - Ênfase1 6" xfId="5346" xr:uid="{00000000-0005-0000-0000-000090030000}"/>
    <cellStyle name="60% - Ênfase1 6 2" xfId="6277" xr:uid="{00000000-0005-0000-0000-000091030000}"/>
    <cellStyle name="60% - Ênfase1 6 3" xfId="7329" xr:uid="{00000000-0005-0000-0000-000092030000}"/>
    <cellStyle name="60% - Ênfase1 6 4" xfId="6276" xr:uid="{00000000-0005-0000-0000-000093030000}"/>
    <cellStyle name="60% - Ênfase1 7" xfId="5375" xr:uid="{00000000-0005-0000-0000-000094030000}"/>
    <cellStyle name="60% - Ênfase1 7 2" xfId="7330" xr:uid="{00000000-0005-0000-0000-000095030000}"/>
    <cellStyle name="60% - Ênfase1 7 3" xfId="6278" xr:uid="{00000000-0005-0000-0000-000096030000}"/>
    <cellStyle name="60% - Ênfase1 8" xfId="5403" xr:uid="{00000000-0005-0000-0000-000097030000}"/>
    <cellStyle name="60% - Ênfase1 9" xfId="5430" xr:uid="{00000000-0005-0000-0000-000098030000}"/>
    <cellStyle name="60% - Ênfase2" xfId="32" xr:uid="{00000000-0005-0000-0000-000099030000}"/>
    <cellStyle name="60% - Ênfase2 10" xfId="5507" xr:uid="{00000000-0005-0000-0000-00009A030000}"/>
    <cellStyle name="60% - Ênfase2 11" xfId="5586" xr:uid="{00000000-0005-0000-0000-00009B030000}"/>
    <cellStyle name="60% - Ênfase2 12" xfId="5484" xr:uid="{00000000-0005-0000-0000-00009C030000}"/>
    <cellStyle name="60% - Ênfase2 13" xfId="5607" xr:uid="{00000000-0005-0000-0000-00009D030000}"/>
    <cellStyle name="60% - Ênfase2 14" xfId="5636" xr:uid="{00000000-0005-0000-0000-00009E030000}"/>
    <cellStyle name="60% - Ênfase2 15" xfId="5699" xr:uid="{00000000-0005-0000-0000-00009F030000}"/>
    <cellStyle name="60% - Ênfase2 16" xfId="5739" xr:uid="{00000000-0005-0000-0000-0000A0030000}"/>
    <cellStyle name="60% - Ênfase2 17" xfId="5790" xr:uid="{00000000-0005-0000-0000-0000A1030000}"/>
    <cellStyle name="60% - Ênfase2 2" xfId="4951" xr:uid="{00000000-0005-0000-0000-0000A2030000}"/>
    <cellStyle name="60% - Ênfase2 2 2" xfId="6280" xr:uid="{00000000-0005-0000-0000-0000A3030000}"/>
    <cellStyle name="60% - Ênfase2 2 2 2" xfId="6281" xr:uid="{00000000-0005-0000-0000-0000A4030000}"/>
    <cellStyle name="60% - Ênfase2 2 2 2 2" xfId="6282" xr:uid="{00000000-0005-0000-0000-0000A5030000}"/>
    <cellStyle name="60% - Ênfase2 2 2 2 2 2" xfId="6283" xr:uid="{00000000-0005-0000-0000-0000A6030000}"/>
    <cellStyle name="60% - Ênfase2 2 2 2 2 2 2" xfId="6284" xr:uid="{00000000-0005-0000-0000-0000A7030000}"/>
    <cellStyle name="60% - Ênfase2 2 2 2 2 2 2 2" xfId="6285" xr:uid="{00000000-0005-0000-0000-0000A8030000}"/>
    <cellStyle name="60% - Ênfase2 2 2 2 2 2 2 2 2" xfId="6286" xr:uid="{00000000-0005-0000-0000-0000A9030000}"/>
    <cellStyle name="60% - Ênfase2 2 2 2 2 2 2 3" xfId="6287" xr:uid="{00000000-0005-0000-0000-0000AA030000}"/>
    <cellStyle name="60% - Ênfase2 2 2 2 2 2 3" xfId="6288" xr:uid="{00000000-0005-0000-0000-0000AB030000}"/>
    <cellStyle name="60% - Ênfase2 2 2 2 2 2 3 2" xfId="6289" xr:uid="{00000000-0005-0000-0000-0000AC030000}"/>
    <cellStyle name="60% - Ênfase2 2 2 2 2 3" xfId="6290" xr:uid="{00000000-0005-0000-0000-0000AD030000}"/>
    <cellStyle name="60% - Ênfase2 2 2 2 2 3 2" xfId="6291" xr:uid="{00000000-0005-0000-0000-0000AE030000}"/>
    <cellStyle name="60% - Ênfase2 2 2 2 3" xfId="6292" xr:uid="{00000000-0005-0000-0000-0000AF030000}"/>
    <cellStyle name="60% - Ênfase2 2 2 2 4" xfId="6293" xr:uid="{00000000-0005-0000-0000-0000B0030000}"/>
    <cellStyle name="60% - Ênfase2 2 2 2 4 2" xfId="6294" xr:uid="{00000000-0005-0000-0000-0000B1030000}"/>
    <cellStyle name="60% - Ênfase2 2 2 3" xfId="6295" xr:uid="{00000000-0005-0000-0000-0000B2030000}"/>
    <cellStyle name="60% - Ênfase2 2 2 4" xfId="6296" xr:uid="{00000000-0005-0000-0000-0000B3030000}"/>
    <cellStyle name="60% - Ênfase2 2 2 4 2" xfId="6297" xr:uid="{00000000-0005-0000-0000-0000B4030000}"/>
    <cellStyle name="60% - Ênfase2 2 3" xfId="6298" xr:uid="{00000000-0005-0000-0000-0000B5030000}"/>
    <cellStyle name="60% - Ênfase2 2 4" xfId="6299" xr:uid="{00000000-0005-0000-0000-0000B6030000}"/>
    <cellStyle name="60% - Ênfase2 2 5" xfId="6300" xr:uid="{00000000-0005-0000-0000-0000B7030000}"/>
    <cellStyle name="60% - Ênfase2 2 6" xfId="6301" xr:uid="{00000000-0005-0000-0000-0000B8030000}"/>
    <cellStyle name="60% - Ênfase2 2 6 2" xfId="6302" xr:uid="{00000000-0005-0000-0000-0000B9030000}"/>
    <cellStyle name="60% - Ênfase2 2 7" xfId="6279" xr:uid="{00000000-0005-0000-0000-0000BA030000}"/>
    <cellStyle name="60% - Ênfase2 3" xfId="5224" xr:uid="{00000000-0005-0000-0000-0000BB030000}"/>
    <cellStyle name="60% - Ênfase2 3 2" xfId="6304" xr:uid="{00000000-0005-0000-0000-0000BC030000}"/>
    <cellStyle name="60% - Ênfase2 3 3" xfId="6305" xr:uid="{00000000-0005-0000-0000-0000BD030000}"/>
    <cellStyle name="60% - Ênfase2 3 4" xfId="6306" xr:uid="{00000000-0005-0000-0000-0000BE030000}"/>
    <cellStyle name="60% - Ênfase2 3 5" xfId="6303" xr:uid="{00000000-0005-0000-0000-0000BF030000}"/>
    <cellStyle name="60% - Ênfase2 4" xfId="5320" xr:uid="{00000000-0005-0000-0000-0000C0030000}"/>
    <cellStyle name="60% - Ênfase2 4 2" xfId="6308" xr:uid="{00000000-0005-0000-0000-0000C1030000}"/>
    <cellStyle name="60% - Ênfase2 4 3" xfId="6309" xr:uid="{00000000-0005-0000-0000-0000C2030000}"/>
    <cellStyle name="60% - Ênfase2 4 4" xfId="6307" xr:uid="{00000000-0005-0000-0000-0000C3030000}"/>
    <cellStyle name="60% - Ênfase2 5" xfId="5201" xr:uid="{00000000-0005-0000-0000-0000C4030000}"/>
    <cellStyle name="60% - Ênfase2 5 2" xfId="6311" xr:uid="{00000000-0005-0000-0000-0000C5030000}"/>
    <cellStyle name="60% - Ênfase2 5 3" xfId="6310" xr:uid="{00000000-0005-0000-0000-0000C6030000}"/>
    <cellStyle name="60% - Ênfase2 6" xfId="5343" xr:uid="{00000000-0005-0000-0000-0000C7030000}"/>
    <cellStyle name="60% - Ênfase2 6 2" xfId="6313" xr:uid="{00000000-0005-0000-0000-0000C8030000}"/>
    <cellStyle name="60% - Ênfase2 6 3" xfId="7331" xr:uid="{00000000-0005-0000-0000-0000C9030000}"/>
    <cellStyle name="60% - Ênfase2 6 4" xfId="6312" xr:uid="{00000000-0005-0000-0000-0000CA030000}"/>
    <cellStyle name="60% - Ênfase2 7" xfId="5372" xr:uid="{00000000-0005-0000-0000-0000CB030000}"/>
    <cellStyle name="60% - Ênfase2 7 2" xfId="7332" xr:uid="{00000000-0005-0000-0000-0000CC030000}"/>
    <cellStyle name="60% - Ênfase2 7 3" xfId="6314" xr:uid="{00000000-0005-0000-0000-0000CD030000}"/>
    <cellStyle name="60% - Ênfase2 8" xfId="5400" xr:uid="{00000000-0005-0000-0000-0000CE030000}"/>
    <cellStyle name="60% - Ênfase2 9" xfId="5427" xr:uid="{00000000-0005-0000-0000-0000CF030000}"/>
    <cellStyle name="60% - Ênfase3" xfId="33" xr:uid="{00000000-0005-0000-0000-0000D0030000}"/>
    <cellStyle name="60% - Ênfase3 10" xfId="5508" xr:uid="{00000000-0005-0000-0000-0000D1030000}"/>
    <cellStyle name="60% - Ênfase3 11" xfId="5585" xr:uid="{00000000-0005-0000-0000-0000D2030000}"/>
    <cellStyle name="60% - Ênfase3 12" xfId="5485" xr:uid="{00000000-0005-0000-0000-0000D3030000}"/>
    <cellStyle name="60% - Ênfase3 13" xfId="5606" xr:uid="{00000000-0005-0000-0000-0000D4030000}"/>
    <cellStyle name="60% - Ênfase3 14" xfId="5635" xr:uid="{00000000-0005-0000-0000-0000D5030000}"/>
    <cellStyle name="60% - Ênfase3 15" xfId="5700" xr:uid="{00000000-0005-0000-0000-0000D6030000}"/>
    <cellStyle name="60% - Ênfase3 16" xfId="5738" xr:uid="{00000000-0005-0000-0000-0000D7030000}"/>
    <cellStyle name="60% - Ênfase3 17" xfId="5794" xr:uid="{00000000-0005-0000-0000-0000D8030000}"/>
    <cellStyle name="60% - Ênfase3 2" xfId="4952" xr:uid="{00000000-0005-0000-0000-0000D9030000}"/>
    <cellStyle name="60% - Ênfase3 2 2" xfId="6316" xr:uid="{00000000-0005-0000-0000-0000DA030000}"/>
    <cellStyle name="60% - Ênfase3 2 2 2" xfId="6317" xr:uid="{00000000-0005-0000-0000-0000DB030000}"/>
    <cellStyle name="60% - Ênfase3 2 2 2 2" xfId="6318" xr:uid="{00000000-0005-0000-0000-0000DC030000}"/>
    <cellStyle name="60% - Ênfase3 2 2 2 2 2" xfId="6319" xr:uid="{00000000-0005-0000-0000-0000DD030000}"/>
    <cellStyle name="60% - Ênfase3 2 2 2 2 2 2" xfId="6320" xr:uid="{00000000-0005-0000-0000-0000DE030000}"/>
    <cellStyle name="60% - Ênfase3 2 2 2 2 2 2 2" xfId="6321" xr:uid="{00000000-0005-0000-0000-0000DF030000}"/>
    <cellStyle name="60% - Ênfase3 2 2 2 2 2 2 2 2" xfId="6322" xr:uid="{00000000-0005-0000-0000-0000E0030000}"/>
    <cellStyle name="60% - Ênfase3 2 2 2 2 2 2 3" xfId="6323" xr:uid="{00000000-0005-0000-0000-0000E1030000}"/>
    <cellStyle name="60% - Ênfase3 2 2 2 2 2 3" xfId="6324" xr:uid="{00000000-0005-0000-0000-0000E2030000}"/>
    <cellStyle name="60% - Ênfase3 2 2 2 2 2 3 2" xfId="6325" xr:uid="{00000000-0005-0000-0000-0000E3030000}"/>
    <cellStyle name="60% - Ênfase3 2 2 2 2 3" xfId="6326" xr:uid="{00000000-0005-0000-0000-0000E4030000}"/>
    <cellStyle name="60% - Ênfase3 2 2 2 2 3 2" xfId="6327" xr:uid="{00000000-0005-0000-0000-0000E5030000}"/>
    <cellStyle name="60% - Ênfase3 2 2 2 3" xfId="6328" xr:uid="{00000000-0005-0000-0000-0000E6030000}"/>
    <cellStyle name="60% - Ênfase3 2 2 2 4" xfId="6329" xr:uid="{00000000-0005-0000-0000-0000E7030000}"/>
    <cellStyle name="60% - Ênfase3 2 2 2 4 2" xfId="6330" xr:uid="{00000000-0005-0000-0000-0000E8030000}"/>
    <cellStyle name="60% - Ênfase3 2 2 3" xfId="6331" xr:uid="{00000000-0005-0000-0000-0000E9030000}"/>
    <cellStyle name="60% - Ênfase3 2 2 4" xfId="6332" xr:uid="{00000000-0005-0000-0000-0000EA030000}"/>
    <cellStyle name="60% - Ênfase3 2 2 4 2" xfId="6333" xr:uid="{00000000-0005-0000-0000-0000EB030000}"/>
    <cellStyle name="60% - Ênfase3 2 3" xfId="6334" xr:uid="{00000000-0005-0000-0000-0000EC030000}"/>
    <cellStyle name="60% - Ênfase3 2 4" xfId="6335" xr:uid="{00000000-0005-0000-0000-0000ED030000}"/>
    <cellStyle name="60% - Ênfase3 2 5" xfId="6336" xr:uid="{00000000-0005-0000-0000-0000EE030000}"/>
    <cellStyle name="60% - Ênfase3 2 6" xfId="6337" xr:uid="{00000000-0005-0000-0000-0000EF030000}"/>
    <cellStyle name="60% - Ênfase3 2 6 2" xfId="6338" xr:uid="{00000000-0005-0000-0000-0000F0030000}"/>
    <cellStyle name="60% - Ênfase3 2 7" xfId="6315" xr:uid="{00000000-0005-0000-0000-0000F1030000}"/>
    <cellStyle name="60% - Ênfase3 3" xfId="5225" xr:uid="{00000000-0005-0000-0000-0000F2030000}"/>
    <cellStyle name="60% - Ênfase3 3 2" xfId="6340" xr:uid="{00000000-0005-0000-0000-0000F3030000}"/>
    <cellStyle name="60% - Ênfase3 3 3" xfId="6341" xr:uid="{00000000-0005-0000-0000-0000F4030000}"/>
    <cellStyle name="60% - Ênfase3 3 4" xfId="6342" xr:uid="{00000000-0005-0000-0000-0000F5030000}"/>
    <cellStyle name="60% - Ênfase3 3 5" xfId="6339" xr:uid="{00000000-0005-0000-0000-0000F6030000}"/>
    <cellStyle name="60% - Ênfase3 4" xfId="5319" xr:uid="{00000000-0005-0000-0000-0000F7030000}"/>
    <cellStyle name="60% - Ênfase3 4 2" xfId="6344" xr:uid="{00000000-0005-0000-0000-0000F8030000}"/>
    <cellStyle name="60% - Ênfase3 4 3" xfId="6345" xr:uid="{00000000-0005-0000-0000-0000F9030000}"/>
    <cellStyle name="60% - Ênfase3 4 4" xfId="6343" xr:uid="{00000000-0005-0000-0000-0000FA030000}"/>
    <cellStyle name="60% - Ênfase3 5" xfId="5202" xr:uid="{00000000-0005-0000-0000-0000FB030000}"/>
    <cellStyle name="60% - Ênfase3 5 2" xfId="6347" xr:uid="{00000000-0005-0000-0000-0000FC030000}"/>
    <cellStyle name="60% - Ênfase3 5 3" xfId="6346" xr:uid="{00000000-0005-0000-0000-0000FD030000}"/>
    <cellStyle name="60% - Ênfase3 6" xfId="5342" xr:uid="{00000000-0005-0000-0000-0000FE030000}"/>
    <cellStyle name="60% - Ênfase3 6 2" xfId="6349" xr:uid="{00000000-0005-0000-0000-0000FF030000}"/>
    <cellStyle name="60% - Ênfase3 6 3" xfId="7333" xr:uid="{00000000-0005-0000-0000-000000040000}"/>
    <cellStyle name="60% - Ênfase3 6 4" xfId="6348" xr:uid="{00000000-0005-0000-0000-000001040000}"/>
    <cellStyle name="60% - Ênfase3 7" xfId="5371" xr:uid="{00000000-0005-0000-0000-000002040000}"/>
    <cellStyle name="60% - Ênfase3 7 2" xfId="7334" xr:uid="{00000000-0005-0000-0000-000003040000}"/>
    <cellStyle name="60% - Ênfase3 7 3" xfId="6350" xr:uid="{00000000-0005-0000-0000-000004040000}"/>
    <cellStyle name="60% - Ênfase3 8" xfId="5399" xr:uid="{00000000-0005-0000-0000-000005040000}"/>
    <cellStyle name="60% - Ênfase3 9" xfId="5426" xr:uid="{00000000-0005-0000-0000-000006040000}"/>
    <cellStyle name="60% - Ênfase4" xfId="34" xr:uid="{00000000-0005-0000-0000-000007040000}"/>
    <cellStyle name="60% - Ênfase4 10" xfId="5509" xr:uid="{00000000-0005-0000-0000-000008040000}"/>
    <cellStyle name="60% - Ênfase4 11" xfId="5584" xr:uid="{00000000-0005-0000-0000-000009040000}"/>
    <cellStyle name="60% - Ênfase4 12" xfId="5486" xr:uid="{00000000-0005-0000-0000-00000A040000}"/>
    <cellStyle name="60% - Ênfase4 13" xfId="5605" xr:uid="{00000000-0005-0000-0000-00000B040000}"/>
    <cellStyle name="60% - Ênfase4 14" xfId="5634" xr:uid="{00000000-0005-0000-0000-00000C040000}"/>
    <cellStyle name="60% - Ênfase4 15" xfId="5701" xr:uid="{00000000-0005-0000-0000-00000D040000}"/>
    <cellStyle name="60% - Ênfase4 16" xfId="5737" xr:uid="{00000000-0005-0000-0000-00000E040000}"/>
    <cellStyle name="60% - Ênfase4 17" xfId="5798" xr:uid="{00000000-0005-0000-0000-00000F040000}"/>
    <cellStyle name="60% - Ênfase4 2" xfId="4953" xr:uid="{00000000-0005-0000-0000-000010040000}"/>
    <cellStyle name="60% - Ênfase4 2 2" xfId="6352" xr:uid="{00000000-0005-0000-0000-000011040000}"/>
    <cellStyle name="60% - Ênfase4 2 2 2" xfId="6353" xr:uid="{00000000-0005-0000-0000-000012040000}"/>
    <cellStyle name="60% - Ênfase4 2 2 2 2" xfId="6354" xr:uid="{00000000-0005-0000-0000-000013040000}"/>
    <cellStyle name="60% - Ênfase4 2 2 2 2 2" xfId="6355" xr:uid="{00000000-0005-0000-0000-000014040000}"/>
    <cellStyle name="60% - Ênfase4 2 2 2 2 2 2" xfId="6356" xr:uid="{00000000-0005-0000-0000-000015040000}"/>
    <cellStyle name="60% - Ênfase4 2 2 2 2 2 2 2" xfId="6357" xr:uid="{00000000-0005-0000-0000-000016040000}"/>
    <cellStyle name="60% - Ênfase4 2 2 2 2 2 2 2 2" xfId="6358" xr:uid="{00000000-0005-0000-0000-000017040000}"/>
    <cellStyle name="60% - Ênfase4 2 2 2 2 2 2 3" xfId="6359" xr:uid="{00000000-0005-0000-0000-000018040000}"/>
    <cellStyle name="60% - Ênfase4 2 2 2 2 2 3" xfId="6360" xr:uid="{00000000-0005-0000-0000-000019040000}"/>
    <cellStyle name="60% - Ênfase4 2 2 2 2 2 3 2" xfId="6361" xr:uid="{00000000-0005-0000-0000-00001A040000}"/>
    <cellStyle name="60% - Ênfase4 2 2 2 2 3" xfId="6362" xr:uid="{00000000-0005-0000-0000-00001B040000}"/>
    <cellStyle name="60% - Ênfase4 2 2 2 2 3 2" xfId="6363" xr:uid="{00000000-0005-0000-0000-00001C040000}"/>
    <cellStyle name="60% - Ênfase4 2 2 2 3" xfId="6364" xr:uid="{00000000-0005-0000-0000-00001D040000}"/>
    <cellStyle name="60% - Ênfase4 2 2 2 4" xfId="6365" xr:uid="{00000000-0005-0000-0000-00001E040000}"/>
    <cellStyle name="60% - Ênfase4 2 2 2 4 2" xfId="6366" xr:uid="{00000000-0005-0000-0000-00001F040000}"/>
    <cellStyle name="60% - Ênfase4 2 2 3" xfId="6367" xr:uid="{00000000-0005-0000-0000-000020040000}"/>
    <cellStyle name="60% - Ênfase4 2 2 4" xfId="6368" xr:uid="{00000000-0005-0000-0000-000021040000}"/>
    <cellStyle name="60% - Ênfase4 2 2 4 2" xfId="6369" xr:uid="{00000000-0005-0000-0000-000022040000}"/>
    <cellStyle name="60% - Ênfase4 2 3" xfId="6370" xr:uid="{00000000-0005-0000-0000-000023040000}"/>
    <cellStyle name="60% - Ênfase4 2 4" xfId="6371" xr:uid="{00000000-0005-0000-0000-000024040000}"/>
    <cellStyle name="60% - Ênfase4 2 5" xfId="6372" xr:uid="{00000000-0005-0000-0000-000025040000}"/>
    <cellStyle name="60% - Ênfase4 2 6" xfId="6373" xr:uid="{00000000-0005-0000-0000-000026040000}"/>
    <cellStyle name="60% - Ênfase4 2 6 2" xfId="6374" xr:uid="{00000000-0005-0000-0000-000027040000}"/>
    <cellStyle name="60% - Ênfase4 2 7" xfId="6351" xr:uid="{00000000-0005-0000-0000-000028040000}"/>
    <cellStyle name="60% - Ênfase4 3" xfId="5226" xr:uid="{00000000-0005-0000-0000-000029040000}"/>
    <cellStyle name="60% - Ênfase4 3 2" xfId="6376" xr:uid="{00000000-0005-0000-0000-00002A040000}"/>
    <cellStyle name="60% - Ênfase4 3 3" xfId="6377" xr:uid="{00000000-0005-0000-0000-00002B040000}"/>
    <cellStyle name="60% - Ênfase4 3 4" xfId="6378" xr:uid="{00000000-0005-0000-0000-00002C040000}"/>
    <cellStyle name="60% - Ênfase4 3 5" xfId="6375" xr:uid="{00000000-0005-0000-0000-00002D040000}"/>
    <cellStyle name="60% - Ênfase4 4" xfId="5318" xr:uid="{00000000-0005-0000-0000-00002E040000}"/>
    <cellStyle name="60% - Ênfase4 4 2" xfId="6380" xr:uid="{00000000-0005-0000-0000-00002F040000}"/>
    <cellStyle name="60% - Ênfase4 4 3" xfId="6381" xr:uid="{00000000-0005-0000-0000-000030040000}"/>
    <cellStyle name="60% - Ênfase4 4 4" xfId="6379" xr:uid="{00000000-0005-0000-0000-000031040000}"/>
    <cellStyle name="60% - Ênfase4 5" xfId="5203" xr:uid="{00000000-0005-0000-0000-000032040000}"/>
    <cellStyle name="60% - Ênfase4 5 2" xfId="6383" xr:uid="{00000000-0005-0000-0000-000033040000}"/>
    <cellStyle name="60% - Ênfase4 5 3" xfId="6382" xr:uid="{00000000-0005-0000-0000-000034040000}"/>
    <cellStyle name="60% - Ênfase4 6" xfId="5341" xr:uid="{00000000-0005-0000-0000-000035040000}"/>
    <cellStyle name="60% - Ênfase4 6 2" xfId="6385" xr:uid="{00000000-0005-0000-0000-000036040000}"/>
    <cellStyle name="60% - Ênfase4 6 3" xfId="7335" xr:uid="{00000000-0005-0000-0000-000037040000}"/>
    <cellStyle name="60% - Ênfase4 6 4" xfId="6384" xr:uid="{00000000-0005-0000-0000-000038040000}"/>
    <cellStyle name="60% - Ênfase4 7" xfId="5370" xr:uid="{00000000-0005-0000-0000-000039040000}"/>
    <cellStyle name="60% - Ênfase4 7 2" xfId="7336" xr:uid="{00000000-0005-0000-0000-00003A040000}"/>
    <cellStyle name="60% - Ênfase4 7 3" xfId="6386" xr:uid="{00000000-0005-0000-0000-00003B040000}"/>
    <cellStyle name="60% - Ênfase4 8" xfId="5398" xr:uid="{00000000-0005-0000-0000-00003C040000}"/>
    <cellStyle name="60% - Ênfase4 9" xfId="5425" xr:uid="{00000000-0005-0000-0000-00003D040000}"/>
    <cellStyle name="60% - Ênfase5" xfId="35" xr:uid="{00000000-0005-0000-0000-00003E040000}"/>
    <cellStyle name="60% - Ênfase5 10" xfId="5510" xr:uid="{00000000-0005-0000-0000-00003F040000}"/>
    <cellStyle name="60% - Ênfase5 11" xfId="5583" xr:uid="{00000000-0005-0000-0000-000040040000}"/>
    <cellStyle name="60% - Ênfase5 12" xfId="5487" xr:uid="{00000000-0005-0000-0000-000041040000}"/>
    <cellStyle name="60% - Ênfase5 13" xfId="5604" xr:uid="{00000000-0005-0000-0000-000042040000}"/>
    <cellStyle name="60% - Ênfase5 14" xfId="5633" xr:uid="{00000000-0005-0000-0000-000043040000}"/>
    <cellStyle name="60% - Ênfase5 15" xfId="5702" xr:uid="{00000000-0005-0000-0000-000044040000}"/>
    <cellStyle name="60% - Ênfase5 16" xfId="5736" xr:uid="{00000000-0005-0000-0000-000045040000}"/>
    <cellStyle name="60% - Ênfase5 17" xfId="5802" xr:uid="{00000000-0005-0000-0000-000046040000}"/>
    <cellStyle name="60% - Ênfase5 2" xfId="4954" xr:uid="{00000000-0005-0000-0000-000047040000}"/>
    <cellStyle name="60% - Ênfase5 2 2" xfId="6388" xr:uid="{00000000-0005-0000-0000-000048040000}"/>
    <cellStyle name="60% - Ênfase5 2 2 2" xfId="6389" xr:uid="{00000000-0005-0000-0000-000049040000}"/>
    <cellStyle name="60% - Ênfase5 2 2 2 2" xfId="6390" xr:uid="{00000000-0005-0000-0000-00004A040000}"/>
    <cellStyle name="60% - Ênfase5 2 2 2 2 2" xfId="6391" xr:uid="{00000000-0005-0000-0000-00004B040000}"/>
    <cellStyle name="60% - Ênfase5 2 2 2 2 2 2" xfId="6392" xr:uid="{00000000-0005-0000-0000-00004C040000}"/>
    <cellStyle name="60% - Ênfase5 2 2 2 2 2 2 2" xfId="6393" xr:uid="{00000000-0005-0000-0000-00004D040000}"/>
    <cellStyle name="60% - Ênfase5 2 2 2 2 2 2 2 2" xfId="6394" xr:uid="{00000000-0005-0000-0000-00004E040000}"/>
    <cellStyle name="60% - Ênfase5 2 2 2 2 2 2 3" xfId="6395" xr:uid="{00000000-0005-0000-0000-00004F040000}"/>
    <cellStyle name="60% - Ênfase5 2 2 2 2 2 3" xfId="6396" xr:uid="{00000000-0005-0000-0000-000050040000}"/>
    <cellStyle name="60% - Ênfase5 2 2 2 2 2 3 2" xfId="6397" xr:uid="{00000000-0005-0000-0000-000051040000}"/>
    <cellStyle name="60% - Ênfase5 2 2 2 2 3" xfId="6398" xr:uid="{00000000-0005-0000-0000-000052040000}"/>
    <cellStyle name="60% - Ênfase5 2 2 2 2 3 2" xfId="6399" xr:uid="{00000000-0005-0000-0000-000053040000}"/>
    <cellStyle name="60% - Ênfase5 2 2 2 3" xfId="6400" xr:uid="{00000000-0005-0000-0000-000054040000}"/>
    <cellStyle name="60% - Ênfase5 2 2 2 4" xfId="6401" xr:uid="{00000000-0005-0000-0000-000055040000}"/>
    <cellStyle name="60% - Ênfase5 2 2 2 4 2" xfId="6402" xr:uid="{00000000-0005-0000-0000-000056040000}"/>
    <cellStyle name="60% - Ênfase5 2 2 3" xfId="6403" xr:uid="{00000000-0005-0000-0000-000057040000}"/>
    <cellStyle name="60% - Ênfase5 2 2 4" xfId="6404" xr:uid="{00000000-0005-0000-0000-000058040000}"/>
    <cellStyle name="60% - Ênfase5 2 2 4 2" xfId="6405" xr:uid="{00000000-0005-0000-0000-000059040000}"/>
    <cellStyle name="60% - Ênfase5 2 3" xfId="6406" xr:uid="{00000000-0005-0000-0000-00005A040000}"/>
    <cellStyle name="60% - Ênfase5 2 4" xfId="6407" xr:uid="{00000000-0005-0000-0000-00005B040000}"/>
    <cellStyle name="60% - Ênfase5 2 5" xfId="6408" xr:uid="{00000000-0005-0000-0000-00005C040000}"/>
    <cellStyle name="60% - Ênfase5 2 6" xfId="6409" xr:uid="{00000000-0005-0000-0000-00005D040000}"/>
    <cellStyle name="60% - Ênfase5 2 6 2" xfId="6410" xr:uid="{00000000-0005-0000-0000-00005E040000}"/>
    <cellStyle name="60% - Ênfase5 2 7" xfId="6387" xr:uid="{00000000-0005-0000-0000-00005F040000}"/>
    <cellStyle name="60% - Ênfase5 3" xfId="5227" xr:uid="{00000000-0005-0000-0000-000060040000}"/>
    <cellStyle name="60% - Ênfase5 3 2" xfId="6412" xr:uid="{00000000-0005-0000-0000-000061040000}"/>
    <cellStyle name="60% - Ênfase5 3 3" xfId="6413" xr:uid="{00000000-0005-0000-0000-000062040000}"/>
    <cellStyle name="60% - Ênfase5 3 4" xfId="6414" xr:uid="{00000000-0005-0000-0000-000063040000}"/>
    <cellStyle name="60% - Ênfase5 3 5" xfId="6411" xr:uid="{00000000-0005-0000-0000-000064040000}"/>
    <cellStyle name="60% - Ênfase5 4" xfId="5317" xr:uid="{00000000-0005-0000-0000-000065040000}"/>
    <cellStyle name="60% - Ênfase5 4 2" xfId="6416" xr:uid="{00000000-0005-0000-0000-000066040000}"/>
    <cellStyle name="60% - Ênfase5 4 3" xfId="6417" xr:uid="{00000000-0005-0000-0000-000067040000}"/>
    <cellStyle name="60% - Ênfase5 4 4" xfId="6415" xr:uid="{00000000-0005-0000-0000-000068040000}"/>
    <cellStyle name="60% - Ênfase5 5" xfId="5204" xr:uid="{00000000-0005-0000-0000-000069040000}"/>
    <cellStyle name="60% - Ênfase5 5 2" xfId="6419" xr:uid="{00000000-0005-0000-0000-00006A040000}"/>
    <cellStyle name="60% - Ênfase5 5 3" xfId="6418" xr:uid="{00000000-0005-0000-0000-00006B040000}"/>
    <cellStyle name="60% - Ênfase5 6" xfId="5340" xr:uid="{00000000-0005-0000-0000-00006C040000}"/>
    <cellStyle name="60% - Ênfase5 6 2" xfId="6421" xr:uid="{00000000-0005-0000-0000-00006D040000}"/>
    <cellStyle name="60% - Ênfase5 6 3" xfId="7337" xr:uid="{00000000-0005-0000-0000-00006E040000}"/>
    <cellStyle name="60% - Ênfase5 6 4" xfId="6420" xr:uid="{00000000-0005-0000-0000-00006F040000}"/>
    <cellStyle name="60% - Ênfase5 7" xfId="5369" xr:uid="{00000000-0005-0000-0000-000070040000}"/>
    <cellStyle name="60% - Ênfase5 7 2" xfId="7338" xr:uid="{00000000-0005-0000-0000-000071040000}"/>
    <cellStyle name="60% - Ênfase5 7 3" xfId="6422" xr:uid="{00000000-0005-0000-0000-000072040000}"/>
    <cellStyle name="60% - Ênfase5 8" xfId="5397" xr:uid="{00000000-0005-0000-0000-000073040000}"/>
    <cellStyle name="60% - Ênfase5 9" xfId="5424" xr:uid="{00000000-0005-0000-0000-000074040000}"/>
    <cellStyle name="60% - Ênfase6" xfId="36" xr:uid="{00000000-0005-0000-0000-000075040000}"/>
    <cellStyle name="60% - Ênfase6 10" xfId="5511" xr:uid="{00000000-0005-0000-0000-000076040000}"/>
    <cellStyle name="60% - Ênfase6 11" xfId="5582" xr:uid="{00000000-0005-0000-0000-000077040000}"/>
    <cellStyle name="60% - Ênfase6 12" xfId="5488" xr:uid="{00000000-0005-0000-0000-000078040000}"/>
    <cellStyle name="60% - Ênfase6 13" xfId="5603" xr:uid="{00000000-0005-0000-0000-000079040000}"/>
    <cellStyle name="60% - Ênfase6 14" xfId="5632" xr:uid="{00000000-0005-0000-0000-00007A040000}"/>
    <cellStyle name="60% - Ênfase6 15" xfId="5703" xr:uid="{00000000-0005-0000-0000-00007B040000}"/>
    <cellStyle name="60% - Ênfase6 16" xfId="5735" xr:uid="{00000000-0005-0000-0000-00007C040000}"/>
    <cellStyle name="60% - Ênfase6 17" xfId="5806" xr:uid="{00000000-0005-0000-0000-00007D040000}"/>
    <cellStyle name="60% - Ênfase6 2" xfId="4955" xr:uid="{00000000-0005-0000-0000-00007E040000}"/>
    <cellStyle name="60% - Ênfase6 2 2" xfId="6424" xr:uid="{00000000-0005-0000-0000-00007F040000}"/>
    <cellStyle name="60% - Ênfase6 2 2 2" xfId="6425" xr:uid="{00000000-0005-0000-0000-000080040000}"/>
    <cellStyle name="60% - Ênfase6 2 2 2 2" xfId="6426" xr:uid="{00000000-0005-0000-0000-000081040000}"/>
    <cellStyle name="60% - Ênfase6 2 2 2 2 2" xfId="6427" xr:uid="{00000000-0005-0000-0000-000082040000}"/>
    <cellStyle name="60% - Ênfase6 2 2 2 2 2 2" xfId="6428" xr:uid="{00000000-0005-0000-0000-000083040000}"/>
    <cellStyle name="60% - Ênfase6 2 2 2 2 2 2 2" xfId="6429" xr:uid="{00000000-0005-0000-0000-000084040000}"/>
    <cellStyle name="60% - Ênfase6 2 2 2 2 2 2 2 2" xfId="6430" xr:uid="{00000000-0005-0000-0000-000085040000}"/>
    <cellStyle name="60% - Ênfase6 2 2 2 2 2 2 3" xfId="6431" xr:uid="{00000000-0005-0000-0000-000086040000}"/>
    <cellStyle name="60% - Ênfase6 2 2 2 2 2 3" xfId="6432" xr:uid="{00000000-0005-0000-0000-000087040000}"/>
    <cellStyle name="60% - Ênfase6 2 2 2 2 2 3 2" xfId="6433" xr:uid="{00000000-0005-0000-0000-000088040000}"/>
    <cellStyle name="60% - Ênfase6 2 2 2 2 3" xfId="6434" xr:uid="{00000000-0005-0000-0000-000089040000}"/>
    <cellStyle name="60% - Ênfase6 2 2 2 2 3 2" xfId="6435" xr:uid="{00000000-0005-0000-0000-00008A040000}"/>
    <cellStyle name="60% - Ênfase6 2 2 2 3" xfId="6436" xr:uid="{00000000-0005-0000-0000-00008B040000}"/>
    <cellStyle name="60% - Ênfase6 2 2 2 4" xfId="6437" xr:uid="{00000000-0005-0000-0000-00008C040000}"/>
    <cellStyle name="60% - Ênfase6 2 2 2 4 2" xfId="6438" xr:uid="{00000000-0005-0000-0000-00008D040000}"/>
    <cellStyle name="60% - Ênfase6 2 2 3" xfId="6439" xr:uid="{00000000-0005-0000-0000-00008E040000}"/>
    <cellStyle name="60% - Ênfase6 2 2 4" xfId="6440" xr:uid="{00000000-0005-0000-0000-00008F040000}"/>
    <cellStyle name="60% - Ênfase6 2 2 4 2" xfId="6441" xr:uid="{00000000-0005-0000-0000-000090040000}"/>
    <cellStyle name="60% - Ênfase6 2 3" xfId="6442" xr:uid="{00000000-0005-0000-0000-000091040000}"/>
    <cellStyle name="60% - Ênfase6 2 4" xfId="6443" xr:uid="{00000000-0005-0000-0000-000092040000}"/>
    <cellStyle name="60% - Ênfase6 2 5" xfId="6444" xr:uid="{00000000-0005-0000-0000-000093040000}"/>
    <cellStyle name="60% - Ênfase6 2 6" xfId="6445" xr:uid="{00000000-0005-0000-0000-000094040000}"/>
    <cellStyle name="60% - Ênfase6 2 6 2" xfId="6446" xr:uid="{00000000-0005-0000-0000-000095040000}"/>
    <cellStyle name="60% - Ênfase6 2 7" xfId="6423" xr:uid="{00000000-0005-0000-0000-000096040000}"/>
    <cellStyle name="60% - Ênfase6 3" xfId="5228" xr:uid="{00000000-0005-0000-0000-000097040000}"/>
    <cellStyle name="60% - Ênfase6 3 2" xfId="6448" xr:uid="{00000000-0005-0000-0000-000098040000}"/>
    <cellStyle name="60% - Ênfase6 3 3" xfId="6449" xr:uid="{00000000-0005-0000-0000-000099040000}"/>
    <cellStyle name="60% - Ênfase6 3 4" xfId="6450" xr:uid="{00000000-0005-0000-0000-00009A040000}"/>
    <cellStyle name="60% - Ênfase6 3 5" xfId="6447" xr:uid="{00000000-0005-0000-0000-00009B040000}"/>
    <cellStyle name="60% - Ênfase6 4" xfId="5316" xr:uid="{00000000-0005-0000-0000-00009C040000}"/>
    <cellStyle name="60% - Ênfase6 4 2" xfId="6452" xr:uid="{00000000-0005-0000-0000-00009D040000}"/>
    <cellStyle name="60% - Ênfase6 4 3" xfId="6453" xr:uid="{00000000-0005-0000-0000-00009E040000}"/>
    <cellStyle name="60% - Ênfase6 4 4" xfId="6451" xr:uid="{00000000-0005-0000-0000-00009F040000}"/>
    <cellStyle name="60% - Ênfase6 5" xfId="5205" xr:uid="{00000000-0005-0000-0000-0000A0040000}"/>
    <cellStyle name="60% - Ênfase6 5 2" xfId="6455" xr:uid="{00000000-0005-0000-0000-0000A1040000}"/>
    <cellStyle name="60% - Ênfase6 5 3" xfId="6454" xr:uid="{00000000-0005-0000-0000-0000A2040000}"/>
    <cellStyle name="60% - Ênfase6 6" xfId="5339" xr:uid="{00000000-0005-0000-0000-0000A3040000}"/>
    <cellStyle name="60% - Ênfase6 6 2" xfId="6457" xr:uid="{00000000-0005-0000-0000-0000A4040000}"/>
    <cellStyle name="60% - Ênfase6 6 3" xfId="7339" xr:uid="{00000000-0005-0000-0000-0000A5040000}"/>
    <cellStyle name="60% - Ênfase6 6 4" xfId="6456" xr:uid="{00000000-0005-0000-0000-0000A6040000}"/>
    <cellStyle name="60% - Ênfase6 7" xfId="5368" xr:uid="{00000000-0005-0000-0000-0000A7040000}"/>
    <cellStyle name="60% - Ênfase6 7 2" xfId="7340" xr:uid="{00000000-0005-0000-0000-0000A8040000}"/>
    <cellStyle name="60% - Ênfase6 7 3" xfId="6458" xr:uid="{00000000-0005-0000-0000-0000A9040000}"/>
    <cellStyle name="60% - Ênfase6 8" xfId="5396" xr:uid="{00000000-0005-0000-0000-0000AA040000}"/>
    <cellStyle name="60% - Ênfase6 9" xfId="5423" xr:uid="{00000000-0005-0000-0000-0000AB040000}"/>
    <cellStyle name="60% - Énfasis1" xfId="318" xr:uid="{00000000-0005-0000-0000-0000AC040000}"/>
    <cellStyle name="60% - Énfasis2" xfId="319" xr:uid="{00000000-0005-0000-0000-0000AD040000}"/>
    <cellStyle name="60% - Énfasis3" xfId="320" xr:uid="{00000000-0005-0000-0000-0000AE040000}"/>
    <cellStyle name="60% - Énfasis4" xfId="321" xr:uid="{00000000-0005-0000-0000-0000AF040000}"/>
    <cellStyle name="60% - Énfasis5" xfId="322" xr:uid="{00000000-0005-0000-0000-0000B0040000}"/>
    <cellStyle name="60% - Énfasis6" xfId="323" xr:uid="{00000000-0005-0000-0000-0000B1040000}"/>
    <cellStyle name="a_Divisão" xfId="324" xr:uid="{00000000-0005-0000-0000-0000B2040000}"/>
    <cellStyle name="a_normal" xfId="325" xr:uid="{00000000-0005-0000-0000-0000B3040000}"/>
    <cellStyle name="a_quebra_1" xfId="326" xr:uid="{00000000-0005-0000-0000-0000B4040000}"/>
    <cellStyle name="a_quebra_2" xfId="327" xr:uid="{00000000-0005-0000-0000-0000B5040000}"/>
    <cellStyle name="A3 297 x 420 mm" xfId="328" xr:uid="{00000000-0005-0000-0000-0000B6040000}"/>
    <cellStyle name="A3 297 x 420 mm 10" xfId="329" xr:uid="{00000000-0005-0000-0000-0000B7040000}"/>
    <cellStyle name="A3 297 x 420 mm 11" xfId="330" xr:uid="{00000000-0005-0000-0000-0000B8040000}"/>
    <cellStyle name="A3 297 x 420 mm 12" xfId="331" xr:uid="{00000000-0005-0000-0000-0000B9040000}"/>
    <cellStyle name="A3 297 x 420 mm 13" xfId="332" xr:uid="{00000000-0005-0000-0000-0000BA040000}"/>
    <cellStyle name="A3 297 x 420 mm 14" xfId="333" xr:uid="{00000000-0005-0000-0000-0000BB040000}"/>
    <cellStyle name="A3 297 x 420 mm 15" xfId="334" xr:uid="{00000000-0005-0000-0000-0000BC040000}"/>
    <cellStyle name="A3 297 x 420 mm 16" xfId="335" xr:uid="{00000000-0005-0000-0000-0000BD040000}"/>
    <cellStyle name="A3 297 x 420 mm 17" xfId="336" xr:uid="{00000000-0005-0000-0000-0000BE040000}"/>
    <cellStyle name="A3 297 x 420 mm 18" xfId="337" xr:uid="{00000000-0005-0000-0000-0000BF040000}"/>
    <cellStyle name="A3 297 x 420 mm 19" xfId="338" xr:uid="{00000000-0005-0000-0000-0000C0040000}"/>
    <cellStyle name="A3 297 x 420 mm 2" xfId="339" xr:uid="{00000000-0005-0000-0000-0000C1040000}"/>
    <cellStyle name="A3 297 x 420 mm 2 10" xfId="340" xr:uid="{00000000-0005-0000-0000-0000C2040000}"/>
    <cellStyle name="A3 297 x 420 mm 2 11" xfId="341" xr:uid="{00000000-0005-0000-0000-0000C3040000}"/>
    <cellStyle name="A3 297 x 420 mm 2 12" xfId="342" xr:uid="{00000000-0005-0000-0000-0000C4040000}"/>
    <cellStyle name="A3 297 x 420 mm 2 13" xfId="343" xr:uid="{00000000-0005-0000-0000-0000C5040000}"/>
    <cellStyle name="A3 297 x 420 mm 2 14" xfId="344" xr:uid="{00000000-0005-0000-0000-0000C6040000}"/>
    <cellStyle name="A3 297 x 420 mm 2 15" xfId="345" xr:uid="{00000000-0005-0000-0000-0000C7040000}"/>
    <cellStyle name="A3 297 x 420 mm 2 16" xfId="346" xr:uid="{00000000-0005-0000-0000-0000C8040000}"/>
    <cellStyle name="A3 297 x 420 mm 2 17" xfId="347" xr:uid="{00000000-0005-0000-0000-0000C9040000}"/>
    <cellStyle name="A3 297 x 420 mm 2 18" xfId="348" xr:uid="{00000000-0005-0000-0000-0000CA040000}"/>
    <cellStyle name="A3 297 x 420 mm 2 19" xfId="349" xr:uid="{00000000-0005-0000-0000-0000CB040000}"/>
    <cellStyle name="A3 297 x 420 mm 2 2" xfId="350" xr:uid="{00000000-0005-0000-0000-0000CC040000}"/>
    <cellStyle name="A3 297 x 420 mm 2 2 10" xfId="351" xr:uid="{00000000-0005-0000-0000-0000CD040000}"/>
    <cellStyle name="A3 297 x 420 mm 2 2 11" xfId="352" xr:uid="{00000000-0005-0000-0000-0000CE040000}"/>
    <cellStyle name="A3 297 x 420 mm 2 2 12" xfId="353" xr:uid="{00000000-0005-0000-0000-0000CF040000}"/>
    <cellStyle name="A3 297 x 420 mm 2 2 13" xfId="354" xr:uid="{00000000-0005-0000-0000-0000D0040000}"/>
    <cellStyle name="A3 297 x 420 mm 2 2 14" xfId="355" xr:uid="{00000000-0005-0000-0000-0000D1040000}"/>
    <cellStyle name="A3 297 x 420 mm 2 2 15" xfId="356" xr:uid="{00000000-0005-0000-0000-0000D2040000}"/>
    <cellStyle name="A3 297 x 420 mm 2 2 16" xfId="357" xr:uid="{00000000-0005-0000-0000-0000D3040000}"/>
    <cellStyle name="A3 297 x 420 mm 2 2 17" xfId="358" xr:uid="{00000000-0005-0000-0000-0000D4040000}"/>
    <cellStyle name="A3 297 x 420 mm 2 2 18" xfId="359" xr:uid="{00000000-0005-0000-0000-0000D5040000}"/>
    <cellStyle name="A3 297 x 420 mm 2 2 19" xfId="360" xr:uid="{00000000-0005-0000-0000-0000D6040000}"/>
    <cellStyle name="A3 297 x 420 mm 2 2 2" xfId="361" xr:uid="{00000000-0005-0000-0000-0000D7040000}"/>
    <cellStyle name="A3 297 x 420 mm 2 2 20" xfId="362" xr:uid="{00000000-0005-0000-0000-0000D8040000}"/>
    <cellStyle name="A3 297 x 420 mm 2 2 21" xfId="363" xr:uid="{00000000-0005-0000-0000-0000D9040000}"/>
    <cellStyle name="A3 297 x 420 mm 2 2 22" xfId="364" xr:uid="{00000000-0005-0000-0000-0000DA040000}"/>
    <cellStyle name="A3 297 x 420 mm 2 2 23" xfId="365" xr:uid="{00000000-0005-0000-0000-0000DB040000}"/>
    <cellStyle name="A3 297 x 420 mm 2 2 24" xfId="366" xr:uid="{00000000-0005-0000-0000-0000DC040000}"/>
    <cellStyle name="A3 297 x 420 mm 2 2 25" xfId="367" xr:uid="{00000000-0005-0000-0000-0000DD040000}"/>
    <cellStyle name="A3 297 x 420 mm 2 2 26" xfId="368" xr:uid="{00000000-0005-0000-0000-0000DE040000}"/>
    <cellStyle name="A3 297 x 420 mm 2 2 27" xfId="369" xr:uid="{00000000-0005-0000-0000-0000DF040000}"/>
    <cellStyle name="A3 297 x 420 mm 2 2 28" xfId="370" xr:uid="{00000000-0005-0000-0000-0000E0040000}"/>
    <cellStyle name="A3 297 x 420 mm 2 2 29" xfId="371" xr:uid="{00000000-0005-0000-0000-0000E1040000}"/>
    <cellStyle name="A3 297 x 420 mm 2 2 3" xfId="372" xr:uid="{00000000-0005-0000-0000-0000E2040000}"/>
    <cellStyle name="A3 297 x 420 mm 2 2 30" xfId="373" xr:uid="{00000000-0005-0000-0000-0000E3040000}"/>
    <cellStyle name="A3 297 x 420 mm 2 2 31" xfId="374" xr:uid="{00000000-0005-0000-0000-0000E4040000}"/>
    <cellStyle name="A3 297 x 420 mm 2 2 32" xfId="375" xr:uid="{00000000-0005-0000-0000-0000E5040000}"/>
    <cellStyle name="A3 297 x 420 mm 2 2 33" xfId="376" xr:uid="{00000000-0005-0000-0000-0000E6040000}"/>
    <cellStyle name="A3 297 x 420 mm 2 2 34" xfId="377" xr:uid="{00000000-0005-0000-0000-0000E7040000}"/>
    <cellStyle name="A3 297 x 420 mm 2 2 35" xfId="378" xr:uid="{00000000-0005-0000-0000-0000E8040000}"/>
    <cellStyle name="A3 297 x 420 mm 2 2 36" xfId="379" xr:uid="{00000000-0005-0000-0000-0000E9040000}"/>
    <cellStyle name="A3 297 x 420 mm 2 2 37" xfId="380" xr:uid="{00000000-0005-0000-0000-0000EA040000}"/>
    <cellStyle name="A3 297 x 420 mm 2 2 38" xfId="381" xr:uid="{00000000-0005-0000-0000-0000EB040000}"/>
    <cellStyle name="A3 297 x 420 mm 2 2 39" xfId="382" xr:uid="{00000000-0005-0000-0000-0000EC040000}"/>
    <cellStyle name="A3 297 x 420 mm 2 2 4" xfId="383" xr:uid="{00000000-0005-0000-0000-0000ED040000}"/>
    <cellStyle name="A3 297 x 420 mm 2 2 40" xfId="384" xr:uid="{00000000-0005-0000-0000-0000EE040000}"/>
    <cellStyle name="A3 297 x 420 mm 2 2 5" xfId="385" xr:uid="{00000000-0005-0000-0000-0000EF040000}"/>
    <cellStyle name="A3 297 x 420 mm 2 2 6" xfId="386" xr:uid="{00000000-0005-0000-0000-0000F0040000}"/>
    <cellStyle name="A3 297 x 420 mm 2 2 7" xfId="387" xr:uid="{00000000-0005-0000-0000-0000F1040000}"/>
    <cellStyle name="A3 297 x 420 mm 2 2 8" xfId="388" xr:uid="{00000000-0005-0000-0000-0000F2040000}"/>
    <cellStyle name="A3 297 x 420 mm 2 2 9" xfId="389" xr:uid="{00000000-0005-0000-0000-0000F3040000}"/>
    <cellStyle name="A3 297 x 420 mm 2 20" xfId="390" xr:uid="{00000000-0005-0000-0000-0000F4040000}"/>
    <cellStyle name="A3 297 x 420 mm 2 21" xfId="391" xr:uid="{00000000-0005-0000-0000-0000F5040000}"/>
    <cellStyle name="A3 297 x 420 mm 2 22" xfId="392" xr:uid="{00000000-0005-0000-0000-0000F6040000}"/>
    <cellStyle name="A3 297 x 420 mm 2 23" xfId="393" xr:uid="{00000000-0005-0000-0000-0000F7040000}"/>
    <cellStyle name="A3 297 x 420 mm 2 24" xfId="394" xr:uid="{00000000-0005-0000-0000-0000F8040000}"/>
    <cellStyle name="A3 297 x 420 mm 2 25" xfId="395" xr:uid="{00000000-0005-0000-0000-0000F9040000}"/>
    <cellStyle name="A3 297 x 420 mm 2 26" xfId="396" xr:uid="{00000000-0005-0000-0000-0000FA040000}"/>
    <cellStyle name="A3 297 x 420 mm 2 27" xfId="397" xr:uid="{00000000-0005-0000-0000-0000FB040000}"/>
    <cellStyle name="A3 297 x 420 mm 2 28" xfId="398" xr:uid="{00000000-0005-0000-0000-0000FC040000}"/>
    <cellStyle name="A3 297 x 420 mm 2 29" xfId="399" xr:uid="{00000000-0005-0000-0000-0000FD040000}"/>
    <cellStyle name="A3 297 x 420 mm 2 3" xfId="400" xr:uid="{00000000-0005-0000-0000-0000FE040000}"/>
    <cellStyle name="A3 297 x 420 mm 2 30" xfId="401" xr:uid="{00000000-0005-0000-0000-0000FF040000}"/>
    <cellStyle name="A3 297 x 420 mm 2 31" xfId="402" xr:uid="{00000000-0005-0000-0000-000000050000}"/>
    <cellStyle name="A3 297 x 420 mm 2 32" xfId="403" xr:uid="{00000000-0005-0000-0000-000001050000}"/>
    <cellStyle name="A3 297 x 420 mm 2 33" xfId="404" xr:uid="{00000000-0005-0000-0000-000002050000}"/>
    <cellStyle name="A3 297 x 420 mm 2 34" xfId="405" xr:uid="{00000000-0005-0000-0000-000003050000}"/>
    <cellStyle name="A3 297 x 420 mm 2 35" xfId="406" xr:uid="{00000000-0005-0000-0000-000004050000}"/>
    <cellStyle name="A3 297 x 420 mm 2 36" xfId="407" xr:uid="{00000000-0005-0000-0000-000005050000}"/>
    <cellStyle name="A3 297 x 420 mm 2 37" xfId="408" xr:uid="{00000000-0005-0000-0000-000006050000}"/>
    <cellStyle name="A3 297 x 420 mm 2 38" xfId="409" xr:uid="{00000000-0005-0000-0000-000007050000}"/>
    <cellStyle name="A3 297 x 420 mm 2 39" xfId="410" xr:uid="{00000000-0005-0000-0000-000008050000}"/>
    <cellStyle name="A3 297 x 420 mm 2 4" xfId="411" xr:uid="{00000000-0005-0000-0000-000009050000}"/>
    <cellStyle name="A3 297 x 420 mm 2 40" xfId="412" xr:uid="{00000000-0005-0000-0000-00000A050000}"/>
    <cellStyle name="A3 297 x 420 mm 2 41" xfId="413" xr:uid="{00000000-0005-0000-0000-00000B050000}"/>
    <cellStyle name="A3 297 x 420 mm 2 5" xfId="414" xr:uid="{00000000-0005-0000-0000-00000C050000}"/>
    <cellStyle name="A3 297 x 420 mm 2 6" xfId="415" xr:uid="{00000000-0005-0000-0000-00000D050000}"/>
    <cellStyle name="A3 297 x 420 mm 2 7" xfId="416" xr:uid="{00000000-0005-0000-0000-00000E050000}"/>
    <cellStyle name="A3 297 x 420 mm 2 8" xfId="417" xr:uid="{00000000-0005-0000-0000-00000F050000}"/>
    <cellStyle name="A3 297 x 420 mm 2 9" xfId="418" xr:uid="{00000000-0005-0000-0000-000010050000}"/>
    <cellStyle name="A3 297 x 420 mm 20" xfId="419" xr:uid="{00000000-0005-0000-0000-000011050000}"/>
    <cellStyle name="A3 297 x 420 mm 21" xfId="420" xr:uid="{00000000-0005-0000-0000-000012050000}"/>
    <cellStyle name="A3 297 x 420 mm 22" xfId="421" xr:uid="{00000000-0005-0000-0000-000013050000}"/>
    <cellStyle name="A3 297 x 420 mm 23" xfId="422" xr:uid="{00000000-0005-0000-0000-000014050000}"/>
    <cellStyle name="A3 297 x 420 mm 24" xfId="423" xr:uid="{00000000-0005-0000-0000-000015050000}"/>
    <cellStyle name="A3 297 x 420 mm 25" xfId="424" xr:uid="{00000000-0005-0000-0000-000016050000}"/>
    <cellStyle name="A3 297 x 420 mm 26" xfId="425" xr:uid="{00000000-0005-0000-0000-000017050000}"/>
    <cellStyle name="A3 297 x 420 mm 27" xfId="426" xr:uid="{00000000-0005-0000-0000-000018050000}"/>
    <cellStyle name="A3 297 x 420 mm 28" xfId="427" xr:uid="{00000000-0005-0000-0000-000019050000}"/>
    <cellStyle name="A3 297 x 420 mm 29" xfId="428" xr:uid="{00000000-0005-0000-0000-00001A050000}"/>
    <cellStyle name="A3 297 x 420 mm 3" xfId="429" xr:uid="{00000000-0005-0000-0000-00001B050000}"/>
    <cellStyle name="A3 297 x 420 mm 3 2" xfId="430" xr:uid="{00000000-0005-0000-0000-00001C050000}"/>
    <cellStyle name="A3 297 x 420 mm 30" xfId="431" xr:uid="{00000000-0005-0000-0000-00001D050000}"/>
    <cellStyle name="A3 297 x 420 mm 31" xfId="432" xr:uid="{00000000-0005-0000-0000-00001E050000}"/>
    <cellStyle name="A3 297 x 420 mm 32" xfId="433" xr:uid="{00000000-0005-0000-0000-00001F050000}"/>
    <cellStyle name="A3 297 x 420 mm 33" xfId="434" xr:uid="{00000000-0005-0000-0000-000020050000}"/>
    <cellStyle name="A3 297 x 420 mm 34" xfId="435" xr:uid="{00000000-0005-0000-0000-000021050000}"/>
    <cellStyle name="A3 297 x 420 mm 35" xfId="436" xr:uid="{00000000-0005-0000-0000-000022050000}"/>
    <cellStyle name="A3 297 x 420 mm 36" xfId="437" xr:uid="{00000000-0005-0000-0000-000023050000}"/>
    <cellStyle name="A3 297 x 420 mm 37" xfId="438" xr:uid="{00000000-0005-0000-0000-000024050000}"/>
    <cellStyle name="A3 297 x 420 mm 38" xfId="439" xr:uid="{00000000-0005-0000-0000-000025050000}"/>
    <cellStyle name="A3 297 x 420 mm 39" xfId="440" xr:uid="{00000000-0005-0000-0000-000026050000}"/>
    <cellStyle name="A3 297 x 420 mm 4" xfId="441" xr:uid="{00000000-0005-0000-0000-000027050000}"/>
    <cellStyle name="A3 297 x 420 mm 4 2" xfId="442" xr:uid="{00000000-0005-0000-0000-000028050000}"/>
    <cellStyle name="A3 297 x 420 mm 40" xfId="443" xr:uid="{00000000-0005-0000-0000-000029050000}"/>
    <cellStyle name="A3 297 x 420 mm 41" xfId="444" xr:uid="{00000000-0005-0000-0000-00002A050000}"/>
    <cellStyle name="A3 297 x 420 mm 42" xfId="445" xr:uid="{00000000-0005-0000-0000-00002B050000}"/>
    <cellStyle name="A3 297 x 420 mm 43" xfId="446" xr:uid="{00000000-0005-0000-0000-00002C050000}"/>
    <cellStyle name="A3 297 x 420 mm 5" xfId="447" xr:uid="{00000000-0005-0000-0000-00002D050000}"/>
    <cellStyle name="A3 297 x 420 mm 5 2" xfId="448" xr:uid="{00000000-0005-0000-0000-00002E050000}"/>
    <cellStyle name="A3 297 x 420 mm 6" xfId="449" xr:uid="{00000000-0005-0000-0000-00002F050000}"/>
    <cellStyle name="A3 297 x 420 mm 7" xfId="450" xr:uid="{00000000-0005-0000-0000-000030050000}"/>
    <cellStyle name="A3 297 x 420 mm 8" xfId="451" xr:uid="{00000000-0005-0000-0000-000031050000}"/>
    <cellStyle name="A3 297 x 420 mm 9" xfId="452" xr:uid="{00000000-0005-0000-0000-000032050000}"/>
    <cellStyle name="A3 297 x 420 mm_Base_PA_2009-2011_Dem_Financeiros_CL" xfId="453" xr:uid="{00000000-0005-0000-0000-000033050000}"/>
    <cellStyle name="Accent1" xfId="37" xr:uid="{00000000-0005-0000-0000-000034050000}"/>
    <cellStyle name="Accent2" xfId="38" xr:uid="{00000000-0005-0000-0000-000035050000}"/>
    <cellStyle name="Accent3" xfId="39" xr:uid="{00000000-0005-0000-0000-000036050000}"/>
    <cellStyle name="Accent4" xfId="40" xr:uid="{00000000-0005-0000-0000-000037050000}"/>
    <cellStyle name="Accent5" xfId="41" xr:uid="{00000000-0005-0000-0000-000038050000}"/>
    <cellStyle name="Accent6" xfId="42" xr:uid="{00000000-0005-0000-0000-000039050000}"/>
    <cellStyle name="Actual Date" xfId="454" xr:uid="{00000000-0005-0000-0000-00003A050000}"/>
    <cellStyle name="AFE" xfId="455" xr:uid="{00000000-0005-0000-0000-00003B050000}"/>
    <cellStyle name="AFE 2" xfId="456" xr:uid="{00000000-0005-0000-0000-00003C050000}"/>
    <cellStyle name="ÀH«áªº¶W³sµ²" xfId="4956" xr:uid="{00000000-0005-0000-0000-00003D050000}"/>
    <cellStyle name="Anos" xfId="457" xr:uid="{00000000-0005-0000-0000-00003E050000}"/>
    <cellStyle name="Anos 10" xfId="458" xr:uid="{00000000-0005-0000-0000-00003F050000}"/>
    <cellStyle name="Anos 11" xfId="459" xr:uid="{00000000-0005-0000-0000-000040050000}"/>
    <cellStyle name="Anos 12" xfId="460" xr:uid="{00000000-0005-0000-0000-000041050000}"/>
    <cellStyle name="Anos 13" xfId="461" xr:uid="{00000000-0005-0000-0000-000042050000}"/>
    <cellStyle name="Anos 14" xfId="462" xr:uid="{00000000-0005-0000-0000-000043050000}"/>
    <cellStyle name="Anos 15" xfId="463" xr:uid="{00000000-0005-0000-0000-000044050000}"/>
    <cellStyle name="Anos 16" xfId="464" xr:uid="{00000000-0005-0000-0000-000045050000}"/>
    <cellStyle name="Anos 17" xfId="465" xr:uid="{00000000-0005-0000-0000-000046050000}"/>
    <cellStyle name="Anos 18" xfId="466" xr:uid="{00000000-0005-0000-0000-000047050000}"/>
    <cellStyle name="Anos 19" xfId="467" xr:uid="{00000000-0005-0000-0000-000048050000}"/>
    <cellStyle name="anos 2" xfId="468" xr:uid="{00000000-0005-0000-0000-000049050000}"/>
    <cellStyle name="Anos 2 2" xfId="469" xr:uid="{00000000-0005-0000-0000-00004A050000}"/>
    <cellStyle name="Anos 20" xfId="470" xr:uid="{00000000-0005-0000-0000-00004B050000}"/>
    <cellStyle name="Anos 21" xfId="471" xr:uid="{00000000-0005-0000-0000-00004C050000}"/>
    <cellStyle name="Anos 22" xfId="472" xr:uid="{00000000-0005-0000-0000-00004D050000}"/>
    <cellStyle name="Anos 23" xfId="473" xr:uid="{00000000-0005-0000-0000-00004E050000}"/>
    <cellStyle name="Anos 24" xfId="474" xr:uid="{00000000-0005-0000-0000-00004F050000}"/>
    <cellStyle name="Anos 25" xfId="475" xr:uid="{00000000-0005-0000-0000-000050050000}"/>
    <cellStyle name="Anos 26" xfId="476" xr:uid="{00000000-0005-0000-0000-000051050000}"/>
    <cellStyle name="Anos 27" xfId="477" xr:uid="{00000000-0005-0000-0000-000052050000}"/>
    <cellStyle name="Anos 28" xfId="478" xr:uid="{00000000-0005-0000-0000-000053050000}"/>
    <cellStyle name="Anos 29" xfId="479" xr:uid="{00000000-0005-0000-0000-000054050000}"/>
    <cellStyle name="Anos 3" xfId="480" xr:uid="{00000000-0005-0000-0000-000055050000}"/>
    <cellStyle name="Anos 30" xfId="481" xr:uid="{00000000-0005-0000-0000-000056050000}"/>
    <cellStyle name="Anos 31" xfId="482" xr:uid="{00000000-0005-0000-0000-000057050000}"/>
    <cellStyle name="Anos 32" xfId="483" xr:uid="{00000000-0005-0000-0000-000058050000}"/>
    <cellStyle name="Anos 33" xfId="484" xr:uid="{00000000-0005-0000-0000-000059050000}"/>
    <cellStyle name="Anos 34" xfId="485" xr:uid="{00000000-0005-0000-0000-00005A050000}"/>
    <cellStyle name="Anos 35" xfId="486" xr:uid="{00000000-0005-0000-0000-00005B050000}"/>
    <cellStyle name="Anos 36" xfId="487" xr:uid="{00000000-0005-0000-0000-00005C050000}"/>
    <cellStyle name="Anos 37" xfId="488" xr:uid="{00000000-0005-0000-0000-00005D050000}"/>
    <cellStyle name="Anos 38" xfId="489" xr:uid="{00000000-0005-0000-0000-00005E050000}"/>
    <cellStyle name="Anos 39" xfId="490" xr:uid="{00000000-0005-0000-0000-00005F050000}"/>
    <cellStyle name="Anos 4" xfId="491" xr:uid="{00000000-0005-0000-0000-000060050000}"/>
    <cellStyle name="Anos 40" xfId="492" xr:uid="{00000000-0005-0000-0000-000061050000}"/>
    <cellStyle name="Anos 5" xfId="493" xr:uid="{00000000-0005-0000-0000-000062050000}"/>
    <cellStyle name="Anos 6" xfId="494" xr:uid="{00000000-0005-0000-0000-000063050000}"/>
    <cellStyle name="Anos 7" xfId="495" xr:uid="{00000000-0005-0000-0000-000064050000}"/>
    <cellStyle name="Anos 8" xfId="496" xr:uid="{00000000-0005-0000-0000-000065050000}"/>
    <cellStyle name="Anos 9" xfId="497" xr:uid="{00000000-0005-0000-0000-000066050000}"/>
    <cellStyle name="Arial 10" xfId="498" xr:uid="{00000000-0005-0000-0000-000067050000}"/>
    <cellStyle name="Arial 10 10" xfId="499" xr:uid="{00000000-0005-0000-0000-000068050000}"/>
    <cellStyle name="Arial 10 11" xfId="500" xr:uid="{00000000-0005-0000-0000-000069050000}"/>
    <cellStyle name="Arial 10 12" xfId="501" xr:uid="{00000000-0005-0000-0000-00006A050000}"/>
    <cellStyle name="Arial 10 13" xfId="502" xr:uid="{00000000-0005-0000-0000-00006B050000}"/>
    <cellStyle name="Arial 10 14" xfId="503" xr:uid="{00000000-0005-0000-0000-00006C050000}"/>
    <cellStyle name="Arial 10 15" xfId="504" xr:uid="{00000000-0005-0000-0000-00006D050000}"/>
    <cellStyle name="Arial 10 16" xfId="505" xr:uid="{00000000-0005-0000-0000-00006E050000}"/>
    <cellStyle name="Arial 10 17" xfId="506" xr:uid="{00000000-0005-0000-0000-00006F050000}"/>
    <cellStyle name="Arial 10 18" xfId="507" xr:uid="{00000000-0005-0000-0000-000070050000}"/>
    <cellStyle name="Arial 10 19" xfId="508" xr:uid="{00000000-0005-0000-0000-000071050000}"/>
    <cellStyle name="Arial 10 2" xfId="509" xr:uid="{00000000-0005-0000-0000-000072050000}"/>
    <cellStyle name="Arial 10 2 2" xfId="510" xr:uid="{00000000-0005-0000-0000-000073050000}"/>
    <cellStyle name="Arial 10 20" xfId="511" xr:uid="{00000000-0005-0000-0000-000074050000}"/>
    <cellStyle name="Arial 10 21" xfId="512" xr:uid="{00000000-0005-0000-0000-000075050000}"/>
    <cellStyle name="Arial 10 22" xfId="513" xr:uid="{00000000-0005-0000-0000-000076050000}"/>
    <cellStyle name="Arial 10 23" xfId="514" xr:uid="{00000000-0005-0000-0000-000077050000}"/>
    <cellStyle name="Arial 10 24" xfId="515" xr:uid="{00000000-0005-0000-0000-000078050000}"/>
    <cellStyle name="Arial 10 25" xfId="516" xr:uid="{00000000-0005-0000-0000-000079050000}"/>
    <cellStyle name="Arial 10 26" xfId="517" xr:uid="{00000000-0005-0000-0000-00007A050000}"/>
    <cellStyle name="Arial 10 27" xfId="518" xr:uid="{00000000-0005-0000-0000-00007B050000}"/>
    <cellStyle name="Arial 10 28" xfId="519" xr:uid="{00000000-0005-0000-0000-00007C050000}"/>
    <cellStyle name="Arial 10 29" xfId="520" xr:uid="{00000000-0005-0000-0000-00007D050000}"/>
    <cellStyle name="Arial 10 3" xfId="521" xr:uid="{00000000-0005-0000-0000-00007E050000}"/>
    <cellStyle name="Arial 10 3 2" xfId="522" xr:uid="{00000000-0005-0000-0000-00007F050000}"/>
    <cellStyle name="Arial 10 30" xfId="523" xr:uid="{00000000-0005-0000-0000-000080050000}"/>
    <cellStyle name="Arial 10 31" xfId="524" xr:uid="{00000000-0005-0000-0000-000081050000}"/>
    <cellStyle name="Arial 10 32" xfId="525" xr:uid="{00000000-0005-0000-0000-000082050000}"/>
    <cellStyle name="Arial 10 33" xfId="526" xr:uid="{00000000-0005-0000-0000-000083050000}"/>
    <cellStyle name="Arial 10 34" xfId="527" xr:uid="{00000000-0005-0000-0000-000084050000}"/>
    <cellStyle name="Arial 10 35" xfId="528" xr:uid="{00000000-0005-0000-0000-000085050000}"/>
    <cellStyle name="Arial 10 36" xfId="529" xr:uid="{00000000-0005-0000-0000-000086050000}"/>
    <cellStyle name="Arial 10 37" xfId="530" xr:uid="{00000000-0005-0000-0000-000087050000}"/>
    <cellStyle name="Arial 10 38" xfId="531" xr:uid="{00000000-0005-0000-0000-000088050000}"/>
    <cellStyle name="Arial 10 39" xfId="532" xr:uid="{00000000-0005-0000-0000-000089050000}"/>
    <cellStyle name="Arial 10 4" xfId="533" xr:uid="{00000000-0005-0000-0000-00008A050000}"/>
    <cellStyle name="Arial 10 4 2" xfId="534" xr:uid="{00000000-0005-0000-0000-00008B050000}"/>
    <cellStyle name="Arial 10 40" xfId="535" xr:uid="{00000000-0005-0000-0000-00008C050000}"/>
    <cellStyle name="Arial 10 41" xfId="536" xr:uid="{00000000-0005-0000-0000-00008D050000}"/>
    <cellStyle name="Arial 10 5" xfId="537" xr:uid="{00000000-0005-0000-0000-00008E050000}"/>
    <cellStyle name="Arial 10 6" xfId="538" xr:uid="{00000000-0005-0000-0000-00008F050000}"/>
    <cellStyle name="Arial 10 7" xfId="539" xr:uid="{00000000-0005-0000-0000-000090050000}"/>
    <cellStyle name="Arial 10 8" xfId="540" xr:uid="{00000000-0005-0000-0000-000091050000}"/>
    <cellStyle name="Arial 10 9" xfId="541" xr:uid="{00000000-0005-0000-0000-000092050000}"/>
    <cellStyle name="Arial 24" xfId="542" xr:uid="{00000000-0005-0000-0000-000093050000}"/>
    <cellStyle name="Arial 24 10" xfId="543" xr:uid="{00000000-0005-0000-0000-000094050000}"/>
    <cellStyle name="Arial 24 11" xfId="544" xr:uid="{00000000-0005-0000-0000-000095050000}"/>
    <cellStyle name="Arial 24 12" xfId="545" xr:uid="{00000000-0005-0000-0000-000096050000}"/>
    <cellStyle name="Arial 24 13" xfId="546" xr:uid="{00000000-0005-0000-0000-000097050000}"/>
    <cellStyle name="Arial 24 14" xfId="547" xr:uid="{00000000-0005-0000-0000-000098050000}"/>
    <cellStyle name="Arial 24 15" xfId="548" xr:uid="{00000000-0005-0000-0000-000099050000}"/>
    <cellStyle name="Arial 24 16" xfId="549" xr:uid="{00000000-0005-0000-0000-00009A050000}"/>
    <cellStyle name="Arial 24 17" xfId="550" xr:uid="{00000000-0005-0000-0000-00009B050000}"/>
    <cellStyle name="Arial 24 18" xfId="551" xr:uid="{00000000-0005-0000-0000-00009C050000}"/>
    <cellStyle name="Arial 24 19" xfId="552" xr:uid="{00000000-0005-0000-0000-00009D050000}"/>
    <cellStyle name="Arial 24 2" xfId="553" xr:uid="{00000000-0005-0000-0000-00009E050000}"/>
    <cellStyle name="Arial 24 20" xfId="554" xr:uid="{00000000-0005-0000-0000-00009F050000}"/>
    <cellStyle name="Arial 24 21" xfId="555" xr:uid="{00000000-0005-0000-0000-0000A0050000}"/>
    <cellStyle name="Arial 24 22" xfId="556" xr:uid="{00000000-0005-0000-0000-0000A1050000}"/>
    <cellStyle name="Arial 24 23" xfId="557" xr:uid="{00000000-0005-0000-0000-0000A2050000}"/>
    <cellStyle name="Arial 24 24" xfId="558" xr:uid="{00000000-0005-0000-0000-0000A3050000}"/>
    <cellStyle name="Arial 24 25" xfId="559" xr:uid="{00000000-0005-0000-0000-0000A4050000}"/>
    <cellStyle name="Arial 24 26" xfId="560" xr:uid="{00000000-0005-0000-0000-0000A5050000}"/>
    <cellStyle name="Arial 24 27" xfId="561" xr:uid="{00000000-0005-0000-0000-0000A6050000}"/>
    <cellStyle name="Arial 24 28" xfId="562" xr:uid="{00000000-0005-0000-0000-0000A7050000}"/>
    <cellStyle name="Arial 24 29" xfId="563" xr:uid="{00000000-0005-0000-0000-0000A8050000}"/>
    <cellStyle name="Arial 24 3" xfId="564" xr:uid="{00000000-0005-0000-0000-0000A9050000}"/>
    <cellStyle name="Arial 24 30" xfId="565" xr:uid="{00000000-0005-0000-0000-0000AA050000}"/>
    <cellStyle name="Arial 24 31" xfId="566" xr:uid="{00000000-0005-0000-0000-0000AB050000}"/>
    <cellStyle name="Arial 24 32" xfId="567" xr:uid="{00000000-0005-0000-0000-0000AC050000}"/>
    <cellStyle name="Arial 24 33" xfId="568" xr:uid="{00000000-0005-0000-0000-0000AD050000}"/>
    <cellStyle name="Arial 24 34" xfId="569" xr:uid="{00000000-0005-0000-0000-0000AE050000}"/>
    <cellStyle name="Arial 24 35" xfId="570" xr:uid="{00000000-0005-0000-0000-0000AF050000}"/>
    <cellStyle name="Arial 24 36" xfId="571" xr:uid="{00000000-0005-0000-0000-0000B0050000}"/>
    <cellStyle name="Arial 24 37" xfId="572" xr:uid="{00000000-0005-0000-0000-0000B1050000}"/>
    <cellStyle name="Arial 24 38" xfId="573" xr:uid="{00000000-0005-0000-0000-0000B2050000}"/>
    <cellStyle name="Arial 24 39" xfId="574" xr:uid="{00000000-0005-0000-0000-0000B3050000}"/>
    <cellStyle name="Arial 24 4" xfId="575" xr:uid="{00000000-0005-0000-0000-0000B4050000}"/>
    <cellStyle name="Arial 24 40" xfId="576" xr:uid="{00000000-0005-0000-0000-0000B5050000}"/>
    <cellStyle name="Arial 24 5" xfId="577" xr:uid="{00000000-0005-0000-0000-0000B6050000}"/>
    <cellStyle name="Arial 24 6" xfId="578" xr:uid="{00000000-0005-0000-0000-0000B7050000}"/>
    <cellStyle name="Arial 24 7" xfId="579" xr:uid="{00000000-0005-0000-0000-0000B8050000}"/>
    <cellStyle name="Arial 24 8" xfId="580" xr:uid="{00000000-0005-0000-0000-0000B9050000}"/>
    <cellStyle name="Arial 24 9" xfId="581" xr:uid="{00000000-0005-0000-0000-0000BA050000}"/>
    <cellStyle name="Azul&amp;Vermelho" xfId="582" xr:uid="{00000000-0005-0000-0000-0000BB050000}"/>
    <cellStyle name="Azul&amp;Vermelho 10" xfId="583" xr:uid="{00000000-0005-0000-0000-0000BC050000}"/>
    <cellStyle name="Azul&amp;Vermelho 11" xfId="584" xr:uid="{00000000-0005-0000-0000-0000BD050000}"/>
    <cellStyle name="Azul&amp;Vermelho 12" xfId="585" xr:uid="{00000000-0005-0000-0000-0000BE050000}"/>
    <cellStyle name="Azul&amp;Vermelho 13" xfId="586" xr:uid="{00000000-0005-0000-0000-0000BF050000}"/>
    <cellStyle name="Azul&amp;Vermelho 14" xfId="587" xr:uid="{00000000-0005-0000-0000-0000C0050000}"/>
    <cellStyle name="Azul&amp;Vermelho 15" xfId="588" xr:uid="{00000000-0005-0000-0000-0000C1050000}"/>
    <cellStyle name="Azul&amp;Vermelho 16" xfId="589" xr:uid="{00000000-0005-0000-0000-0000C2050000}"/>
    <cellStyle name="Azul&amp;Vermelho 17" xfId="590" xr:uid="{00000000-0005-0000-0000-0000C3050000}"/>
    <cellStyle name="Azul&amp;Vermelho 18" xfId="591" xr:uid="{00000000-0005-0000-0000-0000C4050000}"/>
    <cellStyle name="Azul&amp;Vermelho 19" xfId="592" xr:uid="{00000000-0005-0000-0000-0000C5050000}"/>
    <cellStyle name="Azul&amp;Vermelho 2" xfId="593" xr:uid="{00000000-0005-0000-0000-0000C6050000}"/>
    <cellStyle name="Azul&amp;Vermelho 2 2" xfId="594" xr:uid="{00000000-0005-0000-0000-0000C7050000}"/>
    <cellStyle name="Azul&amp;Vermelho 20" xfId="595" xr:uid="{00000000-0005-0000-0000-0000C8050000}"/>
    <cellStyle name="Azul&amp;Vermelho 21" xfId="596" xr:uid="{00000000-0005-0000-0000-0000C9050000}"/>
    <cellStyle name="Azul&amp;Vermelho 22" xfId="597" xr:uid="{00000000-0005-0000-0000-0000CA050000}"/>
    <cellStyle name="Azul&amp;Vermelho 23" xfId="598" xr:uid="{00000000-0005-0000-0000-0000CB050000}"/>
    <cellStyle name="Azul&amp;Vermelho 24" xfId="599" xr:uid="{00000000-0005-0000-0000-0000CC050000}"/>
    <cellStyle name="Azul&amp;Vermelho 25" xfId="600" xr:uid="{00000000-0005-0000-0000-0000CD050000}"/>
    <cellStyle name="Azul&amp;Vermelho 26" xfId="601" xr:uid="{00000000-0005-0000-0000-0000CE050000}"/>
    <cellStyle name="Azul&amp;Vermelho 27" xfId="602" xr:uid="{00000000-0005-0000-0000-0000CF050000}"/>
    <cellStyle name="Azul&amp;Vermelho 28" xfId="603" xr:uid="{00000000-0005-0000-0000-0000D0050000}"/>
    <cellStyle name="Azul&amp;Vermelho 29" xfId="604" xr:uid="{00000000-0005-0000-0000-0000D1050000}"/>
    <cellStyle name="Azul&amp;Vermelho 3" xfId="605" xr:uid="{00000000-0005-0000-0000-0000D2050000}"/>
    <cellStyle name="Azul&amp;Vermelho 3 2" xfId="606" xr:uid="{00000000-0005-0000-0000-0000D3050000}"/>
    <cellStyle name="Azul&amp;Vermelho 30" xfId="607" xr:uid="{00000000-0005-0000-0000-0000D4050000}"/>
    <cellStyle name="Azul&amp;Vermelho 31" xfId="608" xr:uid="{00000000-0005-0000-0000-0000D5050000}"/>
    <cellStyle name="Azul&amp;Vermelho 32" xfId="609" xr:uid="{00000000-0005-0000-0000-0000D6050000}"/>
    <cellStyle name="Azul&amp;Vermelho 33" xfId="610" xr:uid="{00000000-0005-0000-0000-0000D7050000}"/>
    <cellStyle name="Azul&amp;Vermelho 34" xfId="611" xr:uid="{00000000-0005-0000-0000-0000D8050000}"/>
    <cellStyle name="Azul&amp;Vermelho 35" xfId="612" xr:uid="{00000000-0005-0000-0000-0000D9050000}"/>
    <cellStyle name="Azul&amp;Vermelho 36" xfId="613" xr:uid="{00000000-0005-0000-0000-0000DA050000}"/>
    <cellStyle name="Azul&amp;Vermelho 37" xfId="614" xr:uid="{00000000-0005-0000-0000-0000DB050000}"/>
    <cellStyle name="Azul&amp;Vermelho 38" xfId="615" xr:uid="{00000000-0005-0000-0000-0000DC050000}"/>
    <cellStyle name="Azul&amp;Vermelho 39" xfId="616" xr:uid="{00000000-0005-0000-0000-0000DD050000}"/>
    <cellStyle name="Azul&amp;Vermelho 4" xfId="617" xr:uid="{00000000-0005-0000-0000-0000DE050000}"/>
    <cellStyle name="Azul&amp;Vermelho 4 2" xfId="618" xr:uid="{00000000-0005-0000-0000-0000DF050000}"/>
    <cellStyle name="Azul&amp;Vermelho 40" xfId="619" xr:uid="{00000000-0005-0000-0000-0000E0050000}"/>
    <cellStyle name="Azul&amp;Vermelho 41" xfId="620" xr:uid="{00000000-0005-0000-0000-0000E1050000}"/>
    <cellStyle name="Azul&amp;Vermelho 5" xfId="621" xr:uid="{00000000-0005-0000-0000-0000E2050000}"/>
    <cellStyle name="Azul&amp;Vermelho 6" xfId="622" xr:uid="{00000000-0005-0000-0000-0000E3050000}"/>
    <cellStyle name="Azul&amp;Vermelho 7" xfId="623" xr:uid="{00000000-0005-0000-0000-0000E4050000}"/>
    <cellStyle name="Azul&amp;Vermelho 8" xfId="624" xr:uid="{00000000-0005-0000-0000-0000E5050000}"/>
    <cellStyle name="Azul&amp;Vermelho 9" xfId="625" xr:uid="{00000000-0005-0000-0000-0000E6050000}"/>
    <cellStyle name="Bad" xfId="4911" xr:uid="{00000000-0005-0000-0000-0000E7050000}"/>
    <cellStyle name="Black Text" xfId="4957" xr:uid="{00000000-0005-0000-0000-0000E8050000}"/>
    <cellStyle name="Black Text (No Wrap)" xfId="4958" xr:uid="{00000000-0005-0000-0000-0000E9050000}"/>
    <cellStyle name="Blue Text" xfId="4959" xr:uid="{00000000-0005-0000-0000-0000EA050000}"/>
    <cellStyle name="Blue Text - Ariel 10" xfId="4960" xr:uid="{00000000-0005-0000-0000-0000EB050000}"/>
    <cellStyle name="Body" xfId="4961" xr:uid="{00000000-0005-0000-0000-0000EC050000}"/>
    <cellStyle name="Bold/Border" xfId="626" xr:uid="{00000000-0005-0000-0000-0000ED050000}"/>
    <cellStyle name="Bold/Border 2" xfId="627" xr:uid="{00000000-0005-0000-0000-0000EE050000}"/>
    <cellStyle name="Bold/Border 2 2" xfId="7420" xr:uid="{00000000-0005-0000-0000-0000EF050000}"/>
    <cellStyle name="Bold/Border 3" xfId="7419" xr:uid="{00000000-0005-0000-0000-0000F0050000}"/>
    <cellStyle name="bolet" xfId="4962" xr:uid="{00000000-0005-0000-0000-0000F1050000}"/>
    <cellStyle name="Bom" xfId="43" xr:uid="{00000000-0005-0000-0000-0000F2050000}"/>
    <cellStyle name="Bom 10" xfId="5515" xr:uid="{00000000-0005-0000-0000-0000F3050000}"/>
    <cellStyle name="Bom 11" xfId="5576" xr:uid="{00000000-0005-0000-0000-0000F4050000}"/>
    <cellStyle name="Bom 12" xfId="5505" xr:uid="{00000000-0005-0000-0000-0000F5050000}"/>
    <cellStyle name="Bom 13" xfId="5588" xr:uid="{00000000-0005-0000-0000-0000F6050000}"/>
    <cellStyle name="Bom 14" xfId="5482" xr:uid="{00000000-0005-0000-0000-0000F7050000}"/>
    <cellStyle name="Bom 15" xfId="5704" xr:uid="{00000000-0005-0000-0000-0000F8050000}"/>
    <cellStyle name="Bom 16" xfId="5732" xr:uid="{00000000-0005-0000-0000-0000F9050000}"/>
    <cellStyle name="Bom 17" xfId="5774" xr:uid="{00000000-0005-0000-0000-0000FA050000}"/>
    <cellStyle name="Bom 2" xfId="4963" xr:uid="{00000000-0005-0000-0000-0000FB050000}"/>
    <cellStyle name="Bom 2 2" xfId="6460" xr:uid="{00000000-0005-0000-0000-0000FC050000}"/>
    <cellStyle name="Bom 2 2 2" xfId="6461" xr:uid="{00000000-0005-0000-0000-0000FD050000}"/>
    <cellStyle name="Bom 2 2 2 2" xfId="6462" xr:uid="{00000000-0005-0000-0000-0000FE050000}"/>
    <cellStyle name="Bom 2 2 2 2 2" xfId="6463" xr:uid="{00000000-0005-0000-0000-0000FF050000}"/>
    <cellStyle name="Bom 2 2 2 2 2 2" xfId="6464" xr:uid="{00000000-0005-0000-0000-000000060000}"/>
    <cellStyle name="Bom 2 2 2 2 2 2 2" xfId="6465" xr:uid="{00000000-0005-0000-0000-000001060000}"/>
    <cellStyle name="Bom 2 2 2 2 2 2 2 2" xfId="6466" xr:uid="{00000000-0005-0000-0000-000002060000}"/>
    <cellStyle name="Bom 2 2 2 2 2 2 3" xfId="6467" xr:uid="{00000000-0005-0000-0000-000003060000}"/>
    <cellStyle name="Bom 2 2 2 2 2 3" xfId="6468" xr:uid="{00000000-0005-0000-0000-000004060000}"/>
    <cellStyle name="Bom 2 2 2 2 2 3 2" xfId="6469" xr:uid="{00000000-0005-0000-0000-000005060000}"/>
    <cellStyle name="Bom 2 2 2 2 3" xfId="6470" xr:uid="{00000000-0005-0000-0000-000006060000}"/>
    <cellStyle name="Bom 2 2 2 2 3 2" xfId="6471" xr:uid="{00000000-0005-0000-0000-000007060000}"/>
    <cellStyle name="Bom 2 2 2 3" xfId="6472" xr:uid="{00000000-0005-0000-0000-000008060000}"/>
    <cellStyle name="Bom 2 2 2 4" xfId="6473" xr:uid="{00000000-0005-0000-0000-000009060000}"/>
    <cellStyle name="Bom 2 2 2 4 2" xfId="6474" xr:uid="{00000000-0005-0000-0000-00000A060000}"/>
    <cellStyle name="Bom 2 2 3" xfId="6475" xr:uid="{00000000-0005-0000-0000-00000B060000}"/>
    <cellStyle name="Bom 2 2 4" xfId="6476" xr:uid="{00000000-0005-0000-0000-00000C060000}"/>
    <cellStyle name="Bom 2 2 4 2" xfId="6477" xr:uid="{00000000-0005-0000-0000-00000D060000}"/>
    <cellStyle name="Bom 2 3" xfId="6478" xr:uid="{00000000-0005-0000-0000-00000E060000}"/>
    <cellStyle name="Bom 2 4" xfId="6479" xr:uid="{00000000-0005-0000-0000-00000F060000}"/>
    <cellStyle name="Bom 2 5" xfId="6480" xr:uid="{00000000-0005-0000-0000-000010060000}"/>
    <cellStyle name="Bom 2 6" xfId="6481" xr:uid="{00000000-0005-0000-0000-000011060000}"/>
    <cellStyle name="Bom 2 6 2" xfId="6482" xr:uid="{00000000-0005-0000-0000-000012060000}"/>
    <cellStyle name="Bom 2 7" xfId="6459" xr:uid="{00000000-0005-0000-0000-000013060000}"/>
    <cellStyle name="Bom 3" xfId="5232" xr:uid="{00000000-0005-0000-0000-000014060000}"/>
    <cellStyle name="Bom 3 2" xfId="6484" xr:uid="{00000000-0005-0000-0000-000015060000}"/>
    <cellStyle name="Bom 3 3" xfId="6485" xr:uid="{00000000-0005-0000-0000-000016060000}"/>
    <cellStyle name="Bom 3 4" xfId="6486" xr:uid="{00000000-0005-0000-0000-000017060000}"/>
    <cellStyle name="Bom 3 5" xfId="6483" xr:uid="{00000000-0005-0000-0000-000018060000}"/>
    <cellStyle name="Bom 4" xfId="5311" xr:uid="{00000000-0005-0000-0000-000019060000}"/>
    <cellStyle name="Bom 4 2" xfId="6488" xr:uid="{00000000-0005-0000-0000-00001A060000}"/>
    <cellStyle name="Bom 4 3" xfId="6489" xr:uid="{00000000-0005-0000-0000-00001B060000}"/>
    <cellStyle name="Bom 4 4" xfId="6487" xr:uid="{00000000-0005-0000-0000-00001C060000}"/>
    <cellStyle name="Bom 5" xfId="5222" xr:uid="{00000000-0005-0000-0000-00001D060000}"/>
    <cellStyle name="Bom 5 2" xfId="6491" xr:uid="{00000000-0005-0000-0000-00001E060000}"/>
    <cellStyle name="Bom 5 3" xfId="6490" xr:uid="{00000000-0005-0000-0000-00001F060000}"/>
    <cellStyle name="Bom 6" xfId="5322" xr:uid="{00000000-0005-0000-0000-000020060000}"/>
    <cellStyle name="Bom 6 2" xfId="6493" xr:uid="{00000000-0005-0000-0000-000021060000}"/>
    <cellStyle name="Bom 6 3" xfId="7341" xr:uid="{00000000-0005-0000-0000-000022060000}"/>
    <cellStyle name="Bom 6 4" xfId="6492" xr:uid="{00000000-0005-0000-0000-000023060000}"/>
    <cellStyle name="Bom 7" xfId="5199" xr:uid="{00000000-0005-0000-0000-000024060000}"/>
    <cellStyle name="Bom 7 2" xfId="7342" xr:uid="{00000000-0005-0000-0000-000025060000}"/>
    <cellStyle name="Bom 7 3" xfId="6494" xr:uid="{00000000-0005-0000-0000-000026060000}"/>
    <cellStyle name="Bom 8" xfId="5352" xr:uid="{00000000-0005-0000-0000-000027060000}"/>
    <cellStyle name="Bom 9" xfId="5381" xr:uid="{00000000-0005-0000-0000-000028060000}"/>
    <cellStyle name="BORDA" xfId="628" xr:uid="{00000000-0005-0000-0000-000029060000}"/>
    <cellStyle name="BORDA 10" xfId="629" xr:uid="{00000000-0005-0000-0000-00002A060000}"/>
    <cellStyle name="BORDA 11" xfId="630" xr:uid="{00000000-0005-0000-0000-00002B060000}"/>
    <cellStyle name="BORDA 12" xfId="631" xr:uid="{00000000-0005-0000-0000-00002C060000}"/>
    <cellStyle name="BORDA 13" xfId="632" xr:uid="{00000000-0005-0000-0000-00002D060000}"/>
    <cellStyle name="BORDA 14" xfId="633" xr:uid="{00000000-0005-0000-0000-00002E060000}"/>
    <cellStyle name="BORDA 15" xfId="634" xr:uid="{00000000-0005-0000-0000-00002F060000}"/>
    <cellStyle name="BORDA 16" xfId="635" xr:uid="{00000000-0005-0000-0000-000030060000}"/>
    <cellStyle name="BORDA 17" xfId="636" xr:uid="{00000000-0005-0000-0000-000031060000}"/>
    <cellStyle name="BORDA 18" xfId="637" xr:uid="{00000000-0005-0000-0000-000032060000}"/>
    <cellStyle name="BORDA 19" xfId="638" xr:uid="{00000000-0005-0000-0000-000033060000}"/>
    <cellStyle name="BORDA 2" xfId="639" xr:uid="{00000000-0005-0000-0000-000034060000}"/>
    <cellStyle name="BORDA 20" xfId="640" xr:uid="{00000000-0005-0000-0000-000035060000}"/>
    <cellStyle name="BORDA 21" xfId="641" xr:uid="{00000000-0005-0000-0000-000036060000}"/>
    <cellStyle name="BORDA 22" xfId="642" xr:uid="{00000000-0005-0000-0000-000037060000}"/>
    <cellStyle name="BORDA 23" xfId="643" xr:uid="{00000000-0005-0000-0000-000038060000}"/>
    <cellStyle name="BORDA 24" xfId="644" xr:uid="{00000000-0005-0000-0000-000039060000}"/>
    <cellStyle name="BORDA 25" xfId="645" xr:uid="{00000000-0005-0000-0000-00003A060000}"/>
    <cellStyle name="BORDA 26" xfId="646" xr:uid="{00000000-0005-0000-0000-00003B060000}"/>
    <cellStyle name="BORDA 27" xfId="647" xr:uid="{00000000-0005-0000-0000-00003C060000}"/>
    <cellStyle name="BORDA 28" xfId="648" xr:uid="{00000000-0005-0000-0000-00003D060000}"/>
    <cellStyle name="BORDA 29" xfId="649" xr:uid="{00000000-0005-0000-0000-00003E060000}"/>
    <cellStyle name="BORDA 3" xfId="650" xr:uid="{00000000-0005-0000-0000-00003F060000}"/>
    <cellStyle name="BORDA 30" xfId="651" xr:uid="{00000000-0005-0000-0000-000040060000}"/>
    <cellStyle name="BORDA 31" xfId="652" xr:uid="{00000000-0005-0000-0000-000041060000}"/>
    <cellStyle name="BORDA 32" xfId="653" xr:uid="{00000000-0005-0000-0000-000042060000}"/>
    <cellStyle name="BORDA 33" xfId="654" xr:uid="{00000000-0005-0000-0000-000043060000}"/>
    <cellStyle name="BORDA 34" xfId="655" xr:uid="{00000000-0005-0000-0000-000044060000}"/>
    <cellStyle name="BORDA 35" xfId="656" xr:uid="{00000000-0005-0000-0000-000045060000}"/>
    <cellStyle name="BORDA 36" xfId="657" xr:uid="{00000000-0005-0000-0000-000046060000}"/>
    <cellStyle name="BORDA 37" xfId="658" xr:uid="{00000000-0005-0000-0000-000047060000}"/>
    <cellStyle name="BORDA 38" xfId="659" xr:uid="{00000000-0005-0000-0000-000048060000}"/>
    <cellStyle name="BORDA 39" xfId="660" xr:uid="{00000000-0005-0000-0000-000049060000}"/>
    <cellStyle name="BORDA 4" xfId="661" xr:uid="{00000000-0005-0000-0000-00004A060000}"/>
    <cellStyle name="BORDA 40" xfId="662" xr:uid="{00000000-0005-0000-0000-00004B060000}"/>
    <cellStyle name="BORDA 5" xfId="663" xr:uid="{00000000-0005-0000-0000-00004C060000}"/>
    <cellStyle name="BORDA 6" xfId="664" xr:uid="{00000000-0005-0000-0000-00004D060000}"/>
    <cellStyle name="BORDA 7" xfId="665" xr:uid="{00000000-0005-0000-0000-00004E060000}"/>
    <cellStyle name="BORDA 8" xfId="666" xr:uid="{00000000-0005-0000-0000-00004F060000}"/>
    <cellStyle name="BORDA 9" xfId="667" xr:uid="{00000000-0005-0000-0000-000050060000}"/>
    <cellStyle name="Border" xfId="4964" xr:uid="{00000000-0005-0000-0000-000051060000}"/>
    <cellStyle name="Border Heavy" xfId="668" xr:uid="{00000000-0005-0000-0000-000052060000}"/>
    <cellStyle name="Border Heavy 2" xfId="669" xr:uid="{00000000-0005-0000-0000-000053060000}"/>
    <cellStyle name="Brand Align Left Text" xfId="670" xr:uid="{00000000-0005-0000-0000-000054060000}"/>
    <cellStyle name="Brand Default" xfId="671" xr:uid="{00000000-0005-0000-0000-000055060000}"/>
    <cellStyle name="Brand Percent" xfId="672" xr:uid="{00000000-0005-0000-0000-000056060000}"/>
    <cellStyle name="Brand Source" xfId="673" xr:uid="{00000000-0005-0000-0000-000057060000}"/>
    <cellStyle name="Brand Subtitle with Underline" xfId="674" xr:uid="{00000000-0005-0000-0000-000058060000}"/>
    <cellStyle name="Brand Subtitle with Underline 2" xfId="675" xr:uid="{00000000-0005-0000-0000-000059060000}"/>
    <cellStyle name="Brand Subtitle with Underline 3" xfId="676" xr:uid="{00000000-0005-0000-0000-00005A060000}"/>
    <cellStyle name="Brand Subtitle with Underline 4" xfId="677" xr:uid="{00000000-0005-0000-0000-00005B060000}"/>
    <cellStyle name="Brand Subtitle with Underline 5" xfId="678" xr:uid="{00000000-0005-0000-0000-00005C060000}"/>
    <cellStyle name="Brand Subtitle without Underline" xfId="679" xr:uid="{00000000-0005-0000-0000-00005D060000}"/>
    <cellStyle name="Brand Title" xfId="680" xr:uid="{00000000-0005-0000-0000-00005E060000}"/>
    <cellStyle name="Buena" xfId="681" xr:uid="{00000000-0005-0000-0000-00005F060000}"/>
    <cellStyle name="Bullet" xfId="682" xr:uid="{00000000-0005-0000-0000-000060060000}"/>
    <cellStyle name="Ç¥ÁØ_P&amp;L Hyperion" xfId="4965" xr:uid="{00000000-0005-0000-0000-000061060000}"/>
    <cellStyle name="CabRo - Estilo1" xfId="683" xr:uid="{00000000-0005-0000-0000-000062060000}"/>
    <cellStyle name="Calc Currency (0)" xfId="684" xr:uid="{00000000-0005-0000-0000-000063060000}"/>
    <cellStyle name="Calc Currency (0) 2" xfId="4966" xr:uid="{00000000-0005-0000-0000-000064060000}"/>
    <cellStyle name="Calc Currency (2)" xfId="4967" xr:uid="{00000000-0005-0000-0000-000065060000}"/>
    <cellStyle name="Calc Percent (0)" xfId="4968" xr:uid="{00000000-0005-0000-0000-000066060000}"/>
    <cellStyle name="Calc Percent (1)" xfId="4969" xr:uid="{00000000-0005-0000-0000-000067060000}"/>
    <cellStyle name="Calc Percent (2)" xfId="4970" xr:uid="{00000000-0005-0000-0000-000068060000}"/>
    <cellStyle name="Calc Units (0)" xfId="4971" xr:uid="{00000000-0005-0000-0000-000069060000}"/>
    <cellStyle name="Calc Units (1)" xfId="4972" xr:uid="{00000000-0005-0000-0000-00006A060000}"/>
    <cellStyle name="Calc Units (2)" xfId="4973" xr:uid="{00000000-0005-0000-0000-00006B060000}"/>
    <cellStyle name="Calculation" xfId="44" xr:uid="{00000000-0005-0000-0000-00006C060000}"/>
    <cellStyle name="Calculation 2" xfId="685" xr:uid="{00000000-0005-0000-0000-00006D060000}"/>
    <cellStyle name="Calculation 2 2" xfId="686" xr:uid="{00000000-0005-0000-0000-00006E060000}"/>
    <cellStyle name="Calculation 2 2 2" xfId="10506" xr:uid="{00000000-0005-0000-0000-00006F060000}"/>
    <cellStyle name="Calculation 2 3" xfId="687" xr:uid="{00000000-0005-0000-0000-000070060000}"/>
    <cellStyle name="Calculation 2 3 2" xfId="10507" xr:uid="{00000000-0005-0000-0000-000071060000}"/>
    <cellStyle name="Calculation 2 4" xfId="10505" xr:uid="{00000000-0005-0000-0000-000072060000}"/>
    <cellStyle name="Calculation 3" xfId="688" xr:uid="{00000000-0005-0000-0000-000073060000}"/>
    <cellStyle name="Calculation 3 2" xfId="689" xr:uid="{00000000-0005-0000-0000-000074060000}"/>
    <cellStyle name="Calculation 3 2 2" xfId="10509" xr:uid="{00000000-0005-0000-0000-000075060000}"/>
    <cellStyle name="Calculation 3 3" xfId="690" xr:uid="{00000000-0005-0000-0000-000076060000}"/>
    <cellStyle name="Calculation 3 3 2" xfId="10510" xr:uid="{00000000-0005-0000-0000-000077060000}"/>
    <cellStyle name="Calculation 3 4" xfId="10508" xr:uid="{00000000-0005-0000-0000-000078060000}"/>
    <cellStyle name="Calculation 4" xfId="691" xr:uid="{00000000-0005-0000-0000-000079060000}"/>
    <cellStyle name="Calculation 4 2" xfId="10511" xr:uid="{00000000-0005-0000-0000-00007A060000}"/>
    <cellStyle name="Calculation 5" xfId="692" xr:uid="{00000000-0005-0000-0000-00007B060000}"/>
    <cellStyle name="Calculation 5 2" xfId="10512" xr:uid="{00000000-0005-0000-0000-00007C060000}"/>
    <cellStyle name="Calculation 6" xfId="693" xr:uid="{00000000-0005-0000-0000-00007D060000}"/>
    <cellStyle name="Calculation 6 2" xfId="10513" xr:uid="{00000000-0005-0000-0000-00007E060000}"/>
    <cellStyle name="Calculation 7" xfId="694" xr:uid="{00000000-0005-0000-0000-00007F060000}"/>
    <cellStyle name="Calculation 7 2" xfId="10514" xr:uid="{00000000-0005-0000-0000-000080060000}"/>
    <cellStyle name="Calculation 8" xfId="10504" xr:uid="{00000000-0005-0000-0000-000081060000}"/>
    <cellStyle name="Cálculo" xfId="45" xr:uid="{00000000-0005-0000-0000-000082060000}"/>
    <cellStyle name="Cálculo 10" xfId="5517" xr:uid="{00000000-0005-0000-0000-000083060000}"/>
    <cellStyle name="Cálculo 11" xfId="5575" xr:uid="{00000000-0005-0000-0000-000084060000}"/>
    <cellStyle name="Cálculo 12" xfId="5512" xr:uid="{00000000-0005-0000-0000-000085060000}"/>
    <cellStyle name="Cálculo 13" xfId="5581" xr:uid="{00000000-0005-0000-0000-000086060000}"/>
    <cellStyle name="Cálculo 14" xfId="5495" xr:uid="{00000000-0005-0000-0000-000087060000}"/>
    <cellStyle name="Cálculo 15" xfId="5705" xr:uid="{00000000-0005-0000-0000-000088060000}"/>
    <cellStyle name="Cálculo 16" xfId="5731" xr:uid="{00000000-0005-0000-0000-000089060000}"/>
    <cellStyle name="Cálculo 17" xfId="5778" xr:uid="{00000000-0005-0000-0000-00008A060000}"/>
    <cellStyle name="Cálculo 18" xfId="10594" xr:uid="{00000000-0005-0000-0000-00008B060000}"/>
    <cellStyle name="Cálculo 2" xfId="4974" xr:uid="{00000000-0005-0000-0000-00008C060000}"/>
    <cellStyle name="Cálculo 2 2" xfId="6496" xr:uid="{00000000-0005-0000-0000-00008D060000}"/>
    <cellStyle name="Cálculo 2 2 2" xfId="6497" xr:uid="{00000000-0005-0000-0000-00008E060000}"/>
    <cellStyle name="Cálculo 2 2 2 2" xfId="6498" xr:uid="{00000000-0005-0000-0000-00008F060000}"/>
    <cellStyle name="Cálculo 2 2 2 2 2" xfId="6499" xr:uid="{00000000-0005-0000-0000-000090060000}"/>
    <cellStyle name="Cálculo 2 2 2 2 2 2" xfId="6500" xr:uid="{00000000-0005-0000-0000-000091060000}"/>
    <cellStyle name="Cálculo 2 2 2 2 2 2 2" xfId="6501" xr:uid="{00000000-0005-0000-0000-000092060000}"/>
    <cellStyle name="Cálculo 2 2 2 2 2 2 2 2" xfId="6502" xr:uid="{00000000-0005-0000-0000-000093060000}"/>
    <cellStyle name="Cálculo 2 2 2 2 2 2 3" xfId="6503" xr:uid="{00000000-0005-0000-0000-000094060000}"/>
    <cellStyle name="Cálculo 2 2 2 2 2 3" xfId="6504" xr:uid="{00000000-0005-0000-0000-000095060000}"/>
    <cellStyle name="Cálculo 2 2 2 2 2 3 2" xfId="6505" xr:uid="{00000000-0005-0000-0000-000096060000}"/>
    <cellStyle name="Cálculo 2 2 2 2 3" xfId="6506" xr:uid="{00000000-0005-0000-0000-000097060000}"/>
    <cellStyle name="Cálculo 2 2 2 2 3 2" xfId="6507" xr:uid="{00000000-0005-0000-0000-000098060000}"/>
    <cellStyle name="Cálculo 2 2 2 3" xfId="6508" xr:uid="{00000000-0005-0000-0000-000099060000}"/>
    <cellStyle name="Cálculo 2 2 2 4" xfId="6509" xr:uid="{00000000-0005-0000-0000-00009A060000}"/>
    <cellStyle name="Cálculo 2 2 2 4 2" xfId="6510" xr:uid="{00000000-0005-0000-0000-00009B060000}"/>
    <cellStyle name="Cálculo 2 2 3" xfId="6511" xr:uid="{00000000-0005-0000-0000-00009C060000}"/>
    <cellStyle name="Cálculo 2 2 4" xfId="6512" xr:uid="{00000000-0005-0000-0000-00009D060000}"/>
    <cellStyle name="Cálculo 2 2 4 2" xfId="6513" xr:uid="{00000000-0005-0000-0000-00009E060000}"/>
    <cellStyle name="Cálculo 2 3" xfId="6514" xr:uid="{00000000-0005-0000-0000-00009F060000}"/>
    <cellStyle name="Cálculo 2 4" xfId="6515" xr:uid="{00000000-0005-0000-0000-0000A0060000}"/>
    <cellStyle name="Cálculo 2 5" xfId="6516" xr:uid="{00000000-0005-0000-0000-0000A1060000}"/>
    <cellStyle name="Cálculo 2 6" xfId="6517" xr:uid="{00000000-0005-0000-0000-0000A2060000}"/>
    <cellStyle name="Cálculo 2 6 2" xfId="6518" xr:uid="{00000000-0005-0000-0000-0000A3060000}"/>
    <cellStyle name="Cálculo 2 7" xfId="6495" xr:uid="{00000000-0005-0000-0000-0000A4060000}"/>
    <cellStyle name="Cálculo 3" xfId="5234" xr:uid="{00000000-0005-0000-0000-0000A5060000}"/>
    <cellStyle name="Cálculo 3 2" xfId="6520" xr:uid="{00000000-0005-0000-0000-0000A6060000}"/>
    <cellStyle name="Cálculo 3 3" xfId="6521" xr:uid="{00000000-0005-0000-0000-0000A7060000}"/>
    <cellStyle name="Cálculo 3 4" xfId="6522" xr:uid="{00000000-0005-0000-0000-0000A8060000}"/>
    <cellStyle name="Cálculo 3 5" xfId="6519" xr:uid="{00000000-0005-0000-0000-0000A9060000}"/>
    <cellStyle name="Cálculo 4" xfId="5310" xr:uid="{00000000-0005-0000-0000-0000AA060000}"/>
    <cellStyle name="Cálculo 4 2" xfId="6524" xr:uid="{00000000-0005-0000-0000-0000AB060000}"/>
    <cellStyle name="Cálculo 4 3" xfId="6525" xr:uid="{00000000-0005-0000-0000-0000AC060000}"/>
    <cellStyle name="Cálculo 4 4" xfId="6523" xr:uid="{00000000-0005-0000-0000-0000AD060000}"/>
    <cellStyle name="Cálculo 5" xfId="5229" xr:uid="{00000000-0005-0000-0000-0000AE060000}"/>
    <cellStyle name="Cálculo 5 2" xfId="6527" xr:uid="{00000000-0005-0000-0000-0000AF060000}"/>
    <cellStyle name="Cálculo 5 3" xfId="6526" xr:uid="{00000000-0005-0000-0000-0000B0060000}"/>
    <cellStyle name="Cálculo 6" xfId="5315" xr:uid="{00000000-0005-0000-0000-0000B1060000}"/>
    <cellStyle name="Cálculo 6 2" xfId="6529" xr:uid="{00000000-0005-0000-0000-0000B2060000}"/>
    <cellStyle name="Cálculo 6 3" xfId="7343" xr:uid="{00000000-0005-0000-0000-0000B3060000}"/>
    <cellStyle name="Cálculo 6 4" xfId="6528" xr:uid="{00000000-0005-0000-0000-0000B4060000}"/>
    <cellStyle name="Cálculo 7" xfId="5212" xr:uid="{00000000-0005-0000-0000-0000B5060000}"/>
    <cellStyle name="Cálculo 7 2" xfId="7344" xr:uid="{00000000-0005-0000-0000-0000B6060000}"/>
    <cellStyle name="Cálculo 7 3" xfId="6530" xr:uid="{00000000-0005-0000-0000-0000B7060000}"/>
    <cellStyle name="Cálculo 8" xfId="5332" xr:uid="{00000000-0005-0000-0000-0000B8060000}"/>
    <cellStyle name="Cálculo 9" xfId="5086" xr:uid="{00000000-0005-0000-0000-0000B9060000}"/>
    <cellStyle name="Celda de comprobación" xfId="695" xr:uid="{00000000-0005-0000-0000-0000BA060000}"/>
    <cellStyle name="Celda vinculada" xfId="696" xr:uid="{00000000-0005-0000-0000-0000BB060000}"/>
    <cellStyle name="Célula de Verificação" xfId="46" xr:uid="{00000000-0005-0000-0000-0000BC060000}"/>
    <cellStyle name="Célula de Verificação 10" xfId="5518" xr:uid="{00000000-0005-0000-0000-0000BD060000}"/>
    <cellStyle name="Célula de Verificação 11" xfId="5574" xr:uid="{00000000-0005-0000-0000-0000BE060000}"/>
    <cellStyle name="Célula de Verificação 12" xfId="5513" xr:uid="{00000000-0005-0000-0000-0000BF060000}"/>
    <cellStyle name="Célula de Verificação 13" xfId="5579" xr:uid="{00000000-0005-0000-0000-0000C0060000}"/>
    <cellStyle name="Célula de Verificação 14" xfId="5496" xr:uid="{00000000-0005-0000-0000-0000C1060000}"/>
    <cellStyle name="Célula de Verificação 15" xfId="5706" xr:uid="{00000000-0005-0000-0000-0000C2060000}"/>
    <cellStyle name="Célula de Verificação 16" xfId="5730" xr:uid="{00000000-0005-0000-0000-0000C3060000}"/>
    <cellStyle name="Célula de Verificação 17" xfId="5780" xr:uid="{00000000-0005-0000-0000-0000C4060000}"/>
    <cellStyle name="Célula de Verificação 2" xfId="4975" xr:uid="{00000000-0005-0000-0000-0000C5060000}"/>
    <cellStyle name="Célula de Verificação 2 2" xfId="6532" xr:uid="{00000000-0005-0000-0000-0000C6060000}"/>
    <cellStyle name="Célula de Verificação 2 2 2" xfId="6533" xr:uid="{00000000-0005-0000-0000-0000C7060000}"/>
    <cellStyle name="Célula de Verificação 2 2 2 2" xfId="6534" xr:uid="{00000000-0005-0000-0000-0000C8060000}"/>
    <cellStyle name="Célula de Verificação 2 2 2 2 2" xfId="6535" xr:uid="{00000000-0005-0000-0000-0000C9060000}"/>
    <cellStyle name="Célula de Verificação 2 2 2 2 2 2" xfId="6536" xr:uid="{00000000-0005-0000-0000-0000CA060000}"/>
    <cellStyle name="Célula de Verificação 2 2 2 2 2 2 2" xfId="6537" xr:uid="{00000000-0005-0000-0000-0000CB060000}"/>
    <cellStyle name="Célula de Verificação 2 2 2 2 2 2 2 2" xfId="6538" xr:uid="{00000000-0005-0000-0000-0000CC060000}"/>
    <cellStyle name="Célula de Verificação 2 2 2 2 2 2 3" xfId="6539" xr:uid="{00000000-0005-0000-0000-0000CD060000}"/>
    <cellStyle name="Célula de Verificação 2 2 2 2 2 3" xfId="6540" xr:uid="{00000000-0005-0000-0000-0000CE060000}"/>
    <cellStyle name="Célula de Verificação 2 2 2 2 2 3 2" xfId="6541" xr:uid="{00000000-0005-0000-0000-0000CF060000}"/>
    <cellStyle name="Célula de Verificação 2 2 2 2 3" xfId="6542" xr:uid="{00000000-0005-0000-0000-0000D0060000}"/>
    <cellStyle name="Célula de Verificação 2 2 2 2 3 2" xfId="6543" xr:uid="{00000000-0005-0000-0000-0000D1060000}"/>
    <cellStyle name="Célula de Verificação 2 2 2 3" xfId="6544" xr:uid="{00000000-0005-0000-0000-0000D2060000}"/>
    <cellStyle name="Célula de Verificação 2 2 2 4" xfId="6545" xr:uid="{00000000-0005-0000-0000-0000D3060000}"/>
    <cellStyle name="Célula de Verificação 2 2 2 4 2" xfId="6546" xr:uid="{00000000-0005-0000-0000-0000D4060000}"/>
    <cellStyle name="Célula de Verificação 2 2 3" xfId="6547" xr:uid="{00000000-0005-0000-0000-0000D5060000}"/>
    <cellStyle name="Célula de Verificação 2 2 4" xfId="6548" xr:uid="{00000000-0005-0000-0000-0000D6060000}"/>
    <cellStyle name="Célula de Verificação 2 2 4 2" xfId="6549" xr:uid="{00000000-0005-0000-0000-0000D7060000}"/>
    <cellStyle name="Célula de Verificação 2 3" xfId="6550" xr:uid="{00000000-0005-0000-0000-0000D8060000}"/>
    <cellStyle name="Célula de Verificação 2 4" xfId="6551" xr:uid="{00000000-0005-0000-0000-0000D9060000}"/>
    <cellStyle name="Célula de Verificação 2 5" xfId="6552" xr:uid="{00000000-0005-0000-0000-0000DA060000}"/>
    <cellStyle name="Célula de Verificação 2 6" xfId="6553" xr:uid="{00000000-0005-0000-0000-0000DB060000}"/>
    <cellStyle name="Célula de Verificação 2 6 2" xfId="6554" xr:uid="{00000000-0005-0000-0000-0000DC060000}"/>
    <cellStyle name="Célula de Verificação 2 7" xfId="6531" xr:uid="{00000000-0005-0000-0000-0000DD060000}"/>
    <cellStyle name="Célula de Verificação 3" xfId="5235" xr:uid="{00000000-0005-0000-0000-0000DE060000}"/>
    <cellStyle name="Célula de Verificação 3 2" xfId="6556" xr:uid="{00000000-0005-0000-0000-0000DF060000}"/>
    <cellStyle name="Célula de Verificação 3 3" xfId="6557" xr:uid="{00000000-0005-0000-0000-0000E0060000}"/>
    <cellStyle name="Célula de Verificação 3 4" xfId="6558" xr:uid="{00000000-0005-0000-0000-0000E1060000}"/>
    <cellStyle name="Célula de Verificação 3 5" xfId="6555" xr:uid="{00000000-0005-0000-0000-0000E2060000}"/>
    <cellStyle name="Célula de Verificação 4" xfId="5309" xr:uid="{00000000-0005-0000-0000-0000E3060000}"/>
    <cellStyle name="Célula de Verificação 4 2" xfId="6560" xr:uid="{00000000-0005-0000-0000-0000E4060000}"/>
    <cellStyle name="Célula de Verificação 4 3" xfId="6561" xr:uid="{00000000-0005-0000-0000-0000E5060000}"/>
    <cellStyle name="Célula de Verificação 4 4" xfId="6559" xr:uid="{00000000-0005-0000-0000-0000E6060000}"/>
    <cellStyle name="Célula de Verificação 5" xfId="5230" xr:uid="{00000000-0005-0000-0000-0000E7060000}"/>
    <cellStyle name="Célula de Verificação 5 2" xfId="6563" xr:uid="{00000000-0005-0000-0000-0000E8060000}"/>
    <cellStyle name="Célula de Verificação 5 3" xfId="6562" xr:uid="{00000000-0005-0000-0000-0000E9060000}"/>
    <cellStyle name="Célula de Verificação 6" xfId="5314" xr:uid="{00000000-0005-0000-0000-0000EA060000}"/>
    <cellStyle name="Célula de Verificação 6 2" xfId="6565" xr:uid="{00000000-0005-0000-0000-0000EB060000}"/>
    <cellStyle name="Célula de Verificação 6 3" xfId="7345" xr:uid="{00000000-0005-0000-0000-0000EC060000}"/>
    <cellStyle name="Célula de Verificação 6 4" xfId="6564" xr:uid="{00000000-0005-0000-0000-0000ED060000}"/>
    <cellStyle name="Célula de Verificação 7" xfId="5213" xr:uid="{00000000-0005-0000-0000-0000EE060000}"/>
    <cellStyle name="Célula de Verificação 7 2" xfId="7346" xr:uid="{00000000-0005-0000-0000-0000EF060000}"/>
    <cellStyle name="Célula de Verificação 7 3" xfId="6566" xr:uid="{00000000-0005-0000-0000-0000F0060000}"/>
    <cellStyle name="Célula de Verificação 8" xfId="5331" xr:uid="{00000000-0005-0000-0000-0000F1060000}"/>
    <cellStyle name="Célula de Verificação 9" xfId="5190" xr:uid="{00000000-0005-0000-0000-0000F2060000}"/>
    <cellStyle name="Célula Vinculada" xfId="47" xr:uid="{00000000-0005-0000-0000-0000F3060000}"/>
    <cellStyle name="Célula Vinculada 10" xfId="5519" xr:uid="{00000000-0005-0000-0000-0000F4060000}"/>
    <cellStyle name="Célula Vinculada 11" xfId="5573" xr:uid="{00000000-0005-0000-0000-0000F5060000}"/>
    <cellStyle name="Célula Vinculada 12" xfId="5514" xr:uid="{00000000-0005-0000-0000-0000F6060000}"/>
    <cellStyle name="Célula Vinculada 13" xfId="5578" xr:uid="{00000000-0005-0000-0000-0000F7060000}"/>
    <cellStyle name="Célula Vinculada 14" xfId="5497" xr:uid="{00000000-0005-0000-0000-0000F8060000}"/>
    <cellStyle name="Célula Vinculada 15" xfId="5707" xr:uid="{00000000-0005-0000-0000-0000F9060000}"/>
    <cellStyle name="Célula Vinculada 16" xfId="5729" xr:uid="{00000000-0005-0000-0000-0000FA060000}"/>
    <cellStyle name="Célula Vinculada 17" xfId="5779" xr:uid="{00000000-0005-0000-0000-0000FB060000}"/>
    <cellStyle name="Célula Vinculada 2" xfId="4976" xr:uid="{00000000-0005-0000-0000-0000FC060000}"/>
    <cellStyle name="Célula Vinculada 2 2" xfId="6568" xr:uid="{00000000-0005-0000-0000-0000FD060000}"/>
    <cellStyle name="Célula Vinculada 2 2 2" xfId="6569" xr:uid="{00000000-0005-0000-0000-0000FE060000}"/>
    <cellStyle name="Célula Vinculada 2 2 2 2" xfId="6570" xr:uid="{00000000-0005-0000-0000-0000FF060000}"/>
    <cellStyle name="Célula Vinculada 2 2 2 2 2" xfId="6571" xr:uid="{00000000-0005-0000-0000-000000070000}"/>
    <cellStyle name="Célula Vinculada 2 2 2 2 2 2" xfId="6572" xr:uid="{00000000-0005-0000-0000-000001070000}"/>
    <cellStyle name="Célula Vinculada 2 2 2 2 2 2 2" xfId="6573" xr:uid="{00000000-0005-0000-0000-000002070000}"/>
    <cellStyle name="Célula Vinculada 2 2 2 2 2 2 2 2" xfId="6574" xr:uid="{00000000-0005-0000-0000-000003070000}"/>
    <cellStyle name="Célula Vinculada 2 2 2 2 2 2 3" xfId="6575" xr:uid="{00000000-0005-0000-0000-000004070000}"/>
    <cellStyle name="Célula Vinculada 2 2 2 2 2 3" xfId="6576" xr:uid="{00000000-0005-0000-0000-000005070000}"/>
    <cellStyle name="Célula Vinculada 2 2 2 2 2 3 2" xfId="6577" xr:uid="{00000000-0005-0000-0000-000006070000}"/>
    <cellStyle name="Célula Vinculada 2 2 2 2 3" xfId="6578" xr:uid="{00000000-0005-0000-0000-000007070000}"/>
    <cellStyle name="Célula Vinculada 2 2 2 2 3 2" xfId="6579" xr:uid="{00000000-0005-0000-0000-000008070000}"/>
    <cellStyle name="Célula Vinculada 2 2 2 3" xfId="6580" xr:uid="{00000000-0005-0000-0000-000009070000}"/>
    <cellStyle name="Célula Vinculada 2 2 2 4" xfId="6581" xr:uid="{00000000-0005-0000-0000-00000A070000}"/>
    <cellStyle name="Célula Vinculada 2 2 2 4 2" xfId="6582" xr:uid="{00000000-0005-0000-0000-00000B070000}"/>
    <cellStyle name="Célula Vinculada 2 2 3" xfId="6583" xr:uid="{00000000-0005-0000-0000-00000C070000}"/>
    <cellStyle name="Célula Vinculada 2 2 4" xfId="6584" xr:uid="{00000000-0005-0000-0000-00000D070000}"/>
    <cellStyle name="Célula Vinculada 2 2 4 2" xfId="6585" xr:uid="{00000000-0005-0000-0000-00000E070000}"/>
    <cellStyle name="Célula Vinculada 2 3" xfId="6586" xr:uid="{00000000-0005-0000-0000-00000F070000}"/>
    <cellStyle name="Célula Vinculada 2 4" xfId="6587" xr:uid="{00000000-0005-0000-0000-000010070000}"/>
    <cellStyle name="Célula Vinculada 2 5" xfId="6588" xr:uid="{00000000-0005-0000-0000-000011070000}"/>
    <cellStyle name="Célula Vinculada 2 6" xfId="6589" xr:uid="{00000000-0005-0000-0000-000012070000}"/>
    <cellStyle name="Célula Vinculada 2 6 2" xfId="6590" xr:uid="{00000000-0005-0000-0000-000013070000}"/>
    <cellStyle name="Célula Vinculada 2 7" xfId="6567" xr:uid="{00000000-0005-0000-0000-000014070000}"/>
    <cellStyle name="Célula Vinculada 3" xfId="5236" xr:uid="{00000000-0005-0000-0000-000015070000}"/>
    <cellStyle name="Célula Vinculada 3 2" xfId="6592" xr:uid="{00000000-0005-0000-0000-000016070000}"/>
    <cellStyle name="Célula Vinculada 3 3" xfId="6593" xr:uid="{00000000-0005-0000-0000-000017070000}"/>
    <cellStyle name="Célula Vinculada 3 4" xfId="6594" xr:uid="{00000000-0005-0000-0000-000018070000}"/>
    <cellStyle name="Célula Vinculada 3 5" xfId="6591" xr:uid="{00000000-0005-0000-0000-000019070000}"/>
    <cellStyle name="Célula Vinculada 4" xfId="5308" xr:uid="{00000000-0005-0000-0000-00001A070000}"/>
    <cellStyle name="Célula Vinculada 4 2" xfId="6596" xr:uid="{00000000-0005-0000-0000-00001B070000}"/>
    <cellStyle name="Célula Vinculada 4 3" xfId="6597" xr:uid="{00000000-0005-0000-0000-00001C070000}"/>
    <cellStyle name="Célula Vinculada 4 4" xfId="6595" xr:uid="{00000000-0005-0000-0000-00001D070000}"/>
    <cellStyle name="Célula Vinculada 5" xfId="5231" xr:uid="{00000000-0005-0000-0000-00001E070000}"/>
    <cellStyle name="Célula Vinculada 5 2" xfId="6599" xr:uid="{00000000-0005-0000-0000-00001F070000}"/>
    <cellStyle name="Célula Vinculada 5 3" xfId="6598" xr:uid="{00000000-0005-0000-0000-000020070000}"/>
    <cellStyle name="Célula Vinculada 6" xfId="5313" xr:uid="{00000000-0005-0000-0000-000021070000}"/>
    <cellStyle name="Célula Vinculada 6 2" xfId="6601" xr:uid="{00000000-0005-0000-0000-000022070000}"/>
    <cellStyle name="Célula Vinculada 6 3" xfId="7347" xr:uid="{00000000-0005-0000-0000-000023070000}"/>
    <cellStyle name="Célula Vinculada 6 4" xfId="6600" xr:uid="{00000000-0005-0000-0000-000024070000}"/>
    <cellStyle name="Célula Vinculada 7" xfId="5220" xr:uid="{00000000-0005-0000-0000-000025070000}"/>
    <cellStyle name="Célula Vinculada 7 2" xfId="7348" xr:uid="{00000000-0005-0000-0000-000026070000}"/>
    <cellStyle name="Célula Vinculada 7 3" xfId="6602" xr:uid="{00000000-0005-0000-0000-000027070000}"/>
    <cellStyle name="Célula Vinculada 8" xfId="5324" xr:uid="{00000000-0005-0000-0000-000028070000}"/>
    <cellStyle name="Célula Vinculada 9" xfId="5197" xr:uid="{00000000-0005-0000-0000-000029070000}"/>
    <cellStyle name="Check Cell" xfId="48" xr:uid="{00000000-0005-0000-0000-00002A070000}"/>
    <cellStyle name="CLEAR" xfId="4977" xr:uid="{00000000-0005-0000-0000-00002B070000}"/>
    <cellStyle name="column1" xfId="4978" xr:uid="{00000000-0005-0000-0000-00002C070000}"/>
    <cellStyle name="column1BigNoWrap" xfId="4979" xr:uid="{00000000-0005-0000-0000-00002D070000}"/>
    <cellStyle name="column1Date" xfId="4980" xr:uid="{00000000-0005-0000-0000-00002E070000}"/>
    <cellStyle name="column2Date" xfId="4981" xr:uid="{00000000-0005-0000-0000-00002F070000}"/>
    <cellStyle name="column3Date" xfId="4982" xr:uid="{00000000-0005-0000-0000-000030070000}"/>
    <cellStyle name="Comma" xfId="78" xr:uid="{00000000-0005-0000-0000-000031070000}"/>
    <cellStyle name="Comma  - Estilo1" xfId="4983" xr:uid="{00000000-0005-0000-0000-000032070000}"/>
    <cellStyle name="Comma  - Estilo2" xfId="4984" xr:uid="{00000000-0005-0000-0000-000033070000}"/>
    <cellStyle name="Comma  - Estilo3" xfId="4985" xr:uid="{00000000-0005-0000-0000-000034070000}"/>
    <cellStyle name="Comma  - Estilo4" xfId="4986" xr:uid="{00000000-0005-0000-0000-000035070000}"/>
    <cellStyle name="Comma  - Estilo5" xfId="4987" xr:uid="{00000000-0005-0000-0000-000036070000}"/>
    <cellStyle name="Comma  - Estilo6" xfId="4988" xr:uid="{00000000-0005-0000-0000-000037070000}"/>
    <cellStyle name="Comma  - Estilo7" xfId="4989" xr:uid="{00000000-0005-0000-0000-000038070000}"/>
    <cellStyle name="Comma  - Estilo8" xfId="4990" xr:uid="{00000000-0005-0000-0000-000039070000}"/>
    <cellStyle name="Comma  - Style1" xfId="4991" xr:uid="{00000000-0005-0000-0000-00003A070000}"/>
    <cellStyle name="Comma  - Style2" xfId="4992" xr:uid="{00000000-0005-0000-0000-00003B070000}"/>
    <cellStyle name="Comma  - Style3" xfId="4993" xr:uid="{00000000-0005-0000-0000-00003C070000}"/>
    <cellStyle name="Comma  - Style4" xfId="4994" xr:uid="{00000000-0005-0000-0000-00003D070000}"/>
    <cellStyle name="Comma  - Style5" xfId="4995" xr:uid="{00000000-0005-0000-0000-00003E070000}"/>
    <cellStyle name="Comma  - Style6" xfId="4996" xr:uid="{00000000-0005-0000-0000-00003F070000}"/>
    <cellStyle name="Comma  - Style7" xfId="4997" xr:uid="{00000000-0005-0000-0000-000040070000}"/>
    <cellStyle name="Comma  - Style8" xfId="4998" xr:uid="{00000000-0005-0000-0000-000041070000}"/>
    <cellStyle name="Comma [0]" xfId="697" xr:uid="{00000000-0005-0000-0000-000042070000}"/>
    <cellStyle name="Comma [0] 10" xfId="698" xr:uid="{00000000-0005-0000-0000-000043070000}"/>
    <cellStyle name="Comma [0] 11" xfId="699" xr:uid="{00000000-0005-0000-0000-000044070000}"/>
    <cellStyle name="Comma [0] 12" xfId="700" xr:uid="{00000000-0005-0000-0000-000045070000}"/>
    <cellStyle name="Comma [0] 13" xfId="701" xr:uid="{00000000-0005-0000-0000-000046070000}"/>
    <cellStyle name="Comma [0] 14" xfId="702" xr:uid="{00000000-0005-0000-0000-000047070000}"/>
    <cellStyle name="Comma [0] 15" xfId="703" xr:uid="{00000000-0005-0000-0000-000048070000}"/>
    <cellStyle name="Comma [0] 16" xfId="704" xr:uid="{00000000-0005-0000-0000-000049070000}"/>
    <cellStyle name="Comma [0] 17" xfId="705" xr:uid="{00000000-0005-0000-0000-00004A070000}"/>
    <cellStyle name="Comma [0] 18" xfId="706" xr:uid="{00000000-0005-0000-0000-00004B070000}"/>
    <cellStyle name="Comma [0] 19" xfId="707" xr:uid="{00000000-0005-0000-0000-00004C070000}"/>
    <cellStyle name="Comma [0] 2" xfId="708" xr:uid="{00000000-0005-0000-0000-00004D070000}"/>
    <cellStyle name="Comma [0] 20" xfId="709" xr:uid="{00000000-0005-0000-0000-00004E070000}"/>
    <cellStyle name="Comma [0] 21" xfId="710" xr:uid="{00000000-0005-0000-0000-00004F070000}"/>
    <cellStyle name="Comma [0] 22" xfId="711" xr:uid="{00000000-0005-0000-0000-000050070000}"/>
    <cellStyle name="Comma [0] 23" xfId="712" xr:uid="{00000000-0005-0000-0000-000051070000}"/>
    <cellStyle name="Comma [0] 24" xfId="713" xr:uid="{00000000-0005-0000-0000-000052070000}"/>
    <cellStyle name="Comma [0] 25" xfId="714" xr:uid="{00000000-0005-0000-0000-000053070000}"/>
    <cellStyle name="Comma [0] 26" xfId="715" xr:uid="{00000000-0005-0000-0000-000054070000}"/>
    <cellStyle name="Comma [0] 27" xfId="716" xr:uid="{00000000-0005-0000-0000-000055070000}"/>
    <cellStyle name="Comma [0] 28" xfId="717" xr:uid="{00000000-0005-0000-0000-000056070000}"/>
    <cellStyle name="Comma [0] 29" xfId="718" xr:uid="{00000000-0005-0000-0000-000057070000}"/>
    <cellStyle name="Comma [0] 3" xfId="719" xr:uid="{00000000-0005-0000-0000-000058070000}"/>
    <cellStyle name="Comma [0] 30" xfId="720" xr:uid="{00000000-0005-0000-0000-000059070000}"/>
    <cellStyle name="Comma [0] 31" xfId="721" xr:uid="{00000000-0005-0000-0000-00005A070000}"/>
    <cellStyle name="Comma [0] 32" xfId="722" xr:uid="{00000000-0005-0000-0000-00005B070000}"/>
    <cellStyle name="Comma [0] 33" xfId="723" xr:uid="{00000000-0005-0000-0000-00005C070000}"/>
    <cellStyle name="Comma [0] 34" xfId="724" xr:uid="{00000000-0005-0000-0000-00005D070000}"/>
    <cellStyle name="Comma [0] 35" xfId="725" xr:uid="{00000000-0005-0000-0000-00005E070000}"/>
    <cellStyle name="Comma [0] 36" xfId="726" xr:uid="{00000000-0005-0000-0000-00005F070000}"/>
    <cellStyle name="Comma [0] 37" xfId="727" xr:uid="{00000000-0005-0000-0000-000060070000}"/>
    <cellStyle name="Comma [0] 38" xfId="728" xr:uid="{00000000-0005-0000-0000-000061070000}"/>
    <cellStyle name="Comma [0] 39" xfId="729" xr:uid="{00000000-0005-0000-0000-000062070000}"/>
    <cellStyle name="Comma [0] 4" xfId="730" xr:uid="{00000000-0005-0000-0000-000063070000}"/>
    <cellStyle name="Comma [0] 40" xfId="731" xr:uid="{00000000-0005-0000-0000-000064070000}"/>
    <cellStyle name="Comma [0] 5" xfId="732" xr:uid="{00000000-0005-0000-0000-000065070000}"/>
    <cellStyle name="Comma [0] 6" xfId="733" xr:uid="{00000000-0005-0000-0000-000066070000}"/>
    <cellStyle name="Comma [0] 7" xfId="734" xr:uid="{00000000-0005-0000-0000-000067070000}"/>
    <cellStyle name="Comma [0] 8" xfId="735" xr:uid="{00000000-0005-0000-0000-000068070000}"/>
    <cellStyle name="Comma [0] 9" xfId="736" xr:uid="{00000000-0005-0000-0000-000069070000}"/>
    <cellStyle name="Comma [00]" xfId="4999" xr:uid="{00000000-0005-0000-0000-00006A070000}"/>
    <cellStyle name="Comma 0" xfId="5000" xr:uid="{00000000-0005-0000-0000-00006B070000}"/>
    <cellStyle name="Comma 0*" xfId="5001" xr:uid="{00000000-0005-0000-0000-00006C070000}"/>
    <cellStyle name="Comma 0_2004.10.04 - Cortez Zip Model2" xfId="5002" xr:uid="{00000000-0005-0000-0000-00006D070000}"/>
    <cellStyle name="Comma 2" xfId="737" xr:uid="{00000000-0005-0000-0000-00006E070000}"/>
    <cellStyle name="Comma 2 2" xfId="738" xr:uid="{00000000-0005-0000-0000-00006F070000}"/>
    <cellStyle name="Comma 2 2 2" xfId="739" xr:uid="{00000000-0005-0000-0000-000070070000}"/>
    <cellStyle name="Comma 2 2 2 2" xfId="9043" xr:uid="{00000000-0005-0000-0000-000071070000}"/>
    <cellStyle name="Comma 2 2 2 3" xfId="7423" xr:uid="{00000000-0005-0000-0000-000072070000}"/>
    <cellStyle name="Comma 2 2 2 4" xfId="10645" xr:uid="{00000000-0005-0000-0000-000073070000}"/>
    <cellStyle name="Comma 2 2 2 5" xfId="12246" xr:uid="{00000000-0005-0000-0000-000074070000}"/>
    <cellStyle name="Comma 2 2 3" xfId="740" xr:uid="{00000000-0005-0000-0000-000075070000}"/>
    <cellStyle name="Comma 2 2 3 2" xfId="7424" xr:uid="{00000000-0005-0000-0000-000076070000}"/>
    <cellStyle name="Comma 2 2 3 3" xfId="10646" xr:uid="{00000000-0005-0000-0000-000077070000}"/>
    <cellStyle name="Comma 2 2 3 4" xfId="12247" xr:uid="{00000000-0005-0000-0000-000078070000}"/>
    <cellStyle name="Comma 2 2 4" xfId="9042" xr:uid="{00000000-0005-0000-0000-000079070000}"/>
    <cellStyle name="Comma 2 2 5" xfId="7422" xr:uid="{00000000-0005-0000-0000-00007A070000}"/>
    <cellStyle name="Comma 2 2 6" xfId="10644" xr:uid="{00000000-0005-0000-0000-00007B070000}"/>
    <cellStyle name="Comma 2 2 7" xfId="12245" xr:uid="{00000000-0005-0000-0000-00007C070000}"/>
    <cellStyle name="Comma 2 3" xfId="741" xr:uid="{00000000-0005-0000-0000-00007D070000}"/>
    <cellStyle name="Comma 2 3 2" xfId="7425" xr:uid="{00000000-0005-0000-0000-00007E070000}"/>
    <cellStyle name="Comma 2 3 3" xfId="10647" xr:uid="{00000000-0005-0000-0000-00007F070000}"/>
    <cellStyle name="Comma 2 3 4" xfId="12248" xr:uid="{00000000-0005-0000-0000-000080070000}"/>
    <cellStyle name="Comma 2 4" xfId="5003" xr:uid="{00000000-0005-0000-0000-000081070000}"/>
    <cellStyle name="Comma 2 4 2" xfId="9041" xr:uid="{00000000-0005-0000-0000-000082070000}"/>
    <cellStyle name="Comma 2 5" xfId="7421" xr:uid="{00000000-0005-0000-0000-000083070000}"/>
    <cellStyle name="Comma 2 6" xfId="10643" xr:uid="{00000000-0005-0000-0000-000084070000}"/>
    <cellStyle name="Comma 2 7" xfId="12244" xr:uid="{00000000-0005-0000-0000-000085070000}"/>
    <cellStyle name="Comma 3" xfId="742" xr:uid="{00000000-0005-0000-0000-000086070000}"/>
    <cellStyle name="Comma 3 2" xfId="743" xr:uid="{00000000-0005-0000-0000-000087070000}"/>
    <cellStyle name="Comma 3 2 2" xfId="9044" xr:uid="{00000000-0005-0000-0000-000088070000}"/>
    <cellStyle name="Comma 3 2 3" xfId="7427" xr:uid="{00000000-0005-0000-0000-000089070000}"/>
    <cellStyle name="Comma 3 2 4" xfId="10649" xr:uid="{00000000-0005-0000-0000-00008A070000}"/>
    <cellStyle name="Comma 3 2 5" xfId="12250" xr:uid="{00000000-0005-0000-0000-00008B070000}"/>
    <cellStyle name="Comma 3 3" xfId="5004" xr:uid="{00000000-0005-0000-0000-00008C070000}"/>
    <cellStyle name="Comma 3 4" xfId="7426" xr:uid="{00000000-0005-0000-0000-00008D070000}"/>
    <cellStyle name="Comma 3 5" xfId="10648" xr:uid="{00000000-0005-0000-0000-00008E070000}"/>
    <cellStyle name="Comma 3 6" xfId="12249" xr:uid="{00000000-0005-0000-0000-00008F070000}"/>
    <cellStyle name="Comma 4" xfId="744" xr:uid="{00000000-0005-0000-0000-000090070000}"/>
    <cellStyle name="Comma 4 2" xfId="745" xr:uid="{00000000-0005-0000-0000-000091070000}"/>
    <cellStyle name="Comma 4 2 2" xfId="7429" xr:uid="{00000000-0005-0000-0000-000092070000}"/>
    <cellStyle name="Comma 4 2 3" xfId="10651" xr:uid="{00000000-0005-0000-0000-000093070000}"/>
    <cellStyle name="Comma 4 2 4" xfId="12252" xr:uid="{00000000-0005-0000-0000-000094070000}"/>
    <cellStyle name="Comma 4 3" xfId="7428" xr:uid="{00000000-0005-0000-0000-000095070000}"/>
    <cellStyle name="Comma 4 4" xfId="10650" xr:uid="{00000000-0005-0000-0000-000096070000}"/>
    <cellStyle name="Comma 4 5" xfId="12251" xr:uid="{00000000-0005-0000-0000-000097070000}"/>
    <cellStyle name="Comma 5" xfId="746" xr:uid="{00000000-0005-0000-0000-000098070000}"/>
    <cellStyle name="Comma 5 2" xfId="7430" xr:uid="{00000000-0005-0000-0000-000099070000}"/>
    <cellStyle name="Comma 5 3" xfId="10652" xr:uid="{00000000-0005-0000-0000-00009A070000}"/>
    <cellStyle name="Comma 5 4" xfId="12253" xr:uid="{00000000-0005-0000-0000-00009B070000}"/>
    <cellStyle name="Comma 6" xfId="747" xr:uid="{00000000-0005-0000-0000-00009C070000}"/>
    <cellStyle name="Comma 6 2" xfId="7431" xr:uid="{00000000-0005-0000-0000-00009D070000}"/>
    <cellStyle name="Comma 6 3" xfId="10653" xr:uid="{00000000-0005-0000-0000-00009E070000}"/>
    <cellStyle name="Comma 6 4" xfId="12254" xr:uid="{00000000-0005-0000-0000-00009F070000}"/>
    <cellStyle name="Comma 7" xfId="748" xr:uid="{00000000-0005-0000-0000-0000A0070000}"/>
    <cellStyle name="Comma 7 2" xfId="7432" xr:uid="{00000000-0005-0000-0000-0000A1070000}"/>
    <cellStyle name="Comma 7 3" xfId="10654" xr:uid="{00000000-0005-0000-0000-0000A2070000}"/>
    <cellStyle name="Comma 7 4" xfId="12255" xr:uid="{00000000-0005-0000-0000-0000A3070000}"/>
    <cellStyle name="Comma 8" xfId="749" xr:uid="{00000000-0005-0000-0000-0000A4070000}"/>
    <cellStyle name="Comma 8 2" xfId="9045" xr:uid="{00000000-0005-0000-0000-0000A5070000}"/>
    <cellStyle name="Comma 8 3" xfId="7433" xr:uid="{00000000-0005-0000-0000-0000A6070000}"/>
    <cellStyle name="Comma 8 4" xfId="10655" xr:uid="{00000000-0005-0000-0000-0000A7070000}"/>
    <cellStyle name="Comma 8 5" xfId="12256" xr:uid="{00000000-0005-0000-0000-0000A8070000}"/>
    <cellStyle name="Comma_DD_HE" xfId="750" xr:uid="{00000000-0005-0000-0000-0000A9070000}"/>
    <cellStyle name="Comma0" xfId="751" xr:uid="{00000000-0005-0000-0000-0000AA070000}"/>
    <cellStyle name="Comma0 10" xfId="752" xr:uid="{00000000-0005-0000-0000-0000AB070000}"/>
    <cellStyle name="Comma0 11" xfId="753" xr:uid="{00000000-0005-0000-0000-0000AC070000}"/>
    <cellStyle name="Comma0 12" xfId="754" xr:uid="{00000000-0005-0000-0000-0000AD070000}"/>
    <cellStyle name="Comma0 13" xfId="755" xr:uid="{00000000-0005-0000-0000-0000AE070000}"/>
    <cellStyle name="Comma0 14" xfId="756" xr:uid="{00000000-0005-0000-0000-0000AF070000}"/>
    <cellStyle name="Comma0 15" xfId="757" xr:uid="{00000000-0005-0000-0000-0000B0070000}"/>
    <cellStyle name="Comma0 16" xfId="758" xr:uid="{00000000-0005-0000-0000-0000B1070000}"/>
    <cellStyle name="Comma0 17" xfId="759" xr:uid="{00000000-0005-0000-0000-0000B2070000}"/>
    <cellStyle name="Comma0 18" xfId="760" xr:uid="{00000000-0005-0000-0000-0000B3070000}"/>
    <cellStyle name="Comma0 19" xfId="761" xr:uid="{00000000-0005-0000-0000-0000B4070000}"/>
    <cellStyle name="Comma0 2" xfId="762" xr:uid="{00000000-0005-0000-0000-0000B5070000}"/>
    <cellStyle name="Comma0 2 2" xfId="763" xr:uid="{00000000-0005-0000-0000-0000B6070000}"/>
    <cellStyle name="Comma0 20" xfId="764" xr:uid="{00000000-0005-0000-0000-0000B7070000}"/>
    <cellStyle name="Comma0 21" xfId="765" xr:uid="{00000000-0005-0000-0000-0000B8070000}"/>
    <cellStyle name="Comma0 22" xfId="766" xr:uid="{00000000-0005-0000-0000-0000B9070000}"/>
    <cellStyle name="Comma0 23" xfId="767" xr:uid="{00000000-0005-0000-0000-0000BA070000}"/>
    <cellStyle name="Comma0 24" xfId="768" xr:uid="{00000000-0005-0000-0000-0000BB070000}"/>
    <cellStyle name="Comma0 25" xfId="769" xr:uid="{00000000-0005-0000-0000-0000BC070000}"/>
    <cellStyle name="Comma0 26" xfId="770" xr:uid="{00000000-0005-0000-0000-0000BD070000}"/>
    <cellStyle name="Comma0 27" xfId="771" xr:uid="{00000000-0005-0000-0000-0000BE070000}"/>
    <cellStyle name="Comma0 28" xfId="772" xr:uid="{00000000-0005-0000-0000-0000BF070000}"/>
    <cellStyle name="Comma0 29" xfId="773" xr:uid="{00000000-0005-0000-0000-0000C0070000}"/>
    <cellStyle name="Comma0 3" xfId="774" xr:uid="{00000000-0005-0000-0000-0000C1070000}"/>
    <cellStyle name="Comma0 3 2" xfId="775" xr:uid="{00000000-0005-0000-0000-0000C2070000}"/>
    <cellStyle name="Comma0 30" xfId="776" xr:uid="{00000000-0005-0000-0000-0000C3070000}"/>
    <cellStyle name="Comma0 31" xfId="777" xr:uid="{00000000-0005-0000-0000-0000C4070000}"/>
    <cellStyle name="Comma0 32" xfId="778" xr:uid="{00000000-0005-0000-0000-0000C5070000}"/>
    <cellStyle name="Comma0 33" xfId="779" xr:uid="{00000000-0005-0000-0000-0000C6070000}"/>
    <cellStyle name="Comma0 34" xfId="780" xr:uid="{00000000-0005-0000-0000-0000C7070000}"/>
    <cellStyle name="Comma0 35" xfId="781" xr:uid="{00000000-0005-0000-0000-0000C8070000}"/>
    <cellStyle name="Comma0 36" xfId="782" xr:uid="{00000000-0005-0000-0000-0000C9070000}"/>
    <cellStyle name="Comma0 37" xfId="783" xr:uid="{00000000-0005-0000-0000-0000CA070000}"/>
    <cellStyle name="Comma0 38" xfId="784" xr:uid="{00000000-0005-0000-0000-0000CB070000}"/>
    <cellStyle name="Comma0 39" xfId="785" xr:uid="{00000000-0005-0000-0000-0000CC070000}"/>
    <cellStyle name="Comma0 4" xfId="786" xr:uid="{00000000-0005-0000-0000-0000CD070000}"/>
    <cellStyle name="Comma0 4 2" xfId="787" xr:uid="{00000000-0005-0000-0000-0000CE070000}"/>
    <cellStyle name="Comma0 40" xfId="788" xr:uid="{00000000-0005-0000-0000-0000CF070000}"/>
    <cellStyle name="Comma0 41" xfId="5005" xr:uid="{00000000-0005-0000-0000-0000D0070000}"/>
    <cellStyle name="Comma0 5" xfId="789" xr:uid="{00000000-0005-0000-0000-0000D1070000}"/>
    <cellStyle name="Comma0 6" xfId="790" xr:uid="{00000000-0005-0000-0000-0000D2070000}"/>
    <cellStyle name="Comma0 7" xfId="791" xr:uid="{00000000-0005-0000-0000-0000D3070000}"/>
    <cellStyle name="Comma0 8" xfId="792" xr:uid="{00000000-0005-0000-0000-0000D4070000}"/>
    <cellStyle name="Comma0 9" xfId="793" xr:uid="{00000000-0005-0000-0000-0000D5070000}"/>
    <cellStyle name="Copied" xfId="794" xr:uid="{00000000-0005-0000-0000-0000D6070000}"/>
    <cellStyle name="Corpo" xfId="795" xr:uid="{00000000-0005-0000-0000-0000D7070000}"/>
    <cellStyle name="Corpo 10" xfId="796" xr:uid="{00000000-0005-0000-0000-0000D8070000}"/>
    <cellStyle name="Corpo 11" xfId="797" xr:uid="{00000000-0005-0000-0000-0000D9070000}"/>
    <cellStyle name="Corpo 12" xfId="798" xr:uid="{00000000-0005-0000-0000-0000DA070000}"/>
    <cellStyle name="Corpo 13" xfId="799" xr:uid="{00000000-0005-0000-0000-0000DB070000}"/>
    <cellStyle name="Corpo 14" xfId="800" xr:uid="{00000000-0005-0000-0000-0000DC070000}"/>
    <cellStyle name="Corpo 15" xfId="801" xr:uid="{00000000-0005-0000-0000-0000DD070000}"/>
    <cellStyle name="Corpo 16" xfId="802" xr:uid="{00000000-0005-0000-0000-0000DE070000}"/>
    <cellStyle name="Corpo 17" xfId="803" xr:uid="{00000000-0005-0000-0000-0000DF070000}"/>
    <cellStyle name="Corpo 18" xfId="804" xr:uid="{00000000-0005-0000-0000-0000E0070000}"/>
    <cellStyle name="Corpo 19" xfId="805" xr:uid="{00000000-0005-0000-0000-0000E1070000}"/>
    <cellStyle name="Corpo 2" xfId="806" xr:uid="{00000000-0005-0000-0000-0000E2070000}"/>
    <cellStyle name="Corpo 2 10" xfId="807" xr:uid="{00000000-0005-0000-0000-0000E3070000}"/>
    <cellStyle name="Corpo 2 11" xfId="808" xr:uid="{00000000-0005-0000-0000-0000E4070000}"/>
    <cellStyle name="Corpo 2 12" xfId="809" xr:uid="{00000000-0005-0000-0000-0000E5070000}"/>
    <cellStyle name="Corpo 2 13" xfId="810" xr:uid="{00000000-0005-0000-0000-0000E6070000}"/>
    <cellStyle name="Corpo 2 14" xfId="811" xr:uid="{00000000-0005-0000-0000-0000E7070000}"/>
    <cellStyle name="Corpo 2 15" xfId="812" xr:uid="{00000000-0005-0000-0000-0000E8070000}"/>
    <cellStyle name="Corpo 2 16" xfId="813" xr:uid="{00000000-0005-0000-0000-0000E9070000}"/>
    <cellStyle name="Corpo 2 17" xfId="814" xr:uid="{00000000-0005-0000-0000-0000EA070000}"/>
    <cellStyle name="Corpo 2 18" xfId="815" xr:uid="{00000000-0005-0000-0000-0000EB070000}"/>
    <cellStyle name="Corpo 2 19" xfId="816" xr:uid="{00000000-0005-0000-0000-0000EC070000}"/>
    <cellStyle name="Corpo 2 2" xfId="817" xr:uid="{00000000-0005-0000-0000-0000ED070000}"/>
    <cellStyle name="Corpo 2 20" xfId="818" xr:uid="{00000000-0005-0000-0000-0000EE070000}"/>
    <cellStyle name="Corpo 2 21" xfId="819" xr:uid="{00000000-0005-0000-0000-0000EF070000}"/>
    <cellStyle name="Corpo 2 22" xfId="820" xr:uid="{00000000-0005-0000-0000-0000F0070000}"/>
    <cellStyle name="Corpo 2 23" xfId="821" xr:uid="{00000000-0005-0000-0000-0000F1070000}"/>
    <cellStyle name="Corpo 2 24" xfId="822" xr:uid="{00000000-0005-0000-0000-0000F2070000}"/>
    <cellStyle name="Corpo 2 25" xfId="823" xr:uid="{00000000-0005-0000-0000-0000F3070000}"/>
    <cellStyle name="Corpo 2 26" xfId="824" xr:uid="{00000000-0005-0000-0000-0000F4070000}"/>
    <cellStyle name="Corpo 2 27" xfId="825" xr:uid="{00000000-0005-0000-0000-0000F5070000}"/>
    <cellStyle name="Corpo 2 28" xfId="826" xr:uid="{00000000-0005-0000-0000-0000F6070000}"/>
    <cellStyle name="Corpo 2 29" xfId="827" xr:uid="{00000000-0005-0000-0000-0000F7070000}"/>
    <cellStyle name="Corpo 2 3" xfId="828" xr:uid="{00000000-0005-0000-0000-0000F8070000}"/>
    <cellStyle name="Corpo 2 30" xfId="829" xr:uid="{00000000-0005-0000-0000-0000F9070000}"/>
    <cellStyle name="Corpo 2 31" xfId="830" xr:uid="{00000000-0005-0000-0000-0000FA070000}"/>
    <cellStyle name="Corpo 2 32" xfId="831" xr:uid="{00000000-0005-0000-0000-0000FB070000}"/>
    <cellStyle name="Corpo 2 33" xfId="832" xr:uid="{00000000-0005-0000-0000-0000FC070000}"/>
    <cellStyle name="Corpo 2 34" xfId="833" xr:uid="{00000000-0005-0000-0000-0000FD070000}"/>
    <cellStyle name="Corpo 2 35" xfId="834" xr:uid="{00000000-0005-0000-0000-0000FE070000}"/>
    <cellStyle name="Corpo 2 36" xfId="835" xr:uid="{00000000-0005-0000-0000-0000FF070000}"/>
    <cellStyle name="Corpo 2 37" xfId="836" xr:uid="{00000000-0005-0000-0000-000000080000}"/>
    <cellStyle name="Corpo 2 38" xfId="837" xr:uid="{00000000-0005-0000-0000-000001080000}"/>
    <cellStyle name="Corpo 2 39" xfId="838" xr:uid="{00000000-0005-0000-0000-000002080000}"/>
    <cellStyle name="Corpo 2 4" xfId="839" xr:uid="{00000000-0005-0000-0000-000003080000}"/>
    <cellStyle name="Corpo 2 40" xfId="840" xr:uid="{00000000-0005-0000-0000-000004080000}"/>
    <cellStyle name="Corpo 2 5" xfId="841" xr:uid="{00000000-0005-0000-0000-000005080000}"/>
    <cellStyle name="Corpo 2 6" xfId="842" xr:uid="{00000000-0005-0000-0000-000006080000}"/>
    <cellStyle name="Corpo 2 7" xfId="843" xr:uid="{00000000-0005-0000-0000-000007080000}"/>
    <cellStyle name="Corpo 2 8" xfId="844" xr:uid="{00000000-0005-0000-0000-000008080000}"/>
    <cellStyle name="Corpo 2 9" xfId="845" xr:uid="{00000000-0005-0000-0000-000009080000}"/>
    <cellStyle name="Corpo 20" xfId="846" xr:uid="{00000000-0005-0000-0000-00000A080000}"/>
    <cellStyle name="Corpo 21" xfId="847" xr:uid="{00000000-0005-0000-0000-00000B080000}"/>
    <cellStyle name="Corpo 22" xfId="848" xr:uid="{00000000-0005-0000-0000-00000C080000}"/>
    <cellStyle name="Corpo 23" xfId="849" xr:uid="{00000000-0005-0000-0000-00000D080000}"/>
    <cellStyle name="Corpo 24" xfId="850" xr:uid="{00000000-0005-0000-0000-00000E080000}"/>
    <cellStyle name="Corpo 25" xfId="851" xr:uid="{00000000-0005-0000-0000-00000F080000}"/>
    <cellStyle name="Corpo 26" xfId="852" xr:uid="{00000000-0005-0000-0000-000010080000}"/>
    <cellStyle name="Corpo 27" xfId="853" xr:uid="{00000000-0005-0000-0000-000011080000}"/>
    <cellStyle name="Corpo 28" xfId="854" xr:uid="{00000000-0005-0000-0000-000012080000}"/>
    <cellStyle name="Corpo 29" xfId="855" xr:uid="{00000000-0005-0000-0000-000013080000}"/>
    <cellStyle name="Corpo 3" xfId="856" xr:uid="{00000000-0005-0000-0000-000014080000}"/>
    <cellStyle name="Corpo 30" xfId="857" xr:uid="{00000000-0005-0000-0000-000015080000}"/>
    <cellStyle name="Corpo 31" xfId="858" xr:uid="{00000000-0005-0000-0000-000016080000}"/>
    <cellStyle name="Corpo 32" xfId="859" xr:uid="{00000000-0005-0000-0000-000017080000}"/>
    <cellStyle name="Corpo 33" xfId="860" xr:uid="{00000000-0005-0000-0000-000018080000}"/>
    <cellStyle name="Corpo 34" xfId="861" xr:uid="{00000000-0005-0000-0000-000019080000}"/>
    <cellStyle name="Corpo 35" xfId="862" xr:uid="{00000000-0005-0000-0000-00001A080000}"/>
    <cellStyle name="Corpo 36" xfId="863" xr:uid="{00000000-0005-0000-0000-00001B080000}"/>
    <cellStyle name="Corpo 37" xfId="864" xr:uid="{00000000-0005-0000-0000-00001C080000}"/>
    <cellStyle name="Corpo 38" xfId="865" xr:uid="{00000000-0005-0000-0000-00001D080000}"/>
    <cellStyle name="Corpo 39" xfId="866" xr:uid="{00000000-0005-0000-0000-00001E080000}"/>
    <cellStyle name="Corpo 4" xfId="867" xr:uid="{00000000-0005-0000-0000-00001F080000}"/>
    <cellStyle name="Corpo 40" xfId="868" xr:uid="{00000000-0005-0000-0000-000020080000}"/>
    <cellStyle name="Corpo 41" xfId="869" xr:uid="{00000000-0005-0000-0000-000021080000}"/>
    <cellStyle name="Corpo 5" xfId="870" xr:uid="{00000000-0005-0000-0000-000022080000}"/>
    <cellStyle name="Corpo 6" xfId="871" xr:uid="{00000000-0005-0000-0000-000023080000}"/>
    <cellStyle name="Corpo 7" xfId="872" xr:uid="{00000000-0005-0000-0000-000024080000}"/>
    <cellStyle name="Corpo 8" xfId="873" xr:uid="{00000000-0005-0000-0000-000025080000}"/>
    <cellStyle name="Corpo 9" xfId="874" xr:uid="{00000000-0005-0000-0000-000026080000}"/>
    <cellStyle name="Corpo_Consolidado Angola_Mineração_SDM" xfId="875" xr:uid="{00000000-0005-0000-0000-000027080000}"/>
    <cellStyle name="Cover Date" xfId="5006" xr:uid="{00000000-0005-0000-0000-000028080000}"/>
    <cellStyle name="Cover Subtitle" xfId="5007" xr:uid="{00000000-0005-0000-0000-000029080000}"/>
    <cellStyle name="Cover Title" xfId="5008" xr:uid="{00000000-0005-0000-0000-00002A080000}"/>
    <cellStyle name="Currency" xfId="876" xr:uid="{00000000-0005-0000-0000-00002B080000}"/>
    <cellStyle name="Currency [0]" xfId="877" xr:uid="{00000000-0005-0000-0000-00002C080000}"/>
    <cellStyle name="Currency [0] 10" xfId="878" xr:uid="{00000000-0005-0000-0000-00002D080000}"/>
    <cellStyle name="Currency [0] 11" xfId="879" xr:uid="{00000000-0005-0000-0000-00002E080000}"/>
    <cellStyle name="Currency [0] 12" xfId="880" xr:uid="{00000000-0005-0000-0000-00002F080000}"/>
    <cellStyle name="Currency [0] 13" xfId="881" xr:uid="{00000000-0005-0000-0000-000030080000}"/>
    <cellStyle name="Currency [0] 14" xfId="882" xr:uid="{00000000-0005-0000-0000-000031080000}"/>
    <cellStyle name="Currency [0] 15" xfId="883" xr:uid="{00000000-0005-0000-0000-000032080000}"/>
    <cellStyle name="Currency [0] 16" xfId="884" xr:uid="{00000000-0005-0000-0000-000033080000}"/>
    <cellStyle name="Currency [0] 17" xfId="885" xr:uid="{00000000-0005-0000-0000-000034080000}"/>
    <cellStyle name="Currency [0] 18" xfId="886" xr:uid="{00000000-0005-0000-0000-000035080000}"/>
    <cellStyle name="Currency [0] 19" xfId="887" xr:uid="{00000000-0005-0000-0000-000036080000}"/>
    <cellStyle name="Currency [0] 2" xfId="888" xr:uid="{00000000-0005-0000-0000-000037080000}"/>
    <cellStyle name="Currency [0] 20" xfId="889" xr:uid="{00000000-0005-0000-0000-000038080000}"/>
    <cellStyle name="Currency [0] 21" xfId="890" xr:uid="{00000000-0005-0000-0000-000039080000}"/>
    <cellStyle name="Currency [0] 22" xfId="891" xr:uid="{00000000-0005-0000-0000-00003A080000}"/>
    <cellStyle name="Currency [0] 23" xfId="892" xr:uid="{00000000-0005-0000-0000-00003B080000}"/>
    <cellStyle name="Currency [0] 24" xfId="893" xr:uid="{00000000-0005-0000-0000-00003C080000}"/>
    <cellStyle name="Currency [0] 25" xfId="894" xr:uid="{00000000-0005-0000-0000-00003D080000}"/>
    <cellStyle name="Currency [0] 26" xfId="895" xr:uid="{00000000-0005-0000-0000-00003E080000}"/>
    <cellStyle name="Currency [0] 27" xfId="896" xr:uid="{00000000-0005-0000-0000-00003F080000}"/>
    <cellStyle name="Currency [0] 28" xfId="897" xr:uid="{00000000-0005-0000-0000-000040080000}"/>
    <cellStyle name="Currency [0] 29" xfId="898" xr:uid="{00000000-0005-0000-0000-000041080000}"/>
    <cellStyle name="Currency [0] 3" xfId="899" xr:uid="{00000000-0005-0000-0000-000042080000}"/>
    <cellStyle name="Currency [0] 30" xfId="900" xr:uid="{00000000-0005-0000-0000-000043080000}"/>
    <cellStyle name="Currency [0] 31" xfId="901" xr:uid="{00000000-0005-0000-0000-000044080000}"/>
    <cellStyle name="Currency [0] 32" xfId="902" xr:uid="{00000000-0005-0000-0000-000045080000}"/>
    <cellStyle name="Currency [0] 33" xfId="903" xr:uid="{00000000-0005-0000-0000-000046080000}"/>
    <cellStyle name="Currency [0] 34" xfId="904" xr:uid="{00000000-0005-0000-0000-000047080000}"/>
    <cellStyle name="Currency [0] 35" xfId="905" xr:uid="{00000000-0005-0000-0000-000048080000}"/>
    <cellStyle name="Currency [0] 36" xfId="906" xr:uid="{00000000-0005-0000-0000-000049080000}"/>
    <cellStyle name="Currency [0] 37" xfId="907" xr:uid="{00000000-0005-0000-0000-00004A080000}"/>
    <cellStyle name="Currency [0] 38" xfId="908" xr:uid="{00000000-0005-0000-0000-00004B080000}"/>
    <cellStyle name="Currency [0] 39" xfId="909" xr:uid="{00000000-0005-0000-0000-00004C080000}"/>
    <cellStyle name="Currency [0] 4" xfId="910" xr:uid="{00000000-0005-0000-0000-00004D080000}"/>
    <cellStyle name="Currency [0] 40" xfId="911" xr:uid="{00000000-0005-0000-0000-00004E080000}"/>
    <cellStyle name="Currency [0] 5" xfId="912" xr:uid="{00000000-0005-0000-0000-00004F080000}"/>
    <cellStyle name="Currency [0] 6" xfId="913" xr:uid="{00000000-0005-0000-0000-000050080000}"/>
    <cellStyle name="Currency [0] 7" xfId="914" xr:uid="{00000000-0005-0000-0000-000051080000}"/>
    <cellStyle name="Currency [0] 8" xfId="915" xr:uid="{00000000-0005-0000-0000-000052080000}"/>
    <cellStyle name="Currency [0] 9" xfId="916" xr:uid="{00000000-0005-0000-0000-000053080000}"/>
    <cellStyle name="Currency [00]" xfId="5009" xr:uid="{00000000-0005-0000-0000-000054080000}"/>
    <cellStyle name="Currency [1]" xfId="917" xr:uid="{00000000-0005-0000-0000-000055080000}"/>
    <cellStyle name="Currency [1] 2" xfId="12257" xr:uid="{00000000-0005-0000-0000-000056080000}"/>
    <cellStyle name="Currency [2]" xfId="918" xr:uid="{00000000-0005-0000-0000-000057080000}"/>
    <cellStyle name="Currency [2] 2" xfId="12258" xr:uid="{00000000-0005-0000-0000-000058080000}"/>
    <cellStyle name="Currency 0" xfId="5010" xr:uid="{00000000-0005-0000-0000-000059080000}"/>
    <cellStyle name="Currency 2" xfId="5011" xr:uid="{00000000-0005-0000-0000-00005A080000}"/>
    <cellStyle name="Currency 3*" xfId="5012" xr:uid="{00000000-0005-0000-0000-00005B080000}"/>
    <cellStyle name="Currency0" xfId="919" xr:uid="{00000000-0005-0000-0000-00005C080000}"/>
    <cellStyle name="Currency0 2" xfId="920" xr:uid="{00000000-0005-0000-0000-00005D080000}"/>
    <cellStyle name="Currency0 3" xfId="5013" xr:uid="{00000000-0005-0000-0000-00005E080000}"/>
    <cellStyle name="Currency0 4" xfId="12259" xr:uid="{00000000-0005-0000-0000-00005F080000}"/>
    <cellStyle name="Cur㟲ency_DemFin Cesp 99 0600 Legis_OPPV28" xfId="921" xr:uid="{00000000-0005-0000-0000-000060080000}"/>
    <cellStyle name="Dash" xfId="922" xr:uid="{00000000-0005-0000-0000-000061080000}"/>
    <cellStyle name="Data" xfId="923" xr:uid="{00000000-0005-0000-0000-000062080000}"/>
    <cellStyle name="Data 10" xfId="924" xr:uid="{00000000-0005-0000-0000-000063080000}"/>
    <cellStyle name="Data 11" xfId="925" xr:uid="{00000000-0005-0000-0000-000064080000}"/>
    <cellStyle name="Data 12" xfId="926" xr:uid="{00000000-0005-0000-0000-000065080000}"/>
    <cellStyle name="Data 13" xfId="927" xr:uid="{00000000-0005-0000-0000-000066080000}"/>
    <cellStyle name="Data 14" xfId="928" xr:uid="{00000000-0005-0000-0000-000067080000}"/>
    <cellStyle name="Data 15" xfId="929" xr:uid="{00000000-0005-0000-0000-000068080000}"/>
    <cellStyle name="Data 16" xfId="930" xr:uid="{00000000-0005-0000-0000-000069080000}"/>
    <cellStyle name="Data 17" xfId="931" xr:uid="{00000000-0005-0000-0000-00006A080000}"/>
    <cellStyle name="Data 18" xfId="932" xr:uid="{00000000-0005-0000-0000-00006B080000}"/>
    <cellStyle name="Data 19" xfId="933" xr:uid="{00000000-0005-0000-0000-00006C080000}"/>
    <cellStyle name="Data 2" xfId="934" xr:uid="{00000000-0005-0000-0000-00006D080000}"/>
    <cellStyle name="Data 20" xfId="935" xr:uid="{00000000-0005-0000-0000-00006E080000}"/>
    <cellStyle name="Data 21" xfId="936" xr:uid="{00000000-0005-0000-0000-00006F080000}"/>
    <cellStyle name="Data 22" xfId="937" xr:uid="{00000000-0005-0000-0000-000070080000}"/>
    <cellStyle name="Data 23" xfId="938" xr:uid="{00000000-0005-0000-0000-000071080000}"/>
    <cellStyle name="Data 24" xfId="939" xr:uid="{00000000-0005-0000-0000-000072080000}"/>
    <cellStyle name="Data 25" xfId="940" xr:uid="{00000000-0005-0000-0000-000073080000}"/>
    <cellStyle name="Data 26" xfId="941" xr:uid="{00000000-0005-0000-0000-000074080000}"/>
    <cellStyle name="Data 27" xfId="942" xr:uid="{00000000-0005-0000-0000-000075080000}"/>
    <cellStyle name="Data 28" xfId="943" xr:uid="{00000000-0005-0000-0000-000076080000}"/>
    <cellStyle name="Data 29" xfId="944" xr:uid="{00000000-0005-0000-0000-000077080000}"/>
    <cellStyle name="Data 3" xfId="945" xr:uid="{00000000-0005-0000-0000-000078080000}"/>
    <cellStyle name="Data 30" xfId="946" xr:uid="{00000000-0005-0000-0000-000079080000}"/>
    <cellStyle name="Data 31" xfId="947" xr:uid="{00000000-0005-0000-0000-00007A080000}"/>
    <cellStyle name="Data 32" xfId="948" xr:uid="{00000000-0005-0000-0000-00007B080000}"/>
    <cellStyle name="Data 33" xfId="949" xr:uid="{00000000-0005-0000-0000-00007C080000}"/>
    <cellStyle name="Data 34" xfId="950" xr:uid="{00000000-0005-0000-0000-00007D080000}"/>
    <cellStyle name="Data 35" xfId="951" xr:uid="{00000000-0005-0000-0000-00007E080000}"/>
    <cellStyle name="Data 36" xfId="952" xr:uid="{00000000-0005-0000-0000-00007F080000}"/>
    <cellStyle name="Data 37" xfId="953" xr:uid="{00000000-0005-0000-0000-000080080000}"/>
    <cellStyle name="Data 38" xfId="954" xr:uid="{00000000-0005-0000-0000-000081080000}"/>
    <cellStyle name="Data 39" xfId="955" xr:uid="{00000000-0005-0000-0000-000082080000}"/>
    <cellStyle name="Data 4" xfId="956" xr:uid="{00000000-0005-0000-0000-000083080000}"/>
    <cellStyle name="Data 40" xfId="957" xr:uid="{00000000-0005-0000-0000-000084080000}"/>
    <cellStyle name="Data 41" xfId="5014" xr:uid="{00000000-0005-0000-0000-000085080000}"/>
    <cellStyle name="Data 5" xfId="958" xr:uid="{00000000-0005-0000-0000-000086080000}"/>
    <cellStyle name="Data 6" xfId="959" xr:uid="{00000000-0005-0000-0000-000087080000}"/>
    <cellStyle name="Data 7" xfId="960" xr:uid="{00000000-0005-0000-0000-000088080000}"/>
    <cellStyle name="Data 8" xfId="961" xr:uid="{00000000-0005-0000-0000-000089080000}"/>
    <cellStyle name="Data 9" xfId="962" xr:uid="{00000000-0005-0000-0000-00008A080000}"/>
    <cellStyle name="Date" xfId="963" xr:uid="{00000000-0005-0000-0000-00008B080000}"/>
    <cellStyle name="Date [d-mmm-yy]" xfId="964" xr:uid="{00000000-0005-0000-0000-00008C080000}"/>
    <cellStyle name="Date [mm-d-yy]" xfId="965" xr:uid="{00000000-0005-0000-0000-00008D080000}"/>
    <cellStyle name="Date [mm-d-yyyy]" xfId="966" xr:uid="{00000000-0005-0000-0000-00008E080000}"/>
    <cellStyle name="Date [mmm-d-yyyy]" xfId="967" xr:uid="{00000000-0005-0000-0000-00008F080000}"/>
    <cellStyle name="Date [mmm-yy]" xfId="968" xr:uid="{00000000-0005-0000-0000-000090080000}"/>
    <cellStyle name="Date [mmm-yyyy]" xfId="969" xr:uid="{00000000-0005-0000-0000-000091080000}"/>
    <cellStyle name="Date [mmm-yyyy] 2" xfId="970" xr:uid="{00000000-0005-0000-0000-000092080000}"/>
    <cellStyle name="Date [mmm-yyyy] 2 2" xfId="7437" xr:uid="{00000000-0005-0000-0000-000093080000}"/>
    <cellStyle name="Date [mmm-yyyy] 3" xfId="7436" xr:uid="{00000000-0005-0000-0000-000094080000}"/>
    <cellStyle name="Date 10" xfId="971" xr:uid="{00000000-0005-0000-0000-000095080000}"/>
    <cellStyle name="Date 11" xfId="972" xr:uid="{00000000-0005-0000-0000-000096080000}"/>
    <cellStyle name="Date 12" xfId="973" xr:uid="{00000000-0005-0000-0000-000097080000}"/>
    <cellStyle name="Date 13" xfId="974" xr:uid="{00000000-0005-0000-0000-000098080000}"/>
    <cellStyle name="Date 14" xfId="975" xr:uid="{00000000-0005-0000-0000-000099080000}"/>
    <cellStyle name="Date 15" xfId="976" xr:uid="{00000000-0005-0000-0000-00009A080000}"/>
    <cellStyle name="Date 16" xfId="977" xr:uid="{00000000-0005-0000-0000-00009B080000}"/>
    <cellStyle name="Date 17" xfId="978" xr:uid="{00000000-0005-0000-0000-00009C080000}"/>
    <cellStyle name="Date 18" xfId="5015" xr:uid="{00000000-0005-0000-0000-00009D080000}"/>
    <cellStyle name="Date 19" xfId="7398" xr:uid="{00000000-0005-0000-0000-00009E080000}"/>
    <cellStyle name="Date 2" xfId="979" xr:uid="{00000000-0005-0000-0000-00009F080000}"/>
    <cellStyle name="Date 20" xfId="7406" xr:uid="{00000000-0005-0000-0000-0000A0080000}"/>
    <cellStyle name="Date 21" xfId="7401" xr:uid="{00000000-0005-0000-0000-0000A1080000}"/>
    <cellStyle name="Date 22" xfId="7402" xr:uid="{00000000-0005-0000-0000-0000A2080000}"/>
    <cellStyle name="Date 3" xfId="980" xr:uid="{00000000-0005-0000-0000-0000A3080000}"/>
    <cellStyle name="Date 4" xfId="981" xr:uid="{00000000-0005-0000-0000-0000A4080000}"/>
    <cellStyle name="Date 5" xfId="982" xr:uid="{00000000-0005-0000-0000-0000A5080000}"/>
    <cellStyle name="Date 6" xfId="983" xr:uid="{00000000-0005-0000-0000-0000A6080000}"/>
    <cellStyle name="Date 7" xfId="984" xr:uid="{00000000-0005-0000-0000-0000A7080000}"/>
    <cellStyle name="Date 8" xfId="985" xr:uid="{00000000-0005-0000-0000-0000A8080000}"/>
    <cellStyle name="Date 9" xfId="986" xr:uid="{00000000-0005-0000-0000-0000A9080000}"/>
    <cellStyle name="Date Aligned" xfId="5016" xr:uid="{00000000-0005-0000-0000-0000AA080000}"/>
    <cellStyle name="Date Short" xfId="5017" xr:uid="{00000000-0005-0000-0000-0000AB080000}"/>
    <cellStyle name="Date, mmm-yy" xfId="5018" xr:uid="{00000000-0005-0000-0000-0000AC080000}"/>
    <cellStyle name="Date_Valuation Negocio PET_ posCE18_04_06" xfId="987" xr:uid="{00000000-0005-0000-0000-0000AD080000}"/>
    <cellStyle name="Date2" xfId="988" xr:uid="{00000000-0005-0000-0000-0000AE080000}"/>
    <cellStyle name="Date2h" xfId="989" xr:uid="{00000000-0005-0000-0000-0000AF080000}"/>
    <cellStyle name="DateLong" xfId="990" xr:uid="{00000000-0005-0000-0000-0000B0080000}"/>
    <cellStyle name="DateShort" xfId="991" xr:uid="{00000000-0005-0000-0000-0000B1080000}"/>
    <cellStyle name="Dezimal [0]_Anlagenbuchhaltung" xfId="992" xr:uid="{00000000-0005-0000-0000-0000B2080000}"/>
    <cellStyle name="Dezimal_Anlagenbuchhaltung" xfId="993" xr:uid="{00000000-0005-0000-0000-0000B3080000}"/>
    <cellStyle name="dollars" xfId="994" xr:uid="{00000000-0005-0000-0000-0000B4080000}"/>
    <cellStyle name="dollars 2" xfId="12260" xr:uid="{00000000-0005-0000-0000-0000B5080000}"/>
    <cellStyle name="Dotted Line" xfId="5019" xr:uid="{00000000-0005-0000-0000-0000B6080000}"/>
    <cellStyle name="Encabezado 2" xfId="5020" xr:uid="{00000000-0005-0000-0000-0000B7080000}"/>
    <cellStyle name="Encabezado 4" xfId="995" xr:uid="{00000000-0005-0000-0000-0000B8080000}"/>
    <cellStyle name="Ênfase1" xfId="49" xr:uid="{00000000-0005-0000-0000-0000B9080000}"/>
    <cellStyle name="Ênfase1 10" xfId="5539" xr:uid="{00000000-0005-0000-0000-0000BA080000}"/>
    <cellStyle name="Ênfase1 11" xfId="5556" xr:uid="{00000000-0005-0000-0000-0000BB080000}"/>
    <cellStyle name="Ênfase1 12" xfId="5532" xr:uid="{00000000-0005-0000-0000-0000BC080000}"/>
    <cellStyle name="Ênfase1 13" xfId="5563" xr:uid="{00000000-0005-0000-0000-0000BD080000}"/>
    <cellStyle name="Ênfase1 14" xfId="5525" xr:uid="{00000000-0005-0000-0000-0000BE080000}"/>
    <cellStyle name="Ênfase1 15" xfId="5711" xr:uid="{00000000-0005-0000-0000-0000BF080000}"/>
    <cellStyle name="Ênfase1 16" xfId="5725" xr:uid="{00000000-0005-0000-0000-0000C0080000}"/>
    <cellStyle name="Ênfase1 17" xfId="5783" xr:uid="{00000000-0005-0000-0000-0000C1080000}"/>
    <cellStyle name="Ênfase1 2" xfId="5021" xr:uid="{00000000-0005-0000-0000-0000C2080000}"/>
    <cellStyle name="Ênfase1 2 2" xfId="6604" xr:uid="{00000000-0005-0000-0000-0000C3080000}"/>
    <cellStyle name="Ênfase1 2 2 2" xfId="6605" xr:uid="{00000000-0005-0000-0000-0000C4080000}"/>
    <cellStyle name="Ênfase1 2 2 2 2" xfId="6606" xr:uid="{00000000-0005-0000-0000-0000C5080000}"/>
    <cellStyle name="Ênfase1 2 2 2 2 2" xfId="6607" xr:uid="{00000000-0005-0000-0000-0000C6080000}"/>
    <cellStyle name="Ênfase1 2 2 2 2 2 2" xfId="6608" xr:uid="{00000000-0005-0000-0000-0000C7080000}"/>
    <cellStyle name="Ênfase1 2 2 2 2 2 2 2" xfId="6609" xr:uid="{00000000-0005-0000-0000-0000C8080000}"/>
    <cellStyle name="Ênfase1 2 2 2 2 2 2 2 2" xfId="6610" xr:uid="{00000000-0005-0000-0000-0000C9080000}"/>
    <cellStyle name="Ênfase1 2 2 2 2 2 2 3" xfId="6611" xr:uid="{00000000-0005-0000-0000-0000CA080000}"/>
    <cellStyle name="Ênfase1 2 2 2 2 2 3" xfId="6612" xr:uid="{00000000-0005-0000-0000-0000CB080000}"/>
    <cellStyle name="Ênfase1 2 2 2 2 2 3 2" xfId="6613" xr:uid="{00000000-0005-0000-0000-0000CC080000}"/>
    <cellStyle name="Ênfase1 2 2 2 2 3" xfId="6614" xr:uid="{00000000-0005-0000-0000-0000CD080000}"/>
    <cellStyle name="Ênfase1 2 2 2 2 3 2" xfId="6615" xr:uid="{00000000-0005-0000-0000-0000CE080000}"/>
    <cellStyle name="Ênfase1 2 2 2 3" xfId="6616" xr:uid="{00000000-0005-0000-0000-0000CF080000}"/>
    <cellStyle name="Ênfase1 2 2 2 4" xfId="6617" xr:uid="{00000000-0005-0000-0000-0000D0080000}"/>
    <cellStyle name="Ênfase1 2 2 2 4 2" xfId="6618" xr:uid="{00000000-0005-0000-0000-0000D1080000}"/>
    <cellStyle name="Ênfase1 2 2 3" xfId="6619" xr:uid="{00000000-0005-0000-0000-0000D2080000}"/>
    <cellStyle name="Ênfase1 2 2 4" xfId="6620" xr:uid="{00000000-0005-0000-0000-0000D3080000}"/>
    <cellStyle name="Ênfase1 2 2 4 2" xfId="6621" xr:uid="{00000000-0005-0000-0000-0000D4080000}"/>
    <cellStyle name="Ênfase1 2 3" xfId="6622" xr:uid="{00000000-0005-0000-0000-0000D5080000}"/>
    <cellStyle name="Ênfase1 2 4" xfId="6623" xr:uid="{00000000-0005-0000-0000-0000D6080000}"/>
    <cellStyle name="Ênfase1 2 5" xfId="6624" xr:uid="{00000000-0005-0000-0000-0000D7080000}"/>
    <cellStyle name="Ênfase1 2 6" xfId="6625" xr:uid="{00000000-0005-0000-0000-0000D8080000}"/>
    <cellStyle name="Ênfase1 2 6 2" xfId="6626" xr:uid="{00000000-0005-0000-0000-0000D9080000}"/>
    <cellStyle name="Ênfase1 2 7" xfId="6603" xr:uid="{00000000-0005-0000-0000-0000DA080000}"/>
    <cellStyle name="Ênfase1 3" xfId="5264" xr:uid="{00000000-0005-0000-0000-0000DB080000}"/>
    <cellStyle name="Ênfase1 3 2" xfId="6628" xr:uid="{00000000-0005-0000-0000-0000DC080000}"/>
    <cellStyle name="Ênfase1 3 3" xfId="6629" xr:uid="{00000000-0005-0000-0000-0000DD080000}"/>
    <cellStyle name="Ênfase1 3 4" xfId="6630" xr:uid="{00000000-0005-0000-0000-0000DE080000}"/>
    <cellStyle name="Ênfase1 3 5" xfId="6627" xr:uid="{00000000-0005-0000-0000-0000DF080000}"/>
    <cellStyle name="Ênfase1 4" xfId="5283" xr:uid="{00000000-0005-0000-0000-0000E0080000}"/>
    <cellStyle name="Ênfase1 4 2" xfId="6632" xr:uid="{00000000-0005-0000-0000-0000E1080000}"/>
    <cellStyle name="Ênfase1 4 3" xfId="6633" xr:uid="{00000000-0005-0000-0000-0000E2080000}"/>
    <cellStyle name="Ênfase1 4 4" xfId="6631" xr:uid="{00000000-0005-0000-0000-0000E3080000}"/>
    <cellStyle name="Ênfase1 5" xfId="5257" xr:uid="{00000000-0005-0000-0000-0000E4080000}"/>
    <cellStyle name="Ênfase1 5 2" xfId="6635" xr:uid="{00000000-0005-0000-0000-0000E5080000}"/>
    <cellStyle name="Ênfase1 5 3" xfId="6634" xr:uid="{00000000-0005-0000-0000-0000E6080000}"/>
    <cellStyle name="Ênfase1 6" xfId="5290" xr:uid="{00000000-0005-0000-0000-0000E7080000}"/>
    <cellStyle name="Ênfase1 6 2" xfId="6637" xr:uid="{00000000-0005-0000-0000-0000E8080000}"/>
    <cellStyle name="Ênfase1 6 3" xfId="7349" xr:uid="{00000000-0005-0000-0000-0000E9080000}"/>
    <cellStyle name="Ênfase1 6 4" xfId="6636" xr:uid="{00000000-0005-0000-0000-0000EA080000}"/>
    <cellStyle name="Ênfase1 7" xfId="5250" xr:uid="{00000000-0005-0000-0000-0000EB080000}"/>
    <cellStyle name="Ênfase1 7 2" xfId="7350" xr:uid="{00000000-0005-0000-0000-0000EC080000}"/>
    <cellStyle name="Ênfase1 7 3" xfId="6638" xr:uid="{00000000-0005-0000-0000-0000ED080000}"/>
    <cellStyle name="Ênfase1 8" xfId="5298" xr:uid="{00000000-0005-0000-0000-0000EE080000}"/>
    <cellStyle name="Ênfase1 9" xfId="5242" xr:uid="{00000000-0005-0000-0000-0000EF080000}"/>
    <cellStyle name="Ênfase2" xfId="50" xr:uid="{00000000-0005-0000-0000-0000F0080000}"/>
    <cellStyle name="Ênfase2 10" xfId="5540" xr:uid="{00000000-0005-0000-0000-0000F1080000}"/>
    <cellStyle name="Ênfase2 11" xfId="5555" xr:uid="{00000000-0005-0000-0000-0000F2080000}"/>
    <cellStyle name="Ênfase2 12" xfId="5533" xr:uid="{00000000-0005-0000-0000-0000F3080000}"/>
    <cellStyle name="Ênfase2 13" xfId="5562" xr:uid="{00000000-0005-0000-0000-0000F4080000}"/>
    <cellStyle name="Ênfase2 14" xfId="5526" xr:uid="{00000000-0005-0000-0000-0000F5080000}"/>
    <cellStyle name="Ênfase2 15" xfId="5712" xr:uid="{00000000-0005-0000-0000-0000F6080000}"/>
    <cellStyle name="Ênfase2 16" xfId="5724" xr:uid="{00000000-0005-0000-0000-0000F7080000}"/>
    <cellStyle name="Ênfase2 17" xfId="5787" xr:uid="{00000000-0005-0000-0000-0000F8080000}"/>
    <cellStyle name="Ênfase2 2" xfId="5022" xr:uid="{00000000-0005-0000-0000-0000F9080000}"/>
    <cellStyle name="Ênfase2 2 2" xfId="6640" xr:uid="{00000000-0005-0000-0000-0000FA080000}"/>
    <cellStyle name="Ênfase2 2 2 2" xfId="6641" xr:uid="{00000000-0005-0000-0000-0000FB080000}"/>
    <cellStyle name="Ênfase2 2 2 2 2" xfId="6642" xr:uid="{00000000-0005-0000-0000-0000FC080000}"/>
    <cellStyle name="Ênfase2 2 2 2 2 2" xfId="6643" xr:uid="{00000000-0005-0000-0000-0000FD080000}"/>
    <cellStyle name="Ênfase2 2 2 2 2 2 2" xfId="6644" xr:uid="{00000000-0005-0000-0000-0000FE080000}"/>
    <cellStyle name="Ênfase2 2 2 2 2 2 2 2" xfId="6645" xr:uid="{00000000-0005-0000-0000-0000FF080000}"/>
    <cellStyle name="Ênfase2 2 2 2 2 2 2 2 2" xfId="6646" xr:uid="{00000000-0005-0000-0000-000000090000}"/>
    <cellStyle name="Ênfase2 2 2 2 2 2 2 3" xfId="6647" xr:uid="{00000000-0005-0000-0000-000001090000}"/>
    <cellStyle name="Ênfase2 2 2 2 2 2 3" xfId="6648" xr:uid="{00000000-0005-0000-0000-000002090000}"/>
    <cellStyle name="Ênfase2 2 2 2 2 2 3 2" xfId="6649" xr:uid="{00000000-0005-0000-0000-000003090000}"/>
    <cellStyle name="Ênfase2 2 2 2 2 3" xfId="6650" xr:uid="{00000000-0005-0000-0000-000004090000}"/>
    <cellStyle name="Ênfase2 2 2 2 2 3 2" xfId="6651" xr:uid="{00000000-0005-0000-0000-000005090000}"/>
    <cellStyle name="Ênfase2 2 2 2 3" xfId="6652" xr:uid="{00000000-0005-0000-0000-000006090000}"/>
    <cellStyle name="Ênfase2 2 2 2 4" xfId="6653" xr:uid="{00000000-0005-0000-0000-000007090000}"/>
    <cellStyle name="Ênfase2 2 2 2 4 2" xfId="6654" xr:uid="{00000000-0005-0000-0000-000008090000}"/>
    <cellStyle name="Ênfase2 2 2 3" xfId="6655" xr:uid="{00000000-0005-0000-0000-000009090000}"/>
    <cellStyle name="Ênfase2 2 2 4" xfId="6656" xr:uid="{00000000-0005-0000-0000-00000A090000}"/>
    <cellStyle name="Ênfase2 2 2 4 2" xfId="6657" xr:uid="{00000000-0005-0000-0000-00000B090000}"/>
    <cellStyle name="Ênfase2 2 3" xfId="6658" xr:uid="{00000000-0005-0000-0000-00000C090000}"/>
    <cellStyle name="Ênfase2 2 4" xfId="6659" xr:uid="{00000000-0005-0000-0000-00000D090000}"/>
    <cellStyle name="Ênfase2 2 5" xfId="6660" xr:uid="{00000000-0005-0000-0000-00000E090000}"/>
    <cellStyle name="Ênfase2 2 6" xfId="6661" xr:uid="{00000000-0005-0000-0000-00000F090000}"/>
    <cellStyle name="Ênfase2 2 6 2" xfId="6662" xr:uid="{00000000-0005-0000-0000-000010090000}"/>
    <cellStyle name="Ênfase2 2 7" xfId="6639" xr:uid="{00000000-0005-0000-0000-000011090000}"/>
    <cellStyle name="Ênfase2 3" xfId="5265" xr:uid="{00000000-0005-0000-0000-000012090000}"/>
    <cellStyle name="Ênfase2 3 2" xfId="6664" xr:uid="{00000000-0005-0000-0000-000013090000}"/>
    <cellStyle name="Ênfase2 3 3" xfId="6665" xr:uid="{00000000-0005-0000-0000-000014090000}"/>
    <cellStyle name="Ênfase2 3 4" xfId="6666" xr:uid="{00000000-0005-0000-0000-000015090000}"/>
    <cellStyle name="Ênfase2 3 5" xfId="6663" xr:uid="{00000000-0005-0000-0000-000016090000}"/>
    <cellStyle name="Ênfase2 4" xfId="5282" xr:uid="{00000000-0005-0000-0000-000017090000}"/>
    <cellStyle name="Ênfase2 4 2" xfId="6668" xr:uid="{00000000-0005-0000-0000-000018090000}"/>
    <cellStyle name="Ênfase2 4 3" xfId="6669" xr:uid="{00000000-0005-0000-0000-000019090000}"/>
    <cellStyle name="Ênfase2 4 4" xfId="6667" xr:uid="{00000000-0005-0000-0000-00001A090000}"/>
    <cellStyle name="Ênfase2 5" xfId="5258" xr:uid="{00000000-0005-0000-0000-00001B090000}"/>
    <cellStyle name="Ênfase2 5 2" xfId="6671" xr:uid="{00000000-0005-0000-0000-00001C090000}"/>
    <cellStyle name="Ênfase2 5 3" xfId="6670" xr:uid="{00000000-0005-0000-0000-00001D090000}"/>
    <cellStyle name="Ênfase2 6" xfId="5289" xr:uid="{00000000-0005-0000-0000-00001E090000}"/>
    <cellStyle name="Ênfase2 6 2" xfId="6673" xr:uid="{00000000-0005-0000-0000-00001F090000}"/>
    <cellStyle name="Ênfase2 6 3" xfId="7351" xr:uid="{00000000-0005-0000-0000-000020090000}"/>
    <cellStyle name="Ênfase2 6 4" xfId="6672" xr:uid="{00000000-0005-0000-0000-000021090000}"/>
    <cellStyle name="Ênfase2 7" xfId="5251" xr:uid="{00000000-0005-0000-0000-000022090000}"/>
    <cellStyle name="Ênfase2 7 2" xfId="7352" xr:uid="{00000000-0005-0000-0000-000023090000}"/>
    <cellStyle name="Ênfase2 7 3" xfId="6674" xr:uid="{00000000-0005-0000-0000-000024090000}"/>
    <cellStyle name="Ênfase2 8" xfId="5105" xr:uid="{00000000-0005-0000-0000-000025090000}"/>
    <cellStyle name="Ênfase2 9" xfId="5360" xr:uid="{00000000-0005-0000-0000-000026090000}"/>
    <cellStyle name="Ênfase3" xfId="51" xr:uid="{00000000-0005-0000-0000-000027090000}"/>
    <cellStyle name="Ênfase3 10" xfId="5541" xr:uid="{00000000-0005-0000-0000-000028090000}"/>
    <cellStyle name="Ênfase3 11" xfId="5553" xr:uid="{00000000-0005-0000-0000-000029090000}"/>
    <cellStyle name="Ênfase3 12" xfId="5534" xr:uid="{00000000-0005-0000-0000-00002A090000}"/>
    <cellStyle name="Ênfase3 13" xfId="5561" xr:uid="{00000000-0005-0000-0000-00002B090000}"/>
    <cellStyle name="Ênfase3 14" xfId="5527" xr:uid="{00000000-0005-0000-0000-00002C090000}"/>
    <cellStyle name="Ênfase3 15" xfId="5713" xr:uid="{00000000-0005-0000-0000-00002D090000}"/>
    <cellStyle name="Ênfase3 16" xfId="5722" xr:uid="{00000000-0005-0000-0000-00002E090000}"/>
    <cellStyle name="Ênfase3 17" xfId="5791" xr:uid="{00000000-0005-0000-0000-00002F090000}"/>
    <cellStyle name="Ênfase3 2" xfId="5023" xr:uid="{00000000-0005-0000-0000-000030090000}"/>
    <cellStyle name="Ênfase3 2 2" xfId="6676" xr:uid="{00000000-0005-0000-0000-000031090000}"/>
    <cellStyle name="Ênfase3 2 2 2" xfId="6677" xr:uid="{00000000-0005-0000-0000-000032090000}"/>
    <cellStyle name="Ênfase3 2 2 2 2" xfId="6678" xr:uid="{00000000-0005-0000-0000-000033090000}"/>
    <cellStyle name="Ênfase3 2 2 2 2 2" xfId="6679" xr:uid="{00000000-0005-0000-0000-000034090000}"/>
    <cellStyle name="Ênfase3 2 2 2 2 2 2" xfId="6680" xr:uid="{00000000-0005-0000-0000-000035090000}"/>
    <cellStyle name="Ênfase3 2 2 2 2 2 2 2" xfId="6681" xr:uid="{00000000-0005-0000-0000-000036090000}"/>
    <cellStyle name="Ênfase3 2 2 2 2 2 2 2 2" xfId="6682" xr:uid="{00000000-0005-0000-0000-000037090000}"/>
    <cellStyle name="Ênfase3 2 2 2 2 2 2 3" xfId="6683" xr:uid="{00000000-0005-0000-0000-000038090000}"/>
    <cellStyle name="Ênfase3 2 2 2 2 2 3" xfId="6684" xr:uid="{00000000-0005-0000-0000-000039090000}"/>
    <cellStyle name="Ênfase3 2 2 2 2 2 3 2" xfId="6685" xr:uid="{00000000-0005-0000-0000-00003A090000}"/>
    <cellStyle name="Ênfase3 2 2 2 2 3" xfId="6686" xr:uid="{00000000-0005-0000-0000-00003B090000}"/>
    <cellStyle name="Ênfase3 2 2 2 2 3 2" xfId="6687" xr:uid="{00000000-0005-0000-0000-00003C090000}"/>
    <cellStyle name="Ênfase3 2 2 2 3" xfId="6688" xr:uid="{00000000-0005-0000-0000-00003D090000}"/>
    <cellStyle name="Ênfase3 2 2 2 4" xfId="6689" xr:uid="{00000000-0005-0000-0000-00003E090000}"/>
    <cellStyle name="Ênfase3 2 2 2 4 2" xfId="6690" xr:uid="{00000000-0005-0000-0000-00003F090000}"/>
    <cellStyle name="Ênfase3 2 2 3" xfId="6691" xr:uid="{00000000-0005-0000-0000-000040090000}"/>
    <cellStyle name="Ênfase3 2 2 4" xfId="6692" xr:uid="{00000000-0005-0000-0000-000041090000}"/>
    <cellStyle name="Ênfase3 2 2 4 2" xfId="6693" xr:uid="{00000000-0005-0000-0000-000042090000}"/>
    <cellStyle name="Ênfase3 2 3" xfId="6694" xr:uid="{00000000-0005-0000-0000-000043090000}"/>
    <cellStyle name="Ênfase3 2 4" xfId="6695" xr:uid="{00000000-0005-0000-0000-000044090000}"/>
    <cellStyle name="Ênfase3 2 5" xfId="6696" xr:uid="{00000000-0005-0000-0000-000045090000}"/>
    <cellStyle name="Ênfase3 2 6" xfId="6697" xr:uid="{00000000-0005-0000-0000-000046090000}"/>
    <cellStyle name="Ênfase3 2 6 2" xfId="6698" xr:uid="{00000000-0005-0000-0000-000047090000}"/>
    <cellStyle name="Ênfase3 2 7" xfId="6675" xr:uid="{00000000-0005-0000-0000-000048090000}"/>
    <cellStyle name="Ênfase3 3" xfId="5266" xr:uid="{00000000-0005-0000-0000-000049090000}"/>
    <cellStyle name="Ênfase3 3 2" xfId="6700" xr:uid="{00000000-0005-0000-0000-00004A090000}"/>
    <cellStyle name="Ênfase3 3 3" xfId="6701" xr:uid="{00000000-0005-0000-0000-00004B090000}"/>
    <cellStyle name="Ênfase3 3 4" xfId="6702" xr:uid="{00000000-0005-0000-0000-00004C090000}"/>
    <cellStyle name="Ênfase3 3 5" xfId="6699" xr:uid="{00000000-0005-0000-0000-00004D090000}"/>
    <cellStyle name="Ênfase3 4" xfId="5281" xr:uid="{00000000-0005-0000-0000-00004E090000}"/>
    <cellStyle name="Ênfase3 4 2" xfId="6704" xr:uid="{00000000-0005-0000-0000-00004F090000}"/>
    <cellStyle name="Ênfase3 4 3" xfId="6705" xr:uid="{00000000-0005-0000-0000-000050090000}"/>
    <cellStyle name="Ênfase3 4 4" xfId="6703" xr:uid="{00000000-0005-0000-0000-000051090000}"/>
    <cellStyle name="Ênfase3 5" xfId="5259" xr:uid="{00000000-0005-0000-0000-000052090000}"/>
    <cellStyle name="Ênfase3 5 2" xfId="6707" xr:uid="{00000000-0005-0000-0000-000053090000}"/>
    <cellStyle name="Ênfase3 5 3" xfId="6706" xr:uid="{00000000-0005-0000-0000-000054090000}"/>
    <cellStyle name="Ênfase3 6" xfId="5288" xr:uid="{00000000-0005-0000-0000-000055090000}"/>
    <cellStyle name="Ênfase3 6 2" xfId="6709" xr:uid="{00000000-0005-0000-0000-000056090000}"/>
    <cellStyle name="Ênfase3 6 3" xfId="7353" xr:uid="{00000000-0005-0000-0000-000057090000}"/>
    <cellStyle name="Ênfase3 6 4" xfId="6708" xr:uid="{00000000-0005-0000-0000-000058090000}"/>
    <cellStyle name="Ênfase3 7" xfId="5252" xr:uid="{00000000-0005-0000-0000-000059090000}"/>
    <cellStyle name="Ênfase3 7 2" xfId="7354" xr:uid="{00000000-0005-0000-0000-00005A090000}"/>
    <cellStyle name="Ênfase3 7 3" xfId="6710" xr:uid="{00000000-0005-0000-0000-00005B090000}"/>
    <cellStyle name="Ênfase3 8" xfId="5297" xr:uid="{00000000-0005-0000-0000-00005C090000}"/>
    <cellStyle name="Ênfase3 9" xfId="5243" xr:uid="{00000000-0005-0000-0000-00005D090000}"/>
    <cellStyle name="Ênfase4" xfId="52" xr:uid="{00000000-0005-0000-0000-00005E090000}"/>
    <cellStyle name="Ênfase4 10" xfId="5542" xr:uid="{00000000-0005-0000-0000-00005F090000}"/>
    <cellStyle name="Ênfase4 11" xfId="5552" xr:uid="{00000000-0005-0000-0000-000060090000}"/>
    <cellStyle name="Ênfase4 12" xfId="5535" xr:uid="{00000000-0005-0000-0000-000061090000}"/>
    <cellStyle name="Ênfase4 13" xfId="5560" xr:uid="{00000000-0005-0000-0000-000062090000}"/>
    <cellStyle name="Ênfase4 14" xfId="5528" xr:uid="{00000000-0005-0000-0000-000063090000}"/>
    <cellStyle name="Ênfase4 15" xfId="5714" xr:uid="{00000000-0005-0000-0000-000064090000}"/>
    <cellStyle name="Ênfase4 16" xfId="5721" xr:uid="{00000000-0005-0000-0000-000065090000}"/>
    <cellStyle name="Ênfase4 17" xfId="5795" xr:uid="{00000000-0005-0000-0000-000066090000}"/>
    <cellStyle name="Ênfase4 2" xfId="5024" xr:uid="{00000000-0005-0000-0000-000067090000}"/>
    <cellStyle name="Ênfase4 2 2" xfId="6712" xr:uid="{00000000-0005-0000-0000-000068090000}"/>
    <cellStyle name="Ênfase4 2 2 2" xfId="6713" xr:uid="{00000000-0005-0000-0000-000069090000}"/>
    <cellStyle name="Ênfase4 2 2 2 2" xfId="6714" xr:uid="{00000000-0005-0000-0000-00006A090000}"/>
    <cellStyle name="Ênfase4 2 2 2 2 2" xfId="6715" xr:uid="{00000000-0005-0000-0000-00006B090000}"/>
    <cellStyle name="Ênfase4 2 2 2 2 2 2" xfId="6716" xr:uid="{00000000-0005-0000-0000-00006C090000}"/>
    <cellStyle name="Ênfase4 2 2 2 2 2 2 2" xfId="6717" xr:uid="{00000000-0005-0000-0000-00006D090000}"/>
    <cellStyle name="Ênfase4 2 2 2 2 2 2 2 2" xfId="6718" xr:uid="{00000000-0005-0000-0000-00006E090000}"/>
    <cellStyle name="Ênfase4 2 2 2 2 2 2 3" xfId="6719" xr:uid="{00000000-0005-0000-0000-00006F090000}"/>
    <cellStyle name="Ênfase4 2 2 2 2 2 3" xfId="6720" xr:uid="{00000000-0005-0000-0000-000070090000}"/>
    <cellStyle name="Ênfase4 2 2 2 2 2 3 2" xfId="6721" xr:uid="{00000000-0005-0000-0000-000071090000}"/>
    <cellStyle name="Ênfase4 2 2 2 2 3" xfId="6722" xr:uid="{00000000-0005-0000-0000-000072090000}"/>
    <cellStyle name="Ênfase4 2 2 2 2 3 2" xfId="6723" xr:uid="{00000000-0005-0000-0000-000073090000}"/>
    <cellStyle name="Ênfase4 2 2 2 3" xfId="6724" xr:uid="{00000000-0005-0000-0000-000074090000}"/>
    <cellStyle name="Ênfase4 2 2 2 4" xfId="6725" xr:uid="{00000000-0005-0000-0000-000075090000}"/>
    <cellStyle name="Ênfase4 2 2 2 4 2" xfId="6726" xr:uid="{00000000-0005-0000-0000-000076090000}"/>
    <cellStyle name="Ênfase4 2 2 3" xfId="6727" xr:uid="{00000000-0005-0000-0000-000077090000}"/>
    <cellStyle name="Ênfase4 2 2 4" xfId="6728" xr:uid="{00000000-0005-0000-0000-000078090000}"/>
    <cellStyle name="Ênfase4 2 2 4 2" xfId="6729" xr:uid="{00000000-0005-0000-0000-000079090000}"/>
    <cellStyle name="Ênfase4 2 3" xfId="6730" xr:uid="{00000000-0005-0000-0000-00007A090000}"/>
    <cellStyle name="Ênfase4 2 4" xfId="6731" xr:uid="{00000000-0005-0000-0000-00007B090000}"/>
    <cellStyle name="Ênfase4 2 5" xfId="6732" xr:uid="{00000000-0005-0000-0000-00007C090000}"/>
    <cellStyle name="Ênfase4 2 6" xfId="6733" xr:uid="{00000000-0005-0000-0000-00007D090000}"/>
    <cellStyle name="Ênfase4 2 6 2" xfId="6734" xr:uid="{00000000-0005-0000-0000-00007E090000}"/>
    <cellStyle name="Ênfase4 2 7" xfId="6711" xr:uid="{00000000-0005-0000-0000-00007F090000}"/>
    <cellStyle name="Ênfase4 3" xfId="5267" xr:uid="{00000000-0005-0000-0000-000080090000}"/>
    <cellStyle name="Ênfase4 3 2" xfId="6736" xr:uid="{00000000-0005-0000-0000-000081090000}"/>
    <cellStyle name="Ênfase4 3 3" xfId="6737" xr:uid="{00000000-0005-0000-0000-000082090000}"/>
    <cellStyle name="Ênfase4 3 4" xfId="6738" xr:uid="{00000000-0005-0000-0000-000083090000}"/>
    <cellStyle name="Ênfase4 3 5" xfId="6735" xr:uid="{00000000-0005-0000-0000-000084090000}"/>
    <cellStyle name="Ênfase4 4" xfId="5280" xr:uid="{00000000-0005-0000-0000-000085090000}"/>
    <cellStyle name="Ênfase4 4 2" xfId="6740" xr:uid="{00000000-0005-0000-0000-000086090000}"/>
    <cellStyle name="Ênfase4 4 3" xfId="6741" xr:uid="{00000000-0005-0000-0000-000087090000}"/>
    <cellStyle name="Ênfase4 4 4" xfId="6739" xr:uid="{00000000-0005-0000-0000-000088090000}"/>
    <cellStyle name="Ênfase4 5" xfId="5260" xr:uid="{00000000-0005-0000-0000-000089090000}"/>
    <cellStyle name="Ênfase4 5 2" xfId="6743" xr:uid="{00000000-0005-0000-0000-00008A090000}"/>
    <cellStyle name="Ênfase4 5 3" xfId="6742" xr:uid="{00000000-0005-0000-0000-00008B090000}"/>
    <cellStyle name="Ênfase4 6" xfId="5287" xr:uid="{00000000-0005-0000-0000-00008C090000}"/>
    <cellStyle name="Ênfase4 6 2" xfId="6745" xr:uid="{00000000-0005-0000-0000-00008D090000}"/>
    <cellStyle name="Ênfase4 6 3" xfId="7355" xr:uid="{00000000-0005-0000-0000-00008E090000}"/>
    <cellStyle name="Ênfase4 6 4" xfId="6744" xr:uid="{00000000-0005-0000-0000-00008F090000}"/>
    <cellStyle name="Ênfase4 7" xfId="5253" xr:uid="{00000000-0005-0000-0000-000090090000}"/>
    <cellStyle name="Ênfase4 7 2" xfId="7356" xr:uid="{00000000-0005-0000-0000-000091090000}"/>
    <cellStyle name="Ênfase4 7 3" xfId="6746" xr:uid="{00000000-0005-0000-0000-000092090000}"/>
    <cellStyle name="Ênfase4 8" xfId="5296" xr:uid="{00000000-0005-0000-0000-000093090000}"/>
    <cellStyle name="Ênfase4 9" xfId="5244" xr:uid="{00000000-0005-0000-0000-000094090000}"/>
    <cellStyle name="Ênfase5" xfId="53" xr:uid="{00000000-0005-0000-0000-000095090000}"/>
    <cellStyle name="Ênfase5 10" xfId="5543" xr:uid="{00000000-0005-0000-0000-000096090000}"/>
    <cellStyle name="Ênfase5 11" xfId="5551" xr:uid="{00000000-0005-0000-0000-000097090000}"/>
    <cellStyle name="Ênfase5 12" xfId="5536" xr:uid="{00000000-0005-0000-0000-000098090000}"/>
    <cellStyle name="Ênfase5 13" xfId="5559" xr:uid="{00000000-0005-0000-0000-000099090000}"/>
    <cellStyle name="Ênfase5 14" xfId="5529" xr:uid="{00000000-0005-0000-0000-00009A090000}"/>
    <cellStyle name="Ênfase5 15" xfId="5715" xr:uid="{00000000-0005-0000-0000-00009B090000}"/>
    <cellStyle name="Ênfase5 16" xfId="5720" xr:uid="{00000000-0005-0000-0000-00009C090000}"/>
    <cellStyle name="Ênfase5 17" xfId="5799" xr:uid="{00000000-0005-0000-0000-00009D090000}"/>
    <cellStyle name="Ênfase5 2" xfId="5025" xr:uid="{00000000-0005-0000-0000-00009E090000}"/>
    <cellStyle name="Ênfase5 2 2" xfId="6748" xr:uid="{00000000-0005-0000-0000-00009F090000}"/>
    <cellStyle name="Ênfase5 2 2 2" xfId="6749" xr:uid="{00000000-0005-0000-0000-0000A0090000}"/>
    <cellStyle name="Ênfase5 2 2 2 2" xfId="6750" xr:uid="{00000000-0005-0000-0000-0000A1090000}"/>
    <cellStyle name="Ênfase5 2 2 2 2 2" xfId="6751" xr:uid="{00000000-0005-0000-0000-0000A2090000}"/>
    <cellStyle name="Ênfase5 2 2 2 2 2 2" xfId="6752" xr:uid="{00000000-0005-0000-0000-0000A3090000}"/>
    <cellStyle name="Ênfase5 2 2 2 2 2 2 2" xfId="6753" xr:uid="{00000000-0005-0000-0000-0000A4090000}"/>
    <cellStyle name="Ênfase5 2 2 2 2 2 2 2 2" xfId="6754" xr:uid="{00000000-0005-0000-0000-0000A5090000}"/>
    <cellStyle name="Ênfase5 2 2 2 2 2 2 3" xfId="6755" xr:uid="{00000000-0005-0000-0000-0000A6090000}"/>
    <cellStyle name="Ênfase5 2 2 2 2 2 3" xfId="6756" xr:uid="{00000000-0005-0000-0000-0000A7090000}"/>
    <cellStyle name="Ênfase5 2 2 2 2 2 3 2" xfId="6757" xr:uid="{00000000-0005-0000-0000-0000A8090000}"/>
    <cellStyle name="Ênfase5 2 2 2 2 3" xfId="6758" xr:uid="{00000000-0005-0000-0000-0000A9090000}"/>
    <cellStyle name="Ênfase5 2 2 2 2 3 2" xfId="6759" xr:uid="{00000000-0005-0000-0000-0000AA090000}"/>
    <cellStyle name="Ênfase5 2 2 2 3" xfId="6760" xr:uid="{00000000-0005-0000-0000-0000AB090000}"/>
    <cellStyle name="Ênfase5 2 2 2 4" xfId="6761" xr:uid="{00000000-0005-0000-0000-0000AC090000}"/>
    <cellStyle name="Ênfase5 2 2 2 4 2" xfId="6762" xr:uid="{00000000-0005-0000-0000-0000AD090000}"/>
    <cellStyle name="Ênfase5 2 2 3" xfId="6763" xr:uid="{00000000-0005-0000-0000-0000AE090000}"/>
    <cellStyle name="Ênfase5 2 2 4" xfId="6764" xr:uid="{00000000-0005-0000-0000-0000AF090000}"/>
    <cellStyle name="Ênfase5 2 2 4 2" xfId="6765" xr:uid="{00000000-0005-0000-0000-0000B0090000}"/>
    <cellStyle name="Ênfase5 2 3" xfId="6766" xr:uid="{00000000-0005-0000-0000-0000B1090000}"/>
    <cellStyle name="Ênfase5 2 4" xfId="6767" xr:uid="{00000000-0005-0000-0000-0000B2090000}"/>
    <cellStyle name="Ênfase5 2 5" xfId="6768" xr:uid="{00000000-0005-0000-0000-0000B3090000}"/>
    <cellStyle name="Ênfase5 2 6" xfId="6769" xr:uid="{00000000-0005-0000-0000-0000B4090000}"/>
    <cellStyle name="Ênfase5 2 6 2" xfId="6770" xr:uid="{00000000-0005-0000-0000-0000B5090000}"/>
    <cellStyle name="Ênfase5 2 7" xfId="6747" xr:uid="{00000000-0005-0000-0000-0000B6090000}"/>
    <cellStyle name="Ênfase5 3" xfId="5268" xr:uid="{00000000-0005-0000-0000-0000B7090000}"/>
    <cellStyle name="Ênfase5 3 2" xfId="6772" xr:uid="{00000000-0005-0000-0000-0000B8090000}"/>
    <cellStyle name="Ênfase5 3 3" xfId="6773" xr:uid="{00000000-0005-0000-0000-0000B9090000}"/>
    <cellStyle name="Ênfase5 3 4" xfId="6774" xr:uid="{00000000-0005-0000-0000-0000BA090000}"/>
    <cellStyle name="Ênfase5 3 5" xfId="6771" xr:uid="{00000000-0005-0000-0000-0000BB090000}"/>
    <cellStyle name="Ênfase5 4" xfId="5279" xr:uid="{00000000-0005-0000-0000-0000BC090000}"/>
    <cellStyle name="Ênfase5 4 2" xfId="6776" xr:uid="{00000000-0005-0000-0000-0000BD090000}"/>
    <cellStyle name="Ênfase5 4 3" xfId="6777" xr:uid="{00000000-0005-0000-0000-0000BE090000}"/>
    <cellStyle name="Ênfase5 4 4" xfId="6775" xr:uid="{00000000-0005-0000-0000-0000BF090000}"/>
    <cellStyle name="Ênfase5 5" xfId="5261" xr:uid="{00000000-0005-0000-0000-0000C0090000}"/>
    <cellStyle name="Ênfase5 5 2" xfId="6779" xr:uid="{00000000-0005-0000-0000-0000C1090000}"/>
    <cellStyle name="Ênfase5 5 3" xfId="6778" xr:uid="{00000000-0005-0000-0000-0000C2090000}"/>
    <cellStyle name="Ênfase5 6" xfId="5286" xr:uid="{00000000-0005-0000-0000-0000C3090000}"/>
    <cellStyle name="Ênfase5 6 2" xfId="6781" xr:uid="{00000000-0005-0000-0000-0000C4090000}"/>
    <cellStyle name="Ênfase5 6 3" xfId="7357" xr:uid="{00000000-0005-0000-0000-0000C5090000}"/>
    <cellStyle name="Ênfase5 6 4" xfId="6780" xr:uid="{00000000-0005-0000-0000-0000C6090000}"/>
    <cellStyle name="Ênfase5 7" xfId="5254" xr:uid="{00000000-0005-0000-0000-0000C7090000}"/>
    <cellStyle name="Ênfase5 7 2" xfId="7358" xr:uid="{00000000-0005-0000-0000-0000C8090000}"/>
    <cellStyle name="Ênfase5 7 3" xfId="6782" xr:uid="{00000000-0005-0000-0000-0000C9090000}"/>
    <cellStyle name="Ênfase5 8" xfId="5294" xr:uid="{00000000-0005-0000-0000-0000CA090000}"/>
    <cellStyle name="Ênfase5 9" xfId="5246" xr:uid="{00000000-0005-0000-0000-0000CB090000}"/>
    <cellStyle name="Ênfase6" xfId="54" xr:uid="{00000000-0005-0000-0000-0000CC090000}"/>
    <cellStyle name="Ênfase6 10" xfId="5544" xr:uid="{00000000-0005-0000-0000-0000CD090000}"/>
    <cellStyle name="Ênfase6 11" xfId="5550" xr:uid="{00000000-0005-0000-0000-0000CE090000}"/>
    <cellStyle name="Ênfase6 12" xfId="5537" xr:uid="{00000000-0005-0000-0000-0000CF090000}"/>
    <cellStyle name="Ênfase6 13" xfId="5558" xr:uid="{00000000-0005-0000-0000-0000D0090000}"/>
    <cellStyle name="Ênfase6 14" xfId="5530" xr:uid="{00000000-0005-0000-0000-0000D1090000}"/>
    <cellStyle name="Ênfase6 15" xfId="5716" xr:uid="{00000000-0005-0000-0000-0000D2090000}"/>
    <cellStyle name="Ênfase6 16" xfId="5719" xr:uid="{00000000-0005-0000-0000-0000D3090000}"/>
    <cellStyle name="Ênfase6 17" xfId="5803" xr:uid="{00000000-0005-0000-0000-0000D4090000}"/>
    <cellStyle name="Ênfase6 2" xfId="5026" xr:uid="{00000000-0005-0000-0000-0000D5090000}"/>
    <cellStyle name="Ênfase6 2 2" xfId="6784" xr:uid="{00000000-0005-0000-0000-0000D6090000}"/>
    <cellStyle name="Ênfase6 2 2 2" xfId="6785" xr:uid="{00000000-0005-0000-0000-0000D7090000}"/>
    <cellStyle name="Ênfase6 2 2 2 2" xfId="6786" xr:uid="{00000000-0005-0000-0000-0000D8090000}"/>
    <cellStyle name="Ênfase6 2 2 2 2 2" xfId="6787" xr:uid="{00000000-0005-0000-0000-0000D9090000}"/>
    <cellStyle name="Ênfase6 2 2 2 2 2 2" xfId="6788" xr:uid="{00000000-0005-0000-0000-0000DA090000}"/>
    <cellStyle name="Ênfase6 2 2 2 2 2 2 2" xfId="6789" xr:uid="{00000000-0005-0000-0000-0000DB090000}"/>
    <cellStyle name="Ênfase6 2 2 2 2 2 2 2 2" xfId="6790" xr:uid="{00000000-0005-0000-0000-0000DC090000}"/>
    <cellStyle name="Ênfase6 2 2 2 2 2 2 3" xfId="6791" xr:uid="{00000000-0005-0000-0000-0000DD090000}"/>
    <cellStyle name="Ênfase6 2 2 2 2 2 3" xfId="6792" xr:uid="{00000000-0005-0000-0000-0000DE090000}"/>
    <cellStyle name="Ênfase6 2 2 2 2 2 3 2" xfId="6793" xr:uid="{00000000-0005-0000-0000-0000DF090000}"/>
    <cellStyle name="Ênfase6 2 2 2 2 3" xfId="6794" xr:uid="{00000000-0005-0000-0000-0000E0090000}"/>
    <cellStyle name="Ênfase6 2 2 2 2 3 2" xfId="6795" xr:uid="{00000000-0005-0000-0000-0000E1090000}"/>
    <cellStyle name="Ênfase6 2 2 2 3" xfId="6796" xr:uid="{00000000-0005-0000-0000-0000E2090000}"/>
    <cellStyle name="Ênfase6 2 2 2 4" xfId="6797" xr:uid="{00000000-0005-0000-0000-0000E3090000}"/>
    <cellStyle name="Ênfase6 2 2 2 4 2" xfId="6798" xr:uid="{00000000-0005-0000-0000-0000E4090000}"/>
    <cellStyle name="Ênfase6 2 2 3" xfId="6799" xr:uid="{00000000-0005-0000-0000-0000E5090000}"/>
    <cellStyle name="Ênfase6 2 2 4" xfId="6800" xr:uid="{00000000-0005-0000-0000-0000E6090000}"/>
    <cellStyle name="Ênfase6 2 2 4 2" xfId="6801" xr:uid="{00000000-0005-0000-0000-0000E7090000}"/>
    <cellStyle name="Ênfase6 2 3" xfId="6802" xr:uid="{00000000-0005-0000-0000-0000E8090000}"/>
    <cellStyle name="Ênfase6 2 4" xfId="6803" xr:uid="{00000000-0005-0000-0000-0000E9090000}"/>
    <cellStyle name="Ênfase6 2 5" xfId="6804" xr:uid="{00000000-0005-0000-0000-0000EA090000}"/>
    <cellStyle name="Ênfase6 2 6" xfId="6805" xr:uid="{00000000-0005-0000-0000-0000EB090000}"/>
    <cellStyle name="Ênfase6 2 6 2" xfId="6806" xr:uid="{00000000-0005-0000-0000-0000EC090000}"/>
    <cellStyle name="Ênfase6 2 7" xfId="6783" xr:uid="{00000000-0005-0000-0000-0000ED090000}"/>
    <cellStyle name="Ênfase6 3" xfId="5269" xr:uid="{00000000-0005-0000-0000-0000EE090000}"/>
    <cellStyle name="Ênfase6 3 2" xfId="6808" xr:uid="{00000000-0005-0000-0000-0000EF090000}"/>
    <cellStyle name="Ênfase6 3 3" xfId="6809" xr:uid="{00000000-0005-0000-0000-0000F0090000}"/>
    <cellStyle name="Ênfase6 3 4" xfId="6810" xr:uid="{00000000-0005-0000-0000-0000F1090000}"/>
    <cellStyle name="Ênfase6 3 5" xfId="6807" xr:uid="{00000000-0005-0000-0000-0000F2090000}"/>
    <cellStyle name="Ênfase6 4" xfId="5278" xr:uid="{00000000-0005-0000-0000-0000F3090000}"/>
    <cellStyle name="Ênfase6 4 2" xfId="6812" xr:uid="{00000000-0005-0000-0000-0000F4090000}"/>
    <cellStyle name="Ênfase6 4 3" xfId="6813" xr:uid="{00000000-0005-0000-0000-0000F5090000}"/>
    <cellStyle name="Ênfase6 4 4" xfId="6811" xr:uid="{00000000-0005-0000-0000-0000F6090000}"/>
    <cellStyle name="Ênfase6 5" xfId="5262" xr:uid="{00000000-0005-0000-0000-0000F7090000}"/>
    <cellStyle name="Ênfase6 5 2" xfId="6815" xr:uid="{00000000-0005-0000-0000-0000F8090000}"/>
    <cellStyle name="Ênfase6 5 3" xfId="6814" xr:uid="{00000000-0005-0000-0000-0000F9090000}"/>
    <cellStyle name="Ênfase6 6" xfId="5285" xr:uid="{00000000-0005-0000-0000-0000FA090000}"/>
    <cellStyle name="Ênfase6 6 2" xfId="6817" xr:uid="{00000000-0005-0000-0000-0000FB090000}"/>
    <cellStyle name="Ênfase6 6 3" xfId="7359" xr:uid="{00000000-0005-0000-0000-0000FC090000}"/>
    <cellStyle name="Ênfase6 6 4" xfId="6816" xr:uid="{00000000-0005-0000-0000-0000FD090000}"/>
    <cellStyle name="Ênfase6 7" xfId="5255" xr:uid="{00000000-0005-0000-0000-0000FE090000}"/>
    <cellStyle name="Ênfase6 7 2" xfId="7360" xr:uid="{00000000-0005-0000-0000-0000FF090000}"/>
    <cellStyle name="Ênfase6 7 3" xfId="6818" xr:uid="{00000000-0005-0000-0000-0000000A0000}"/>
    <cellStyle name="Ênfase6 8" xfId="5293" xr:uid="{00000000-0005-0000-0000-0000010A0000}"/>
    <cellStyle name="Ênfase6 9" xfId="5247" xr:uid="{00000000-0005-0000-0000-0000020A0000}"/>
    <cellStyle name="Énfasis1" xfId="996" xr:uid="{00000000-0005-0000-0000-0000030A0000}"/>
    <cellStyle name="Énfasis2" xfId="997" xr:uid="{00000000-0005-0000-0000-0000040A0000}"/>
    <cellStyle name="Énfasis3" xfId="998" xr:uid="{00000000-0005-0000-0000-0000050A0000}"/>
    <cellStyle name="Énfasis4" xfId="999" xr:uid="{00000000-0005-0000-0000-0000060A0000}"/>
    <cellStyle name="Énfasis5" xfId="1000" xr:uid="{00000000-0005-0000-0000-0000070A0000}"/>
    <cellStyle name="Énfasis6" xfId="1001" xr:uid="{00000000-0005-0000-0000-0000080A0000}"/>
    <cellStyle name="Enter Currency (0)" xfId="5027" xr:uid="{00000000-0005-0000-0000-0000090A0000}"/>
    <cellStyle name="Enter Currency (2)" xfId="5028" xr:uid="{00000000-0005-0000-0000-00000A0A0000}"/>
    <cellStyle name="Enter Units (0)" xfId="5029" xr:uid="{00000000-0005-0000-0000-00000B0A0000}"/>
    <cellStyle name="Enter Units (1)" xfId="5030" xr:uid="{00000000-0005-0000-0000-00000C0A0000}"/>
    <cellStyle name="Enter Units (2)" xfId="5031" xr:uid="{00000000-0005-0000-0000-00000D0A0000}"/>
    <cellStyle name="Entered" xfId="1002" xr:uid="{00000000-0005-0000-0000-00000E0A0000}"/>
    <cellStyle name="Entrada" xfId="55" xr:uid="{00000000-0005-0000-0000-00000F0A0000}"/>
    <cellStyle name="Entrada 10" xfId="5547" xr:uid="{00000000-0005-0000-0000-0000100A0000}"/>
    <cellStyle name="Entrada 11" xfId="5548" xr:uid="{00000000-0005-0000-0000-0000110A0000}"/>
    <cellStyle name="Entrada 12" xfId="5546" xr:uid="{00000000-0005-0000-0000-0000120A0000}"/>
    <cellStyle name="Entrada 13" xfId="5549" xr:uid="{00000000-0005-0000-0000-0000130A0000}"/>
    <cellStyle name="Entrada 14" xfId="5545" xr:uid="{00000000-0005-0000-0000-0000140A0000}"/>
    <cellStyle name="Entrada 15" xfId="5717" xr:uid="{00000000-0005-0000-0000-0000150A0000}"/>
    <cellStyle name="Entrada 16" xfId="5718" xr:uid="{00000000-0005-0000-0000-0000160A0000}"/>
    <cellStyle name="Entrada 17" xfId="5776" xr:uid="{00000000-0005-0000-0000-0000170A0000}"/>
    <cellStyle name="Entrada 18" xfId="10595" xr:uid="{00000000-0005-0000-0000-0000180A0000}"/>
    <cellStyle name="Entrada 2" xfId="5032" xr:uid="{00000000-0005-0000-0000-0000190A0000}"/>
    <cellStyle name="Entrada 2 2" xfId="6820" xr:uid="{00000000-0005-0000-0000-00001A0A0000}"/>
    <cellStyle name="Entrada 2 2 2" xfId="6821" xr:uid="{00000000-0005-0000-0000-00001B0A0000}"/>
    <cellStyle name="Entrada 2 2 2 2" xfId="6822" xr:uid="{00000000-0005-0000-0000-00001C0A0000}"/>
    <cellStyle name="Entrada 2 2 2 2 2" xfId="6823" xr:uid="{00000000-0005-0000-0000-00001D0A0000}"/>
    <cellStyle name="Entrada 2 2 2 2 2 2" xfId="6824" xr:uid="{00000000-0005-0000-0000-00001E0A0000}"/>
    <cellStyle name="Entrada 2 2 2 2 2 2 2" xfId="6825" xr:uid="{00000000-0005-0000-0000-00001F0A0000}"/>
    <cellStyle name="Entrada 2 2 2 2 2 2 2 2" xfId="6826" xr:uid="{00000000-0005-0000-0000-0000200A0000}"/>
    <cellStyle name="Entrada 2 2 2 2 2 2 3" xfId="6827" xr:uid="{00000000-0005-0000-0000-0000210A0000}"/>
    <cellStyle name="Entrada 2 2 2 2 2 3" xfId="6828" xr:uid="{00000000-0005-0000-0000-0000220A0000}"/>
    <cellStyle name="Entrada 2 2 2 2 2 3 2" xfId="6829" xr:uid="{00000000-0005-0000-0000-0000230A0000}"/>
    <cellStyle name="Entrada 2 2 2 2 3" xfId="6830" xr:uid="{00000000-0005-0000-0000-0000240A0000}"/>
    <cellStyle name="Entrada 2 2 2 2 3 2" xfId="6831" xr:uid="{00000000-0005-0000-0000-0000250A0000}"/>
    <cellStyle name="Entrada 2 2 2 3" xfId="6832" xr:uid="{00000000-0005-0000-0000-0000260A0000}"/>
    <cellStyle name="Entrada 2 2 2 4" xfId="6833" xr:uid="{00000000-0005-0000-0000-0000270A0000}"/>
    <cellStyle name="Entrada 2 2 2 4 2" xfId="6834" xr:uid="{00000000-0005-0000-0000-0000280A0000}"/>
    <cellStyle name="Entrada 2 2 3" xfId="6835" xr:uid="{00000000-0005-0000-0000-0000290A0000}"/>
    <cellStyle name="Entrada 2 2 4" xfId="6836" xr:uid="{00000000-0005-0000-0000-00002A0A0000}"/>
    <cellStyle name="Entrada 2 2 4 2" xfId="6837" xr:uid="{00000000-0005-0000-0000-00002B0A0000}"/>
    <cellStyle name="Entrada 2 3" xfId="6838" xr:uid="{00000000-0005-0000-0000-00002C0A0000}"/>
    <cellStyle name="Entrada 2 4" xfId="6839" xr:uid="{00000000-0005-0000-0000-00002D0A0000}"/>
    <cellStyle name="Entrada 2 5" xfId="6840" xr:uid="{00000000-0005-0000-0000-00002E0A0000}"/>
    <cellStyle name="Entrada 2 6" xfId="6841" xr:uid="{00000000-0005-0000-0000-00002F0A0000}"/>
    <cellStyle name="Entrada 2 6 2" xfId="6842" xr:uid="{00000000-0005-0000-0000-0000300A0000}"/>
    <cellStyle name="Entrada 2 7" xfId="6819" xr:uid="{00000000-0005-0000-0000-0000310A0000}"/>
    <cellStyle name="Entrada 3" xfId="5273" xr:uid="{00000000-0005-0000-0000-0000320A0000}"/>
    <cellStyle name="Entrada 3 2" xfId="6844" xr:uid="{00000000-0005-0000-0000-0000330A0000}"/>
    <cellStyle name="Entrada 3 3" xfId="6845" xr:uid="{00000000-0005-0000-0000-0000340A0000}"/>
    <cellStyle name="Entrada 3 4" xfId="6846" xr:uid="{00000000-0005-0000-0000-0000350A0000}"/>
    <cellStyle name="Entrada 3 5" xfId="6843" xr:uid="{00000000-0005-0000-0000-0000360A0000}"/>
    <cellStyle name="Entrada 4" xfId="5274" xr:uid="{00000000-0005-0000-0000-0000370A0000}"/>
    <cellStyle name="Entrada 4 2" xfId="6848" xr:uid="{00000000-0005-0000-0000-0000380A0000}"/>
    <cellStyle name="Entrada 4 3" xfId="6849" xr:uid="{00000000-0005-0000-0000-0000390A0000}"/>
    <cellStyle name="Entrada 4 4" xfId="6847" xr:uid="{00000000-0005-0000-0000-00003A0A0000}"/>
    <cellStyle name="Entrada 5" xfId="5272" xr:uid="{00000000-0005-0000-0000-00003B0A0000}"/>
    <cellStyle name="Entrada 5 2" xfId="6851" xr:uid="{00000000-0005-0000-0000-00003C0A0000}"/>
    <cellStyle name="Entrada 5 3" xfId="6850" xr:uid="{00000000-0005-0000-0000-00003D0A0000}"/>
    <cellStyle name="Entrada 6" xfId="5275" xr:uid="{00000000-0005-0000-0000-00003E0A0000}"/>
    <cellStyle name="Entrada 6 2" xfId="6853" xr:uid="{00000000-0005-0000-0000-00003F0A0000}"/>
    <cellStyle name="Entrada 6 3" xfId="7361" xr:uid="{00000000-0005-0000-0000-0000400A0000}"/>
    <cellStyle name="Entrada 6 4" xfId="6852" xr:uid="{00000000-0005-0000-0000-0000410A0000}"/>
    <cellStyle name="Entrada 7" xfId="5271" xr:uid="{00000000-0005-0000-0000-0000420A0000}"/>
    <cellStyle name="Entrada 7 2" xfId="7362" xr:uid="{00000000-0005-0000-0000-0000430A0000}"/>
    <cellStyle name="Entrada 7 3" xfId="6854" xr:uid="{00000000-0005-0000-0000-0000440A0000}"/>
    <cellStyle name="Entrada 8" xfId="5276" xr:uid="{00000000-0005-0000-0000-0000450A0000}"/>
    <cellStyle name="Entrada 9" xfId="5270" xr:uid="{00000000-0005-0000-0000-0000460A0000}"/>
    <cellStyle name="Estilo 1" xfId="5033" xr:uid="{00000000-0005-0000-0000-0000470A0000}"/>
    <cellStyle name="Estilo 2" xfId="5034" xr:uid="{00000000-0005-0000-0000-0000480A0000}"/>
    <cellStyle name="Euro" xfId="56" xr:uid="{00000000-0005-0000-0000-0000490A0000}"/>
    <cellStyle name="Euro 10" xfId="1004" xr:uid="{00000000-0005-0000-0000-00004A0A0000}"/>
    <cellStyle name="Euro 11" xfId="1005" xr:uid="{00000000-0005-0000-0000-00004B0A0000}"/>
    <cellStyle name="Euro 12" xfId="1006" xr:uid="{00000000-0005-0000-0000-00004C0A0000}"/>
    <cellStyle name="Euro 13" xfId="1007" xr:uid="{00000000-0005-0000-0000-00004D0A0000}"/>
    <cellStyle name="Euro 14" xfId="1008" xr:uid="{00000000-0005-0000-0000-00004E0A0000}"/>
    <cellStyle name="Euro 15" xfId="1009" xr:uid="{00000000-0005-0000-0000-00004F0A0000}"/>
    <cellStyle name="Euro 16" xfId="1010" xr:uid="{00000000-0005-0000-0000-0000500A0000}"/>
    <cellStyle name="Euro 17" xfId="1011" xr:uid="{00000000-0005-0000-0000-0000510A0000}"/>
    <cellStyle name="Euro 18" xfId="1012" xr:uid="{00000000-0005-0000-0000-0000520A0000}"/>
    <cellStyle name="Euro 19" xfId="1013" xr:uid="{00000000-0005-0000-0000-0000530A0000}"/>
    <cellStyle name="Euro 2" xfId="125" xr:uid="{00000000-0005-0000-0000-0000540A0000}"/>
    <cellStyle name="Euro 2 2" xfId="1015" xr:uid="{00000000-0005-0000-0000-0000550A0000}"/>
    <cellStyle name="Euro 2 3" xfId="1014" xr:uid="{00000000-0005-0000-0000-0000560A0000}"/>
    <cellStyle name="Euro 2 3 2" xfId="10453" xr:uid="{00000000-0005-0000-0000-0000570A0000}"/>
    <cellStyle name="Euro 20" xfId="1016" xr:uid="{00000000-0005-0000-0000-0000580A0000}"/>
    <cellStyle name="Euro 21" xfId="1017" xr:uid="{00000000-0005-0000-0000-0000590A0000}"/>
    <cellStyle name="Euro 22" xfId="1018" xr:uid="{00000000-0005-0000-0000-00005A0A0000}"/>
    <cellStyle name="Euro 23" xfId="1019" xr:uid="{00000000-0005-0000-0000-00005B0A0000}"/>
    <cellStyle name="Euro 24" xfId="1020" xr:uid="{00000000-0005-0000-0000-00005C0A0000}"/>
    <cellStyle name="Euro 25" xfId="1021" xr:uid="{00000000-0005-0000-0000-00005D0A0000}"/>
    <cellStyle name="Euro 26" xfId="1022" xr:uid="{00000000-0005-0000-0000-00005E0A0000}"/>
    <cellStyle name="Euro 27" xfId="1023" xr:uid="{00000000-0005-0000-0000-00005F0A0000}"/>
    <cellStyle name="Euro 28" xfId="1024" xr:uid="{00000000-0005-0000-0000-0000600A0000}"/>
    <cellStyle name="Euro 29" xfId="1025" xr:uid="{00000000-0005-0000-0000-0000610A0000}"/>
    <cellStyle name="Euro 3" xfId="122" xr:uid="{00000000-0005-0000-0000-0000620A0000}"/>
    <cellStyle name="Euro 3 2" xfId="1027" xr:uid="{00000000-0005-0000-0000-0000630A0000}"/>
    <cellStyle name="Euro 3 3" xfId="1026" xr:uid="{00000000-0005-0000-0000-0000640A0000}"/>
    <cellStyle name="Euro 30" xfId="1028" xr:uid="{00000000-0005-0000-0000-0000650A0000}"/>
    <cellStyle name="Euro 31" xfId="1029" xr:uid="{00000000-0005-0000-0000-0000660A0000}"/>
    <cellStyle name="Euro 32" xfId="1030" xr:uid="{00000000-0005-0000-0000-0000670A0000}"/>
    <cellStyle name="Euro 33" xfId="1031" xr:uid="{00000000-0005-0000-0000-0000680A0000}"/>
    <cellStyle name="Euro 34" xfId="1032" xr:uid="{00000000-0005-0000-0000-0000690A0000}"/>
    <cellStyle name="Euro 35" xfId="1033" xr:uid="{00000000-0005-0000-0000-00006A0A0000}"/>
    <cellStyle name="Euro 36" xfId="1034" xr:uid="{00000000-0005-0000-0000-00006B0A0000}"/>
    <cellStyle name="Euro 37" xfId="1035" xr:uid="{00000000-0005-0000-0000-00006C0A0000}"/>
    <cellStyle name="Euro 38" xfId="1036" xr:uid="{00000000-0005-0000-0000-00006D0A0000}"/>
    <cellStyle name="Euro 39" xfId="1037" xr:uid="{00000000-0005-0000-0000-00006E0A0000}"/>
    <cellStyle name="Euro 4" xfId="1038" xr:uid="{00000000-0005-0000-0000-00006F0A0000}"/>
    <cellStyle name="Euro 4 2" xfId="1039" xr:uid="{00000000-0005-0000-0000-0000700A0000}"/>
    <cellStyle name="Euro 40" xfId="1040" xr:uid="{00000000-0005-0000-0000-0000710A0000}"/>
    <cellStyle name="Euro 41" xfId="1041" xr:uid="{00000000-0005-0000-0000-0000720A0000}"/>
    <cellStyle name="Euro 42" xfId="1042" xr:uid="{00000000-0005-0000-0000-0000730A0000}"/>
    <cellStyle name="Euro 43" xfId="1003" xr:uid="{00000000-0005-0000-0000-0000740A0000}"/>
    <cellStyle name="Euro 44" xfId="5035" xr:uid="{00000000-0005-0000-0000-0000750A0000}"/>
    <cellStyle name="Euro 5" xfId="1043" xr:uid="{00000000-0005-0000-0000-0000760A0000}"/>
    <cellStyle name="Euro 6" xfId="1044" xr:uid="{00000000-0005-0000-0000-0000770A0000}"/>
    <cellStyle name="Euro 7" xfId="1045" xr:uid="{00000000-0005-0000-0000-0000780A0000}"/>
    <cellStyle name="Euro 8" xfId="1046" xr:uid="{00000000-0005-0000-0000-0000790A0000}"/>
    <cellStyle name="Euro 9" xfId="1047" xr:uid="{00000000-0005-0000-0000-00007A0A0000}"/>
    <cellStyle name="Explanatory Text" xfId="57" xr:uid="{00000000-0005-0000-0000-00007B0A0000}"/>
    <cellStyle name="EY House" xfId="1048" xr:uid="{00000000-0005-0000-0000-00007C0A0000}"/>
    <cellStyle name="f" xfId="1049" xr:uid="{00000000-0005-0000-0000-00007D0A0000}"/>
    <cellStyle name="F2" xfId="1050" xr:uid="{00000000-0005-0000-0000-00007E0A0000}"/>
    <cellStyle name="F2 2" xfId="5036" xr:uid="{00000000-0005-0000-0000-00007F0A0000}"/>
    <cellStyle name="F3" xfId="1051" xr:uid="{00000000-0005-0000-0000-0000800A0000}"/>
    <cellStyle name="F3 2" xfId="5037" xr:uid="{00000000-0005-0000-0000-0000810A0000}"/>
    <cellStyle name="F4" xfId="1052" xr:uid="{00000000-0005-0000-0000-0000820A0000}"/>
    <cellStyle name="F4 2" xfId="5038" xr:uid="{00000000-0005-0000-0000-0000830A0000}"/>
    <cellStyle name="F5" xfId="1053" xr:uid="{00000000-0005-0000-0000-0000840A0000}"/>
    <cellStyle name="F5 2" xfId="5039" xr:uid="{00000000-0005-0000-0000-0000850A0000}"/>
    <cellStyle name="F6" xfId="1054" xr:uid="{00000000-0005-0000-0000-0000860A0000}"/>
    <cellStyle name="F6 2" xfId="5040" xr:uid="{00000000-0005-0000-0000-0000870A0000}"/>
    <cellStyle name="F7" xfId="1055" xr:uid="{00000000-0005-0000-0000-0000880A0000}"/>
    <cellStyle name="F7 2" xfId="5041" xr:uid="{00000000-0005-0000-0000-0000890A0000}"/>
    <cellStyle name="F8" xfId="1056" xr:uid="{00000000-0005-0000-0000-00008A0A0000}"/>
    <cellStyle name="F8 2" xfId="5042" xr:uid="{00000000-0005-0000-0000-00008B0A0000}"/>
    <cellStyle name="Factor" xfId="1057" xr:uid="{00000000-0005-0000-0000-00008C0A0000}"/>
    <cellStyle name="Fixed" xfId="1058" xr:uid="{00000000-0005-0000-0000-00008D0A0000}"/>
    <cellStyle name="Fixed [0]" xfId="1059" xr:uid="{00000000-0005-0000-0000-00008E0A0000}"/>
    <cellStyle name="Fixed 10" xfId="1060" xr:uid="{00000000-0005-0000-0000-00008F0A0000}"/>
    <cellStyle name="Fixed 11" xfId="1061" xr:uid="{00000000-0005-0000-0000-0000900A0000}"/>
    <cellStyle name="Fixed 12" xfId="1062" xr:uid="{00000000-0005-0000-0000-0000910A0000}"/>
    <cellStyle name="Fixed 13" xfId="1063" xr:uid="{00000000-0005-0000-0000-0000920A0000}"/>
    <cellStyle name="Fixed 14" xfId="1064" xr:uid="{00000000-0005-0000-0000-0000930A0000}"/>
    <cellStyle name="Fixed 15" xfId="1065" xr:uid="{00000000-0005-0000-0000-0000940A0000}"/>
    <cellStyle name="Fixed 16" xfId="1066" xr:uid="{00000000-0005-0000-0000-0000950A0000}"/>
    <cellStyle name="Fixed 17" xfId="1067" xr:uid="{00000000-0005-0000-0000-0000960A0000}"/>
    <cellStyle name="Fixed 18" xfId="5043" xr:uid="{00000000-0005-0000-0000-0000970A0000}"/>
    <cellStyle name="Fixed 19" xfId="7399" xr:uid="{00000000-0005-0000-0000-0000980A0000}"/>
    <cellStyle name="Fixed 2" xfId="1068" xr:uid="{00000000-0005-0000-0000-0000990A0000}"/>
    <cellStyle name="Fixed 20" xfId="7408" xr:uid="{00000000-0005-0000-0000-00009A0A0000}"/>
    <cellStyle name="Fixed 21" xfId="7403" xr:uid="{00000000-0005-0000-0000-00009B0A0000}"/>
    <cellStyle name="Fixed 22" xfId="7405" xr:uid="{00000000-0005-0000-0000-00009C0A0000}"/>
    <cellStyle name="Fixed 3" xfId="1069" xr:uid="{00000000-0005-0000-0000-00009D0A0000}"/>
    <cellStyle name="Fixed 4" xfId="1070" xr:uid="{00000000-0005-0000-0000-00009E0A0000}"/>
    <cellStyle name="Fixed 5" xfId="1071" xr:uid="{00000000-0005-0000-0000-00009F0A0000}"/>
    <cellStyle name="Fixed 6" xfId="1072" xr:uid="{00000000-0005-0000-0000-0000A00A0000}"/>
    <cellStyle name="Fixed 7" xfId="1073" xr:uid="{00000000-0005-0000-0000-0000A10A0000}"/>
    <cellStyle name="Fixed 8" xfId="1074" xr:uid="{00000000-0005-0000-0000-0000A20A0000}"/>
    <cellStyle name="Fixed 9" xfId="1075" xr:uid="{00000000-0005-0000-0000-0000A30A0000}"/>
    <cellStyle name="Fixo" xfId="5044" xr:uid="{00000000-0005-0000-0000-0000A40A0000}"/>
    <cellStyle name="Followed Hyperlink" xfId="1076" xr:uid="{00000000-0005-0000-0000-0000A50A0000}"/>
    <cellStyle name="Followed Hyperlink 10" xfId="1077" xr:uid="{00000000-0005-0000-0000-0000A60A0000}"/>
    <cellStyle name="Followed Hyperlink 11" xfId="1078" xr:uid="{00000000-0005-0000-0000-0000A70A0000}"/>
    <cellStyle name="Followed Hyperlink 12" xfId="1079" xr:uid="{00000000-0005-0000-0000-0000A80A0000}"/>
    <cellStyle name="Followed Hyperlink 13" xfId="1080" xr:uid="{00000000-0005-0000-0000-0000A90A0000}"/>
    <cellStyle name="Followed Hyperlink 14" xfId="1081" xr:uid="{00000000-0005-0000-0000-0000AA0A0000}"/>
    <cellStyle name="Followed Hyperlink 15" xfId="1082" xr:uid="{00000000-0005-0000-0000-0000AB0A0000}"/>
    <cellStyle name="Followed Hyperlink 16" xfId="1083" xr:uid="{00000000-0005-0000-0000-0000AC0A0000}"/>
    <cellStyle name="Followed Hyperlink 17" xfId="1084" xr:uid="{00000000-0005-0000-0000-0000AD0A0000}"/>
    <cellStyle name="Followed Hyperlink 18" xfId="1085" xr:uid="{00000000-0005-0000-0000-0000AE0A0000}"/>
    <cellStyle name="Followed Hyperlink 19" xfId="1086" xr:uid="{00000000-0005-0000-0000-0000AF0A0000}"/>
    <cellStyle name="Followed Hyperlink 2" xfId="1087" xr:uid="{00000000-0005-0000-0000-0000B00A0000}"/>
    <cellStyle name="Followed Hyperlink 20" xfId="1088" xr:uid="{00000000-0005-0000-0000-0000B10A0000}"/>
    <cellStyle name="Followed Hyperlink 21" xfId="1089" xr:uid="{00000000-0005-0000-0000-0000B20A0000}"/>
    <cellStyle name="Followed Hyperlink 22" xfId="1090" xr:uid="{00000000-0005-0000-0000-0000B30A0000}"/>
    <cellStyle name="Followed Hyperlink 23" xfId="1091" xr:uid="{00000000-0005-0000-0000-0000B40A0000}"/>
    <cellStyle name="Followed Hyperlink 24" xfId="1092" xr:uid="{00000000-0005-0000-0000-0000B50A0000}"/>
    <cellStyle name="Followed Hyperlink 25" xfId="1093" xr:uid="{00000000-0005-0000-0000-0000B60A0000}"/>
    <cellStyle name="Followed Hyperlink 26" xfId="1094" xr:uid="{00000000-0005-0000-0000-0000B70A0000}"/>
    <cellStyle name="Followed Hyperlink 27" xfId="1095" xr:uid="{00000000-0005-0000-0000-0000B80A0000}"/>
    <cellStyle name="Followed Hyperlink 28" xfId="1096" xr:uid="{00000000-0005-0000-0000-0000B90A0000}"/>
    <cellStyle name="Followed Hyperlink 29" xfId="1097" xr:uid="{00000000-0005-0000-0000-0000BA0A0000}"/>
    <cellStyle name="Followed Hyperlink 3" xfId="1098" xr:uid="{00000000-0005-0000-0000-0000BB0A0000}"/>
    <cellStyle name="Followed Hyperlink 30" xfId="1099" xr:uid="{00000000-0005-0000-0000-0000BC0A0000}"/>
    <cellStyle name="Followed Hyperlink 31" xfId="1100" xr:uid="{00000000-0005-0000-0000-0000BD0A0000}"/>
    <cellStyle name="Followed Hyperlink 32" xfId="1101" xr:uid="{00000000-0005-0000-0000-0000BE0A0000}"/>
    <cellStyle name="Followed Hyperlink 33" xfId="1102" xr:uid="{00000000-0005-0000-0000-0000BF0A0000}"/>
    <cellStyle name="Followed Hyperlink 34" xfId="1103" xr:uid="{00000000-0005-0000-0000-0000C00A0000}"/>
    <cellStyle name="Followed Hyperlink 35" xfId="1104" xr:uid="{00000000-0005-0000-0000-0000C10A0000}"/>
    <cellStyle name="Followed Hyperlink 36" xfId="1105" xr:uid="{00000000-0005-0000-0000-0000C20A0000}"/>
    <cellStyle name="Followed Hyperlink 37" xfId="1106" xr:uid="{00000000-0005-0000-0000-0000C30A0000}"/>
    <cellStyle name="Followed Hyperlink 38" xfId="1107" xr:uid="{00000000-0005-0000-0000-0000C40A0000}"/>
    <cellStyle name="Followed Hyperlink 39" xfId="1108" xr:uid="{00000000-0005-0000-0000-0000C50A0000}"/>
    <cellStyle name="Followed Hyperlink 4" xfId="1109" xr:uid="{00000000-0005-0000-0000-0000C60A0000}"/>
    <cellStyle name="Followed Hyperlink 40" xfId="1110" xr:uid="{00000000-0005-0000-0000-0000C70A0000}"/>
    <cellStyle name="Followed Hyperlink 5" xfId="1111" xr:uid="{00000000-0005-0000-0000-0000C80A0000}"/>
    <cellStyle name="Followed Hyperlink 6" xfId="1112" xr:uid="{00000000-0005-0000-0000-0000C90A0000}"/>
    <cellStyle name="Followed Hyperlink 7" xfId="1113" xr:uid="{00000000-0005-0000-0000-0000CA0A0000}"/>
    <cellStyle name="Followed Hyperlink 8" xfId="1114" xr:uid="{00000000-0005-0000-0000-0000CB0A0000}"/>
    <cellStyle name="Followed Hyperlink 9" xfId="1115" xr:uid="{00000000-0005-0000-0000-0000CC0A0000}"/>
    <cellStyle name="Footer SBILogo1" xfId="5045" xr:uid="{00000000-0005-0000-0000-0000CD0A0000}"/>
    <cellStyle name="Footer SBILogo2" xfId="5046" xr:uid="{00000000-0005-0000-0000-0000CE0A0000}"/>
    <cellStyle name="Footnote" xfId="1116" xr:uid="{00000000-0005-0000-0000-0000CF0A0000}"/>
    <cellStyle name="Footnote 2" xfId="5047" xr:uid="{00000000-0005-0000-0000-0000D00A0000}"/>
    <cellStyle name="Footnote Reference" xfId="5048" xr:uid="{00000000-0005-0000-0000-0000D10A0000}"/>
    <cellStyle name="Footnote_Actual + Backlog_@Net Revenue_5.13.03 Update" xfId="5049" xr:uid="{00000000-0005-0000-0000-0000D20A0000}"/>
    <cellStyle name="FORECAST" xfId="1117" xr:uid="{00000000-0005-0000-0000-0000D30A0000}"/>
    <cellStyle name="Fraction Change" xfId="5050" xr:uid="{00000000-0005-0000-0000-0000D40A0000}"/>
    <cellStyle name="Fractions" xfId="5051" xr:uid="{00000000-0005-0000-0000-0000D50A0000}"/>
    <cellStyle name="Good" xfId="58" xr:uid="{00000000-0005-0000-0000-0000D60A0000}"/>
    <cellStyle name="grayText2" xfId="5052" xr:uid="{00000000-0005-0000-0000-0000D70A0000}"/>
    <cellStyle name="grayText2Big" xfId="5053" xr:uid="{00000000-0005-0000-0000-0000D80A0000}"/>
    <cellStyle name="Grey" xfId="1118" xr:uid="{00000000-0005-0000-0000-0000D90A0000}"/>
    <cellStyle name="Growth Rates/Margins" xfId="5054" xr:uid="{00000000-0005-0000-0000-0000DA0A0000}"/>
    <cellStyle name="Hard Percent" xfId="5055" xr:uid="{00000000-0005-0000-0000-0000DB0A0000}"/>
    <cellStyle name="HEADER" xfId="1119" xr:uid="{00000000-0005-0000-0000-0000DC0A0000}"/>
    <cellStyle name="Header 2" xfId="5056" xr:uid="{00000000-0005-0000-0000-0000DD0A0000}"/>
    <cellStyle name="Header Draft Stamp" xfId="5057" xr:uid="{00000000-0005-0000-0000-0000DE0A0000}"/>
    <cellStyle name="Header_pldt" xfId="5058" xr:uid="{00000000-0005-0000-0000-0000DF0A0000}"/>
    <cellStyle name="Header1" xfId="1120" xr:uid="{00000000-0005-0000-0000-0000E00A0000}"/>
    <cellStyle name="Header1 10" xfId="1121" xr:uid="{00000000-0005-0000-0000-0000E10A0000}"/>
    <cellStyle name="Header1 11" xfId="1122" xr:uid="{00000000-0005-0000-0000-0000E20A0000}"/>
    <cellStyle name="Header1 12" xfId="1123" xr:uid="{00000000-0005-0000-0000-0000E30A0000}"/>
    <cellStyle name="Header1 13" xfId="1124" xr:uid="{00000000-0005-0000-0000-0000E40A0000}"/>
    <cellStyle name="Header1 14" xfId="1125" xr:uid="{00000000-0005-0000-0000-0000E50A0000}"/>
    <cellStyle name="Header1 15" xfId="1126" xr:uid="{00000000-0005-0000-0000-0000E60A0000}"/>
    <cellStyle name="Header1 16" xfId="1127" xr:uid="{00000000-0005-0000-0000-0000E70A0000}"/>
    <cellStyle name="Header1 17" xfId="1128" xr:uid="{00000000-0005-0000-0000-0000E80A0000}"/>
    <cellStyle name="Header1 18" xfId="1129" xr:uid="{00000000-0005-0000-0000-0000E90A0000}"/>
    <cellStyle name="Header1 19" xfId="1130" xr:uid="{00000000-0005-0000-0000-0000EA0A0000}"/>
    <cellStyle name="Header1 2" xfId="1131" xr:uid="{00000000-0005-0000-0000-0000EB0A0000}"/>
    <cellStyle name="Header1 20" xfId="1132" xr:uid="{00000000-0005-0000-0000-0000EC0A0000}"/>
    <cellStyle name="Header1 21" xfId="1133" xr:uid="{00000000-0005-0000-0000-0000ED0A0000}"/>
    <cellStyle name="Header1 22" xfId="1134" xr:uid="{00000000-0005-0000-0000-0000EE0A0000}"/>
    <cellStyle name="Header1 23" xfId="1135" xr:uid="{00000000-0005-0000-0000-0000EF0A0000}"/>
    <cellStyle name="Header1 24" xfId="1136" xr:uid="{00000000-0005-0000-0000-0000F00A0000}"/>
    <cellStyle name="Header1 25" xfId="1137" xr:uid="{00000000-0005-0000-0000-0000F10A0000}"/>
    <cellStyle name="Header1 26" xfId="1138" xr:uid="{00000000-0005-0000-0000-0000F20A0000}"/>
    <cellStyle name="Header1 27" xfId="1139" xr:uid="{00000000-0005-0000-0000-0000F30A0000}"/>
    <cellStyle name="Header1 28" xfId="1140" xr:uid="{00000000-0005-0000-0000-0000F40A0000}"/>
    <cellStyle name="Header1 29" xfId="1141" xr:uid="{00000000-0005-0000-0000-0000F50A0000}"/>
    <cellStyle name="Header1 3" xfId="1142" xr:uid="{00000000-0005-0000-0000-0000F60A0000}"/>
    <cellStyle name="Header1 30" xfId="1143" xr:uid="{00000000-0005-0000-0000-0000F70A0000}"/>
    <cellStyle name="Header1 31" xfId="1144" xr:uid="{00000000-0005-0000-0000-0000F80A0000}"/>
    <cellStyle name="Header1 32" xfId="1145" xr:uid="{00000000-0005-0000-0000-0000F90A0000}"/>
    <cellStyle name="Header1 33" xfId="1146" xr:uid="{00000000-0005-0000-0000-0000FA0A0000}"/>
    <cellStyle name="Header1 34" xfId="1147" xr:uid="{00000000-0005-0000-0000-0000FB0A0000}"/>
    <cellStyle name="Header1 35" xfId="1148" xr:uid="{00000000-0005-0000-0000-0000FC0A0000}"/>
    <cellStyle name="Header1 36" xfId="1149" xr:uid="{00000000-0005-0000-0000-0000FD0A0000}"/>
    <cellStyle name="Header1 37" xfId="1150" xr:uid="{00000000-0005-0000-0000-0000FE0A0000}"/>
    <cellStyle name="Header1 38" xfId="1151" xr:uid="{00000000-0005-0000-0000-0000FF0A0000}"/>
    <cellStyle name="Header1 39" xfId="1152" xr:uid="{00000000-0005-0000-0000-0000000B0000}"/>
    <cellStyle name="Header1 4" xfId="1153" xr:uid="{00000000-0005-0000-0000-0000010B0000}"/>
    <cellStyle name="Header1 40" xfId="1154" xr:uid="{00000000-0005-0000-0000-0000020B0000}"/>
    <cellStyle name="Header1 5" xfId="1155" xr:uid="{00000000-0005-0000-0000-0000030B0000}"/>
    <cellStyle name="Header1 6" xfId="1156" xr:uid="{00000000-0005-0000-0000-0000040B0000}"/>
    <cellStyle name="Header1 7" xfId="1157" xr:uid="{00000000-0005-0000-0000-0000050B0000}"/>
    <cellStyle name="Header1 8" xfId="1158" xr:uid="{00000000-0005-0000-0000-0000060B0000}"/>
    <cellStyle name="Header1 9" xfId="1159" xr:uid="{00000000-0005-0000-0000-0000070B0000}"/>
    <cellStyle name="Header2" xfId="1160" xr:uid="{00000000-0005-0000-0000-0000080B0000}"/>
    <cellStyle name="Header2 10" xfId="1161" xr:uid="{00000000-0005-0000-0000-0000090B0000}"/>
    <cellStyle name="Header2 11" xfId="1162" xr:uid="{00000000-0005-0000-0000-00000A0B0000}"/>
    <cellStyle name="Header2 12" xfId="1163" xr:uid="{00000000-0005-0000-0000-00000B0B0000}"/>
    <cellStyle name="Header2 13" xfId="1164" xr:uid="{00000000-0005-0000-0000-00000C0B0000}"/>
    <cellStyle name="Header2 14" xfId="1165" xr:uid="{00000000-0005-0000-0000-00000D0B0000}"/>
    <cellStyle name="Header2 15" xfId="1166" xr:uid="{00000000-0005-0000-0000-00000E0B0000}"/>
    <cellStyle name="Header2 16" xfId="1167" xr:uid="{00000000-0005-0000-0000-00000F0B0000}"/>
    <cellStyle name="Header2 17" xfId="1168" xr:uid="{00000000-0005-0000-0000-0000100B0000}"/>
    <cellStyle name="Header2 18" xfId="1169" xr:uid="{00000000-0005-0000-0000-0000110B0000}"/>
    <cellStyle name="Header2 19" xfId="1170" xr:uid="{00000000-0005-0000-0000-0000120B0000}"/>
    <cellStyle name="Header2 2" xfId="1171" xr:uid="{00000000-0005-0000-0000-0000130B0000}"/>
    <cellStyle name="Header2 20" xfId="1172" xr:uid="{00000000-0005-0000-0000-0000140B0000}"/>
    <cellStyle name="Header2 21" xfId="1173" xr:uid="{00000000-0005-0000-0000-0000150B0000}"/>
    <cellStyle name="Header2 22" xfId="1174" xr:uid="{00000000-0005-0000-0000-0000160B0000}"/>
    <cellStyle name="Header2 23" xfId="1175" xr:uid="{00000000-0005-0000-0000-0000170B0000}"/>
    <cellStyle name="Header2 24" xfId="1176" xr:uid="{00000000-0005-0000-0000-0000180B0000}"/>
    <cellStyle name="Header2 25" xfId="1177" xr:uid="{00000000-0005-0000-0000-0000190B0000}"/>
    <cellStyle name="Header2 26" xfId="1178" xr:uid="{00000000-0005-0000-0000-00001A0B0000}"/>
    <cellStyle name="Header2 27" xfId="1179" xr:uid="{00000000-0005-0000-0000-00001B0B0000}"/>
    <cellStyle name="Header2 28" xfId="1180" xr:uid="{00000000-0005-0000-0000-00001C0B0000}"/>
    <cellStyle name="Header2 29" xfId="1181" xr:uid="{00000000-0005-0000-0000-00001D0B0000}"/>
    <cellStyle name="Header2 3" xfId="1182" xr:uid="{00000000-0005-0000-0000-00001E0B0000}"/>
    <cellStyle name="Header2 30" xfId="1183" xr:uid="{00000000-0005-0000-0000-00001F0B0000}"/>
    <cellStyle name="Header2 31" xfId="1184" xr:uid="{00000000-0005-0000-0000-0000200B0000}"/>
    <cellStyle name="Header2 32" xfId="1185" xr:uid="{00000000-0005-0000-0000-0000210B0000}"/>
    <cellStyle name="Header2 33" xfId="1186" xr:uid="{00000000-0005-0000-0000-0000220B0000}"/>
    <cellStyle name="Header2 34" xfId="1187" xr:uid="{00000000-0005-0000-0000-0000230B0000}"/>
    <cellStyle name="Header2 35" xfId="1188" xr:uid="{00000000-0005-0000-0000-0000240B0000}"/>
    <cellStyle name="Header2 36" xfId="1189" xr:uid="{00000000-0005-0000-0000-0000250B0000}"/>
    <cellStyle name="Header2 37" xfId="1190" xr:uid="{00000000-0005-0000-0000-0000260B0000}"/>
    <cellStyle name="Header2 38" xfId="1191" xr:uid="{00000000-0005-0000-0000-0000270B0000}"/>
    <cellStyle name="Header2 39" xfId="1192" xr:uid="{00000000-0005-0000-0000-0000280B0000}"/>
    <cellStyle name="Header2 4" xfId="1193" xr:uid="{00000000-0005-0000-0000-0000290B0000}"/>
    <cellStyle name="Header2 40" xfId="1194" xr:uid="{00000000-0005-0000-0000-00002A0B0000}"/>
    <cellStyle name="Header2 41" xfId="1195" xr:uid="{00000000-0005-0000-0000-00002B0B0000}"/>
    <cellStyle name="Header2 5" xfId="1196" xr:uid="{00000000-0005-0000-0000-00002C0B0000}"/>
    <cellStyle name="Header2 6" xfId="1197" xr:uid="{00000000-0005-0000-0000-00002D0B0000}"/>
    <cellStyle name="Header2 7" xfId="1198" xr:uid="{00000000-0005-0000-0000-00002E0B0000}"/>
    <cellStyle name="Header2 8" xfId="1199" xr:uid="{00000000-0005-0000-0000-00002F0B0000}"/>
    <cellStyle name="Header2 9" xfId="1200" xr:uid="{00000000-0005-0000-0000-0000300B0000}"/>
    <cellStyle name="Heading 1" xfId="59" xr:uid="{00000000-0005-0000-0000-0000310B0000}"/>
    <cellStyle name="Heading 1 2" xfId="5059" xr:uid="{00000000-0005-0000-0000-0000320B0000}"/>
    <cellStyle name="Heading 1 Above" xfId="5060" xr:uid="{00000000-0005-0000-0000-0000330B0000}"/>
    <cellStyle name="Heading 1+" xfId="5061" xr:uid="{00000000-0005-0000-0000-0000340B0000}"/>
    <cellStyle name="Heading 2" xfId="60" xr:uid="{00000000-0005-0000-0000-0000350B0000}"/>
    <cellStyle name="Heading 2 2" xfId="5062" xr:uid="{00000000-0005-0000-0000-0000360B0000}"/>
    <cellStyle name="Heading 2 Below" xfId="5063" xr:uid="{00000000-0005-0000-0000-0000370B0000}"/>
    <cellStyle name="Heading 2+" xfId="5064" xr:uid="{00000000-0005-0000-0000-0000380B0000}"/>
    <cellStyle name="Heading 3" xfId="61" xr:uid="{00000000-0005-0000-0000-0000390B0000}"/>
    <cellStyle name="Heading 3 2" xfId="1201" xr:uid="{00000000-0005-0000-0000-00003A0B0000}"/>
    <cellStyle name="Heading 3 3" xfId="1202" xr:uid="{00000000-0005-0000-0000-00003B0B0000}"/>
    <cellStyle name="Heading 3 4" xfId="1203" xr:uid="{00000000-0005-0000-0000-00003C0B0000}"/>
    <cellStyle name="Heading 3 5" xfId="1204" xr:uid="{00000000-0005-0000-0000-00003D0B0000}"/>
    <cellStyle name="Heading 3 6" xfId="1205" xr:uid="{00000000-0005-0000-0000-00003E0B0000}"/>
    <cellStyle name="Heading 3+" xfId="5065" xr:uid="{00000000-0005-0000-0000-00003F0B0000}"/>
    <cellStyle name="Heading 4" xfId="62" xr:uid="{00000000-0005-0000-0000-0000400B0000}"/>
    <cellStyle name="Heading1" xfId="1206" xr:uid="{00000000-0005-0000-0000-0000410B0000}"/>
    <cellStyle name="Heading1 2" xfId="1207" xr:uid="{00000000-0005-0000-0000-0000420B0000}"/>
    <cellStyle name="Heading2" xfId="1208" xr:uid="{00000000-0005-0000-0000-0000430B0000}"/>
    <cellStyle name="Heading2 2" xfId="1209" xr:uid="{00000000-0005-0000-0000-0000440B0000}"/>
    <cellStyle name="HEADINGS" xfId="1210" xr:uid="{00000000-0005-0000-0000-0000450B0000}"/>
    <cellStyle name="HIGHLIGHT" xfId="1211" xr:uid="{00000000-0005-0000-0000-0000460B0000}"/>
    <cellStyle name="Hiperlink 2" xfId="4906" xr:uid="{00000000-0005-0000-0000-0000480B0000}"/>
    <cellStyle name="Hipervínculo" xfId="5066" xr:uid="{00000000-0005-0000-0000-0000490B0000}"/>
    <cellStyle name="Hyperlink" xfId="63" builtinId="8"/>
    <cellStyle name="Hyperlink 2" xfId="1212" xr:uid="{00000000-0005-0000-0000-00004A0B0000}"/>
    <cellStyle name="Hyperlink 2 2" xfId="1213" xr:uid="{00000000-0005-0000-0000-00004B0B0000}"/>
    <cellStyle name="Incorrecto" xfId="1214" xr:uid="{00000000-0005-0000-0000-00004C0B0000}"/>
    <cellStyle name="Incorreto" xfId="64" xr:uid="{00000000-0005-0000-0000-00004D0B0000}"/>
    <cellStyle name="Incorreto 10" xfId="5554" xr:uid="{00000000-0005-0000-0000-00004E0B0000}"/>
    <cellStyle name="Incorreto 11" xfId="5538" xr:uid="{00000000-0005-0000-0000-00004F0B0000}"/>
    <cellStyle name="Incorreto 12" xfId="5557" xr:uid="{00000000-0005-0000-0000-0000500B0000}"/>
    <cellStyle name="Incorreto 13" xfId="5531" xr:uid="{00000000-0005-0000-0000-0000510B0000}"/>
    <cellStyle name="Incorreto 14" xfId="5564" xr:uid="{00000000-0005-0000-0000-0000520B0000}"/>
    <cellStyle name="Incorreto 15" xfId="5723" xr:uid="{00000000-0005-0000-0000-0000530B0000}"/>
    <cellStyle name="Incorreto 16" xfId="5710" xr:uid="{00000000-0005-0000-0000-0000540B0000}"/>
    <cellStyle name="Incorreto 2" xfId="5067" xr:uid="{00000000-0005-0000-0000-0000550B0000}"/>
    <cellStyle name="Incorreto 2 2" xfId="6856" xr:uid="{00000000-0005-0000-0000-0000560B0000}"/>
    <cellStyle name="Incorreto 2 2 2" xfId="6857" xr:uid="{00000000-0005-0000-0000-0000570B0000}"/>
    <cellStyle name="Incorreto 2 2 2 2" xfId="6858" xr:uid="{00000000-0005-0000-0000-0000580B0000}"/>
    <cellStyle name="Incorreto 2 2 2 2 2" xfId="6859" xr:uid="{00000000-0005-0000-0000-0000590B0000}"/>
    <cellStyle name="Incorreto 2 2 2 2 2 2" xfId="6860" xr:uid="{00000000-0005-0000-0000-00005A0B0000}"/>
    <cellStyle name="Incorreto 2 2 2 2 2 2 2" xfId="6861" xr:uid="{00000000-0005-0000-0000-00005B0B0000}"/>
    <cellStyle name="Incorreto 2 2 2 2 2 2 2 2" xfId="6862" xr:uid="{00000000-0005-0000-0000-00005C0B0000}"/>
    <cellStyle name="Incorreto 2 2 2 2 2 2 3" xfId="6863" xr:uid="{00000000-0005-0000-0000-00005D0B0000}"/>
    <cellStyle name="Incorreto 2 2 2 2 2 3" xfId="6864" xr:uid="{00000000-0005-0000-0000-00005E0B0000}"/>
    <cellStyle name="Incorreto 2 2 2 2 2 3 2" xfId="6865" xr:uid="{00000000-0005-0000-0000-00005F0B0000}"/>
    <cellStyle name="Incorreto 2 2 2 2 3" xfId="6866" xr:uid="{00000000-0005-0000-0000-0000600B0000}"/>
    <cellStyle name="Incorreto 2 2 2 2 3 2" xfId="6867" xr:uid="{00000000-0005-0000-0000-0000610B0000}"/>
    <cellStyle name="Incorreto 2 2 2 3" xfId="6868" xr:uid="{00000000-0005-0000-0000-0000620B0000}"/>
    <cellStyle name="Incorreto 2 2 2 4" xfId="6869" xr:uid="{00000000-0005-0000-0000-0000630B0000}"/>
    <cellStyle name="Incorreto 2 2 2 4 2" xfId="6870" xr:uid="{00000000-0005-0000-0000-0000640B0000}"/>
    <cellStyle name="Incorreto 2 2 3" xfId="6871" xr:uid="{00000000-0005-0000-0000-0000650B0000}"/>
    <cellStyle name="Incorreto 2 2 4" xfId="6872" xr:uid="{00000000-0005-0000-0000-0000660B0000}"/>
    <cellStyle name="Incorreto 2 2 4 2" xfId="6873" xr:uid="{00000000-0005-0000-0000-0000670B0000}"/>
    <cellStyle name="Incorreto 2 3" xfId="6874" xr:uid="{00000000-0005-0000-0000-0000680B0000}"/>
    <cellStyle name="Incorreto 2 4" xfId="6875" xr:uid="{00000000-0005-0000-0000-0000690B0000}"/>
    <cellStyle name="Incorreto 2 5" xfId="6876" xr:uid="{00000000-0005-0000-0000-00006A0B0000}"/>
    <cellStyle name="Incorreto 2 6" xfId="6877" xr:uid="{00000000-0005-0000-0000-00006B0B0000}"/>
    <cellStyle name="Incorreto 2 6 2" xfId="6878" xr:uid="{00000000-0005-0000-0000-00006C0B0000}"/>
    <cellStyle name="Incorreto 2 7" xfId="6855" xr:uid="{00000000-0005-0000-0000-00006D0B0000}"/>
    <cellStyle name="Incorreto 3" xfId="5277" xr:uid="{00000000-0005-0000-0000-00006E0B0000}"/>
    <cellStyle name="Incorreto 3 2" xfId="6880" xr:uid="{00000000-0005-0000-0000-00006F0B0000}"/>
    <cellStyle name="Incorreto 3 3" xfId="6881" xr:uid="{00000000-0005-0000-0000-0000700B0000}"/>
    <cellStyle name="Incorreto 3 4" xfId="6882" xr:uid="{00000000-0005-0000-0000-0000710B0000}"/>
    <cellStyle name="Incorreto 3 5" xfId="6879" xr:uid="{00000000-0005-0000-0000-0000720B0000}"/>
    <cellStyle name="Incorreto 4" xfId="5263" xr:uid="{00000000-0005-0000-0000-0000730B0000}"/>
    <cellStyle name="Incorreto 4 2" xfId="6884" xr:uid="{00000000-0005-0000-0000-0000740B0000}"/>
    <cellStyle name="Incorreto 4 3" xfId="6885" xr:uid="{00000000-0005-0000-0000-0000750B0000}"/>
    <cellStyle name="Incorreto 4 4" xfId="6883" xr:uid="{00000000-0005-0000-0000-0000760B0000}"/>
    <cellStyle name="Incorreto 5" xfId="5284" xr:uid="{00000000-0005-0000-0000-0000770B0000}"/>
    <cellStyle name="Incorreto 5 2" xfId="6887" xr:uid="{00000000-0005-0000-0000-0000780B0000}"/>
    <cellStyle name="Incorreto 5 3" xfId="6886" xr:uid="{00000000-0005-0000-0000-0000790B0000}"/>
    <cellStyle name="Incorreto 6" xfId="5256" xr:uid="{00000000-0005-0000-0000-00007A0B0000}"/>
    <cellStyle name="Incorreto 6 2" xfId="6889" xr:uid="{00000000-0005-0000-0000-00007B0B0000}"/>
    <cellStyle name="Incorreto 6 3" xfId="7363" xr:uid="{00000000-0005-0000-0000-00007C0B0000}"/>
    <cellStyle name="Incorreto 6 4" xfId="6888" xr:uid="{00000000-0005-0000-0000-00007D0B0000}"/>
    <cellStyle name="Incorreto 7" xfId="5292" xr:uid="{00000000-0005-0000-0000-00007E0B0000}"/>
    <cellStyle name="Incorreto 7 2" xfId="7364" xr:uid="{00000000-0005-0000-0000-00007F0B0000}"/>
    <cellStyle name="Incorreto 7 3" xfId="6890" xr:uid="{00000000-0005-0000-0000-0000800B0000}"/>
    <cellStyle name="Incorreto 8" xfId="5248" xr:uid="{00000000-0005-0000-0000-0000810B0000}"/>
    <cellStyle name="Incorreto 9" xfId="5300" xr:uid="{00000000-0005-0000-0000-0000820B0000}"/>
    <cellStyle name="Indefinido" xfId="5068" xr:uid="{00000000-0005-0000-0000-0000830B0000}"/>
    <cellStyle name="Input" xfId="65" xr:uid="{00000000-0005-0000-0000-0000840B0000}"/>
    <cellStyle name="Input [yellow]" xfId="1215" xr:uid="{00000000-0005-0000-0000-0000850B0000}"/>
    <cellStyle name="Input [yellow] 2" xfId="1216" xr:uid="{00000000-0005-0000-0000-0000860B0000}"/>
    <cellStyle name="Input [yellow] 3" xfId="1217" xr:uid="{00000000-0005-0000-0000-0000870B0000}"/>
    <cellStyle name="Input [yellow] 4" xfId="1218" xr:uid="{00000000-0005-0000-0000-0000880B0000}"/>
    <cellStyle name="Input 10" xfId="10528" xr:uid="{00000000-0005-0000-0000-0000890B0000}"/>
    <cellStyle name="Input 11" xfId="10530" xr:uid="{00000000-0005-0000-0000-00008A0B0000}"/>
    <cellStyle name="Input 12" xfId="10592" xr:uid="{00000000-0005-0000-0000-00008B0B0000}"/>
    <cellStyle name="Input 13" xfId="10515" xr:uid="{00000000-0005-0000-0000-00008C0B0000}"/>
    <cellStyle name="Input 14" xfId="10577" xr:uid="{00000000-0005-0000-0000-00008D0B0000}"/>
    <cellStyle name="Input 15" xfId="10527" xr:uid="{00000000-0005-0000-0000-00008E0B0000}"/>
    <cellStyle name="Input 16" xfId="10532" xr:uid="{00000000-0005-0000-0000-00008F0B0000}"/>
    <cellStyle name="Input 17" xfId="10596" xr:uid="{00000000-0005-0000-0000-0000900B0000}"/>
    <cellStyle name="Input 18" xfId="12261" xr:uid="{00000000-0005-0000-0000-0000910B0000}"/>
    <cellStyle name="Input 2" xfId="1219" xr:uid="{00000000-0005-0000-0000-0000920B0000}"/>
    <cellStyle name="Input 2 2" xfId="1220" xr:uid="{00000000-0005-0000-0000-0000930B0000}"/>
    <cellStyle name="Input 2 2 2" xfId="10519" xr:uid="{00000000-0005-0000-0000-0000940B0000}"/>
    <cellStyle name="Input 2 3" xfId="10518" xr:uid="{00000000-0005-0000-0000-0000950B0000}"/>
    <cellStyle name="Input 3" xfId="1221" xr:uid="{00000000-0005-0000-0000-0000960B0000}"/>
    <cellStyle name="Input 3 2" xfId="1222" xr:uid="{00000000-0005-0000-0000-0000970B0000}"/>
    <cellStyle name="Input 3 2 2" xfId="10521" xr:uid="{00000000-0005-0000-0000-0000980B0000}"/>
    <cellStyle name="Input 3 3" xfId="10520" xr:uid="{00000000-0005-0000-0000-0000990B0000}"/>
    <cellStyle name="Input 4" xfId="1223" xr:uid="{00000000-0005-0000-0000-00009A0B0000}"/>
    <cellStyle name="Input 4 2" xfId="10522" xr:uid="{00000000-0005-0000-0000-00009B0B0000}"/>
    <cellStyle name="Input 5" xfId="1224" xr:uid="{00000000-0005-0000-0000-00009C0B0000}"/>
    <cellStyle name="Input 5 2" xfId="10523" xr:uid="{00000000-0005-0000-0000-00009D0B0000}"/>
    <cellStyle name="Input 6" xfId="1225" xr:uid="{00000000-0005-0000-0000-00009E0B0000}"/>
    <cellStyle name="Input 6 2" xfId="10524" xr:uid="{00000000-0005-0000-0000-00009F0B0000}"/>
    <cellStyle name="Input 7" xfId="1226" xr:uid="{00000000-0005-0000-0000-0000A00B0000}"/>
    <cellStyle name="Input 7 2" xfId="10525" xr:uid="{00000000-0005-0000-0000-0000A10B0000}"/>
    <cellStyle name="Input 8" xfId="10517" xr:uid="{00000000-0005-0000-0000-0000A20B0000}"/>
    <cellStyle name="Input 9" xfId="10593" xr:uid="{00000000-0005-0000-0000-0000A30B0000}"/>
    <cellStyle name="Input Box" xfId="5069" xr:uid="{00000000-0005-0000-0000-0000A40B0000}"/>
    <cellStyle name="Input Currency" xfId="1227" xr:uid="{00000000-0005-0000-0000-0000A50B0000}"/>
    <cellStyle name="Input Currency 2" xfId="12262" xr:uid="{00000000-0005-0000-0000-0000A60B0000}"/>
    <cellStyle name="Input Date" xfId="1228" xr:uid="{00000000-0005-0000-0000-0000A70B0000}"/>
    <cellStyle name="Input Fixed [0]" xfId="1229" xr:uid="{00000000-0005-0000-0000-0000A80B0000}"/>
    <cellStyle name="Input Normal" xfId="1230" xr:uid="{00000000-0005-0000-0000-0000A90B0000}"/>
    <cellStyle name="Input Percent" xfId="1231" xr:uid="{00000000-0005-0000-0000-0000AA0B0000}"/>
    <cellStyle name="Input Percent [2]" xfId="1232" xr:uid="{00000000-0005-0000-0000-0000AB0B0000}"/>
    <cellStyle name="Input Percent_Consolidado Angola_Mineração_SDM" xfId="1233" xr:uid="{00000000-0005-0000-0000-0000AC0B0000}"/>
    <cellStyle name="Input Titles" xfId="1234" xr:uid="{00000000-0005-0000-0000-0000AD0B0000}"/>
    <cellStyle name="InputBlueFont" xfId="1235" xr:uid="{00000000-0005-0000-0000-0000AE0B0000}"/>
    <cellStyle name="Komma [0]_Blad1" xfId="1236" xr:uid="{00000000-0005-0000-0000-0000AF0B0000}"/>
    <cellStyle name="Komma_Blad1" xfId="1237" xr:uid="{00000000-0005-0000-0000-0000B00B0000}"/>
    <cellStyle name="left" xfId="1238" xr:uid="{00000000-0005-0000-0000-0000B10B0000}"/>
    <cellStyle name="leftStyle" xfId="5070" xr:uid="{00000000-0005-0000-0000-0000B20B0000}"/>
    <cellStyle name="leftStyle2" xfId="5071" xr:uid="{00000000-0005-0000-0000-0000B30B0000}"/>
    <cellStyle name="Linha" xfId="1239" xr:uid="{00000000-0005-0000-0000-0000B40B0000}"/>
    <cellStyle name="Linha 10" xfId="1240" xr:uid="{00000000-0005-0000-0000-0000B50B0000}"/>
    <cellStyle name="Linha 11" xfId="1241" xr:uid="{00000000-0005-0000-0000-0000B60B0000}"/>
    <cellStyle name="Linha 12" xfId="1242" xr:uid="{00000000-0005-0000-0000-0000B70B0000}"/>
    <cellStyle name="Linha 13" xfId="1243" xr:uid="{00000000-0005-0000-0000-0000B80B0000}"/>
    <cellStyle name="Linha 14" xfId="1244" xr:uid="{00000000-0005-0000-0000-0000B90B0000}"/>
    <cellStyle name="Linha 15" xfId="1245" xr:uid="{00000000-0005-0000-0000-0000BA0B0000}"/>
    <cellStyle name="Linha 16" xfId="1246" xr:uid="{00000000-0005-0000-0000-0000BB0B0000}"/>
    <cellStyle name="Linha 17" xfId="1247" xr:uid="{00000000-0005-0000-0000-0000BC0B0000}"/>
    <cellStyle name="Linha 18" xfId="1248" xr:uid="{00000000-0005-0000-0000-0000BD0B0000}"/>
    <cellStyle name="Linha 19" xfId="1249" xr:uid="{00000000-0005-0000-0000-0000BE0B0000}"/>
    <cellStyle name="Linha 2" xfId="1250" xr:uid="{00000000-0005-0000-0000-0000BF0B0000}"/>
    <cellStyle name="Linha 20" xfId="1251" xr:uid="{00000000-0005-0000-0000-0000C00B0000}"/>
    <cellStyle name="Linha 21" xfId="1252" xr:uid="{00000000-0005-0000-0000-0000C10B0000}"/>
    <cellStyle name="Linha 22" xfId="1253" xr:uid="{00000000-0005-0000-0000-0000C20B0000}"/>
    <cellStyle name="Linha 23" xfId="1254" xr:uid="{00000000-0005-0000-0000-0000C30B0000}"/>
    <cellStyle name="Linha 24" xfId="1255" xr:uid="{00000000-0005-0000-0000-0000C40B0000}"/>
    <cellStyle name="Linha 25" xfId="1256" xr:uid="{00000000-0005-0000-0000-0000C50B0000}"/>
    <cellStyle name="Linha 26" xfId="1257" xr:uid="{00000000-0005-0000-0000-0000C60B0000}"/>
    <cellStyle name="Linha 27" xfId="1258" xr:uid="{00000000-0005-0000-0000-0000C70B0000}"/>
    <cellStyle name="Linha 28" xfId="1259" xr:uid="{00000000-0005-0000-0000-0000C80B0000}"/>
    <cellStyle name="Linha 29" xfId="1260" xr:uid="{00000000-0005-0000-0000-0000C90B0000}"/>
    <cellStyle name="Linha 3" xfId="1261" xr:uid="{00000000-0005-0000-0000-0000CA0B0000}"/>
    <cellStyle name="Linha 30" xfId="1262" xr:uid="{00000000-0005-0000-0000-0000CB0B0000}"/>
    <cellStyle name="Linha 31" xfId="1263" xr:uid="{00000000-0005-0000-0000-0000CC0B0000}"/>
    <cellStyle name="Linha 32" xfId="1264" xr:uid="{00000000-0005-0000-0000-0000CD0B0000}"/>
    <cellStyle name="Linha 33" xfId="1265" xr:uid="{00000000-0005-0000-0000-0000CE0B0000}"/>
    <cellStyle name="Linha 34" xfId="1266" xr:uid="{00000000-0005-0000-0000-0000CF0B0000}"/>
    <cellStyle name="Linha 35" xfId="1267" xr:uid="{00000000-0005-0000-0000-0000D00B0000}"/>
    <cellStyle name="Linha 36" xfId="1268" xr:uid="{00000000-0005-0000-0000-0000D10B0000}"/>
    <cellStyle name="Linha 37" xfId="1269" xr:uid="{00000000-0005-0000-0000-0000D20B0000}"/>
    <cellStyle name="Linha 38" xfId="1270" xr:uid="{00000000-0005-0000-0000-0000D30B0000}"/>
    <cellStyle name="Linha 39" xfId="1271" xr:uid="{00000000-0005-0000-0000-0000D40B0000}"/>
    <cellStyle name="Linha 4" xfId="1272" xr:uid="{00000000-0005-0000-0000-0000D50B0000}"/>
    <cellStyle name="Linha 40" xfId="1273" xr:uid="{00000000-0005-0000-0000-0000D60B0000}"/>
    <cellStyle name="Linha 5" xfId="1274" xr:uid="{00000000-0005-0000-0000-0000D70B0000}"/>
    <cellStyle name="Linha 6" xfId="1275" xr:uid="{00000000-0005-0000-0000-0000D80B0000}"/>
    <cellStyle name="Linha 7" xfId="1276" xr:uid="{00000000-0005-0000-0000-0000D90B0000}"/>
    <cellStyle name="Linha 8" xfId="1277" xr:uid="{00000000-0005-0000-0000-0000DA0B0000}"/>
    <cellStyle name="Linha 9" xfId="1278" xr:uid="{00000000-0005-0000-0000-0000DB0B0000}"/>
    <cellStyle name="Link Currency (0)" xfId="5072" xr:uid="{00000000-0005-0000-0000-0000DC0B0000}"/>
    <cellStyle name="Link Currency (2)" xfId="5073" xr:uid="{00000000-0005-0000-0000-0000DD0B0000}"/>
    <cellStyle name="Link Units (0)" xfId="5074" xr:uid="{00000000-0005-0000-0000-0000DE0B0000}"/>
    <cellStyle name="Link Units (1)" xfId="5075" xr:uid="{00000000-0005-0000-0000-0000DF0B0000}"/>
    <cellStyle name="Link Units (2)" xfId="5076" xr:uid="{00000000-0005-0000-0000-0000E00B0000}"/>
    <cellStyle name="Linked Cell" xfId="66" xr:uid="{00000000-0005-0000-0000-0000E10B0000}"/>
    <cellStyle name="M" xfId="1279" xr:uid="{00000000-0005-0000-0000-0000E20B0000}"/>
    <cellStyle name="M 2" xfId="1280" xr:uid="{00000000-0005-0000-0000-0000E30B0000}"/>
    <cellStyle name="M 2 2" xfId="1281" xr:uid="{00000000-0005-0000-0000-0000E40B0000}"/>
    <cellStyle name="M 2 3" xfId="1282" xr:uid="{00000000-0005-0000-0000-0000E50B0000}"/>
    <cellStyle name="M 2 4" xfId="1283" xr:uid="{00000000-0005-0000-0000-0000E60B0000}"/>
    <cellStyle name="M 3" xfId="1284" xr:uid="{00000000-0005-0000-0000-0000E70B0000}"/>
    <cellStyle name="M 3 2" xfId="1285" xr:uid="{00000000-0005-0000-0000-0000E80B0000}"/>
    <cellStyle name="M 3 3" xfId="1286" xr:uid="{00000000-0005-0000-0000-0000E90B0000}"/>
    <cellStyle name="M 3 4" xfId="1287" xr:uid="{00000000-0005-0000-0000-0000EA0B0000}"/>
    <cellStyle name="M 4" xfId="1288" xr:uid="{00000000-0005-0000-0000-0000EB0B0000}"/>
    <cellStyle name="M 4 2" xfId="1289" xr:uid="{00000000-0005-0000-0000-0000EC0B0000}"/>
    <cellStyle name="M 4 3" xfId="1290" xr:uid="{00000000-0005-0000-0000-0000ED0B0000}"/>
    <cellStyle name="M 4 4" xfId="1291" xr:uid="{00000000-0005-0000-0000-0000EE0B0000}"/>
    <cellStyle name="M 5" xfId="1292" xr:uid="{00000000-0005-0000-0000-0000EF0B0000}"/>
    <cellStyle name="M 5 2" xfId="1293" xr:uid="{00000000-0005-0000-0000-0000F00B0000}"/>
    <cellStyle name="M 6" xfId="1294" xr:uid="{00000000-0005-0000-0000-0000F10B0000}"/>
    <cellStyle name="M 6 2" xfId="1295" xr:uid="{00000000-0005-0000-0000-0000F20B0000}"/>
    <cellStyle name="M 7" xfId="1296" xr:uid="{00000000-0005-0000-0000-0000F30B0000}"/>
    <cellStyle name="M 7 2" xfId="1297" xr:uid="{00000000-0005-0000-0000-0000F40B0000}"/>
    <cellStyle name="M 8" xfId="1298" xr:uid="{00000000-0005-0000-0000-0000F50B0000}"/>
    <cellStyle name="M 9" xfId="1299" xr:uid="{00000000-0005-0000-0000-0000F60B0000}"/>
    <cellStyle name="M_Braskem balanço e dre" xfId="1300" xr:uid="{00000000-0005-0000-0000-0000F70B0000}"/>
    <cellStyle name="M_Braskem balanço e dre 2" xfId="1301" xr:uid="{00000000-0005-0000-0000-0000F80B0000}"/>
    <cellStyle name="M_Braskem balanço e dre 2 2" xfId="1302" xr:uid="{00000000-0005-0000-0000-0000F90B0000}"/>
    <cellStyle name="M_Braskem balanço e dre 3" xfId="1303" xr:uid="{00000000-0005-0000-0000-0000FA0B0000}"/>
    <cellStyle name="M_Braskem balanço e dre 4" xfId="1304" xr:uid="{00000000-0005-0000-0000-0000FB0B0000}"/>
    <cellStyle name="M_Braskem balanço e dre_Novos quadros - SBSA" xfId="1305" xr:uid="{00000000-0005-0000-0000-0000FC0B0000}"/>
    <cellStyle name="M_Braskem balanço e dre_Novos quadros - SBSA 2" xfId="1306" xr:uid="{00000000-0005-0000-0000-0000FD0B0000}"/>
    <cellStyle name="M_Braskem balanço e dre_Novos quadros - SBSA 2 2" xfId="1307" xr:uid="{00000000-0005-0000-0000-0000FE0B0000}"/>
    <cellStyle name="M_Braskem balanço e dre_Novos quadros - SBSA 3" xfId="1308" xr:uid="{00000000-0005-0000-0000-0000FF0B0000}"/>
    <cellStyle name="M_Braskem balanço e dre_ODB_Quadros_ 8ª versão" xfId="1309" xr:uid="{00000000-0005-0000-0000-0000000C0000}"/>
    <cellStyle name="M_Braskem balanço e dre_ODB_Quadros_ 8ª versão 2" xfId="1310" xr:uid="{00000000-0005-0000-0000-0000010C0000}"/>
    <cellStyle name="M_Braskem balanço e dre_ODB_Quadros_ 8ª versão 2 2" xfId="1311" xr:uid="{00000000-0005-0000-0000-0000020C0000}"/>
    <cellStyle name="M_Braskem balanço e dre_ODB_Quadros_ 8ª versão 3" xfId="1312" xr:uid="{00000000-0005-0000-0000-0000030C0000}"/>
    <cellStyle name="M_Braskem balanço e dre_Quadros Relat PwC Jaguaribe dez08 e dez07 v1" xfId="1313" xr:uid="{00000000-0005-0000-0000-0000040C0000}"/>
    <cellStyle name="M_Braskem balanço e dre_Quadros Relat PwC Jaguaribe dez08 e dez07 v1 2" xfId="1314" xr:uid="{00000000-0005-0000-0000-0000050C0000}"/>
    <cellStyle name="M_Braskem balanço e dre_Quadros Relat PwC Jaguaribe dez08 e dez07 v1 2 2" xfId="1315" xr:uid="{00000000-0005-0000-0000-0000060C0000}"/>
    <cellStyle name="M_Braskem balanço e dre_Quadros Relat PwC Jaguaribe dez08 e dez07 v1 3" xfId="1316" xr:uid="{00000000-0005-0000-0000-0000070C0000}"/>
    <cellStyle name="M_Ced. 6 - Mapa DOAR 2006 e 2007_controladora" xfId="1317" xr:uid="{00000000-0005-0000-0000-0000080C0000}"/>
    <cellStyle name="M_Ced. 6 - Mapa DOAR 2006 e 2007_controladora 2" xfId="1318" xr:uid="{00000000-0005-0000-0000-0000090C0000}"/>
    <cellStyle name="M_Ced. 6 - Mapa DOAR 2006 e 2007_controladora 2 2" xfId="1319" xr:uid="{00000000-0005-0000-0000-00000A0C0000}"/>
    <cellStyle name="M_Ced. 6 - Mapa DOAR 2006 e 2007_controladora 3" xfId="1320" xr:uid="{00000000-0005-0000-0000-00000B0C0000}"/>
    <cellStyle name="M_Ced. 6 - Mapa DOAR 2006 e 2007_controladora 4" xfId="1321" xr:uid="{00000000-0005-0000-0000-00000C0C0000}"/>
    <cellStyle name="M_Consolidado Angola_Mineração_Com_2007" xfId="1322" xr:uid="{00000000-0005-0000-0000-00000D0C0000}"/>
    <cellStyle name="M_Consolidado Angola_Mineração_Com_2007 2" xfId="1323" xr:uid="{00000000-0005-0000-0000-00000E0C0000}"/>
    <cellStyle name="M_Consolidado Angola_Mineração_Com_2007 3" xfId="1324" xr:uid="{00000000-0005-0000-0000-00000F0C0000}"/>
    <cellStyle name="M_Consolidado Angola_Mineração_Com_2007 4" xfId="1325" xr:uid="{00000000-0005-0000-0000-0000100C0000}"/>
    <cellStyle name="M_Consolidado Angola_Outros_com_2007" xfId="1326" xr:uid="{00000000-0005-0000-0000-0000110C0000}"/>
    <cellStyle name="M_Consolidado Angola_Outros_com_2007 2" xfId="1327" xr:uid="{00000000-0005-0000-0000-0000120C0000}"/>
    <cellStyle name="M_Consolidado Angola_Outros_com_2007 3" xfId="1328" xr:uid="{00000000-0005-0000-0000-0000130C0000}"/>
    <cellStyle name="M_Consolidado Angola_Outros_com_2007 4" xfId="1329" xr:uid="{00000000-0005-0000-0000-0000140C0000}"/>
    <cellStyle name="M_Cópia de QUADROS ACOMPANHAMENTO OEI 06_08_Diplan final" xfId="1330" xr:uid="{00000000-0005-0000-0000-0000150C0000}"/>
    <cellStyle name="M_Cópia de QUADROS ACOMPANHAMENTO OEI 06_08_Diplan final 2" xfId="1331" xr:uid="{00000000-0005-0000-0000-0000160C0000}"/>
    <cellStyle name="M_Cópia de QUADROS ACOMPANHAMENTO OEI 06_08_Diplan final 2 2" xfId="1332" xr:uid="{00000000-0005-0000-0000-0000170C0000}"/>
    <cellStyle name="M_Cópia de QUADROS ACOMPANHAMENTO OEI 06_08_Diplan final 2 3" xfId="1333" xr:uid="{00000000-0005-0000-0000-0000180C0000}"/>
    <cellStyle name="M_Cópia de QUADROS ACOMPANHAMENTO OEI 06_08_Diplan final 2 4" xfId="1334" xr:uid="{00000000-0005-0000-0000-0000190C0000}"/>
    <cellStyle name="M_Cópia de QUADROS ACOMPANHAMENTO OEI 06_08_Diplan final 3" xfId="1335" xr:uid="{00000000-0005-0000-0000-00001A0C0000}"/>
    <cellStyle name="M_Cópia de QUADROS ACOMPANHAMENTO OEI 06_08_Diplan final 4" xfId="1336" xr:uid="{00000000-0005-0000-0000-00001B0C0000}"/>
    <cellStyle name="M_Cópia de QUADROS ACOMPANHAMENTO OEI 06_08_Diplan final 5" xfId="1337" xr:uid="{00000000-0005-0000-0000-00001C0C0000}"/>
    <cellStyle name="M_Dados PN 2006" xfId="1338" xr:uid="{00000000-0005-0000-0000-00001D0C0000}"/>
    <cellStyle name="M_Dados PN 2006 2" xfId="1339" xr:uid="{00000000-0005-0000-0000-00001E0C0000}"/>
    <cellStyle name="M_Dados PN 2006 3" xfId="1340" xr:uid="{00000000-0005-0000-0000-00001F0C0000}"/>
    <cellStyle name="M_Dados PN 2006 4" xfId="1341" xr:uid="{00000000-0005-0000-0000-0000200C0000}"/>
    <cellStyle name="M_Dados PN 2006_Consolidado Angola_Mineração_Com_2007" xfId="1342" xr:uid="{00000000-0005-0000-0000-0000210C0000}"/>
    <cellStyle name="M_Dados PN 2006_Consolidado Angola_Mineração_Com_2007 2" xfId="1343" xr:uid="{00000000-0005-0000-0000-0000220C0000}"/>
    <cellStyle name="M_Dados PN 2006_Consolidado Angola_Mineração_Com_2007 3" xfId="1344" xr:uid="{00000000-0005-0000-0000-0000230C0000}"/>
    <cellStyle name="M_Dados PN 2006_Consolidado Angola_Mineração_Com_2007 4" xfId="1345" xr:uid="{00000000-0005-0000-0000-0000240C0000}"/>
    <cellStyle name="M_Dados PN 2006_Consolidado Angola_Outros_com_2007" xfId="1346" xr:uid="{00000000-0005-0000-0000-0000250C0000}"/>
    <cellStyle name="M_Dados PN 2006_Consolidado Angola_Outros_com_2007 2" xfId="1347" xr:uid="{00000000-0005-0000-0000-0000260C0000}"/>
    <cellStyle name="M_Dados PN 2006_Consolidado Angola_Outros_com_2007 3" xfId="1348" xr:uid="{00000000-0005-0000-0000-0000270C0000}"/>
    <cellStyle name="M_Dados PN 2006_Consolidado Angola_Outros_com_2007 4" xfId="1349" xr:uid="{00000000-0005-0000-0000-0000280C0000}"/>
    <cellStyle name="M_Dados PN 2006_Mascara Relatorio 2008 - Cópia" xfId="1350" xr:uid="{00000000-0005-0000-0000-0000290C0000}"/>
    <cellStyle name="M_Dados PN 2006_Mascara Relatorio 2008 - Cópia 2" xfId="1351" xr:uid="{00000000-0005-0000-0000-00002A0C0000}"/>
    <cellStyle name="M_Dados PN 2006_Mascara Relatorio 2008 - Cópia 3" xfId="1352" xr:uid="{00000000-0005-0000-0000-00002B0C0000}"/>
    <cellStyle name="M_Dados PN 2006_Mascara Relatorio 2008 - Cópia 4" xfId="1353" xr:uid="{00000000-0005-0000-0000-00002C0C0000}"/>
    <cellStyle name="M_Fechamento 2008_OEA" xfId="1354" xr:uid="{00000000-0005-0000-0000-00002D0C0000}"/>
    <cellStyle name="M_Fechamento 2008_OEA 2" xfId="1355" xr:uid="{00000000-0005-0000-0000-00002E0C0000}"/>
    <cellStyle name="M_Fechamento 2008_OEA 2 2" xfId="1356" xr:uid="{00000000-0005-0000-0000-00002F0C0000}"/>
    <cellStyle name="M_Fechamento 2008_OEA 2 3" xfId="1357" xr:uid="{00000000-0005-0000-0000-0000300C0000}"/>
    <cellStyle name="M_Fechamento 2008_OEA 2 4" xfId="1358" xr:uid="{00000000-0005-0000-0000-0000310C0000}"/>
    <cellStyle name="M_Fechamento 2008_OEA 3" xfId="1359" xr:uid="{00000000-0005-0000-0000-0000320C0000}"/>
    <cellStyle name="M_Fechamento 2008_OEA 4" xfId="1360" xr:uid="{00000000-0005-0000-0000-0000330C0000}"/>
    <cellStyle name="M_Fechamento 2008_OEA 5" xfId="1361" xr:uid="{00000000-0005-0000-0000-0000340C0000}"/>
    <cellStyle name="M_Mascara Relatorio 2008 - Cópia" xfId="1362" xr:uid="{00000000-0005-0000-0000-0000350C0000}"/>
    <cellStyle name="M_Mascara Relatorio 2008 - Cópia 2" xfId="1363" xr:uid="{00000000-0005-0000-0000-0000360C0000}"/>
    <cellStyle name="M_Mascara Relatorio 2008 - Cópia 3" xfId="1364" xr:uid="{00000000-0005-0000-0000-0000370C0000}"/>
    <cellStyle name="M_Mascara Relatorio 2008 - Cópia 4" xfId="1365" xr:uid="{00000000-0005-0000-0000-0000380C0000}"/>
    <cellStyle name="M_MEQ_rodada 08" xfId="1366" xr:uid="{00000000-0005-0000-0000-0000390C0000}"/>
    <cellStyle name="M_MEQ_rodada 08 2" xfId="1367" xr:uid="{00000000-0005-0000-0000-00003A0C0000}"/>
    <cellStyle name="M_MEQ_rodada 08 3" xfId="1368" xr:uid="{00000000-0005-0000-0000-00003B0C0000}"/>
    <cellStyle name="M_MEQ_rodada 08 4" xfId="1369" xr:uid="{00000000-0005-0000-0000-00003C0C0000}"/>
    <cellStyle name="M_MEQ_rodada 08_Consolidado Angola_Mineração_Com_2007" xfId="1370" xr:uid="{00000000-0005-0000-0000-00003D0C0000}"/>
    <cellStyle name="M_MEQ_rodada 08_Consolidado Angola_Mineração_Com_2007 2" xfId="1371" xr:uid="{00000000-0005-0000-0000-00003E0C0000}"/>
    <cellStyle name="M_MEQ_rodada 08_Consolidado Angola_Mineração_Com_2007 3" xfId="1372" xr:uid="{00000000-0005-0000-0000-00003F0C0000}"/>
    <cellStyle name="M_MEQ_rodada 08_Consolidado Angola_Mineração_Com_2007 4" xfId="1373" xr:uid="{00000000-0005-0000-0000-0000400C0000}"/>
    <cellStyle name="M_MEQ_rodada 08_Consolidado Angola_Outros_com_2007" xfId="1374" xr:uid="{00000000-0005-0000-0000-0000410C0000}"/>
    <cellStyle name="M_MEQ_rodada 08_Consolidado Angola_Outros_com_2007 2" xfId="1375" xr:uid="{00000000-0005-0000-0000-0000420C0000}"/>
    <cellStyle name="M_MEQ_rodada 08_Consolidado Angola_Outros_com_2007 3" xfId="1376" xr:uid="{00000000-0005-0000-0000-0000430C0000}"/>
    <cellStyle name="M_MEQ_rodada 08_Consolidado Angola_Outros_com_2007 4" xfId="1377" xr:uid="{00000000-0005-0000-0000-0000440C0000}"/>
    <cellStyle name="M_MEQ_rodada 08_Mascara Relatorio 2008 - Cópia" xfId="1378" xr:uid="{00000000-0005-0000-0000-0000450C0000}"/>
    <cellStyle name="M_MEQ_rodada 08_Mascara Relatorio 2008 - Cópia 2" xfId="1379" xr:uid="{00000000-0005-0000-0000-0000460C0000}"/>
    <cellStyle name="M_MEQ_rodada 08_Mascara Relatorio 2008 - Cópia 3" xfId="1380" xr:uid="{00000000-0005-0000-0000-0000470C0000}"/>
    <cellStyle name="M_MEQ_rodada 08_Mascara Relatorio 2008 - Cópia 4" xfId="1381" xr:uid="{00000000-0005-0000-0000-0000480C0000}"/>
    <cellStyle name="M_Nota 14 Forneced" xfId="1382" xr:uid="{00000000-0005-0000-0000-0000490C0000}"/>
    <cellStyle name="M_Nota 14 Forneced 2" xfId="1383" xr:uid="{00000000-0005-0000-0000-00004A0C0000}"/>
    <cellStyle name="M_Nota 14 Forneced 2 2" xfId="1384" xr:uid="{00000000-0005-0000-0000-00004B0C0000}"/>
    <cellStyle name="M_Nota 14 Forneced 3" xfId="1385" xr:uid="{00000000-0005-0000-0000-00004C0C0000}"/>
    <cellStyle name="M_notas_complementares finais" xfId="1386" xr:uid="{00000000-0005-0000-0000-00004D0C0000}"/>
    <cellStyle name="M_notas_complementares finais 2" xfId="1387" xr:uid="{00000000-0005-0000-0000-00004E0C0000}"/>
    <cellStyle name="M_notas_complementares finais 2 2" xfId="1388" xr:uid="{00000000-0005-0000-0000-00004F0C0000}"/>
    <cellStyle name="M_notas_complementares finais 3" xfId="1389" xr:uid="{00000000-0005-0000-0000-0000500C0000}"/>
    <cellStyle name="M_notas_complementares finais 4" xfId="1390" xr:uid="{00000000-0005-0000-0000-0000510C0000}"/>
    <cellStyle name="M_notas_complementares finais_Novos quadros - SBSA" xfId="1391" xr:uid="{00000000-0005-0000-0000-0000520C0000}"/>
    <cellStyle name="M_notas_complementares finais_Novos quadros - SBSA 2" xfId="1392" xr:uid="{00000000-0005-0000-0000-0000530C0000}"/>
    <cellStyle name="M_notas_complementares finais_Novos quadros - SBSA 2 2" xfId="1393" xr:uid="{00000000-0005-0000-0000-0000540C0000}"/>
    <cellStyle name="M_notas_complementares finais_Novos quadros - SBSA 3" xfId="1394" xr:uid="{00000000-0005-0000-0000-0000550C0000}"/>
    <cellStyle name="M_notas_complementares finais_ODB_Quadros_ 8ª versão" xfId="1395" xr:uid="{00000000-0005-0000-0000-0000560C0000}"/>
    <cellStyle name="M_notas_complementares finais_ODB_Quadros_ 8ª versão 2" xfId="1396" xr:uid="{00000000-0005-0000-0000-0000570C0000}"/>
    <cellStyle name="M_notas_complementares finais_ODB_Quadros_ 8ª versão 2 2" xfId="1397" xr:uid="{00000000-0005-0000-0000-0000580C0000}"/>
    <cellStyle name="M_notas_complementares finais_ODB_Quadros_ 8ª versão 3" xfId="1398" xr:uid="{00000000-0005-0000-0000-0000590C0000}"/>
    <cellStyle name="M_notas_complementares finais_Quadros Relat PwC Jaguaribe dez08 e dez07 v1" xfId="1399" xr:uid="{00000000-0005-0000-0000-00005A0C0000}"/>
    <cellStyle name="M_notas_complementares finais_Quadros Relat PwC Jaguaribe dez08 e dez07 v1 2" xfId="1400" xr:uid="{00000000-0005-0000-0000-00005B0C0000}"/>
    <cellStyle name="M_notas_complementares finais_Quadros Relat PwC Jaguaribe dez08 e dez07 v1 2 2" xfId="1401" xr:uid="{00000000-0005-0000-0000-00005C0C0000}"/>
    <cellStyle name="M_notas_complementares finais_Quadros Relat PwC Jaguaribe dez08 e dez07 v1 3" xfId="1402" xr:uid="{00000000-0005-0000-0000-00005D0C0000}"/>
    <cellStyle name="M_Novos quadros - SBSA" xfId="1403" xr:uid="{00000000-0005-0000-0000-00005E0C0000}"/>
    <cellStyle name="M_Novos quadros - SBSA 2" xfId="1404" xr:uid="{00000000-0005-0000-0000-00005F0C0000}"/>
    <cellStyle name="M_Novos quadros - SBSA 2 2" xfId="1405" xr:uid="{00000000-0005-0000-0000-0000600C0000}"/>
    <cellStyle name="M_Novos quadros - SBSA 3" xfId="1406" xr:uid="{00000000-0005-0000-0000-0000610C0000}"/>
    <cellStyle name="M_ODB Consolidado - Quadros jun.05 II" xfId="1407" xr:uid="{00000000-0005-0000-0000-0000620C0000}"/>
    <cellStyle name="M_ODB Consolidado - Quadros jun.05 II 2" xfId="1408" xr:uid="{00000000-0005-0000-0000-0000630C0000}"/>
    <cellStyle name="M_ODB Consolidado - Quadros jun.05 II 2 2" xfId="1409" xr:uid="{00000000-0005-0000-0000-0000640C0000}"/>
    <cellStyle name="M_ODB Consolidado - Quadros jun.05 II 3" xfId="1410" xr:uid="{00000000-0005-0000-0000-0000650C0000}"/>
    <cellStyle name="M_ODB Consolidado - Quadros jun.05 II 4" xfId="1411" xr:uid="{00000000-0005-0000-0000-0000660C0000}"/>
    <cellStyle name="M_ODB Consolidado - Quadros jun.05 II_Novos quadros - SBSA" xfId="1412" xr:uid="{00000000-0005-0000-0000-0000670C0000}"/>
    <cellStyle name="M_ODB Consolidado - Quadros jun.05 II_Novos quadros - SBSA 2" xfId="1413" xr:uid="{00000000-0005-0000-0000-0000680C0000}"/>
    <cellStyle name="M_ODB Consolidado - Quadros jun.05 II_Novos quadros - SBSA 2 2" xfId="1414" xr:uid="{00000000-0005-0000-0000-0000690C0000}"/>
    <cellStyle name="M_ODB Consolidado - Quadros jun.05 II_Novos quadros - SBSA 3" xfId="1415" xr:uid="{00000000-0005-0000-0000-00006A0C0000}"/>
    <cellStyle name="M_ODB Consolidado - Quadros jun.05 II_ODB_Quadros_ 8ª versão" xfId="1416" xr:uid="{00000000-0005-0000-0000-00006B0C0000}"/>
    <cellStyle name="M_ODB Consolidado - Quadros jun.05 II_ODB_Quadros_ 8ª versão 2" xfId="1417" xr:uid="{00000000-0005-0000-0000-00006C0C0000}"/>
    <cellStyle name="M_ODB Consolidado - Quadros jun.05 II_ODB_Quadros_ 8ª versão 2 2" xfId="1418" xr:uid="{00000000-0005-0000-0000-00006D0C0000}"/>
    <cellStyle name="M_ODB Consolidado - Quadros jun.05 II_ODB_Quadros_ 8ª versão 3" xfId="1419" xr:uid="{00000000-0005-0000-0000-00006E0C0000}"/>
    <cellStyle name="M_ODB Consolidado - Quadros jun.05 II_Quadros Relat PwC Jaguaribe dez08 e dez07 v1" xfId="1420" xr:uid="{00000000-0005-0000-0000-00006F0C0000}"/>
    <cellStyle name="M_ODB Consolidado - Quadros jun.05 II_Quadros Relat PwC Jaguaribe dez08 e dez07 v1 2" xfId="1421" xr:uid="{00000000-0005-0000-0000-0000700C0000}"/>
    <cellStyle name="M_ODB Consolidado - Quadros jun.05 II_Quadros Relat PwC Jaguaribe dez08 e dez07 v1 2 2" xfId="1422" xr:uid="{00000000-0005-0000-0000-0000710C0000}"/>
    <cellStyle name="M_ODB Consolidado - Quadros jun.05 II_Quadros Relat PwC Jaguaribe dez08 e dez07 v1 3" xfId="1423" xr:uid="{00000000-0005-0000-0000-0000720C0000}"/>
    <cellStyle name="M_ODB Consolidado - Quadros Port_ jun_06" xfId="1424" xr:uid="{00000000-0005-0000-0000-0000730C0000}"/>
    <cellStyle name="M_ODB Consolidado - Quadros Port_ jun_06 2" xfId="1425" xr:uid="{00000000-0005-0000-0000-0000740C0000}"/>
    <cellStyle name="M_ODB Consolidado - Quadros Port_ jun_06 2 2" xfId="1426" xr:uid="{00000000-0005-0000-0000-0000750C0000}"/>
    <cellStyle name="M_ODB Consolidado - Quadros Port_ jun_06 3" xfId="1427" xr:uid="{00000000-0005-0000-0000-0000760C0000}"/>
    <cellStyle name="M_ODB Consolidado - Quadros Port_ jun_06 4" xfId="1428" xr:uid="{00000000-0005-0000-0000-0000770C0000}"/>
    <cellStyle name="M_ODB Consolidado - Quadros Port_ jun_06_Novos quadros - SBSA" xfId="1429" xr:uid="{00000000-0005-0000-0000-0000780C0000}"/>
    <cellStyle name="M_ODB Consolidado - Quadros Port_ jun_06_Novos quadros - SBSA 2" xfId="1430" xr:uid="{00000000-0005-0000-0000-0000790C0000}"/>
    <cellStyle name="M_ODB Consolidado - Quadros Port_ jun_06_Novos quadros - SBSA 2 2" xfId="1431" xr:uid="{00000000-0005-0000-0000-00007A0C0000}"/>
    <cellStyle name="M_ODB Consolidado - Quadros Port_ jun_06_Novos quadros - SBSA 3" xfId="1432" xr:uid="{00000000-0005-0000-0000-00007B0C0000}"/>
    <cellStyle name="M_ODB Consolidado - Quadros Port_ jun_06_ODB_Quadros_ 8ª versão" xfId="1433" xr:uid="{00000000-0005-0000-0000-00007C0C0000}"/>
    <cellStyle name="M_ODB Consolidado - Quadros Port_ jun_06_ODB_Quadros_ 8ª versão 2" xfId="1434" xr:uid="{00000000-0005-0000-0000-00007D0C0000}"/>
    <cellStyle name="M_ODB Consolidado - Quadros Port_ jun_06_ODB_Quadros_ 8ª versão 2 2" xfId="1435" xr:uid="{00000000-0005-0000-0000-00007E0C0000}"/>
    <cellStyle name="M_ODB Consolidado - Quadros Port_ jun_06_ODB_Quadros_ 8ª versão 3" xfId="1436" xr:uid="{00000000-0005-0000-0000-00007F0C0000}"/>
    <cellStyle name="M_ODB Consolidado - Quadros Port_ jun_06_Quadros Relat PwC Jaguaribe dez08 e dez07 v1" xfId="1437" xr:uid="{00000000-0005-0000-0000-0000800C0000}"/>
    <cellStyle name="M_ODB Consolidado - Quadros Port_ jun_06_Quadros Relat PwC Jaguaribe dez08 e dez07 v1 2" xfId="1438" xr:uid="{00000000-0005-0000-0000-0000810C0000}"/>
    <cellStyle name="M_ODB Consolidado - Quadros Port_ jun_06_Quadros Relat PwC Jaguaribe dez08 e dez07 v1 2 2" xfId="1439" xr:uid="{00000000-0005-0000-0000-0000820C0000}"/>
    <cellStyle name="M_ODB Consolidado - Quadros Port_ jun_06_Quadros Relat PwC Jaguaribe dez08 e dez07 v1 3" xfId="1440" xr:uid="{00000000-0005-0000-0000-0000830C0000}"/>
    <cellStyle name="M_ODB Consolidado - Quadros_ dez_06" xfId="1441" xr:uid="{00000000-0005-0000-0000-0000840C0000}"/>
    <cellStyle name="M_ODB Consolidado - Quadros_ dez_06 2" xfId="1442" xr:uid="{00000000-0005-0000-0000-0000850C0000}"/>
    <cellStyle name="M_ODB Consolidado - Quadros_ dez_06 2 2" xfId="1443" xr:uid="{00000000-0005-0000-0000-0000860C0000}"/>
    <cellStyle name="M_ODB Consolidado - Quadros_ dez_06 3" xfId="1444" xr:uid="{00000000-0005-0000-0000-0000870C0000}"/>
    <cellStyle name="M_ODB Consolidado - Quadros_ dez_06 4" xfId="1445" xr:uid="{00000000-0005-0000-0000-0000880C0000}"/>
    <cellStyle name="M_ODB Consolidado - Quadros_ jun_06" xfId="1446" xr:uid="{00000000-0005-0000-0000-0000890C0000}"/>
    <cellStyle name="M_ODB Consolidado - Quadros_ jun_06 2" xfId="1447" xr:uid="{00000000-0005-0000-0000-00008A0C0000}"/>
    <cellStyle name="M_ODB Consolidado - Quadros_ jun_06 2 2" xfId="1448" xr:uid="{00000000-0005-0000-0000-00008B0C0000}"/>
    <cellStyle name="M_ODB Consolidado - Quadros_ jun_06 3" xfId="1449" xr:uid="{00000000-0005-0000-0000-00008C0C0000}"/>
    <cellStyle name="M_ODB Consolidado - Quadros_ jun_06 4" xfId="1450" xr:uid="{00000000-0005-0000-0000-00008D0C0000}"/>
    <cellStyle name="M_ODB Consolidado - Quadros_ jun_06_Novos quadros - SBSA" xfId="1451" xr:uid="{00000000-0005-0000-0000-00008E0C0000}"/>
    <cellStyle name="M_ODB Consolidado - Quadros_ jun_06_Novos quadros - SBSA 2" xfId="1452" xr:uid="{00000000-0005-0000-0000-00008F0C0000}"/>
    <cellStyle name="M_ODB Consolidado - Quadros_ jun_06_Novos quadros - SBSA 2 2" xfId="1453" xr:uid="{00000000-0005-0000-0000-0000900C0000}"/>
    <cellStyle name="M_ODB Consolidado - Quadros_ jun_06_Novos quadros - SBSA 3" xfId="1454" xr:uid="{00000000-0005-0000-0000-0000910C0000}"/>
    <cellStyle name="M_ODB Consolidado - Quadros_ jun_06_ODB_Quadros_ 8ª versão" xfId="1455" xr:uid="{00000000-0005-0000-0000-0000920C0000}"/>
    <cellStyle name="M_ODB Consolidado - Quadros_ jun_06_ODB_Quadros_ 8ª versão 2" xfId="1456" xr:uid="{00000000-0005-0000-0000-0000930C0000}"/>
    <cellStyle name="M_ODB Consolidado - Quadros_ jun_06_ODB_Quadros_ 8ª versão 2 2" xfId="1457" xr:uid="{00000000-0005-0000-0000-0000940C0000}"/>
    <cellStyle name="M_ODB Consolidado - Quadros_ jun_06_ODB_Quadros_ 8ª versão 3" xfId="1458" xr:uid="{00000000-0005-0000-0000-0000950C0000}"/>
    <cellStyle name="M_ODB Consolidado - Quadros_ jun_06_Quadros Relat PwC Jaguaribe dez08 e dez07 v1" xfId="1459" xr:uid="{00000000-0005-0000-0000-0000960C0000}"/>
    <cellStyle name="M_ODB Consolidado - Quadros_ jun_06_Quadros Relat PwC Jaguaribe dez08 e dez07 v1 2" xfId="1460" xr:uid="{00000000-0005-0000-0000-0000970C0000}"/>
    <cellStyle name="M_ODB Consolidado - Quadros_ jun_06_Quadros Relat PwC Jaguaribe dez08 e dez07 v1 2 2" xfId="1461" xr:uid="{00000000-0005-0000-0000-0000980C0000}"/>
    <cellStyle name="M_ODB Consolidado - Quadros_ jun_06_Quadros Relat PwC Jaguaribe dez08 e dez07 v1 3" xfId="1462" xr:uid="{00000000-0005-0000-0000-0000990C0000}"/>
    <cellStyle name="M_ODB Consolidado_Port_2002" xfId="1463" xr:uid="{00000000-0005-0000-0000-00009A0C0000}"/>
    <cellStyle name="M_ODB Consolidado_Port_2002 2" xfId="1464" xr:uid="{00000000-0005-0000-0000-00009B0C0000}"/>
    <cellStyle name="M_ODB Consolidado_Port_2002 2 2" xfId="1465" xr:uid="{00000000-0005-0000-0000-00009C0C0000}"/>
    <cellStyle name="M_ODB Consolidado_Port_2002 3" xfId="1466" xr:uid="{00000000-0005-0000-0000-00009D0C0000}"/>
    <cellStyle name="M_ODB Consolidado_Port_2002 4" xfId="1467" xr:uid="{00000000-0005-0000-0000-00009E0C0000}"/>
    <cellStyle name="M_ODB Consolidado_Port_2002_Novos quadros - SBSA" xfId="1468" xr:uid="{00000000-0005-0000-0000-00009F0C0000}"/>
    <cellStyle name="M_ODB Consolidado_Port_2002_Novos quadros - SBSA 2" xfId="1469" xr:uid="{00000000-0005-0000-0000-0000A00C0000}"/>
    <cellStyle name="M_ODB Consolidado_Port_2002_Novos quadros - SBSA 2 2" xfId="1470" xr:uid="{00000000-0005-0000-0000-0000A10C0000}"/>
    <cellStyle name="M_ODB Consolidado_Port_2002_Novos quadros - SBSA 3" xfId="1471" xr:uid="{00000000-0005-0000-0000-0000A20C0000}"/>
    <cellStyle name="M_ODB Consolidado_Port_2002_ODB_Quadros_ 8ª versão" xfId="1472" xr:uid="{00000000-0005-0000-0000-0000A30C0000}"/>
    <cellStyle name="M_ODB Consolidado_Port_2002_ODB_Quadros_ 8ª versão 2" xfId="1473" xr:uid="{00000000-0005-0000-0000-0000A40C0000}"/>
    <cellStyle name="M_ODB Consolidado_Port_2002_ODB_Quadros_ 8ª versão 2 2" xfId="1474" xr:uid="{00000000-0005-0000-0000-0000A50C0000}"/>
    <cellStyle name="M_ODB Consolidado_Port_2002_ODB_Quadros_ 8ª versão 3" xfId="1475" xr:uid="{00000000-0005-0000-0000-0000A60C0000}"/>
    <cellStyle name="M_ODB Consolidado_Port_2002_Quadros Relat PwC Jaguaribe dez08 e dez07 v1" xfId="1476" xr:uid="{00000000-0005-0000-0000-0000A70C0000}"/>
    <cellStyle name="M_ODB Consolidado_Port_2002_Quadros Relat PwC Jaguaribe dez08 e dez07 v1 2" xfId="1477" xr:uid="{00000000-0005-0000-0000-0000A80C0000}"/>
    <cellStyle name="M_ODB Consolidado_Port_2002_Quadros Relat PwC Jaguaribe dez08 e dez07 v1 2 2" xfId="1478" xr:uid="{00000000-0005-0000-0000-0000A90C0000}"/>
    <cellStyle name="M_ODB Consolidado_Port_2002_Quadros Relat PwC Jaguaribe dez08 e dez07 v1 3" xfId="1479" xr:uid="{00000000-0005-0000-0000-0000AA0C0000}"/>
    <cellStyle name="M_ODB Consolidado_Port_2003" xfId="1480" xr:uid="{00000000-0005-0000-0000-0000AB0C0000}"/>
    <cellStyle name="M_ODB Consolidado_Port_2003 2" xfId="1481" xr:uid="{00000000-0005-0000-0000-0000AC0C0000}"/>
    <cellStyle name="M_ODB Consolidado_Port_2003 2 2" xfId="1482" xr:uid="{00000000-0005-0000-0000-0000AD0C0000}"/>
    <cellStyle name="M_ODB Consolidado_Port_2003 3" xfId="1483" xr:uid="{00000000-0005-0000-0000-0000AE0C0000}"/>
    <cellStyle name="M_ODB Consolidado_Port_2003 4" xfId="1484" xr:uid="{00000000-0005-0000-0000-0000AF0C0000}"/>
    <cellStyle name="M_ODB Consolidado_Port_2003_Novos quadros - SBSA" xfId="1485" xr:uid="{00000000-0005-0000-0000-0000B00C0000}"/>
    <cellStyle name="M_ODB Consolidado_Port_2003_Novos quadros - SBSA 2" xfId="1486" xr:uid="{00000000-0005-0000-0000-0000B10C0000}"/>
    <cellStyle name="M_ODB Consolidado_Port_2003_Novos quadros - SBSA 2 2" xfId="1487" xr:uid="{00000000-0005-0000-0000-0000B20C0000}"/>
    <cellStyle name="M_ODB Consolidado_Port_2003_Novos quadros - SBSA 3" xfId="1488" xr:uid="{00000000-0005-0000-0000-0000B30C0000}"/>
    <cellStyle name="M_ODB Consolidado_Port_2003_ODB_Quadros_ 8ª versão" xfId="1489" xr:uid="{00000000-0005-0000-0000-0000B40C0000}"/>
    <cellStyle name="M_ODB Consolidado_Port_2003_ODB_Quadros_ 8ª versão 2" xfId="1490" xr:uid="{00000000-0005-0000-0000-0000B50C0000}"/>
    <cellStyle name="M_ODB Consolidado_Port_2003_ODB_Quadros_ 8ª versão 2 2" xfId="1491" xr:uid="{00000000-0005-0000-0000-0000B60C0000}"/>
    <cellStyle name="M_ODB Consolidado_Port_2003_ODB_Quadros_ 8ª versão 3" xfId="1492" xr:uid="{00000000-0005-0000-0000-0000B70C0000}"/>
    <cellStyle name="M_ODB Consolidado_Port_2003_Quadros Relat PwC Jaguaribe dez08 e dez07 v1" xfId="1493" xr:uid="{00000000-0005-0000-0000-0000B80C0000}"/>
    <cellStyle name="M_ODB Consolidado_Port_2003_Quadros Relat PwC Jaguaribe dez08 e dez07 v1 2" xfId="1494" xr:uid="{00000000-0005-0000-0000-0000B90C0000}"/>
    <cellStyle name="M_ODB Consolidado_Port_2003_Quadros Relat PwC Jaguaribe dez08 e dez07 v1 2 2" xfId="1495" xr:uid="{00000000-0005-0000-0000-0000BA0C0000}"/>
    <cellStyle name="M_ODB Consolidado_Port_2003_Quadros Relat PwC Jaguaribe dez08 e dez07 v1 3" xfId="1496" xr:uid="{00000000-0005-0000-0000-0000BB0C0000}"/>
    <cellStyle name="M_ODB Consolidado_Port_2004" xfId="1497" xr:uid="{00000000-0005-0000-0000-0000BC0C0000}"/>
    <cellStyle name="M_ODB Consolidado_Port_2004 2" xfId="1498" xr:uid="{00000000-0005-0000-0000-0000BD0C0000}"/>
    <cellStyle name="M_ODB Consolidado_Port_2004 2 2" xfId="1499" xr:uid="{00000000-0005-0000-0000-0000BE0C0000}"/>
    <cellStyle name="M_ODB Consolidado_Port_2004 3" xfId="1500" xr:uid="{00000000-0005-0000-0000-0000BF0C0000}"/>
    <cellStyle name="M_ODB Consolidado_Port_2004 4" xfId="1501" xr:uid="{00000000-0005-0000-0000-0000C00C0000}"/>
    <cellStyle name="M_ODB Consolidado_Port_2004_Novos quadros - SBSA" xfId="1502" xr:uid="{00000000-0005-0000-0000-0000C10C0000}"/>
    <cellStyle name="M_ODB Consolidado_Port_2004_Novos quadros - SBSA 2" xfId="1503" xr:uid="{00000000-0005-0000-0000-0000C20C0000}"/>
    <cellStyle name="M_ODB Consolidado_Port_2004_Novos quadros - SBSA 2 2" xfId="1504" xr:uid="{00000000-0005-0000-0000-0000C30C0000}"/>
    <cellStyle name="M_ODB Consolidado_Port_2004_Novos quadros - SBSA 3" xfId="1505" xr:uid="{00000000-0005-0000-0000-0000C40C0000}"/>
    <cellStyle name="M_ODB Consolidado_Port_2004_ODB_Quadros_ 8ª versão" xfId="1506" xr:uid="{00000000-0005-0000-0000-0000C50C0000}"/>
    <cellStyle name="M_ODB Consolidado_Port_2004_ODB_Quadros_ 8ª versão 2" xfId="1507" xr:uid="{00000000-0005-0000-0000-0000C60C0000}"/>
    <cellStyle name="M_ODB Consolidado_Port_2004_ODB_Quadros_ 8ª versão 2 2" xfId="1508" xr:uid="{00000000-0005-0000-0000-0000C70C0000}"/>
    <cellStyle name="M_ODB Consolidado_Port_2004_ODB_Quadros_ 8ª versão 3" xfId="1509" xr:uid="{00000000-0005-0000-0000-0000C80C0000}"/>
    <cellStyle name="M_ODB Consolidado_Port_2004_Quadros Relat PwC Jaguaribe dez08 e dez07 v1" xfId="1510" xr:uid="{00000000-0005-0000-0000-0000C90C0000}"/>
    <cellStyle name="M_ODB Consolidado_Port_2004_Quadros Relat PwC Jaguaribe dez08 e dez07 v1 2" xfId="1511" xr:uid="{00000000-0005-0000-0000-0000CA0C0000}"/>
    <cellStyle name="M_ODB Consolidado_Port_2004_Quadros Relat PwC Jaguaribe dez08 e dez07 v1 2 2" xfId="1512" xr:uid="{00000000-0005-0000-0000-0000CB0C0000}"/>
    <cellStyle name="M_ODB Consolidado_Port_2004_Quadros Relat PwC Jaguaribe dez08 e dez07 v1 3" xfId="1513" xr:uid="{00000000-0005-0000-0000-0000CC0C0000}"/>
    <cellStyle name="M_ODB Consolidado_Port_Dez03" xfId="1514" xr:uid="{00000000-0005-0000-0000-0000CD0C0000}"/>
    <cellStyle name="M_ODB Consolidado_Port_Dez03 2" xfId="1515" xr:uid="{00000000-0005-0000-0000-0000CE0C0000}"/>
    <cellStyle name="M_ODB Consolidado_Port_Dez03 2 2" xfId="1516" xr:uid="{00000000-0005-0000-0000-0000CF0C0000}"/>
    <cellStyle name="M_ODB Consolidado_Port_Dez03 3" xfId="1517" xr:uid="{00000000-0005-0000-0000-0000D00C0000}"/>
    <cellStyle name="M_ODB Consolidado_Port_Dez03 4" xfId="1518" xr:uid="{00000000-0005-0000-0000-0000D10C0000}"/>
    <cellStyle name="M_ODB Consolidado_Port_Dez03(22_03_04)" xfId="1519" xr:uid="{00000000-0005-0000-0000-0000D20C0000}"/>
    <cellStyle name="M_ODB Consolidado_Port_Dez03(22_03_04) 2" xfId="1520" xr:uid="{00000000-0005-0000-0000-0000D30C0000}"/>
    <cellStyle name="M_ODB Consolidado_Port_Dez03(22_03_04) 2 2" xfId="1521" xr:uid="{00000000-0005-0000-0000-0000D40C0000}"/>
    <cellStyle name="M_ODB Consolidado_Port_Dez03(22_03_04) 3" xfId="1522" xr:uid="{00000000-0005-0000-0000-0000D50C0000}"/>
    <cellStyle name="M_ODB Consolidado_Port_Dez03(22_03_04) 4" xfId="1523" xr:uid="{00000000-0005-0000-0000-0000D60C0000}"/>
    <cellStyle name="M_ODB Consolidado_Port_Dez03(22_03_04)_Novos quadros - SBSA" xfId="1524" xr:uid="{00000000-0005-0000-0000-0000D70C0000}"/>
    <cellStyle name="M_ODB Consolidado_Port_Dez03(22_03_04)_Novos quadros - SBSA 2" xfId="1525" xr:uid="{00000000-0005-0000-0000-0000D80C0000}"/>
    <cellStyle name="M_ODB Consolidado_Port_Dez03(22_03_04)_Novos quadros - SBSA 2 2" xfId="1526" xr:uid="{00000000-0005-0000-0000-0000D90C0000}"/>
    <cellStyle name="M_ODB Consolidado_Port_Dez03(22_03_04)_Novos quadros - SBSA 3" xfId="1527" xr:uid="{00000000-0005-0000-0000-0000DA0C0000}"/>
    <cellStyle name="M_ODB Consolidado_Port_Dez03(22_03_04)_ODB_Quadros_ 8ª versão" xfId="1528" xr:uid="{00000000-0005-0000-0000-0000DB0C0000}"/>
    <cellStyle name="M_ODB Consolidado_Port_Dez03(22_03_04)_ODB_Quadros_ 8ª versão 2" xfId="1529" xr:uid="{00000000-0005-0000-0000-0000DC0C0000}"/>
    <cellStyle name="M_ODB Consolidado_Port_Dez03(22_03_04)_ODB_Quadros_ 8ª versão 2 2" xfId="1530" xr:uid="{00000000-0005-0000-0000-0000DD0C0000}"/>
    <cellStyle name="M_ODB Consolidado_Port_Dez03(22_03_04)_ODB_Quadros_ 8ª versão 3" xfId="1531" xr:uid="{00000000-0005-0000-0000-0000DE0C0000}"/>
    <cellStyle name="M_ODB Consolidado_Port_Dez03(22_03_04)_Quadros Relat PwC Jaguaribe dez08 e dez07 v1" xfId="1532" xr:uid="{00000000-0005-0000-0000-0000DF0C0000}"/>
    <cellStyle name="M_ODB Consolidado_Port_Dez03(22_03_04)_Quadros Relat PwC Jaguaribe dez08 e dez07 v1 2" xfId="1533" xr:uid="{00000000-0005-0000-0000-0000E00C0000}"/>
    <cellStyle name="M_ODB Consolidado_Port_Dez03(22_03_04)_Quadros Relat PwC Jaguaribe dez08 e dez07 v1 2 2" xfId="1534" xr:uid="{00000000-0005-0000-0000-0000E10C0000}"/>
    <cellStyle name="M_ODB Consolidado_Port_Dez03(22_03_04)_Quadros Relat PwC Jaguaribe dez08 e dez07 v1 3" xfId="1535" xr:uid="{00000000-0005-0000-0000-0000E20C0000}"/>
    <cellStyle name="M_ODB Consolidado_Port_Dez03_Novos quadros - SBSA" xfId="1536" xr:uid="{00000000-0005-0000-0000-0000E30C0000}"/>
    <cellStyle name="M_ODB Consolidado_Port_Dez03_Novos quadros - SBSA 2" xfId="1537" xr:uid="{00000000-0005-0000-0000-0000E40C0000}"/>
    <cellStyle name="M_ODB Consolidado_Port_Dez03_Novos quadros - SBSA 2 2" xfId="1538" xr:uid="{00000000-0005-0000-0000-0000E50C0000}"/>
    <cellStyle name="M_ODB Consolidado_Port_Dez03_Novos quadros - SBSA 3" xfId="1539" xr:uid="{00000000-0005-0000-0000-0000E60C0000}"/>
    <cellStyle name="M_ODB Consolidado_Port_Dez03_ODB_Quadros_ 8ª versão" xfId="1540" xr:uid="{00000000-0005-0000-0000-0000E70C0000}"/>
    <cellStyle name="M_ODB Consolidado_Port_Dez03_ODB_Quadros_ 8ª versão 2" xfId="1541" xr:uid="{00000000-0005-0000-0000-0000E80C0000}"/>
    <cellStyle name="M_ODB Consolidado_Port_Dez03_ODB_Quadros_ 8ª versão 2 2" xfId="1542" xr:uid="{00000000-0005-0000-0000-0000E90C0000}"/>
    <cellStyle name="M_ODB Consolidado_Port_Dez03_ODB_Quadros_ 8ª versão 3" xfId="1543" xr:uid="{00000000-0005-0000-0000-0000EA0C0000}"/>
    <cellStyle name="M_ODB Consolidado_Port_Dez03_Quadros Relat PwC Jaguaribe dez08 e dez07 v1" xfId="1544" xr:uid="{00000000-0005-0000-0000-0000EB0C0000}"/>
    <cellStyle name="M_ODB Consolidado_Port_Dez03_Quadros Relat PwC Jaguaribe dez08 e dez07 v1 2" xfId="1545" xr:uid="{00000000-0005-0000-0000-0000EC0C0000}"/>
    <cellStyle name="M_ODB Consolidado_Port_Dez03_Quadros Relat PwC Jaguaribe dez08 e dez07 v1 2 2" xfId="1546" xr:uid="{00000000-0005-0000-0000-0000ED0C0000}"/>
    <cellStyle name="M_ODB Consolidado_Port_Dez03_Quadros Relat PwC Jaguaribe dez08 e dez07 v1 3" xfId="1547" xr:uid="{00000000-0005-0000-0000-0000EE0C0000}"/>
    <cellStyle name="M_ODB_Quadros_ 8ª versão" xfId="1548" xr:uid="{00000000-0005-0000-0000-0000EF0C0000}"/>
    <cellStyle name="M_ODB_Quadros_ 8ª versão 2" xfId="1549" xr:uid="{00000000-0005-0000-0000-0000F00C0000}"/>
    <cellStyle name="M_ODB_Quadros_ 8ª versão 2 2" xfId="1550" xr:uid="{00000000-0005-0000-0000-0000F10C0000}"/>
    <cellStyle name="M_ODB_Quadros_ 8ª versão 3" xfId="1551" xr:uid="{00000000-0005-0000-0000-0000F20C0000}"/>
    <cellStyle name="M_ODB_Quadros_ dez_07- 11 versão - final" xfId="1552" xr:uid="{00000000-0005-0000-0000-0000F30C0000}"/>
    <cellStyle name="M_ODB_Quadros_ dez_07- 11 versão - final 2" xfId="1553" xr:uid="{00000000-0005-0000-0000-0000F40C0000}"/>
    <cellStyle name="M_ODB_Quadros_ dez_07- 11 versão - final 2 2" xfId="1554" xr:uid="{00000000-0005-0000-0000-0000F50C0000}"/>
    <cellStyle name="M_ODB_Quadros_ dez_07- 11 versão - final 3" xfId="1555" xr:uid="{00000000-0005-0000-0000-0000F60C0000}"/>
    <cellStyle name="M_ODB_Quadros_ dez_07- 2 versão" xfId="1556" xr:uid="{00000000-0005-0000-0000-0000F70C0000}"/>
    <cellStyle name="M_ODB_Quadros_ dez_07- 2 versão 2" xfId="1557" xr:uid="{00000000-0005-0000-0000-0000F80C0000}"/>
    <cellStyle name="M_ODB_Quadros_ dez_07- 2 versão 2 2" xfId="1558" xr:uid="{00000000-0005-0000-0000-0000F90C0000}"/>
    <cellStyle name="M_ODB_Quadros_ dez_07- 2 versão 3" xfId="1559" xr:uid="{00000000-0005-0000-0000-0000FA0C0000}"/>
    <cellStyle name="M_ODB_Quadros_ dez_07- 2 versão-bruno" xfId="1560" xr:uid="{00000000-0005-0000-0000-0000FB0C0000}"/>
    <cellStyle name="M_ODB_Quadros_ dez_07- 2 versão-bruno 2" xfId="1561" xr:uid="{00000000-0005-0000-0000-0000FC0C0000}"/>
    <cellStyle name="M_ODB_Quadros_ dez_07- 2 versão-bruno 2 2" xfId="1562" xr:uid="{00000000-0005-0000-0000-0000FD0C0000}"/>
    <cellStyle name="M_ODB_Quadros_ dez_07- 2 versão-bruno 3" xfId="1563" xr:uid="{00000000-0005-0000-0000-0000FE0C0000}"/>
    <cellStyle name="M_ODB_Quadros_ dez_07- 7 versão" xfId="1564" xr:uid="{00000000-0005-0000-0000-0000FF0C0000}"/>
    <cellStyle name="M_ODB_Quadros_ dez_07- 7 versão 2" xfId="1565" xr:uid="{00000000-0005-0000-0000-0000000D0000}"/>
    <cellStyle name="M_ODB_Quadros_ dez_07- 7 versão 2 2" xfId="1566" xr:uid="{00000000-0005-0000-0000-0000010D0000}"/>
    <cellStyle name="M_ODB_Quadros_ dez_07- 7 versão 3" xfId="1567" xr:uid="{00000000-0005-0000-0000-0000020D0000}"/>
    <cellStyle name="M_ODB_Quadros_ jun_07" xfId="1568" xr:uid="{00000000-0005-0000-0000-0000030D0000}"/>
    <cellStyle name="M_ODB_Quadros_ jun_07 2" xfId="1569" xr:uid="{00000000-0005-0000-0000-0000040D0000}"/>
    <cellStyle name="M_ODB_Quadros_ jun_07 2 2" xfId="1570" xr:uid="{00000000-0005-0000-0000-0000050D0000}"/>
    <cellStyle name="M_ODB_Quadros_ jun_07 3" xfId="1571" xr:uid="{00000000-0005-0000-0000-0000060D0000}"/>
    <cellStyle name="M_ODB_Quadros_ jun_07-Paty" xfId="1572" xr:uid="{00000000-0005-0000-0000-0000070D0000}"/>
    <cellStyle name="M_ODB_Quadros_ jun_07-Paty 2" xfId="1573" xr:uid="{00000000-0005-0000-0000-0000080D0000}"/>
    <cellStyle name="M_ODB_Quadros_ jun_07-Paty 2 2" xfId="1574" xr:uid="{00000000-0005-0000-0000-0000090D0000}"/>
    <cellStyle name="M_ODB_Quadros_ jun_07-Paty 3" xfId="1575" xr:uid="{00000000-0005-0000-0000-00000A0D0000}"/>
    <cellStyle name="M_ODB_Quadros_1ª versão" xfId="1576" xr:uid="{00000000-0005-0000-0000-00000B0D0000}"/>
    <cellStyle name="M_ODB_Quadros_1ª versão 2" xfId="1577" xr:uid="{00000000-0005-0000-0000-00000C0D0000}"/>
    <cellStyle name="M_ODB_Quadros_1ª versão 2 2" xfId="1578" xr:uid="{00000000-0005-0000-0000-00000D0D0000}"/>
    <cellStyle name="M_ODB_Quadros_1ª versão 3" xfId="1579" xr:uid="{00000000-0005-0000-0000-00000E0D0000}"/>
    <cellStyle name="M_ODB_Quadros_6ª versão" xfId="1580" xr:uid="{00000000-0005-0000-0000-00000F0D0000}"/>
    <cellStyle name="M_ODB_Quadros_6ª versão 2" xfId="1581" xr:uid="{00000000-0005-0000-0000-0000100D0000}"/>
    <cellStyle name="M_ODB_Quadros_6ª versão 2 2" xfId="1582" xr:uid="{00000000-0005-0000-0000-0000110D0000}"/>
    <cellStyle name="M_ODB_Quadros_6ª versão 3" xfId="1583" xr:uid="{00000000-0005-0000-0000-0000120D0000}"/>
    <cellStyle name="M_ODB_Quadros_v4 (3)" xfId="1584" xr:uid="{00000000-0005-0000-0000-0000130D0000}"/>
    <cellStyle name="M_ODB_Quadros_v4 (3) 2" xfId="1585" xr:uid="{00000000-0005-0000-0000-0000140D0000}"/>
    <cellStyle name="M_ODB_Quadros_v4 (3) 2 2" xfId="1586" xr:uid="{00000000-0005-0000-0000-0000150D0000}"/>
    <cellStyle name="M_ODB_Quadros_v4 (3) 3" xfId="1587" xr:uid="{00000000-0005-0000-0000-0000160D0000}"/>
    <cellStyle name="M_ODBConsolidado Relat2002 Port FINAL" xfId="1588" xr:uid="{00000000-0005-0000-0000-0000170D0000}"/>
    <cellStyle name="M_ODBConsolidado Relat2002 Port FINAL 2" xfId="1589" xr:uid="{00000000-0005-0000-0000-0000180D0000}"/>
    <cellStyle name="M_ODBConsolidado Relat2002 Port FINAL 2 2" xfId="1590" xr:uid="{00000000-0005-0000-0000-0000190D0000}"/>
    <cellStyle name="M_ODBConsolidado Relat2002 Port FINAL 3" xfId="1591" xr:uid="{00000000-0005-0000-0000-00001A0D0000}"/>
    <cellStyle name="M_ODBConsolidado Relat2002 Port FINAL 4" xfId="1592" xr:uid="{00000000-0005-0000-0000-00001B0D0000}"/>
    <cellStyle name="M_ODBConsolidado Relat2002 Port FINAL_Novos quadros - SBSA" xfId="1593" xr:uid="{00000000-0005-0000-0000-00001C0D0000}"/>
    <cellStyle name="M_ODBConsolidado Relat2002 Port FINAL_Novos quadros - SBSA 2" xfId="1594" xr:uid="{00000000-0005-0000-0000-00001D0D0000}"/>
    <cellStyle name="M_ODBConsolidado Relat2002 Port FINAL_Novos quadros - SBSA 2 2" xfId="1595" xr:uid="{00000000-0005-0000-0000-00001E0D0000}"/>
    <cellStyle name="M_ODBConsolidado Relat2002 Port FINAL_Novos quadros - SBSA 3" xfId="1596" xr:uid="{00000000-0005-0000-0000-00001F0D0000}"/>
    <cellStyle name="M_ODBConsolidado Relat2002 Port FINAL_ODB_Quadros_ 8ª versão" xfId="1597" xr:uid="{00000000-0005-0000-0000-0000200D0000}"/>
    <cellStyle name="M_ODBConsolidado Relat2002 Port FINAL_ODB_Quadros_ 8ª versão 2" xfId="1598" xr:uid="{00000000-0005-0000-0000-0000210D0000}"/>
    <cellStyle name="M_ODBConsolidado Relat2002 Port FINAL_ODB_Quadros_ 8ª versão 2 2" xfId="1599" xr:uid="{00000000-0005-0000-0000-0000220D0000}"/>
    <cellStyle name="M_ODBConsolidado Relat2002 Port FINAL_ODB_Quadros_ 8ª versão 3" xfId="1600" xr:uid="{00000000-0005-0000-0000-0000230D0000}"/>
    <cellStyle name="M_ODBConsolidado Relat2002 Port FINAL_Quadros Relat PwC Jaguaribe dez08 e dez07 v1" xfId="1601" xr:uid="{00000000-0005-0000-0000-0000240D0000}"/>
    <cellStyle name="M_ODBConsolidado Relat2002 Port FINAL_Quadros Relat PwC Jaguaribe dez08 e dez07 v1 2" xfId="1602" xr:uid="{00000000-0005-0000-0000-0000250D0000}"/>
    <cellStyle name="M_ODBConsolidado Relat2002 Port FINAL_Quadros Relat PwC Jaguaribe dez08 e dez07 v1 2 2" xfId="1603" xr:uid="{00000000-0005-0000-0000-0000260D0000}"/>
    <cellStyle name="M_ODBConsolidado Relat2002 Port FINAL_Quadros Relat PwC Jaguaribe dez08 e dez07 v1 3" xfId="1604" xr:uid="{00000000-0005-0000-0000-0000270D0000}"/>
    <cellStyle name="M_ODBPARINV_Consolidado_Quadros_ dez_06_23042007 com doar_final" xfId="1605" xr:uid="{00000000-0005-0000-0000-0000280D0000}"/>
    <cellStyle name="M_ODBPARINV_Consolidado_Quadros_ dez_06_23042007 com doar_final 2" xfId="1606" xr:uid="{00000000-0005-0000-0000-0000290D0000}"/>
    <cellStyle name="M_ODBPARINV_Consolidado_Quadros_ dez_06_23042007 com doar_final 2 2" xfId="1607" xr:uid="{00000000-0005-0000-0000-00002A0D0000}"/>
    <cellStyle name="M_ODBPARINV_Consolidado_Quadros_ dez_06_23042007 com doar_final 3" xfId="1608" xr:uid="{00000000-0005-0000-0000-00002B0D0000}"/>
    <cellStyle name="M_ODBPARINV_Consolidado_Quadros_ dez_06_23042007 com doar_final 4" xfId="1609" xr:uid="{00000000-0005-0000-0000-00002C0D0000}"/>
    <cellStyle name="M_para Bruno" xfId="1610" xr:uid="{00000000-0005-0000-0000-00002D0D0000}"/>
    <cellStyle name="M_para Bruno 2" xfId="1611" xr:uid="{00000000-0005-0000-0000-00002E0D0000}"/>
    <cellStyle name="M_para Bruno 2 2" xfId="1612" xr:uid="{00000000-0005-0000-0000-00002F0D0000}"/>
    <cellStyle name="M_para Bruno 2 2 2" xfId="1613" xr:uid="{00000000-0005-0000-0000-0000300D0000}"/>
    <cellStyle name="M_para Bruno 2 3" xfId="1614" xr:uid="{00000000-0005-0000-0000-0000310D0000}"/>
    <cellStyle name="M_para Bruno 2 4" xfId="1615" xr:uid="{00000000-0005-0000-0000-0000320D0000}"/>
    <cellStyle name="M_para Bruno 2_Novos quadros - SBSA" xfId="1616" xr:uid="{00000000-0005-0000-0000-0000330D0000}"/>
    <cellStyle name="M_para Bruno 2_Novos quadros - SBSA 2" xfId="1617" xr:uid="{00000000-0005-0000-0000-0000340D0000}"/>
    <cellStyle name="M_para Bruno 2_Novos quadros - SBSA 2 2" xfId="1618" xr:uid="{00000000-0005-0000-0000-0000350D0000}"/>
    <cellStyle name="M_para Bruno 2_Novos quadros - SBSA 3" xfId="1619" xr:uid="{00000000-0005-0000-0000-0000360D0000}"/>
    <cellStyle name="M_para Bruno 2_ODB_Quadros_ 8ª versão" xfId="1620" xr:uid="{00000000-0005-0000-0000-0000370D0000}"/>
    <cellStyle name="M_para Bruno 2_ODB_Quadros_ 8ª versão 2" xfId="1621" xr:uid="{00000000-0005-0000-0000-0000380D0000}"/>
    <cellStyle name="M_para Bruno 2_ODB_Quadros_ 8ª versão 2 2" xfId="1622" xr:uid="{00000000-0005-0000-0000-0000390D0000}"/>
    <cellStyle name="M_para Bruno 2_ODB_Quadros_ 8ª versão 3" xfId="1623" xr:uid="{00000000-0005-0000-0000-00003A0D0000}"/>
    <cellStyle name="M_para Bruno 2_Quadros Relat PwC Jaguaribe dez08 e dez07 v1" xfId="1624" xr:uid="{00000000-0005-0000-0000-00003B0D0000}"/>
    <cellStyle name="M_para Bruno 2_Quadros Relat PwC Jaguaribe dez08 e dez07 v1 2" xfId="1625" xr:uid="{00000000-0005-0000-0000-00003C0D0000}"/>
    <cellStyle name="M_para Bruno 2_Quadros Relat PwC Jaguaribe dez08 e dez07 v1 2 2" xfId="1626" xr:uid="{00000000-0005-0000-0000-00003D0D0000}"/>
    <cellStyle name="M_para Bruno 2_Quadros Relat PwC Jaguaribe dez08 e dez07 v1 3" xfId="1627" xr:uid="{00000000-0005-0000-0000-00003E0D0000}"/>
    <cellStyle name="M_para Bruno 3" xfId="1628" xr:uid="{00000000-0005-0000-0000-00003F0D0000}"/>
    <cellStyle name="M_para Bruno 3 2" xfId="1629" xr:uid="{00000000-0005-0000-0000-0000400D0000}"/>
    <cellStyle name="M_para Bruno 4" xfId="1630" xr:uid="{00000000-0005-0000-0000-0000410D0000}"/>
    <cellStyle name="M_para Bruno 5" xfId="1631" xr:uid="{00000000-0005-0000-0000-0000420D0000}"/>
    <cellStyle name="M_para Bruno_Novos quadros - SBSA" xfId="1632" xr:uid="{00000000-0005-0000-0000-0000430D0000}"/>
    <cellStyle name="M_para Bruno_Novos quadros - SBSA 2" xfId="1633" xr:uid="{00000000-0005-0000-0000-0000440D0000}"/>
    <cellStyle name="M_para Bruno_Novos quadros - SBSA 2 2" xfId="1634" xr:uid="{00000000-0005-0000-0000-0000450D0000}"/>
    <cellStyle name="M_para Bruno_Novos quadros - SBSA 3" xfId="1635" xr:uid="{00000000-0005-0000-0000-0000460D0000}"/>
    <cellStyle name="M_para Bruno_ODB_Quadros_ 8ª versão" xfId="1636" xr:uid="{00000000-0005-0000-0000-0000470D0000}"/>
    <cellStyle name="M_para Bruno_ODB_Quadros_ 8ª versão 2" xfId="1637" xr:uid="{00000000-0005-0000-0000-0000480D0000}"/>
    <cellStyle name="M_para Bruno_ODB_Quadros_ 8ª versão 2 2" xfId="1638" xr:uid="{00000000-0005-0000-0000-0000490D0000}"/>
    <cellStyle name="M_para Bruno_ODB_Quadros_ 8ª versão 3" xfId="1639" xr:uid="{00000000-0005-0000-0000-00004A0D0000}"/>
    <cellStyle name="M_para Bruno_Quadros Relat PwC Jaguaribe dez08 e dez07 v1" xfId="1640" xr:uid="{00000000-0005-0000-0000-00004B0D0000}"/>
    <cellStyle name="M_para Bruno_Quadros Relat PwC Jaguaribe dez08 e dez07 v1 2" xfId="1641" xr:uid="{00000000-0005-0000-0000-00004C0D0000}"/>
    <cellStyle name="M_para Bruno_Quadros Relat PwC Jaguaribe dez08 e dez07 v1 2 2" xfId="1642" xr:uid="{00000000-0005-0000-0000-00004D0D0000}"/>
    <cellStyle name="M_para Bruno_Quadros Relat PwC Jaguaribe dez08 e dez07 v1 3" xfId="1643" xr:uid="{00000000-0005-0000-0000-00004E0D0000}"/>
    <cellStyle name="M_para Bruno1" xfId="1644" xr:uid="{00000000-0005-0000-0000-00004F0D0000}"/>
    <cellStyle name="M_para Bruno1 2" xfId="1645" xr:uid="{00000000-0005-0000-0000-0000500D0000}"/>
    <cellStyle name="M_para Bruno1 2 2" xfId="1646" xr:uid="{00000000-0005-0000-0000-0000510D0000}"/>
    <cellStyle name="M_para Bruno1 3" xfId="1647" xr:uid="{00000000-0005-0000-0000-0000520D0000}"/>
    <cellStyle name="M_para Bruno1 4" xfId="1648" xr:uid="{00000000-0005-0000-0000-0000530D0000}"/>
    <cellStyle name="M_para Bruno1_Novos quadros - SBSA" xfId="1649" xr:uid="{00000000-0005-0000-0000-0000540D0000}"/>
    <cellStyle name="M_para Bruno1_Novos quadros - SBSA 2" xfId="1650" xr:uid="{00000000-0005-0000-0000-0000550D0000}"/>
    <cellStyle name="M_para Bruno1_Novos quadros - SBSA 2 2" xfId="1651" xr:uid="{00000000-0005-0000-0000-0000560D0000}"/>
    <cellStyle name="M_para Bruno1_Novos quadros - SBSA 3" xfId="1652" xr:uid="{00000000-0005-0000-0000-0000570D0000}"/>
    <cellStyle name="M_para Bruno1_ODB_Quadros_ 8ª versão" xfId="1653" xr:uid="{00000000-0005-0000-0000-0000580D0000}"/>
    <cellStyle name="M_para Bruno1_ODB_Quadros_ 8ª versão 2" xfId="1654" xr:uid="{00000000-0005-0000-0000-0000590D0000}"/>
    <cellStyle name="M_para Bruno1_ODB_Quadros_ 8ª versão 2 2" xfId="1655" xr:uid="{00000000-0005-0000-0000-00005A0D0000}"/>
    <cellStyle name="M_para Bruno1_ODB_Quadros_ 8ª versão 3" xfId="1656" xr:uid="{00000000-0005-0000-0000-00005B0D0000}"/>
    <cellStyle name="M_para Bruno1_Quadros Relat PwC Jaguaribe dez08 e dez07 v1" xfId="1657" xr:uid="{00000000-0005-0000-0000-00005C0D0000}"/>
    <cellStyle name="M_para Bruno1_Quadros Relat PwC Jaguaribe dez08 e dez07 v1 2" xfId="1658" xr:uid="{00000000-0005-0000-0000-00005D0D0000}"/>
    <cellStyle name="M_para Bruno1_Quadros Relat PwC Jaguaribe dez08 e dez07 v1 2 2" xfId="1659" xr:uid="{00000000-0005-0000-0000-00005E0D0000}"/>
    <cellStyle name="M_para Bruno1_Quadros Relat PwC Jaguaribe dez08 e dez07 v1 3" xfId="1660" xr:uid="{00000000-0005-0000-0000-00005F0D0000}"/>
    <cellStyle name="M_Partes relac Consl " xfId="1661" xr:uid="{00000000-0005-0000-0000-0000600D0000}"/>
    <cellStyle name="M_Partes relac Consl  2" xfId="1662" xr:uid="{00000000-0005-0000-0000-0000610D0000}"/>
    <cellStyle name="M_Partes relac Consl  2 2" xfId="1663" xr:uid="{00000000-0005-0000-0000-0000620D0000}"/>
    <cellStyle name="M_Partes relac Consl  3" xfId="1664" xr:uid="{00000000-0005-0000-0000-0000630D0000}"/>
    <cellStyle name="M_Participação ODB" xfId="1665" xr:uid="{00000000-0005-0000-0000-0000640D0000}"/>
    <cellStyle name="M_Participação ODB 2" xfId="1666" xr:uid="{00000000-0005-0000-0000-0000650D0000}"/>
    <cellStyle name="M_Participação ODB 2 2" xfId="1667" xr:uid="{00000000-0005-0000-0000-0000660D0000}"/>
    <cellStyle name="M_Participação ODB 3" xfId="1668" xr:uid="{00000000-0005-0000-0000-0000670D0000}"/>
    <cellStyle name="M_pendencia braskem" xfId="1669" xr:uid="{00000000-0005-0000-0000-0000680D0000}"/>
    <cellStyle name="M_pendencia braskem 2" xfId="1670" xr:uid="{00000000-0005-0000-0000-0000690D0000}"/>
    <cellStyle name="M_pendencia braskem 2 2" xfId="1671" xr:uid="{00000000-0005-0000-0000-00006A0D0000}"/>
    <cellStyle name="M_pendencia braskem 3" xfId="1672" xr:uid="{00000000-0005-0000-0000-00006B0D0000}"/>
    <cellStyle name="M_pendencia braskem 4" xfId="1673" xr:uid="{00000000-0005-0000-0000-00006C0D0000}"/>
    <cellStyle name="M_pendencia braskem_Novos quadros - SBSA" xfId="1674" xr:uid="{00000000-0005-0000-0000-00006D0D0000}"/>
    <cellStyle name="M_pendencia braskem_Novos quadros - SBSA 2" xfId="1675" xr:uid="{00000000-0005-0000-0000-00006E0D0000}"/>
    <cellStyle name="M_pendencia braskem_Novos quadros - SBSA 2 2" xfId="1676" xr:uid="{00000000-0005-0000-0000-00006F0D0000}"/>
    <cellStyle name="M_pendencia braskem_Novos quadros - SBSA 3" xfId="1677" xr:uid="{00000000-0005-0000-0000-0000700D0000}"/>
    <cellStyle name="M_pendencia braskem_ODB_Quadros_ 8ª versão" xfId="1678" xr:uid="{00000000-0005-0000-0000-0000710D0000}"/>
    <cellStyle name="M_pendencia braskem_ODB_Quadros_ 8ª versão 2" xfId="1679" xr:uid="{00000000-0005-0000-0000-0000720D0000}"/>
    <cellStyle name="M_pendencia braskem_ODB_Quadros_ 8ª versão 2 2" xfId="1680" xr:uid="{00000000-0005-0000-0000-0000730D0000}"/>
    <cellStyle name="M_pendencia braskem_ODB_Quadros_ 8ª versão 3" xfId="1681" xr:uid="{00000000-0005-0000-0000-0000740D0000}"/>
    <cellStyle name="M_pendencia braskem_Quadros Relat PwC Jaguaribe dez08 e dez07 v1" xfId="1682" xr:uid="{00000000-0005-0000-0000-0000750D0000}"/>
    <cellStyle name="M_pendencia braskem_Quadros Relat PwC Jaguaribe dez08 e dez07 v1 2" xfId="1683" xr:uid="{00000000-0005-0000-0000-0000760D0000}"/>
    <cellStyle name="M_pendencia braskem_Quadros Relat PwC Jaguaribe dez08 e dez07 v1 2 2" xfId="1684" xr:uid="{00000000-0005-0000-0000-0000770D0000}"/>
    <cellStyle name="M_pendencia braskem_Quadros Relat PwC Jaguaribe dez08 e dez07 v1 3" xfId="1685" xr:uid="{00000000-0005-0000-0000-0000780D0000}"/>
    <cellStyle name="M_Petroflex_Valuation 09_novos invest" xfId="1686" xr:uid="{00000000-0005-0000-0000-0000790D0000}"/>
    <cellStyle name="M_Petroflex_Valuation 09_novos invest 2" xfId="1687" xr:uid="{00000000-0005-0000-0000-00007A0D0000}"/>
    <cellStyle name="M_Petroflex_Valuation 09_novos invest 3" xfId="1688" xr:uid="{00000000-0005-0000-0000-00007B0D0000}"/>
    <cellStyle name="M_Petroflex_Valuation 09_novos invest 4" xfId="1689" xr:uid="{00000000-0005-0000-0000-00007C0D0000}"/>
    <cellStyle name="M_Petroflex_Valuation 09_novos invest_Consolidado Angola_Mineração_Com_2007" xfId="1690" xr:uid="{00000000-0005-0000-0000-00007D0D0000}"/>
    <cellStyle name="M_Petroflex_Valuation 09_novos invest_Consolidado Angola_Mineração_Com_2007 2" xfId="1691" xr:uid="{00000000-0005-0000-0000-00007E0D0000}"/>
    <cellStyle name="M_Petroflex_Valuation 09_novos invest_Consolidado Angola_Mineração_Com_2007 3" xfId="1692" xr:uid="{00000000-0005-0000-0000-00007F0D0000}"/>
    <cellStyle name="M_Petroflex_Valuation 09_novos invest_Consolidado Angola_Mineração_Com_2007 4" xfId="1693" xr:uid="{00000000-0005-0000-0000-0000800D0000}"/>
    <cellStyle name="M_Petroflex_Valuation 09_novos invest_Consolidado Angola_Mineração_SDM" xfId="1694" xr:uid="{00000000-0005-0000-0000-0000810D0000}"/>
    <cellStyle name="M_Petroflex_Valuation 09_novos invest_Consolidado Angola_Mineração_SDM 2" xfId="1695" xr:uid="{00000000-0005-0000-0000-0000820D0000}"/>
    <cellStyle name="M_Petroflex_Valuation 09_novos invest_Consolidado Angola_Mineração_SDM 3" xfId="1696" xr:uid="{00000000-0005-0000-0000-0000830D0000}"/>
    <cellStyle name="M_Petroflex_Valuation 09_novos invest_Consolidado Angola_Mineração_SDM 4" xfId="1697" xr:uid="{00000000-0005-0000-0000-0000840D0000}"/>
    <cellStyle name="M_Petroflex_Valuation 09_novos invest_Consolidado Angola_Outros" xfId="1698" xr:uid="{00000000-0005-0000-0000-0000850D0000}"/>
    <cellStyle name="M_Petroflex_Valuation 09_novos invest_Consolidado Angola_Outros 2" xfId="1699" xr:uid="{00000000-0005-0000-0000-0000860D0000}"/>
    <cellStyle name="M_Petroflex_Valuation 09_novos invest_Consolidado Angola_Outros 3" xfId="1700" xr:uid="{00000000-0005-0000-0000-0000870D0000}"/>
    <cellStyle name="M_Petroflex_Valuation 09_novos invest_Consolidado Angola_Outros 4" xfId="1701" xr:uid="{00000000-0005-0000-0000-0000880D0000}"/>
    <cellStyle name="M_Petroflex_Valuation 09_novos invest_Consolidado Angola_Outros_com_2007" xfId="1702" xr:uid="{00000000-0005-0000-0000-0000890D0000}"/>
    <cellStyle name="M_Petroflex_Valuation 09_novos invest_Consolidado Angola_Outros_com_2007 2" xfId="1703" xr:uid="{00000000-0005-0000-0000-00008A0D0000}"/>
    <cellStyle name="M_Petroflex_Valuation 09_novos invest_Consolidado Angola_Outros_com_2007 3" xfId="1704" xr:uid="{00000000-0005-0000-0000-00008B0D0000}"/>
    <cellStyle name="M_Petroflex_Valuation 09_novos invest_Consolidado Angola_Outros_com_2007 4" xfId="1705" xr:uid="{00000000-0005-0000-0000-00008C0D0000}"/>
    <cellStyle name="M_Petroflex_Valuation 09_novos invest_Mascara Relatorio 2008 - Cópia" xfId="1706" xr:uid="{00000000-0005-0000-0000-00008D0D0000}"/>
    <cellStyle name="M_Petroflex_Valuation 09_novos invest_Mascara Relatorio 2008 - Cópia 2" xfId="1707" xr:uid="{00000000-0005-0000-0000-00008E0D0000}"/>
    <cellStyle name="M_Petroflex_Valuation 09_novos invest_Mascara Relatorio 2008 - Cópia 3" xfId="1708" xr:uid="{00000000-0005-0000-0000-00008F0D0000}"/>
    <cellStyle name="M_Petroflex_Valuation 09_novos invest_Mascara Relatorio 2008 - Cópia 4" xfId="1709" xr:uid="{00000000-0005-0000-0000-0000900D0000}"/>
    <cellStyle name="M_Polibrasil_LP" xfId="1710" xr:uid="{00000000-0005-0000-0000-0000910D0000}"/>
    <cellStyle name="M_Polibrasil_LP 2" xfId="1711" xr:uid="{00000000-0005-0000-0000-0000920D0000}"/>
    <cellStyle name="M_Polibrasil_LP 3" xfId="1712" xr:uid="{00000000-0005-0000-0000-0000930D0000}"/>
    <cellStyle name="M_Polibrasil_LP 4" xfId="1713" xr:uid="{00000000-0005-0000-0000-0000940D0000}"/>
    <cellStyle name="M_Polibrasil_LP_Consolidado Angola_Mineração_Com_2007" xfId="1714" xr:uid="{00000000-0005-0000-0000-0000950D0000}"/>
    <cellStyle name="M_Polibrasil_LP_Consolidado Angola_Mineração_Com_2007 2" xfId="1715" xr:uid="{00000000-0005-0000-0000-0000960D0000}"/>
    <cellStyle name="M_Polibrasil_LP_Consolidado Angola_Mineração_Com_2007 3" xfId="1716" xr:uid="{00000000-0005-0000-0000-0000970D0000}"/>
    <cellStyle name="M_Polibrasil_LP_Consolidado Angola_Mineração_Com_2007 4" xfId="1717" xr:uid="{00000000-0005-0000-0000-0000980D0000}"/>
    <cellStyle name="M_Polibrasil_LP_Consolidado Angola_Mineração_SDM" xfId="1718" xr:uid="{00000000-0005-0000-0000-0000990D0000}"/>
    <cellStyle name="M_Polibrasil_LP_Consolidado Angola_Mineração_SDM 2" xfId="1719" xr:uid="{00000000-0005-0000-0000-00009A0D0000}"/>
    <cellStyle name="M_Polibrasil_LP_Consolidado Angola_Mineração_SDM 3" xfId="1720" xr:uid="{00000000-0005-0000-0000-00009B0D0000}"/>
    <cellStyle name="M_Polibrasil_LP_Consolidado Angola_Mineração_SDM 4" xfId="1721" xr:uid="{00000000-0005-0000-0000-00009C0D0000}"/>
    <cellStyle name="M_Polibrasil_LP_Consolidado Angola_Outros" xfId="1722" xr:uid="{00000000-0005-0000-0000-00009D0D0000}"/>
    <cellStyle name="M_Polibrasil_LP_Consolidado Angola_Outros 2" xfId="1723" xr:uid="{00000000-0005-0000-0000-00009E0D0000}"/>
    <cellStyle name="M_Polibrasil_LP_Consolidado Angola_Outros 3" xfId="1724" xr:uid="{00000000-0005-0000-0000-00009F0D0000}"/>
    <cellStyle name="M_Polibrasil_LP_Consolidado Angola_Outros 4" xfId="1725" xr:uid="{00000000-0005-0000-0000-0000A00D0000}"/>
    <cellStyle name="M_Polibrasil_LP_Consolidado Angola_Outros_com_2007" xfId="1726" xr:uid="{00000000-0005-0000-0000-0000A10D0000}"/>
    <cellStyle name="M_Polibrasil_LP_Consolidado Angola_Outros_com_2007 2" xfId="1727" xr:uid="{00000000-0005-0000-0000-0000A20D0000}"/>
    <cellStyle name="M_Polibrasil_LP_Consolidado Angola_Outros_com_2007 3" xfId="1728" xr:uid="{00000000-0005-0000-0000-0000A30D0000}"/>
    <cellStyle name="M_Polibrasil_LP_Consolidado Angola_Outros_com_2007 4" xfId="1729" xr:uid="{00000000-0005-0000-0000-0000A40D0000}"/>
    <cellStyle name="M_Polibrasil_LP_Mascara Relatorio 2008 - Cópia" xfId="1730" xr:uid="{00000000-0005-0000-0000-0000A50D0000}"/>
    <cellStyle name="M_Polibrasil_LP_Mascara Relatorio 2008 - Cópia 2" xfId="1731" xr:uid="{00000000-0005-0000-0000-0000A60D0000}"/>
    <cellStyle name="M_Polibrasil_LP_Mascara Relatorio 2008 - Cópia 3" xfId="1732" xr:uid="{00000000-0005-0000-0000-0000A70D0000}"/>
    <cellStyle name="M_Polibrasil_LP_Mascara Relatorio 2008 - Cópia 4" xfId="1733" xr:uid="{00000000-0005-0000-0000-0000A80D0000}"/>
    <cellStyle name="M_quadros - OEA v3" xfId="1734" xr:uid="{00000000-0005-0000-0000-0000A90D0000}"/>
    <cellStyle name="M_quadros - OEA v3 2" xfId="1735" xr:uid="{00000000-0005-0000-0000-0000AA0D0000}"/>
    <cellStyle name="M_quadros - OEA v3 2 2" xfId="1736" xr:uid="{00000000-0005-0000-0000-0000AB0D0000}"/>
    <cellStyle name="M_quadros - OEA v3 3" xfId="1737" xr:uid="{00000000-0005-0000-0000-0000AC0D0000}"/>
    <cellStyle name="M_quadros - OEA v4" xfId="1738" xr:uid="{00000000-0005-0000-0000-0000AD0D0000}"/>
    <cellStyle name="M_quadros - OEA v4 2" xfId="1739" xr:uid="{00000000-0005-0000-0000-0000AE0D0000}"/>
    <cellStyle name="M_quadros - OEA v4 2 2" xfId="1740" xr:uid="{00000000-0005-0000-0000-0000AF0D0000}"/>
    <cellStyle name="M_quadros - OEA v4 3" xfId="1741" xr:uid="{00000000-0005-0000-0000-0000B00D0000}"/>
    <cellStyle name="M_quadros acessórios" xfId="1742" xr:uid="{00000000-0005-0000-0000-0000B10D0000}"/>
    <cellStyle name="M_quadros acessórios 2" xfId="1743" xr:uid="{00000000-0005-0000-0000-0000B20D0000}"/>
    <cellStyle name="M_quadros acessórios 2 2" xfId="1744" xr:uid="{00000000-0005-0000-0000-0000B30D0000}"/>
    <cellStyle name="M_quadros acessórios 3" xfId="1745" xr:uid="{00000000-0005-0000-0000-0000B40D0000}"/>
    <cellStyle name="M_quadros acessórios 4" xfId="1746" xr:uid="{00000000-0005-0000-0000-0000B50D0000}"/>
    <cellStyle name="M_quadros acessórios_Novos quadros - SBSA" xfId="1747" xr:uid="{00000000-0005-0000-0000-0000B60D0000}"/>
    <cellStyle name="M_quadros acessórios_Novos quadros - SBSA 2" xfId="1748" xr:uid="{00000000-0005-0000-0000-0000B70D0000}"/>
    <cellStyle name="M_quadros acessórios_Novos quadros - SBSA 2 2" xfId="1749" xr:uid="{00000000-0005-0000-0000-0000B80D0000}"/>
    <cellStyle name="M_quadros acessórios_Novos quadros - SBSA 3" xfId="1750" xr:uid="{00000000-0005-0000-0000-0000B90D0000}"/>
    <cellStyle name="M_quadros acessórios_ODB_Quadros_ 8ª versão" xfId="1751" xr:uid="{00000000-0005-0000-0000-0000BA0D0000}"/>
    <cellStyle name="M_quadros acessórios_ODB_Quadros_ 8ª versão 2" xfId="1752" xr:uid="{00000000-0005-0000-0000-0000BB0D0000}"/>
    <cellStyle name="M_quadros acessórios_ODB_Quadros_ 8ª versão 2 2" xfId="1753" xr:uid="{00000000-0005-0000-0000-0000BC0D0000}"/>
    <cellStyle name="M_quadros acessórios_ODB_Quadros_ 8ª versão 3" xfId="1754" xr:uid="{00000000-0005-0000-0000-0000BD0D0000}"/>
    <cellStyle name="M_quadros acessórios_Quadros Relat PwC Jaguaribe dez08 e dez07 v1" xfId="1755" xr:uid="{00000000-0005-0000-0000-0000BE0D0000}"/>
    <cellStyle name="M_quadros acessórios_Quadros Relat PwC Jaguaribe dez08 e dez07 v1 2" xfId="1756" xr:uid="{00000000-0005-0000-0000-0000BF0D0000}"/>
    <cellStyle name="M_quadros acessórios_Quadros Relat PwC Jaguaribe dez08 e dez07 v1 2 2" xfId="1757" xr:uid="{00000000-0005-0000-0000-0000C00D0000}"/>
    <cellStyle name="M_quadros acessórios_Quadros Relat PwC Jaguaribe dez08 e dez07 v1 3" xfId="1758" xr:uid="{00000000-0005-0000-0000-0000C10D0000}"/>
    <cellStyle name="M_quadros OII Consolidado_ dez07_portugues" xfId="1759" xr:uid="{00000000-0005-0000-0000-0000C20D0000}"/>
    <cellStyle name="M_quadros OII Consolidado_ dez07_portugues 2" xfId="1760" xr:uid="{00000000-0005-0000-0000-0000C30D0000}"/>
    <cellStyle name="M_quadros OII Consolidado_ dez07_portugues 2 2" xfId="1761" xr:uid="{00000000-0005-0000-0000-0000C40D0000}"/>
    <cellStyle name="M_quadros OII Consolidado_ dez07_portugues 3" xfId="1762" xr:uid="{00000000-0005-0000-0000-0000C50D0000}"/>
    <cellStyle name="M_quadros OII Consolidado_ dez07_portugues 4" xfId="1763" xr:uid="{00000000-0005-0000-0000-0000C60D0000}"/>
    <cellStyle name="M_quadros OII Consolidado_ dez07_portugues_ATUAL" xfId="1764" xr:uid="{00000000-0005-0000-0000-0000C70D0000}"/>
    <cellStyle name="M_quadros OII Consolidado_ dez07_portugues_ATUAL 2" xfId="1765" xr:uid="{00000000-0005-0000-0000-0000C80D0000}"/>
    <cellStyle name="M_quadros OII Consolidado_ dez07_portugues_ATUAL 2 2" xfId="1766" xr:uid="{00000000-0005-0000-0000-0000C90D0000}"/>
    <cellStyle name="M_quadros OII Consolidado_ dez07_portugues_ATUAL 3" xfId="1767" xr:uid="{00000000-0005-0000-0000-0000CA0D0000}"/>
    <cellStyle name="M_quadros OII Consolidado_ dez07_portugues_ATUAL 4" xfId="1768" xr:uid="{00000000-0005-0000-0000-0000CB0D0000}"/>
    <cellStyle name="M_quadros OII Consolidado_ jun07_portugues" xfId="1769" xr:uid="{00000000-0005-0000-0000-0000CC0D0000}"/>
    <cellStyle name="M_quadros OII Consolidado_ jun07_portugues 2" xfId="1770" xr:uid="{00000000-0005-0000-0000-0000CD0D0000}"/>
    <cellStyle name="M_quadros OII Consolidado_ jun07_portugues 2 2" xfId="1771" xr:uid="{00000000-0005-0000-0000-0000CE0D0000}"/>
    <cellStyle name="M_quadros OII Consolidado_ jun07_portugues 3" xfId="1772" xr:uid="{00000000-0005-0000-0000-0000CF0D0000}"/>
    <cellStyle name="M_quadros OII Consolidado_ jun07_portugues 4" xfId="1773" xr:uid="{00000000-0005-0000-0000-0000D00D0000}"/>
    <cellStyle name="M_quadros OII Consolidado_ jun07_portugues_Novos quadros - SBSA" xfId="1774" xr:uid="{00000000-0005-0000-0000-0000D10D0000}"/>
    <cellStyle name="M_quadros OII Consolidado_ jun07_portugues_Novos quadros - SBSA 2" xfId="1775" xr:uid="{00000000-0005-0000-0000-0000D20D0000}"/>
    <cellStyle name="M_quadros OII Consolidado_ jun07_portugues_Novos quadros - SBSA 2 2" xfId="1776" xr:uid="{00000000-0005-0000-0000-0000D30D0000}"/>
    <cellStyle name="M_quadros OII Consolidado_ jun07_portugues_Novos quadros - SBSA 3" xfId="1777" xr:uid="{00000000-0005-0000-0000-0000D40D0000}"/>
    <cellStyle name="M_quadros OII Consolidado_ jun07_portugues_ODB_Quadros_ 8ª versão" xfId="1778" xr:uid="{00000000-0005-0000-0000-0000D50D0000}"/>
    <cellStyle name="M_quadros OII Consolidado_ jun07_portugues_ODB_Quadros_ 8ª versão 2" xfId="1779" xr:uid="{00000000-0005-0000-0000-0000D60D0000}"/>
    <cellStyle name="M_quadros OII Consolidado_ jun07_portugues_ODB_Quadros_ 8ª versão 2 2" xfId="1780" xr:uid="{00000000-0005-0000-0000-0000D70D0000}"/>
    <cellStyle name="M_quadros OII Consolidado_ jun07_portugues_ODB_Quadros_ 8ª versão 3" xfId="1781" xr:uid="{00000000-0005-0000-0000-0000D80D0000}"/>
    <cellStyle name="M_quadros OII Consolidado_ jun07_portugues_Quadros Relat PwC Jaguaribe dez08 e dez07 v1" xfId="1782" xr:uid="{00000000-0005-0000-0000-0000D90D0000}"/>
    <cellStyle name="M_quadros OII Consolidado_ jun07_portugues_Quadros Relat PwC Jaguaribe dez08 e dez07 v1 2" xfId="1783" xr:uid="{00000000-0005-0000-0000-0000DA0D0000}"/>
    <cellStyle name="M_quadros OII Consolidado_ jun07_portugues_Quadros Relat PwC Jaguaribe dez08 e dez07 v1 2 2" xfId="1784" xr:uid="{00000000-0005-0000-0000-0000DB0D0000}"/>
    <cellStyle name="M_quadros OII Consolidado_ jun07_portugues_Quadros Relat PwC Jaguaribe dez08 e dez07 v1 3" xfId="1785" xr:uid="{00000000-0005-0000-0000-0000DC0D0000}"/>
    <cellStyle name="M_Quadros Relat PwC Jaguaribe dez08 e dez07 v1" xfId="1786" xr:uid="{00000000-0005-0000-0000-0000DD0D0000}"/>
    <cellStyle name="M_Quadros Relat PwC Jaguaribe dez08 e dez07 v1 2" xfId="1787" xr:uid="{00000000-0005-0000-0000-0000DE0D0000}"/>
    <cellStyle name="M_Quadros Relat PwC Jaguaribe dez08 e dez07 v1 2 2" xfId="1788" xr:uid="{00000000-0005-0000-0000-0000DF0D0000}"/>
    <cellStyle name="M_Quadros Relat PwC Jaguaribe dez08 e dez07 v1 3" xfId="1789" xr:uid="{00000000-0005-0000-0000-0000E00D0000}"/>
    <cellStyle name="M_Quadros Relat PwC OEA Portugues dez08" xfId="1790" xr:uid="{00000000-0005-0000-0000-0000E10D0000}"/>
    <cellStyle name="M_Quadros Relat PwC OEA Portugues dez08 2" xfId="1791" xr:uid="{00000000-0005-0000-0000-0000E20D0000}"/>
    <cellStyle name="M_Quadros Relat PwC OEA Portugues dez08 2 2" xfId="1792" xr:uid="{00000000-0005-0000-0000-0000E30D0000}"/>
    <cellStyle name="M_Quadros Relat PwC OEA Portugues dez08 3" xfId="1793" xr:uid="{00000000-0005-0000-0000-0000E40D0000}"/>
    <cellStyle name="M_Quadros Relat PwC OII Portugues dez08 e dez07 v5" xfId="1794" xr:uid="{00000000-0005-0000-0000-0000E50D0000}"/>
    <cellStyle name="M_Quadros Relat PwC OII Portugues dez08 e dez07 v5 2" xfId="1795" xr:uid="{00000000-0005-0000-0000-0000E60D0000}"/>
    <cellStyle name="M_Quadros Relat PwC OII Portugues dez08 e dez07 v5 2 2" xfId="1796" xr:uid="{00000000-0005-0000-0000-0000E70D0000}"/>
    <cellStyle name="M_Quadros Relat PwC OII Portugues dez08 e dez07 v5 3" xfId="1797" xr:uid="{00000000-0005-0000-0000-0000E80D0000}"/>
    <cellStyle name="M_Quadros Relat PWC OII Portugues jun07" xfId="1798" xr:uid="{00000000-0005-0000-0000-0000E90D0000}"/>
    <cellStyle name="M_Quadros Relat PWC OII Portugues jun07 2" xfId="1799" xr:uid="{00000000-0005-0000-0000-0000EA0D0000}"/>
    <cellStyle name="M_Quadros Relat PWC OII Portugues jun07 2 2" xfId="1800" xr:uid="{00000000-0005-0000-0000-0000EB0D0000}"/>
    <cellStyle name="M_Quadros Relat PWC OII Portugues jun07 3" xfId="1801" xr:uid="{00000000-0005-0000-0000-0000EC0D0000}"/>
    <cellStyle name="M_Quadros Relat PWC OII Portugues jun07 4" xfId="1802" xr:uid="{00000000-0005-0000-0000-0000ED0D0000}"/>
    <cellStyle name="M_Quadros Relat PWC OII Portugues jun07_Novos quadros - SBSA" xfId="1803" xr:uid="{00000000-0005-0000-0000-0000EE0D0000}"/>
    <cellStyle name="M_Quadros Relat PWC OII Portugues jun07_Novos quadros - SBSA 2" xfId="1804" xr:uid="{00000000-0005-0000-0000-0000EF0D0000}"/>
    <cellStyle name="M_Quadros Relat PWC OII Portugues jun07_Novos quadros - SBSA 2 2" xfId="1805" xr:uid="{00000000-0005-0000-0000-0000F00D0000}"/>
    <cellStyle name="M_Quadros Relat PWC OII Portugues jun07_Novos quadros - SBSA 3" xfId="1806" xr:uid="{00000000-0005-0000-0000-0000F10D0000}"/>
    <cellStyle name="M_Quadros Relat PWC OII Portugues jun07_ODB_Quadros_ 8ª versão" xfId="1807" xr:uid="{00000000-0005-0000-0000-0000F20D0000}"/>
    <cellStyle name="M_Quadros Relat PWC OII Portugues jun07_ODB_Quadros_ 8ª versão 2" xfId="1808" xr:uid="{00000000-0005-0000-0000-0000F30D0000}"/>
    <cellStyle name="M_Quadros Relat PWC OII Portugues jun07_ODB_Quadros_ 8ª versão 2 2" xfId="1809" xr:uid="{00000000-0005-0000-0000-0000F40D0000}"/>
    <cellStyle name="M_Quadros Relat PWC OII Portugues jun07_ODB_Quadros_ 8ª versão 3" xfId="1810" xr:uid="{00000000-0005-0000-0000-0000F50D0000}"/>
    <cellStyle name="M_Quadros Relat PWC OII Portugues jun07_Quadros Relat PwC Jaguaribe dez08 e dez07 v1" xfId="1811" xr:uid="{00000000-0005-0000-0000-0000F60D0000}"/>
    <cellStyle name="M_Quadros Relat PWC OII Portugues jun07_Quadros Relat PwC Jaguaribe dez08 e dez07 v1 2" xfId="1812" xr:uid="{00000000-0005-0000-0000-0000F70D0000}"/>
    <cellStyle name="M_Quadros Relat PWC OII Portugues jun07_Quadros Relat PwC Jaguaribe dez08 e dez07 v1 2 2" xfId="1813" xr:uid="{00000000-0005-0000-0000-0000F80D0000}"/>
    <cellStyle name="M_Quadros Relat PWC OII Portugues jun07_Quadros Relat PwC Jaguaribe dez08 e dez07 v1 3" xfId="1814" xr:uid="{00000000-0005-0000-0000-0000F90D0000}"/>
    <cellStyle name="M_Quadros Relat PWC OII Portugues jun07-4" xfId="1815" xr:uid="{00000000-0005-0000-0000-0000FA0D0000}"/>
    <cellStyle name="M_Quadros Relat PWC OII Portugues jun07-4 2" xfId="1816" xr:uid="{00000000-0005-0000-0000-0000FB0D0000}"/>
    <cellStyle name="M_Quadros Relat PWC OII Portugues jun07-4 2 2" xfId="1817" xr:uid="{00000000-0005-0000-0000-0000FC0D0000}"/>
    <cellStyle name="M_Quadros Relat PWC OII Portugues jun07-4 3" xfId="1818" xr:uid="{00000000-0005-0000-0000-0000FD0D0000}"/>
    <cellStyle name="M_Quadros Relat PWC OII Portugues jun07-4 4" xfId="1819" xr:uid="{00000000-0005-0000-0000-0000FE0D0000}"/>
    <cellStyle name="M_Quadros Relat PwC OII Portugues jun08" xfId="1820" xr:uid="{00000000-0005-0000-0000-0000FF0D0000}"/>
    <cellStyle name="M_Quadros Relat PwC OII Portugues jun08 2" xfId="1821" xr:uid="{00000000-0005-0000-0000-0000000E0000}"/>
    <cellStyle name="M_Quadros Relat PwC OII Portugues jun08 2 2" xfId="1822" xr:uid="{00000000-0005-0000-0000-0000010E0000}"/>
    <cellStyle name="M_Quadros Relat PwC OII Portugues jun08 3" xfId="1823" xr:uid="{00000000-0005-0000-0000-0000020E0000}"/>
    <cellStyle name="M_Quadros Relat PwC OII Portugues jun08 e dez07" xfId="1824" xr:uid="{00000000-0005-0000-0000-0000030E0000}"/>
    <cellStyle name="M_Quadros Relat PwC OII Portugues jun08 e dez07 2" xfId="1825" xr:uid="{00000000-0005-0000-0000-0000040E0000}"/>
    <cellStyle name="M_Quadros Relat PwC OII Portugues jun08 e dez07 2 2" xfId="1826" xr:uid="{00000000-0005-0000-0000-0000050E0000}"/>
    <cellStyle name="M_Quadros Relat PwC OII Portugues jun08 e dez07 3" xfId="1827" xr:uid="{00000000-0005-0000-0000-0000060E0000}"/>
    <cellStyle name="M_Quadros Relat PwC OII Portugues jun08 e dez07_Quadros Relat PwC Jaguaribe dez08 e dez07 v1" xfId="1828" xr:uid="{00000000-0005-0000-0000-0000070E0000}"/>
    <cellStyle name="M_Quadros Relat PwC OII Portugues jun08 e dez07_Quadros Relat PwC Jaguaribe dez08 e dez07 v1 2" xfId="1829" xr:uid="{00000000-0005-0000-0000-0000080E0000}"/>
    <cellStyle name="M_Quadros Relat PwC OII Portugues jun08 e dez07_Quadros Relat PwC Jaguaribe dez08 e dez07 v1 2 2" xfId="1830" xr:uid="{00000000-0005-0000-0000-0000090E0000}"/>
    <cellStyle name="M_Quadros Relat PwC OII Portugues jun08 e dez07_Quadros Relat PwC Jaguaribe dez08 e dez07 v1 3" xfId="1831" xr:uid="{00000000-0005-0000-0000-00000A0E0000}"/>
    <cellStyle name="M_Quadros Relat PwC OII Portugues jun08_Quadros Relat PwC Jaguaribe dez08 e dez07 v1" xfId="1832" xr:uid="{00000000-0005-0000-0000-00000B0E0000}"/>
    <cellStyle name="M_Quadros Relat PwC OII Portugues jun08_Quadros Relat PwC Jaguaribe dez08 e dez07 v1 2" xfId="1833" xr:uid="{00000000-0005-0000-0000-00000C0E0000}"/>
    <cellStyle name="M_Quadros Relat PwC OII Portugues jun08_Quadros Relat PwC Jaguaribe dez08 e dez07 v1 2 2" xfId="1834" xr:uid="{00000000-0005-0000-0000-00000D0E0000}"/>
    <cellStyle name="M_Quadros Relat PwC OII Portugues jun08_Quadros Relat PwC Jaguaribe dez08 e dez07 v1 3" xfId="1835" xr:uid="{00000000-0005-0000-0000-00000E0E0000}"/>
    <cellStyle name="M_Quadros Relat PWC OII Portugues out07-3º versão (Odb)" xfId="1836" xr:uid="{00000000-0005-0000-0000-00000F0E0000}"/>
    <cellStyle name="M_Quadros Relat PWC OII Portugues out07-3º versão (Odb) 2" xfId="1837" xr:uid="{00000000-0005-0000-0000-0000100E0000}"/>
    <cellStyle name="M_Quadros Relat PWC OII Portugues out07-3º versão (Odb) 2 2" xfId="1838" xr:uid="{00000000-0005-0000-0000-0000110E0000}"/>
    <cellStyle name="M_Quadros Relat PWC OII Portugues out07-3º versão (Odb) 3" xfId="1839" xr:uid="{00000000-0005-0000-0000-0000120E0000}"/>
    <cellStyle name="M_Quadros Relat PWC OII Portugues out07-3º versão (Odb) 4" xfId="1840" xr:uid="{00000000-0005-0000-0000-0000130E0000}"/>
    <cellStyle name="M_Quadros SB " xfId="1841" xr:uid="{00000000-0005-0000-0000-0000140E0000}"/>
    <cellStyle name="M_Quadros SB  2" xfId="1842" xr:uid="{00000000-0005-0000-0000-0000150E0000}"/>
    <cellStyle name="M_Quadros SB  2 2" xfId="1843" xr:uid="{00000000-0005-0000-0000-0000160E0000}"/>
    <cellStyle name="M_Quadros SB  3" xfId="1844" xr:uid="{00000000-0005-0000-0000-0000170E0000}"/>
    <cellStyle name="M_Quadros SB 2v" xfId="1845" xr:uid="{00000000-0005-0000-0000-0000180E0000}"/>
    <cellStyle name="M_Quadros SB 2v 2" xfId="1846" xr:uid="{00000000-0005-0000-0000-0000190E0000}"/>
    <cellStyle name="M_Quadros SB 2v 2 2" xfId="1847" xr:uid="{00000000-0005-0000-0000-00001A0E0000}"/>
    <cellStyle name="M_Quadros SB 2v 3" xfId="1848" xr:uid="{00000000-0005-0000-0000-00001B0E0000}"/>
    <cellStyle name="M_Rio Claro_Quadros-dez09" xfId="1849" xr:uid="{00000000-0005-0000-0000-00001C0E0000}"/>
    <cellStyle name="M_Rio Claro_Quadros-dez09 2" xfId="1850" xr:uid="{00000000-0005-0000-0000-00001D0E0000}"/>
    <cellStyle name="M_Venc_Financ" xfId="1851" xr:uid="{00000000-0005-0000-0000-00001E0E0000}"/>
    <cellStyle name="M_Venc_Financ 2" xfId="1852" xr:uid="{00000000-0005-0000-0000-00001F0E0000}"/>
    <cellStyle name="M_Venc_Financ 2 2" xfId="1853" xr:uid="{00000000-0005-0000-0000-0000200E0000}"/>
    <cellStyle name="M_Venc_Financ 3" xfId="1854" xr:uid="{00000000-0005-0000-0000-0000210E0000}"/>
    <cellStyle name="M_WACC IPQ e CPS - Jan 05" xfId="1855" xr:uid="{00000000-0005-0000-0000-0000220E0000}"/>
    <cellStyle name="M_WACC IPQ e CPS - Jan 05 2" xfId="1856" xr:uid="{00000000-0005-0000-0000-0000230E0000}"/>
    <cellStyle name="M_WACC IPQ e CPS - Jan 05 3" xfId="1857" xr:uid="{00000000-0005-0000-0000-0000240E0000}"/>
    <cellStyle name="M_WACC IPQ e CPS - Jan 05 4" xfId="1858" xr:uid="{00000000-0005-0000-0000-0000250E0000}"/>
    <cellStyle name="M_WACC IPQ e CPS - Jan 05_Consolidado Angola_Mineração_Com_2007" xfId="1859" xr:uid="{00000000-0005-0000-0000-0000260E0000}"/>
    <cellStyle name="M_WACC IPQ e CPS - Jan 05_Consolidado Angola_Mineração_Com_2007 2" xfId="1860" xr:uid="{00000000-0005-0000-0000-0000270E0000}"/>
    <cellStyle name="M_WACC IPQ e CPS - Jan 05_Consolidado Angola_Mineração_Com_2007 3" xfId="1861" xr:uid="{00000000-0005-0000-0000-0000280E0000}"/>
    <cellStyle name="M_WACC IPQ e CPS - Jan 05_Consolidado Angola_Mineração_Com_2007 4" xfId="1862" xr:uid="{00000000-0005-0000-0000-0000290E0000}"/>
    <cellStyle name="M_WACC IPQ e CPS - Jan 05_Consolidado Angola_Outros_com_2007" xfId="1863" xr:uid="{00000000-0005-0000-0000-00002A0E0000}"/>
    <cellStyle name="M_WACC IPQ e CPS - Jan 05_Consolidado Angola_Outros_com_2007 2" xfId="1864" xr:uid="{00000000-0005-0000-0000-00002B0E0000}"/>
    <cellStyle name="M_WACC IPQ e CPS - Jan 05_Consolidado Angola_Outros_com_2007 3" xfId="1865" xr:uid="{00000000-0005-0000-0000-00002C0E0000}"/>
    <cellStyle name="M_WACC IPQ e CPS - Jan 05_Consolidado Angola_Outros_com_2007 4" xfId="1866" xr:uid="{00000000-0005-0000-0000-00002D0E0000}"/>
    <cellStyle name="M_WACC IPQ e CPS - Jan 05_Mascara Relatorio 2008 - Cópia" xfId="1867" xr:uid="{00000000-0005-0000-0000-00002E0E0000}"/>
    <cellStyle name="M_WACC IPQ e CPS - Jan 05_Mascara Relatorio 2008 - Cópia 2" xfId="1868" xr:uid="{00000000-0005-0000-0000-00002F0E0000}"/>
    <cellStyle name="M_WACC IPQ e CPS - Jan 05_Mascara Relatorio 2008 - Cópia 3" xfId="1869" xr:uid="{00000000-0005-0000-0000-0000300E0000}"/>
    <cellStyle name="M_WACC IPQ e CPS - Jan 05_Mascara Relatorio 2008 - Cópia 4" xfId="1870" xr:uid="{00000000-0005-0000-0000-0000310E0000}"/>
    <cellStyle name="MACRO" xfId="1871" xr:uid="{00000000-0005-0000-0000-0000320E0000}"/>
    <cellStyle name="Millares [0]_DDA FEB" xfId="5077" xr:uid="{00000000-0005-0000-0000-0000330E0000}"/>
    <cellStyle name="Millares_DDA FEB" xfId="5078" xr:uid="{00000000-0005-0000-0000-0000340E0000}"/>
    <cellStyle name="MLComma0" xfId="1872" xr:uid="{00000000-0005-0000-0000-0000350E0000}"/>
    <cellStyle name="MLMultiple0" xfId="1873" xr:uid="{00000000-0005-0000-0000-0000360E0000}"/>
    <cellStyle name="MLPercent0" xfId="1874" xr:uid="{00000000-0005-0000-0000-0000370E0000}"/>
    <cellStyle name="Moeda 2" xfId="1875" xr:uid="{00000000-0005-0000-0000-0000380E0000}"/>
    <cellStyle name="Moeda 2 10" xfId="5565" xr:uid="{00000000-0005-0000-0000-0000390E0000}"/>
    <cellStyle name="Moeda 2 11" xfId="5524" xr:uid="{00000000-0005-0000-0000-00003A0E0000}"/>
    <cellStyle name="Moeda 2 12" xfId="5567" xr:uid="{00000000-0005-0000-0000-00003B0E0000}"/>
    <cellStyle name="Moeda 2 13" xfId="5522" xr:uid="{00000000-0005-0000-0000-00003C0E0000}"/>
    <cellStyle name="Moeda 2 14" xfId="5570" xr:uid="{00000000-0005-0000-0000-00003D0E0000}"/>
    <cellStyle name="Moeda 2 15" xfId="5726" xr:uid="{00000000-0005-0000-0000-00003E0E0000}"/>
    <cellStyle name="Moeda 2 16" xfId="7414" xr:uid="{00000000-0005-0000-0000-00003F0E0000}"/>
    <cellStyle name="Moeda 2 2" xfId="1876" xr:uid="{00000000-0005-0000-0000-0000400E0000}"/>
    <cellStyle name="Moeda 2 2 2" xfId="5079" xr:uid="{00000000-0005-0000-0000-0000410E0000}"/>
    <cellStyle name="Moeda 2 3" xfId="1877" xr:uid="{00000000-0005-0000-0000-0000420E0000}"/>
    <cellStyle name="Moeda 2 3 2" xfId="5291" xr:uid="{00000000-0005-0000-0000-0000430E0000}"/>
    <cellStyle name="Moeda 2 4" xfId="1878" xr:uid="{00000000-0005-0000-0000-0000440E0000}"/>
    <cellStyle name="Moeda 2 4 2" xfId="5249" xr:uid="{00000000-0005-0000-0000-0000450E0000}"/>
    <cellStyle name="Moeda 2 5" xfId="4896" xr:uid="{00000000-0005-0000-0000-0000460E0000}"/>
    <cellStyle name="Moeda 2 5 2" xfId="5299" xr:uid="{00000000-0005-0000-0000-0000470E0000}"/>
    <cellStyle name="Moeda 2 5 2 2" xfId="10445" xr:uid="{00000000-0005-0000-0000-0000480E0000}"/>
    <cellStyle name="Moeda 2 5 3" xfId="9031" xr:uid="{00000000-0005-0000-0000-0000490E0000}"/>
    <cellStyle name="Moeda 2 5 4" xfId="12236" xr:uid="{00000000-0005-0000-0000-00004A0E0000}"/>
    <cellStyle name="Moeda 2 5 5" xfId="13845" xr:uid="{00000000-0005-0000-0000-00004B0E0000}"/>
    <cellStyle name="Moeda 2 6" xfId="5241" xr:uid="{00000000-0005-0000-0000-00004C0E0000}"/>
    <cellStyle name="Moeda 2 6 2" xfId="7440" xr:uid="{00000000-0005-0000-0000-00004D0E0000}"/>
    <cellStyle name="Moeda 2 7" xfId="5303" xr:uid="{00000000-0005-0000-0000-00004E0E0000}"/>
    <cellStyle name="Moeda 2 8" xfId="5238" xr:uid="{00000000-0005-0000-0000-00004F0E0000}"/>
    <cellStyle name="Moeda 2 9" xfId="5306" xr:uid="{00000000-0005-0000-0000-0000500E0000}"/>
    <cellStyle name="Moeda 3" xfId="1879" xr:uid="{00000000-0005-0000-0000-0000510E0000}"/>
    <cellStyle name="Moeda Z0]_Módulo1" xfId="1880" xr:uid="{00000000-0005-0000-0000-0000520E0000}"/>
    <cellStyle name="Moneda [0]_DDA FEB" xfId="5080" xr:uid="{00000000-0005-0000-0000-0000530E0000}"/>
    <cellStyle name="Moneda_DDA FEB" xfId="5081" xr:uid="{00000000-0005-0000-0000-0000540E0000}"/>
    <cellStyle name="movimentação" xfId="1881" xr:uid="{00000000-0005-0000-0000-0000550E0000}"/>
    <cellStyle name="movimentação 2" xfId="7441" xr:uid="{00000000-0005-0000-0000-0000560E0000}"/>
    <cellStyle name="Multiple" xfId="5082" xr:uid="{00000000-0005-0000-0000-0000570E0000}"/>
    <cellStyle name="MultipleBelow" xfId="5083" xr:uid="{00000000-0005-0000-0000-0000580E0000}"/>
    <cellStyle name="NA is zero" xfId="1882" xr:uid="{00000000-0005-0000-0000-0000590E0000}"/>
    <cellStyle name="Neutra" xfId="67" xr:uid="{00000000-0005-0000-0000-00005A0E0000}"/>
    <cellStyle name="Neutra 10" xfId="5566" xr:uid="{00000000-0005-0000-0000-00005B0E0000}"/>
    <cellStyle name="Neutra 11" xfId="5523" xr:uid="{00000000-0005-0000-0000-00005C0E0000}"/>
    <cellStyle name="Neutra 12" xfId="5568" xr:uid="{00000000-0005-0000-0000-00005D0E0000}"/>
    <cellStyle name="Neutra 13" xfId="5521" xr:uid="{00000000-0005-0000-0000-00005E0E0000}"/>
    <cellStyle name="Neutra 14" xfId="5571" xr:uid="{00000000-0005-0000-0000-00005F0E0000}"/>
    <cellStyle name="Neutra 15" xfId="5727" xr:uid="{00000000-0005-0000-0000-0000600E0000}"/>
    <cellStyle name="Neutra 16" xfId="5709" xr:uid="{00000000-0005-0000-0000-0000610E0000}"/>
    <cellStyle name="Neutra 2" xfId="5084" xr:uid="{00000000-0005-0000-0000-0000620E0000}"/>
    <cellStyle name="Neutra 2 2" xfId="6892" xr:uid="{00000000-0005-0000-0000-0000630E0000}"/>
    <cellStyle name="Neutra 2 2 2" xfId="6893" xr:uid="{00000000-0005-0000-0000-0000640E0000}"/>
    <cellStyle name="Neutra 2 2 2 2" xfId="6894" xr:uid="{00000000-0005-0000-0000-0000650E0000}"/>
    <cellStyle name="Neutra 2 2 2 2 2" xfId="6895" xr:uid="{00000000-0005-0000-0000-0000660E0000}"/>
    <cellStyle name="Neutra 2 2 2 2 2 2" xfId="6896" xr:uid="{00000000-0005-0000-0000-0000670E0000}"/>
    <cellStyle name="Neutra 2 2 2 2 2 2 2" xfId="6897" xr:uid="{00000000-0005-0000-0000-0000680E0000}"/>
    <cellStyle name="Neutra 2 2 2 2 2 2 2 2" xfId="6898" xr:uid="{00000000-0005-0000-0000-0000690E0000}"/>
    <cellStyle name="Neutra 2 2 2 2 2 2 3" xfId="6899" xr:uid="{00000000-0005-0000-0000-00006A0E0000}"/>
    <cellStyle name="Neutra 2 2 2 2 2 3" xfId="6900" xr:uid="{00000000-0005-0000-0000-00006B0E0000}"/>
    <cellStyle name="Neutra 2 2 2 2 2 3 2" xfId="6901" xr:uid="{00000000-0005-0000-0000-00006C0E0000}"/>
    <cellStyle name="Neutra 2 2 2 2 3" xfId="6902" xr:uid="{00000000-0005-0000-0000-00006D0E0000}"/>
    <cellStyle name="Neutra 2 2 2 2 3 2" xfId="6903" xr:uid="{00000000-0005-0000-0000-00006E0E0000}"/>
    <cellStyle name="Neutra 2 2 2 3" xfId="6904" xr:uid="{00000000-0005-0000-0000-00006F0E0000}"/>
    <cellStyle name="Neutra 2 2 2 4" xfId="6905" xr:uid="{00000000-0005-0000-0000-0000700E0000}"/>
    <cellStyle name="Neutra 2 2 2 4 2" xfId="6906" xr:uid="{00000000-0005-0000-0000-0000710E0000}"/>
    <cellStyle name="Neutra 2 2 3" xfId="6907" xr:uid="{00000000-0005-0000-0000-0000720E0000}"/>
    <cellStyle name="Neutra 2 2 4" xfId="6908" xr:uid="{00000000-0005-0000-0000-0000730E0000}"/>
    <cellStyle name="Neutra 2 2 4 2" xfId="6909" xr:uid="{00000000-0005-0000-0000-0000740E0000}"/>
    <cellStyle name="Neutra 2 3" xfId="6910" xr:uid="{00000000-0005-0000-0000-0000750E0000}"/>
    <cellStyle name="Neutra 2 4" xfId="6911" xr:uid="{00000000-0005-0000-0000-0000760E0000}"/>
    <cellStyle name="Neutra 2 5" xfId="6912" xr:uid="{00000000-0005-0000-0000-0000770E0000}"/>
    <cellStyle name="Neutra 2 6" xfId="6913" xr:uid="{00000000-0005-0000-0000-0000780E0000}"/>
    <cellStyle name="Neutra 2 6 2" xfId="6914" xr:uid="{00000000-0005-0000-0000-0000790E0000}"/>
    <cellStyle name="Neutra 2 7" xfId="6891" xr:uid="{00000000-0005-0000-0000-00007A0E0000}"/>
    <cellStyle name="Neutra 3" xfId="5295" xr:uid="{00000000-0005-0000-0000-00007B0E0000}"/>
    <cellStyle name="Neutra 3 2" xfId="6916" xr:uid="{00000000-0005-0000-0000-00007C0E0000}"/>
    <cellStyle name="Neutra 3 3" xfId="6917" xr:uid="{00000000-0005-0000-0000-00007D0E0000}"/>
    <cellStyle name="Neutra 3 4" xfId="6918" xr:uid="{00000000-0005-0000-0000-00007E0E0000}"/>
    <cellStyle name="Neutra 3 5" xfId="6915" xr:uid="{00000000-0005-0000-0000-00007F0E0000}"/>
    <cellStyle name="Neutra 4" xfId="5245" xr:uid="{00000000-0005-0000-0000-0000800E0000}"/>
    <cellStyle name="Neutra 4 2" xfId="6920" xr:uid="{00000000-0005-0000-0000-0000810E0000}"/>
    <cellStyle name="Neutra 4 3" xfId="6921" xr:uid="{00000000-0005-0000-0000-0000820E0000}"/>
    <cellStyle name="Neutra 4 4" xfId="6919" xr:uid="{00000000-0005-0000-0000-0000830E0000}"/>
    <cellStyle name="Neutra 5" xfId="5301" xr:uid="{00000000-0005-0000-0000-0000840E0000}"/>
    <cellStyle name="Neutra 5 2" xfId="6923" xr:uid="{00000000-0005-0000-0000-0000850E0000}"/>
    <cellStyle name="Neutra 5 3" xfId="6922" xr:uid="{00000000-0005-0000-0000-0000860E0000}"/>
    <cellStyle name="Neutra 6" xfId="5240" xr:uid="{00000000-0005-0000-0000-0000870E0000}"/>
    <cellStyle name="Neutra 6 2" xfId="6925" xr:uid="{00000000-0005-0000-0000-0000880E0000}"/>
    <cellStyle name="Neutra 6 3" xfId="7365" xr:uid="{00000000-0005-0000-0000-0000890E0000}"/>
    <cellStyle name="Neutra 6 4" xfId="6924" xr:uid="{00000000-0005-0000-0000-00008A0E0000}"/>
    <cellStyle name="Neutra 7" xfId="5304" xr:uid="{00000000-0005-0000-0000-00008B0E0000}"/>
    <cellStyle name="Neutra 7 2" xfId="7366" xr:uid="{00000000-0005-0000-0000-00008C0E0000}"/>
    <cellStyle name="Neutra 7 3" xfId="6926" xr:uid="{00000000-0005-0000-0000-00008D0E0000}"/>
    <cellStyle name="Neutra 8" xfId="5237" xr:uid="{00000000-0005-0000-0000-00008E0E0000}"/>
    <cellStyle name="Neutra 9" xfId="5307" xr:uid="{00000000-0005-0000-0000-00008F0E0000}"/>
    <cellStyle name="Neutral" xfId="68" xr:uid="{00000000-0005-0000-0000-0000900E0000}"/>
    <cellStyle name="Neutro 2" xfId="5775" xr:uid="{00000000-0005-0000-0000-0000910E0000}"/>
    <cellStyle name="no dec" xfId="1883" xr:uid="{00000000-0005-0000-0000-0000920E0000}"/>
    <cellStyle name="Nº Padrão" xfId="1884" xr:uid="{00000000-0005-0000-0000-0000930E0000}"/>
    <cellStyle name="Nº Padrão 10" xfId="1885" xr:uid="{00000000-0005-0000-0000-0000940E0000}"/>
    <cellStyle name="Nº Padrão 11" xfId="1886" xr:uid="{00000000-0005-0000-0000-0000950E0000}"/>
    <cellStyle name="Nº Padrão 12" xfId="1887" xr:uid="{00000000-0005-0000-0000-0000960E0000}"/>
    <cellStyle name="Nº Padrão 13" xfId="1888" xr:uid="{00000000-0005-0000-0000-0000970E0000}"/>
    <cellStyle name="Nº Padrão 14" xfId="1889" xr:uid="{00000000-0005-0000-0000-0000980E0000}"/>
    <cellStyle name="Nº Padrão 15" xfId="1890" xr:uid="{00000000-0005-0000-0000-0000990E0000}"/>
    <cellStyle name="Nº Padrão 16" xfId="1891" xr:uid="{00000000-0005-0000-0000-00009A0E0000}"/>
    <cellStyle name="Nº Padrão 17" xfId="1892" xr:uid="{00000000-0005-0000-0000-00009B0E0000}"/>
    <cellStyle name="Nº Padrão 18" xfId="1893" xr:uid="{00000000-0005-0000-0000-00009C0E0000}"/>
    <cellStyle name="Nº Padrão 19" xfId="1894" xr:uid="{00000000-0005-0000-0000-00009D0E0000}"/>
    <cellStyle name="Nº Padrão 2" xfId="1895" xr:uid="{00000000-0005-0000-0000-00009E0E0000}"/>
    <cellStyle name="Nº Padrão 20" xfId="1896" xr:uid="{00000000-0005-0000-0000-00009F0E0000}"/>
    <cellStyle name="Nº Padrão 21" xfId="1897" xr:uid="{00000000-0005-0000-0000-0000A00E0000}"/>
    <cellStyle name="Nº Padrão 22" xfId="1898" xr:uid="{00000000-0005-0000-0000-0000A10E0000}"/>
    <cellStyle name="Nº Padrão 23" xfId="1899" xr:uid="{00000000-0005-0000-0000-0000A20E0000}"/>
    <cellStyle name="Nº Padrão 24" xfId="1900" xr:uid="{00000000-0005-0000-0000-0000A30E0000}"/>
    <cellStyle name="Nº Padrão 25" xfId="1901" xr:uid="{00000000-0005-0000-0000-0000A40E0000}"/>
    <cellStyle name="Nº Padrão 26" xfId="1902" xr:uid="{00000000-0005-0000-0000-0000A50E0000}"/>
    <cellStyle name="Nº Padrão 27" xfId="1903" xr:uid="{00000000-0005-0000-0000-0000A60E0000}"/>
    <cellStyle name="Nº Padrão 28" xfId="1904" xr:uid="{00000000-0005-0000-0000-0000A70E0000}"/>
    <cellStyle name="Nº Padrão 29" xfId="1905" xr:uid="{00000000-0005-0000-0000-0000A80E0000}"/>
    <cellStyle name="Nº Padrão 3" xfId="1906" xr:uid="{00000000-0005-0000-0000-0000A90E0000}"/>
    <cellStyle name="Nº Padrão 30" xfId="1907" xr:uid="{00000000-0005-0000-0000-0000AA0E0000}"/>
    <cellStyle name="Nº Padrão 31" xfId="1908" xr:uid="{00000000-0005-0000-0000-0000AB0E0000}"/>
    <cellStyle name="Nº Padrão 32" xfId="1909" xr:uid="{00000000-0005-0000-0000-0000AC0E0000}"/>
    <cellStyle name="Nº Padrão 33" xfId="1910" xr:uid="{00000000-0005-0000-0000-0000AD0E0000}"/>
    <cellStyle name="Nº Padrão 34" xfId="1911" xr:uid="{00000000-0005-0000-0000-0000AE0E0000}"/>
    <cellStyle name="Nº Padrão 35" xfId="1912" xr:uid="{00000000-0005-0000-0000-0000AF0E0000}"/>
    <cellStyle name="Nº Padrão 36" xfId="1913" xr:uid="{00000000-0005-0000-0000-0000B00E0000}"/>
    <cellStyle name="Nº Padrão 37" xfId="1914" xr:uid="{00000000-0005-0000-0000-0000B10E0000}"/>
    <cellStyle name="Nº Padrão 38" xfId="1915" xr:uid="{00000000-0005-0000-0000-0000B20E0000}"/>
    <cellStyle name="Nº Padrão 39" xfId="1916" xr:uid="{00000000-0005-0000-0000-0000B30E0000}"/>
    <cellStyle name="Nº Padrão 4" xfId="1917" xr:uid="{00000000-0005-0000-0000-0000B40E0000}"/>
    <cellStyle name="Nº Padrão 40" xfId="1918" xr:uid="{00000000-0005-0000-0000-0000B50E0000}"/>
    <cellStyle name="Nº Padrão 5" xfId="1919" xr:uid="{00000000-0005-0000-0000-0000B60E0000}"/>
    <cellStyle name="Nº Padrão 6" xfId="1920" xr:uid="{00000000-0005-0000-0000-0000B70E0000}"/>
    <cellStyle name="Nº Padrão 7" xfId="1921" xr:uid="{00000000-0005-0000-0000-0000B80E0000}"/>
    <cellStyle name="Nº Padrão 8" xfId="1922" xr:uid="{00000000-0005-0000-0000-0000B90E0000}"/>
    <cellStyle name="Nº Padrão 9" xfId="1923" xr:uid="{00000000-0005-0000-0000-0000BA0E0000}"/>
    <cellStyle name="No-definido" xfId="1924" xr:uid="{00000000-0005-0000-0000-0000BB0E0000}"/>
    <cellStyle name="Nomral" xfId="1925" xr:uid="{00000000-0005-0000-0000-0000BC0E0000}"/>
    <cellStyle name="Normal" xfId="0" builtinId="0"/>
    <cellStyle name="Normal - Style1" xfId="139" xr:uid="{00000000-0005-0000-0000-0000BE0E0000}"/>
    <cellStyle name="Normal - Style1 2" xfId="1927" xr:uid="{00000000-0005-0000-0000-0000BF0E0000}"/>
    <cellStyle name="Normal - Style1 3" xfId="4904" xr:uid="{00000000-0005-0000-0000-0000C00E0000}"/>
    <cellStyle name="Normal - Style1 4" xfId="1926" xr:uid="{00000000-0005-0000-0000-0000C10E0000}"/>
    <cellStyle name="Normal [0]" xfId="1928" xr:uid="{00000000-0005-0000-0000-0000C20E0000}"/>
    <cellStyle name="Normal [1]" xfId="1929" xr:uid="{00000000-0005-0000-0000-0000C30E0000}"/>
    <cellStyle name="Normal [2]" xfId="1930" xr:uid="{00000000-0005-0000-0000-0000C40E0000}"/>
    <cellStyle name="Normal [3]" xfId="1931" xr:uid="{00000000-0005-0000-0000-0000C50E0000}"/>
    <cellStyle name="Normal 10" xfId="130" xr:uid="{00000000-0005-0000-0000-0000C60E0000}"/>
    <cellStyle name="Normal 10 10" xfId="12263" xr:uid="{00000000-0005-0000-0000-0000C70E0000}"/>
    <cellStyle name="Normal 10 2" xfId="163" xr:uid="{00000000-0005-0000-0000-0000C80E0000}"/>
    <cellStyle name="Normal 10 2 2" xfId="1933" xr:uid="{00000000-0005-0000-0000-0000C90E0000}"/>
    <cellStyle name="Normal 10 2 7" xfId="138" xr:uid="{00000000-0005-0000-0000-0000CA0E0000}"/>
    <cellStyle name="Normal 10 3" xfId="1934" xr:uid="{00000000-0005-0000-0000-0000CB0E0000}"/>
    <cellStyle name="Normal 10 4" xfId="1935" xr:uid="{00000000-0005-0000-0000-0000CC0E0000}"/>
    <cellStyle name="Normal 10 5" xfId="1932" xr:uid="{00000000-0005-0000-0000-0000CD0E0000}"/>
    <cellStyle name="Normal 10 5 2" xfId="9046" xr:uid="{00000000-0005-0000-0000-0000CE0E0000}"/>
    <cellStyle name="Normal 10 5 3" xfId="10656" xr:uid="{00000000-0005-0000-0000-0000CF0E0000}"/>
    <cellStyle name="Normal 10 6" xfId="5085" xr:uid="{00000000-0005-0000-0000-0000D00E0000}"/>
    <cellStyle name="Normal 10 6 2" xfId="10456" xr:uid="{00000000-0005-0000-0000-0000D10E0000}"/>
    <cellStyle name="Normal 10 7" xfId="4900" xr:uid="{00000000-0005-0000-0000-0000D20E0000}"/>
    <cellStyle name="Normal 10 7 2" xfId="10447" xr:uid="{00000000-0005-0000-0000-0000D30E0000}"/>
    <cellStyle name="Normal 10 7 3" xfId="9034" xr:uid="{00000000-0005-0000-0000-0000D40E0000}"/>
    <cellStyle name="Normal 10 7 4" xfId="12239" xr:uid="{00000000-0005-0000-0000-0000D50E0000}"/>
    <cellStyle name="Normal 10 7 5" xfId="13848" xr:uid="{00000000-0005-0000-0000-0000D60E0000}"/>
    <cellStyle name="Normal 10 8" xfId="7443" xr:uid="{00000000-0005-0000-0000-0000D70E0000}"/>
    <cellStyle name="Normal 10 9" xfId="10616" xr:uid="{00000000-0005-0000-0000-0000D80E0000}"/>
    <cellStyle name="Normal 100" xfId="1936" xr:uid="{00000000-0005-0000-0000-0000D90E0000}"/>
    <cellStyle name="Normal 100 10" xfId="12264" xr:uid="{00000000-0005-0000-0000-0000DA0E0000}"/>
    <cellStyle name="Normal 100 2" xfId="1937" xr:uid="{00000000-0005-0000-0000-0000DB0E0000}"/>
    <cellStyle name="Normal 100 2 2" xfId="1938" xr:uid="{00000000-0005-0000-0000-0000DC0E0000}"/>
    <cellStyle name="Normal 100 2 2 2" xfId="9049" xr:uid="{00000000-0005-0000-0000-0000DD0E0000}"/>
    <cellStyle name="Normal 100 2 2 3" xfId="7446" xr:uid="{00000000-0005-0000-0000-0000DE0E0000}"/>
    <cellStyle name="Normal 100 2 2 4" xfId="10659" xr:uid="{00000000-0005-0000-0000-0000DF0E0000}"/>
    <cellStyle name="Normal 100 2 2 5" xfId="12266" xr:uid="{00000000-0005-0000-0000-0000E00E0000}"/>
    <cellStyle name="Normal 100 2 3" xfId="1939" xr:uid="{00000000-0005-0000-0000-0000E10E0000}"/>
    <cellStyle name="Normal 100 2 3 2" xfId="9050" xr:uid="{00000000-0005-0000-0000-0000E20E0000}"/>
    <cellStyle name="Normal 100 2 3 3" xfId="7447" xr:uid="{00000000-0005-0000-0000-0000E30E0000}"/>
    <cellStyle name="Normal 100 2 3 4" xfId="10660" xr:uid="{00000000-0005-0000-0000-0000E40E0000}"/>
    <cellStyle name="Normal 100 2 3 5" xfId="12267" xr:uid="{00000000-0005-0000-0000-0000E50E0000}"/>
    <cellStyle name="Normal 100 2 4" xfId="1940" xr:uid="{00000000-0005-0000-0000-0000E60E0000}"/>
    <cellStyle name="Normal 100 2 4 2" xfId="9051" xr:uid="{00000000-0005-0000-0000-0000E70E0000}"/>
    <cellStyle name="Normal 100 2 4 3" xfId="7448" xr:uid="{00000000-0005-0000-0000-0000E80E0000}"/>
    <cellStyle name="Normal 100 2 4 4" xfId="10661" xr:uid="{00000000-0005-0000-0000-0000E90E0000}"/>
    <cellStyle name="Normal 100 2 4 5" xfId="12268" xr:uid="{00000000-0005-0000-0000-0000EA0E0000}"/>
    <cellStyle name="Normal 100 2 5" xfId="9048" xr:uid="{00000000-0005-0000-0000-0000EB0E0000}"/>
    <cellStyle name="Normal 100 2 6" xfId="7445" xr:uid="{00000000-0005-0000-0000-0000EC0E0000}"/>
    <cellStyle name="Normal 100 2 7" xfId="10658" xr:uid="{00000000-0005-0000-0000-0000ED0E0000}"/>
    <cellStyle name="Normal 100 2 8" xfId="12265" xr:uid="{00000000-0005-0000-0000-0000EE0E0000}"/>
    <cellStyle name="Normal 100 3" xfId="1941" xr:uid="{00000000-0005-0000-0000-0000EF0E0000}"/>
    <cellStyle name="Normal 100 3 2" xfId="9052" xr:uid="{00000000-0005-0000-0000-0000F00E0000}"/>
    <cellStyle name="Normal 100 3 3" xfId="7449" xr:uid="{00000000-0005-0000-0000-0000F10E0000}"/>
    <cellStyle name="Normal 100 3 4" xfId="10662" xr:uid="{00000000-0005-0000-0000-0000F20E0000}"/>
    <cellStyle name="Normal 100 3 5" xfId="12269" xr:uid="{00000000-0005-0000-0000-0000F30E0000}"/>
    <cellStyle name="Normal 100 4" xfId="1942" xr:uid="{00000000-0005-0000-0000-0000F40E0000}"/>
    <cellStyle name="Normal 100 4 2" xfId="9053" xr:uid="{00000000-0005-0000-0000-0000F50E0000}"/>
    <cellStyle name="Normal 100 4 3" xfId="7450" xr:uid="{00000000-0005-0000-0000-0000F60E0000}"/>
    <cellStyle name="Normal 100 4 4" xfId="10663" xr:uid="{00000000-0005-0000-0000-0000F70E0000}"/>
    <cellStyle name="Normal 100 4 5" xfId="12270" xr:uid="{00000000-0005-0000-0000-0000F80E0000}"/>
    <cellStyle name="Normal 100 5" xfId="1943" xr:uid="{00000000-0005-0000-0000-0000F90E0000}"/>
    <cellStyle name="Normal 100 5 2" xfId="9054" xr:uid="{00000000-0005-0000-0000-0000FA0E0000}"/>
    <cellStyle name="Normal 100 5 3" xfId="7451" xr:uid="{00000000-0005-0000-0000-0000FB0E0000}"/>
    <cellStyle name="Normal 100 5 4" xfId="10664" xr:uid="{00000000-0005-0000-0000-0000FC0E0000}"/>
    <cellStyle name="Normal 100 5 5" xfId="12271" xr:uid="{00000000-0005-0000-0000-0000FD0E0000}"/>
    <cellStyle name="Normal 100 6" xfId="1944" xr:uid="{00000000-0005-0000-0000-0000FE0E0000}"/>
    <cellStyle name="Normal 100 6 2" xfId="9055" xr:uid="{00000000-0005-0000-0000-0000FF0E0000}"/>
    <cellStyle name="Normal 100 6 3" xfId="7452" xr:uid="{00000000-0005-0000-0000-0000000F0000}"/>
    <cellStyle name="Normal 100 6 4" xfId="10665" xr:uid="{00000000-0005-0000-0000-0000010F0000}"/>
    <cellStyle name="Normal 100 6 5" xfId="12272" xr:uid="{00000000-0005-0000-0000-0000020F0000}"/>
    <cellStyle name="Normal 100 7" xfId="9047" xr:uid="{00000000-0005-0000-0000-0000030F0000}"/>
    <cellStyle name="Normal 100 8" xfId="7444" xr:uid="{00000000-0005-0000-0000-0000040F0000}"/>
    <cellStyle name="Normal 100 9" xfId="10657" xr:uid="{00000000-0005-0000-0000-0000050F0000}"/>
    <cellStyle name="Normal 101" xfId="1945" xr:uid="{00000000-0005-0000-0000-0000060F0000}"/>
    <cellStyle name="Normal 101 2" xfId="1946" xr:uid="{00000000-0005-0000-0000-0000070F0000}"/>
    <cellStyle name="Normal 101 2 2" xfId="9057" xr:uid="{00000000-0005-0000-0000-0000080F0000}"/>
    <cellStyle name="Normal 101 2 3" xfId="7454" xr:uid="{00000000-0005-0000-0000-0000090F0000}"/>
    <cellStyle name="Normal 101 2 4" xfId="10667" xr:uid="{00000000-0005-0000-0000-00000A0F0000}"/>
    <cellStyle name="Normal 101 2 5" xfId="12274" xr:uid="{00000000-0005-0000-0000-00000B0F0000}"/>
    <cellStyle name="Normal 101 3" xfId="1947" xr:uid="{00000000-0005-0000-0000-00000C0F0000}"/>
    <cellStyle name="Normal 101 3 2" xfId="9058" xr:uid="{00000000-0005-0000-0000-00000D0F0000}"/>
    <cellStyle name="Normal 101 3 3" xfId="7455" xr:uid="{00000000-0005-0000-0000-00000E0F0000}"/>
    <cellStyle name="Normal 101 3 4" xfId="10668" xr:uid="{00000000-0005-0000-0000-00000F0F0000}"/>
    <cellStyle name="Normal 101 3 5" xfId="12275" xr:uid="{00000000-0005-0000-0000-0000100F0000}"/>
    <cellStyle name="Normal 101 4" xfId="1948" xr:uid="{00000000-0005-0000-0000-0000110F0000}"/>
    <cellStyle name="Normal 101 4 2" xfId="9059" xr:uid="{00000000-0005-0000-0000-0000120F0000}"/>
    <cellStyle name="Normal 101 4 3" xfId="7456" xr:uid="{00000000-0005-0000-0000-0000130F0000}"/>
    <cellStyle name="Normal 101 4 4" xfId="10669" xr:uid="{00000000-0005-0000-0000-0000140F0000}"/>
    <cellStyle name="Normal 101 4 5" xfId="12276" xr:uid="{00000000-0005-0000-0000-0000150F0000}"/>
    <cellStyle name="Normal 101 5" xfId="9056" xr:uid="{00000000-0005-0000-0000-0000160F0000}"/>
    <cellStyle name="Normal 101 6" xfId="7453" xr:uid="{00000000-0005-0000-0000-0000170F0000}"/>
    <cellStyle name="Normal 101 7" xfId="10666" xr:uid="{00000000-0005-0000-0000-0000180F0000}"/>
    <cellStyle name="Normal 101 8" xfId="12273" xr:uid="{00000000-0005-0000-0000-0000190F0000}"/>
    <cellStyle name="Normal 102" xfId="1949" xr:uid="{00000000-0005-0000-0000-00001A0F0000}"/>
    <cellStyle name="Normal 102 2" xfId="1950" xr:uid="{00000000-0005-0000-0000-00001B0F0000}"/>
    <cellStyle name="Normal 102 2 2" xfId="9061" xr:uid="{00000000-0005-0000-0000-00001C0F0000}"/>
    <cellStyle name="Normal 102 2 3" xfId="7458" xr:uid="{00000000-0005-0000-0000-00001D0F0000}"/>
    <cellStyle name="Normal 102 2 4" xfId="10671" xr:uid="{00000000-0005-0000-0000-00001E0F0000}"/>
    <cellStyle name="Normal 102 2 5" xfId="12278" xr:uid="{00000000-0005-0000-0000-00001F0F0000}"/>
    <cellStyle name="Normal 102 3" xfId="1951" xr:uid="{00000000-0005-0000-0000-0000200F0000}"/>
    <cellStyle name="Normal 102 3 2" xfId="9062" xr:uid="{00000000-0005-0000-0000-0000210F0000}"/>
    <cellStyle name="Normal 102 3 3" xfId="7459" xr:uid="{00000000-0005-0000-0000-0000220F0000}"/>
    <cellStyle name="Normal 102 3 4" xfId="10672" xr:uid="{00000000-0005-0000-0000-0000230F0000}"/>
    <cellStyle name="Normal 102 3 5" xfId="12279" xr:uid="{00000000-0005-0000-0000-0000240F0000}"/>
    <cellStyle name="Normal 102 4" xfId="1952" xr:uid="{00000000-0005-0000-0000-0000250F0000}"/>
    <cellStyle name="Normal 102 4 2" xfId="9063" xr:uid="{00000000-0005-0000-0000-0000260F0000}"/>
    <cellStyle name="Normal 102 4 3" xfId="7460" xr:uid="{00000000-0005-0000-0000-0000270F0000}"/>
    <cellStyle name="Normal 102 4 4" xfId="10673" xr:uid="{00000000-0005-0000-0000-0000280F0000}"/>
    <cellStyle name="Normal 102 4 5" xfId="12280" xr:uid="{00000000-0005-0000-0000-0000290F0000}"/>
    <cellStyle name="Normal 102 5" xfId="9060" xr:uid="{00000000-0005-0000-0000-00002A0F0000}"/>
    <cellStyle name="Normal 102 6" xfId="7457" xr:uid="{00000000-0005-0000-0000-00002B0F0000}"/>
    <cellStyle name="Normal 102 7" xfId="10670" xr:uid="{00000000-0005-0000-0000-00002C0F0000}"/>
    <cellStyle name="Normal 102 8" xfId="12277" xr:uid="{00000000-0005-0000-0000-00002D0F0000}"/>
    <cellStyle name="Normal 103" xfId="1953" xr:uid="{00000000-0005-0000-0000-00002E0F0000}"/>
    <cellStyle name="Normal 103 2" xfId="1954" xr:uid="{00000000-0005-0000-0000-00002F0F0000}"/>
    <cellStyle name="Normal 103 2 2" xfId="9065" xr:uid="{00000000-0005-0000-0000-0000300F0000}"/>
    <cellStyle name="Normal 103 2 3" xfId="7462" xr:uid="{00000000-0005-0000-0000-0000310F0000}"/>
    <cellStyle name="Normal 103 2 4" xfId="10675" xr:uid="{00000000-0005-0000-0000-0000320F0000}"/>
    <cellStyle name="Normal 103 2 5" xfId="12282" xr:uid="{00000000-0005-0000-0000-0000330F0000}"/>
    <cellStyle name="Normal 103 3" xfId="1955" xr:uid="{00000000-0005-0000-0000-0000340F0000}"/>
    <cellStyle name="Normal 103 3 2" xfId="9066" xr:uid="{00000000-0005-0000-0000-0000350F0000}"/>
    <cellStyle name="Normal 103 3 3" xfId="7463" xr:uid="{00000000-0005-0000-0000-0000360F0000}"/>
    <cellStyle name="Normal 103 3 4" xfId="10676" xr:uid="{00000000-0005-0000-0000-0000370F0000}"/>
    <cellStyle name="Normal 103 3 5" xfId="12283" xr:uid="{00000000-0005-0000-0000-0000380F0000}"/>
    <cellStyle name="Normal 103 4" xfId="1956" xr:uid="{00000000-0005-0000-0000-0000390F0000}"/>
    <cellStyle name="Normal 103 4 2" xfId="9067" xr:uid="{00000000-0005-0000-0000-00003A0F0000}"/>
    <cellStyle name="Normal 103 4 3" xfId="7464" xr:uid="{00000000-0005-0000-0000-00003B0F0000}"/>
    <cellStyle name="Normal 103 4 4" xfId="10677" xr:uid="{00000000-0005-0000-0000-00003C0F0000}"/>
    <cellStyle name="Normal 103 4 5" xfId="12284" xr:uid="{00000000-0005-0000-0000-00003D0F0000}"/>
    <cellStyle name="Normal 103 5" xfId="9064" xr:uid="{00000000-0005-0000-0000-00003E0F0000}"/>
    <cellStyle name="Normal 103 6" xfId="7461" xr:uid="{00000000-0005-0000-0000-00003F0F0000}"/>
    <cellStyle name="Normal 103 7" xfId="10674" xr:uid="{00000000-0005-0000-0000-0000400F0000}"/>
    <cellStyle name="Normal 103 8" xfId="12281" xr:uid="{00000000-0005-0000-0000-0000410F0000}"/>
    <cellStyle name="Normal 104" xfId="1957" xr:uid="{00000000-0005-0000-0000-0000420F0000}"/>
    <cellStyle name="Normal 104 2" xfId="1958" xr:uid="{00000000-0005-0000-0000-0000430F0000}"/>
    <cellStyle name="Normal 104 2 2" xfId="9069" xr:uid="{00000000-0005-0000-0000-0000440F0000}"/>
    <cellStyle name="Normal 104 2 3" xfId="7466" xr:uid="{00000000-0005-0000-0000-0000450F0000}"/>
    <cellStyle name="Normal 104 2 4" xfId="10679" xr:uid="{00000000-0005-0000-0000-0000460F0000}"/>
    <cellStyle name="Normal 104 2 5" xfId="12286" xr:uid="{00000000-0005-0000-0000-0000470F0000}"/>
    <cellStyle name="Normal 104 3" xfId="1959" xr:uid="{00000000-0005-0000-0000-0000480F0000}"/>
    <cellStyle name="Normal 104 3 2" xfId="9070" xr:uid="{00000000-0005-0000-0000-0000490F0000}"/>
    <cellStyle name="Normal 104 3 3" xfId="7467" xr:uid="{00000000-0005-0000-0000-00004A0F0000}"/>
    <cellStyle name="Normal 104 3 4" xfId="10680" xr:uid="{00000000-0005-0000-0000-00004B0F0000}"/>
    <cellStyle name="Normal 104 3 5" xfId="12287" xr:uid="{00000000-0005-0000-0000-00004C0F0000}"/>
    <cellStyle name="Normal 104 4" xfId="1960" xr:uid="{00000000-0005-0000-0000-00004D0F0000}"/>
    <cellStyle name="Normal 104 4 2" xfId="9071" xr:uid="{00000000-0005-0000-0000-00004E0F0000}"/>
    <cellStyle name="Normal 104 4 3" xfId="7468" xr:uid="{00000000-0005-0000-0000-00004F0F0000}"/>
    <cellStyle name="Normal 104 4 4" xfId="10681" xr:uid="{00000000-0005-0000-0000-0000500F0000}"/>
    <cellStyle name="Normal 104 4 5" xfId="12288" xr:uid="{00000000-0005-0000-0000-0000510F0000}"/>
    <cellStyle name="Normal 104 5" xfId="9068" xr:uid="{00000000-0005-0000-0000-0000520F0000}"/>
    <cellStyle name="Normal 104 6" xfId="7465" xr:uid="{00000000-0005-0000-0000-0000530F0000}"/>
    <cellStyle name="Normal 104 7" xfId="10678" xr:uid="{00000000-0005-0000-0000-0000540F0000}"/>
    <cellStyle name="Normal 104 8" xfId="12285" xr:uid="{00000000-0005-0000-0000-0000550F0000}"/>
    <cellStyle name="Normal 105" xfId="1961" xr:uid="{00000000-0005-0000-0000-0000560F0000}"/>
    <cellStyle name="Normal 105 2" xfId="1962" xr:uid="{00000000-0005-0000-0000-0000570F0000}"/>
    <cellStyle name="Normal 105 2 2" xfId="9073" xr:uid="{00000000-0005-0000-0000-0000580F0000}"/>
    <cellStyle name="Normal 105 2 3" xfId="7470" xr:uid="{00000000-0005-0000-0000-0000590F0000}"/>
    <cellStyle name="Normal 105 2 4" xfId="10683" xr:uid="{00000000-0005-0000-0000-00005A0F0000}"/>
    <cellStyle name="Normal 105 2 5" xfId="12290" xr:uid="{00000000-0005-0000-0000-00005B0F0000}"/>
    <cellStyle name="Normal 105 3" xfId="1963" xr:uid="{00000000-0005-0000-0000-00005C0F0000}"/>
    <cellStyle name="Normal 105 3 2" xfId="9074" xr:uid="{00000000-0005-0000-0000-00005D0F0000}"/>
    <cellStyle name="Normal 105 3 3" xfId="7471" xr:uid="{00000000-0005-0000-0000-00005E0F0000}"/>
    <cellStyle name="Normal 105 3 4" xfId="10684" xr:uid="{00000000-0005-0000-0000-00005F0F0000}"/>
    <cellStyle name="Normal 105 3 5" xfId="12291" xr:uid="{00000000-0005-0000-0000-0000600F0000}"/>
    <cellStyle name="Normal 105 4" xfId="1964" xr:uid="{00000000-0005-0000-0000-0000610F0000}"/>
    <cellStyle name="Normal 105 4 2" xfId="9075" xr:uid="{00000000-0005-0000-0000-0000620F0000}"/>
    <cellStyle name="Normal 105 4 3" xfId="7472" xr:uid="{00000000-0005-0000-0000-0000630F0000}"/>
    <cellStyle name="Normal 105 4 4" xfId="10685" xr:uid="{00000000-0005-0000-0000-0000640F0000}"/>
    <cellStyle name="Normal 105 4 5" xfId="12292" xr:uid="{00000000-0005-0000-0000-0000650F0000}"/>
    <cellStyle name="Normal 105 5" xfId="9072" xr:uid="{00000000-0005-0000-0000-0000660F0000}"/>
    <cellStyle name="Normal 105 6" xfId="7469" xr:uid="{00000000-0005-0000-0000-0000670F0000}"/>
    <cellStyle name="Normal 105 7" xfId="10682" xr:uid="{00000000-0005-0000-0000-0000680F0000}"/>
    <cellStyle name="Normal 105 8" xfId="12289" xr:uid="{00000000-0005-0000-0000-0000690F0000}"/>
    <cellStyle name="Normal 106" xfId="1965" xr:uid="{00000000-0005-0000-0000-00006A0F0000}"/>
    <cellStyle name="Normal 106 2" xfId="1966" xr:uid="{00000000-0005-0000-0000-00006B0F0000}"/>
    <cellStyle name="Normal 106 2 2" xfId="9077" xr:uid="{00000000-0005-0000-0000-00006C0F0000}"/>
    <cellStyle name="Normal 106 2 3" xfId="7474" xr:uid="{00000000-0005-0000-0000-00006D0F0000}"/>
    <cellStyle name="Normal 106 2 4" xfId="10687" xr:uid="{00000000-0005-0000-0000-00006E0F0000}"/>
    <cellStyle name="Normal 106 2 5" xfId="12294" xr:uid="{00000000-0005-0000-0000-00006F0F0000}"/>
    <cellStyle name="Normal 106 3" xfId="1967" xr:uid="{00000000-0005-0000-0000-0000700F0000}"/>
    <cellStyle name="Normal 106 3 2" xfId="9078" xr:uid="{00000000-0005-0000-0000-0000710F0000}"/>
    <cellStyle name="Normal 106 3 3" xfId="7475" xr:uid="{00000000-0005-0000-0000-0000720F0000}"/>
    <cellStyle name="Normal 106 3 4" xfId="10688" xr:uid="{00000000-0005-0000-0000-0000730F0000}"/>
    <cellStyle name="Normal 106 3 5" xfId="12295" xr:uid="{00000000-0005-0000-0000-0000740F0000}"/>
    <cellStyle name="Normal 106 4" xfId="1968" xr:uid="{00000000-0005-0000-0000-0000750F0000}"/>
    <cellStyle name="Normal 106 4 2" xfId="9079" xr:uid="{00000000-0005-0000-0000-0000760F0000}"/>
    <cellStyle name="Normal 106 4 3" xfId="7476" xr:uid="{00000000-0005-0000-0000-0000770F0000}"/>
    <cellStyle name="Normal 106 4 4" xfId="10689" xr:uid="{00000000-0005-0000-0000-0000780F0000}"/>
    <cellStyle name="Normal 106 4 5" xfId="12296" xr:uid="{00000000-0005-0000-0000-0000790F0000}"/>
    <cellStyle name="Normal 106 5" xfId="9076" xr:uid="{00000000-0005-0000-0000-00007A0F0000}"/>
    <cellStyle name="Normal 106 6" xfId="7473" xr:uid="{00000000-0005-0000-0000-00007B0F0000}"/>
    <cellStyle name="Normal 106 7" xfId="10686" xr:uid="{00000000-0005-0000-0000-00007C0F0000}"/>
    <cellStyle name="Normal 106 8" xfId="12293" xr:uid="{00000000-0005-0000-0000-00007D0F0000}"/>
    <cellStyle name="Normal 107" xfId="1969" xr:uid="{00000000-0005-0000-0000-00007E0F0000}"/>
    <cellStyle name="Normal 107 2" xfId="1970" xr:uid="{00000000-0005-0000-0000-00007F0F0000}"/>
    <cellStyle name="Normal 107 2 2" xfId="9081" xr:uid="{00000000-0005-0000-0000-0000800F0000}"/>
    <cellStyle name="Normal 107 2 3" xfId="7478" xr:uid="{00000000-0005-0000-0000-0000810F0000}"/>
    <cellStyle name="Normal 107 2 4" xfId="10691" xr:uid="{00000000-0005-0000-0000-0000820F0000}"/>
    <cellStyle name="Normal 107 2 5" xfId="12298" xr:uid="{00000000-0005-0000-0000-0000830F0000}"/>
    <cellStyle name="Normal 107 3" xfId="1971" xr:uid="{00000000-0005-0000-0000-0000840F0000}"/>
    <cellStyle name="Normal 107 3 2" xfId="9082" xr:uid="{00000000-0005-0000-0000-0000850F0000}"/>
    <cellStyle name="Normal 107 3 3" xfId="7479" xr:uid="{00000000-0005-0000-0000-0000860F0000}"/>
    <cellStyle name="Normal 107 3 4" xfId="10692" xr:uid="{00000000-0005-0000-0000-0000870F0000}"/>
    <cellStyle name="Normal 107 3 5" xfId="12299" xr:uid="{00000000-0005-0000-0000-0000880F0000}"/>
    <cellStyle name="Normal 107 4" xfId="1972" xr:uid="{00000000-0005-0000-0000-0000890F0000}"/>
    <cellStyle name="Normal 107 4 2" xfId="9083" xr:uid="{00000000-0005-0000-0000-00008A0F0000}"/>
    <cellStyle name="Normal 107 4 3" xfId="7480" xr:uid="{00000000-0005-0000-0000-00008B0F0000}"/>
    <cellStyle name="Normal 107 4 4" xfId="10693" xr:uid="{00000000-0005-0000-0000-00008C0F0000}"/>
    <cellStyle name="Normal 107 4 5" xfId="12300" xr:uid="{00000000-0005-0000-0000-00008D0F0000}"/>
    <cellStyle name="Normal 107 5" xfId="9080" xr:uid="{00000000-0005-0000-0000-00008E0F0000}"/>
    <cellStyle name="Normal 107 6" xfId="7477" xr:uid="{00000000-0005-0000-0000-00008F0F0000}"/>
    <cellStyle name="Normal 107 7" xfId="10690" xr:uid="{00000000-0005-0000-0000-0000900F0000}"/>
    <cellStyle name="Normal 107 8" xfId="12297" xr:uid="{00000000-0005-0000-0000-0000910F0000}"/>
    <cellStyle name="Normal 108" xfId="1973" xr:uid="{00000000-0005-0000-0000-0000920F0000}"/>
    <cellStyle name="Normal 108 2" xfId="1974" xr:uid="{00000000-0005-0000-0000-0000930F0000}"/>
    <cellStyle name="Normal 108 2 2" xfId="9085" xr:uid="{00000000-0005-0000-0000-0000940F0000}"/>
    <cellStyle name="Normal 108 2 3" xfId="7482" xr:uid="{00000000-0005-0000-0000-0000950F0000}"/>
    <cellStyle name="Normal 108 2 4" xfId="10695" xr:uid="{00000000-0005-0000-0000-0000960F0000}"/>
    <cellStyle name="Normal 108 2 5" xfId="12302" xr:uid="{00000000-0005-0000-0000-0000970F0000}"/>
    <cellStyle name="Normal 108 3" xfId="1975" xr:uid="{00000000-0005-0000-0000-0000980F0000}"/>
    <cellStyle name="Normal 108 3 2" xfId="9086" xr:uid="{00000000-0005-0000-0000-0000990F0000}"/>
    <cellStyle name="Normal 108 3 3" xfId="7483" xr:uid="{00000000-0005-0000-0000-00009A0F0000}"/>
    <cellStyle name="Normal 108 3 4" xfId="10696" xr:uid="{00000000-0005-0000-0000-00009B0F0000}"/>
    <cellStyle name="Normal 108 3 5" xfId="12303" xr:uid="{00000000-0005-0000-0000-00009C0F0000}"/>
    <cellStyle name="Normal 108 4" xfId="1976" xr:uid="{00000000-0005-0000-0000-00009D0F0000}"/>
    <cellStyle name="Normal 108 4 2" xfId="9087" xr:uid="{00000000-0005-0000-0000-00009E0F0000}"/>
    <cellStyle name="Normal 108 4 3" xfId="7484" xr:uid="{00000000-0005-0000-0000-00009F0F0000}"/>
    <cellStyle name="Normal 108 4 4" xfId="10697" xr:uid="{00000000-0005-0000-0000-0000A00F0000}"/>
    <cellStyle name="Normal 108 4 5" xfId="12304" xr:uid="{00000000-0005-0000-0000-0000A10F0000}"/>
    <cellStyle name="Normal 108 5" xfId="9084" xr:uid="{00000000-0005-0000-0000-0000A20F0000}"/>
    <cellStyle name="Normal 108 6" xfId="7481" xr:uid="{00000000-0005-0000-0000-0000A30F0000}"/>
    <cellStyle name="Normal 108 7" xfId="10694" xr:uid="{00000000-0005-0000-0000-0000A40F0000}"/>
    <cellStyle name="Normal 108 8" xfId="12301" xr:uid="{00000000-0005-0000-0000-0000A50F0000}"/>
    <cellStyle name="Normal 109" xfId="1977" xr:uid="{00000000-0005-0000-0000-0000A60F0000}"/>
    <cellStyle name="Normal 109 2" xfId="1978" xr:uid="{00000000-0005-0000-0000-0000A70F0000}"/>
    <cellStyle name="Normal 109 2 2" xfId="9089" xr:uid="{00000000-0005-0000-0000-0000A80F0000}"/>
    <cellStyle name="Normal 109 2 3" xfId="7486" xr:uid="{00000000-0005-0000-0000-0000A90F0000}"/>
    <cellStyle name="Normal 109 2 4" xfId="10699" xr:uid="{00000000-0005-0000-0000-0000AA0F0000}"/>
    <cellStyle name="Normal 109 2 5" xfId="12306" xr:uid="{00000000-0005-0000-0000-0000AB0F0000}"/>
    <cellStyle name="Normal 109 3" xfId="1979" xr:uid="{00000000-0005-0000-0000-0000AC0F0000}"/>
    <cellStyle name="Normal 109 3 2" xfId="9090" xr:uid="{00000000-0005-0000-0000-0000AD0F0000}"/>
    <cellStyle name="Normal 109 3 3" xfId="7487" xr:uid="{00000000-0005-0000-0000-0000AE0F0000}"/>
    <cellStyle name="Normal 109 3 4" xfId="10700" xr:uid="{00000000-0005-0000-0000-0000AF0F0000}"/>
    <cellStyle name="Normal 109 3 5" xfId="12307" xr:uid="{00000000-0005-0000-0000-0000B00F0000}"/>
    <cellStyle name="Normal 109 4" xfId="1980" xr:uid="{00000000-0005-0000-0000-0000B10F0000}"/>
    <cellStyle name="Normal 109 4 2" xfId="9091" xr:uid="{00000000-0005-0000-0000-0000B20F0000}"/>
    <cellStyle name="Normal 109 4 3" xfId="7488" xr:uid="{00000000-0005-0000-0000-0000B30F0000}"/>
    <cellStyle name="Normal 109 4 4" xfId="10701" xr:uid="{00000000-0005-0000-0000-0000B40F0000}"/>
    <cellStyle name="Normal 109 4 5" xfId="12308" xr:uid="{00000000-0005-0000-0000-0000B50F0000}"/>
    <cellStyle name="Normal 109 5" xfId="9088" xr:uid="{00000000-0005-0000-0000-0000B60F0000}"/>
    <cellStyle name="Normal 109 6" xfId="7485" xr:uid="{00000000-0005-0000-0000-0000B70F0000}"/>
    <cellStyle name="Normal 109 7" xfId="10698" xr:uid="{00000000-0005-0000-0000-0000B80F0000}"/>
    <cellStyle name="Normal 109 8" xfId="12305" xr:uid="{00000000-0005-0000-0000-0000B90F0000}"/>
    <cellStyle name="Normal 11" xfId="123" xr:uid="{00000000-0005-0000-0000-0000BA0F0000}"/>
    <cellStyle name="Normal 11 2" xfId="1982" xr:uid="{00000000-0005-0000-0000-0000BB0F0000}"/>
    <cellStyle name="Normal 11 2 10" xfId="1983" xr:uid="{00000000-0005-0000-0000-0000BC0F0000}"/>
    <cellStyle name="Normal 11 2 10 2" xfId="9093" xr:uid="{00000000-0005-0000-0000-0000BD0F0000}"/>
    <cellStyle name="Normal 11 2 10 3" xfId="7490" xr:uid="{00000000-0005-0000-0000-0000BE0F0000}"/>
    <cellStyle name="Normal 11 2 10 4" xfId="10703" xr:uid="{00000000-0005-0000-0000-0000BF0F0000}"/>
    <cellStyle name="Normal 11 2 10 5" xfId="12310" xr:uid="{00000000-0005-0000-0000-0000C00F0000}"/>
    <cellStyle name="Normal 11 2 11" xfId="6927" xr:uid="{00000000-0005-0000-0000-0000C10F0000}"/>
    <cellStyle name="Normal 11 2 2" xfId="1984" xr:uid="{00000000-0005-0000-0000-0000C20F0000}"/>
    <cellStyle name="Normal 11 2 2 2" xfId="1985" xr:uid="{00000000-0005-0000-0000-0000C30F0000}"/>
    <cellStyle name="Normal 11 2 2 2 2" xfId="9094" xr:uid="{00000000-0005-0000-0000-0000C40F0000}"/>
    <cellStyle name="Normal 11 2 2 2 3" xfId="7491" xr:uid="{00000000-0005-0000-0000-0000C50F0000}"/>
    <cellStyle name="Normal 11 2 2 2 4" xfId="10704" xr:uid="{00000000-0005-0000-0000-0000C60F0000}"/>
    <cellStyle name="Normal 11 2 2 2 5" xfId="12311" xr:uid="{00000000-0005-0000-0000-0000C70F0000}"/>
    <cellStyle name="Normal 11 2 2 3" xfId="1986" xr:uid="{00000000-0005-0000-0000-0000C80F0000}"/>
    <cellStyle name="Normal 11 2 2 3 2" xfId="9095" xr:uid="{00000000-0005-0000-0000-0000C90F0000}"/>
    <cellStyle name="Normal 11 2 2 3 3" xfId="7492" xr:uid="{00000000-0005-0000-0000-0000CA0F0000}"/>
    <cellStyle name="Normal 11 2 2 3 4" xfId="10705" xr:uid="{00000000-0005-0000-0000-0000CB0F0000}"/>
    <cellStyle name="Normal 11 2 2 3 5" xfId="12312" xr:uid="{00000000-0005-0000-0000-0000CC0F0000}"/>
    <cellStyle name="Normal 11 2 2 4" xfId="1987" xr:uid="{00000000-0005-0000-0000-0000CD0F0000}"/>
    <cellStyle name="Normal 11 2 2 4 2" xfId="9096" xr:uid="{00000000-0005-0000-0000-0000CE0F0000}"/>
    <cellStyle name="Normal 11 2 2 4 3" xfId="7493" xr:uid="{00000000-0005-0000-0000-0000CF0F0000}"/>
    <cellStyle name="Normal 11 2 2 4 4" xfId="10706" xr:uid="{00000000-0005-0000-0000-0000D00F0000}"/>
    <cellStyle name="Normal 11 2 2 4 5" xfId="12313" xr:uid="{00000000-0005-0000-0000-0000D10F0000}"/>
    <cellStyle name="Normal 11 2 2 5" xfId="1988" xr:uid="{00000000-0005-0000-0000-0000D20F0000}"/>
    <cellStyle name="Normal 11 2 2 5 2" xfId="9097" xr:uid="{00000000-0005-0000-0000-0000D30F0000}"/>
    <cellStyle name="Normal 11 2 2 5 3" xfId="7494" xr:uid="{00000000-0005-0000-0000-0000D40F0000}"/>
    <cellStyle name="Normal 11 2 2 5 4" xfId="10707" xr:uid="{00000000-0005-0000-0000-0000D50F0000}"/>
    <cellStyle name="Normal 11 2 2 5 5" xfId="12314" xr:uid="{00000000-0005-0000-0000-0000D60F0000}"/>
    <cellStyle name="Normal 11 2 3" xfId="1989" xr:uid="{00000000-0005-0000-0000-0000D70F0000}"/>
    <cellStyle name="Normal 11 2 3 2" xfId="1990" xr:uid="{00000000-0005-0000-0000-0000D80F0000}"/>
    <cellStyle name="Normal 11 2 3 2 2" xfId="9099" xr:uid="{00000000-0005-0000-0000-0000D90F0000}"/>
    <cellStyle name="Normal 11 2 3 2 3" xfId="7496" xr:uid="{00000000-0005-0000-0000-0000DA0F0000}"/>
    <cellStyle name="Normal 11 2 3 2 4" xfId="10709" xr:uid="{00000000-0005-0000-0000-0000DB0F0000}"/>
    <cellStyle name="Normal 11 2 3 2 5" xfId="12316" xr:uid="{00000000-0005-0000-0000-0000DC0F0000}"/>
    <cellStyle name="Normal 11 2 3 3" xfId="1991" xr:uid="{00000000-0005-0000-0000-0000DD0F0000}"/>
    <cellStyle name="Normal 11 2 3 3 2" xfId="9100" xr:uid="{00000000-0005-0000-0000-0000DE0F0000}"/>
    <cellStyle name="Normal 11 2 3 3 3" xfId="7497" xr:uid="{00000000-0005-0000-0000-0000DF0F0000}"/>
    <cellStyle name="Normal 11 2 3 3 4" xfId="10710" xr:uid="{00000000-0005-0000-0000-0000E00F0000}"/>
    <cellStyle name="Normal 11 2 3 3 5" xfId="12317" xr:uid="{00000000-0005-0000-0000-0000E10F0000}"/>
    <cellStyle name="Normal 11 2 3 4" xfId="1992" xr:uid="{00000000-0005-0000-0000-0000E20F0000}"/>
    <cellStyle name="Normal 11 2 3 4 2" xfId="9101" xr:uid="{00000000-0005-0000-0000-0000E30F0000}"/>
    <cellStyle name="Normal 11 2 3 4 3" xfId="7498" xr:uid="{00000000-0005-0000-0000-0000E40F0000}"/>
    <cellStyle name="Normal 11 2 3 4 4" xfId="10711" xr:uid="{00000000-0005-0000-0000-0000E50F0000}"/>
    <cellStyle name="Normal 11 2 3 4 5" xfId="12318" xr:uid="{00000000-0005-0000-0000-0000E60F0000}"/>
    <cellStyle name="Normal 11 2 3 5" xfId="9098" xr:uid="{00000000-0005-0000-0000-0000E70F0000}"/>
    <cellStyle name="Normal 11 2 3 6" xfId="7495" xr:uid="{00000000-0005-0000-0000-0000E80F0000}"/>
    <cellStyle name="Normal 11 2 3 7" xfId="10708" xr:uid="{00000000-0005-0000-0000-0000E90F0000}"/>
    <cellStyle name="Normal 11 2 3 8" xfId="12315" xr:uid="{00000000-0005-0000-0000-0000EA0F0000}"/>
    <cellStyle name="Normal 11 2 4" xfId="1993" xr:uid="{00000000-0005-0000-0000-0000EB0F0000}"/>
    <cellStyle name="Normal 11 2 4 2" xfId="1994" xr:uid="{00000000-0005-0000-0000-0000EC0F0000}"/>
    <cellStyle name="Normal 11 2 4 2 2" xfId="1995" xr:uid="{00000000-0005-0000-0000-0000ED0F0000}"/>
    <cellStyle name="Normal 11 2 4 2 2 2" xfId="1996" xr:uid="{00000000-0005-0000-0000-0000EE0F0000}"/>
    <cellStyle name="Normal 11 2 4 2 2 2 2" xfId="9103" xr:uid="{00000000-0005-0000-0000-0000EF0F0000}"/>
    <cellStyle name="Normal 11 2 4 2 2 2 3" xfId="7500" xr:uid="{00000000-0005-0000-0000-0000F00F0000}"/>
    <cellStyle name="Normal 11 2 4 2 2 2 4" xfId="10713" xr:uid="{00000000-0005-0000-0000-0000F10F0000}"/>
    <cellStyle name="Normal 11 2 4 2 2 2 5" xfId="12320" xr:uid="{00000000-0005-0000-0000-0000F20F0000}"/>
    <cellStyle name="Normal 11 2 4 2 2 3" xfId="1997" xr:uid="{00000000-0005-0000-0000-0000F30F0000}"/>
    <cellStyle name="Normal 11 2 4 2 2 3 2" xfId="9104" xr:uid="{00000000-0005-0000-0000-0000F40F0000}"/>
    <cellStyle name="Normal 11 2 4 2 2 3 3" xfId="7501" xr:uid="{00000000-0005-0000-0000-0000F50F0000}"/>
    <cellStyle name="Normal 11 2 4 2 2 3 4" xfId="10714" xr:uid="{00000000-0005-0000-0000-0000F60F0000}"/>
    <cellStyle name="Normal 11 2 4 2 2 3 5" xfId="12321" xr:uid="{00000000-0005-0000-0000-0000F70F0000}"/>
    <cellStyle name="Normal 11 2 4 2 2 4" xfId="1998" xr:uid="{00000000-0005-0000-0000-0000F80F0000}"/>
    <cellStyle name="Normal 11 2 4 2 2 4 2" xfId="9105" xr:uid="{00000000-0005-0000-0000-0000F90F0000}"/>
    <cellStyle name="Normal 11 2 4 2 2 4 3" xfId="7502" xr:uid="{00000000-0005-0000-0000-0000FA0F0000}"/>
    <cellStyle name="Normal 11 2 4 2 2 4 4" xfId="10715" xr:uid="{00000000-0005-0000-0000-0000FB0F0000}"/>
    <cellStyle name="Normal 11 2 4 2 2 4 5" xfId="12322" xr:uid="{00000000-0005-0000-0000-0000FC0F0000}"/>
    <cellStyle name="Normal 11 2 4 2 3" xfId="1999" xr:uid="{00000000-0005-0000-0000-0000FD0F0000}"/>
    <cellStyle name="Normal 11 2 4 2 4" xfId="2000" xr:uid="{00000000-0005-0000-0000-0000FE0F0000}"/>
    <cellStyle name="Normal 11 2 4 2 5" xfId="9102" xr:uid="{00000000-0005-0000-0000-0000FF0F0000}"/>
    <cellStyle name="Normal 11 2 4 2 6" xfId="7499" xr:uid="{00000000-0005-0000-0000-000000100000}"/>
    <cellStyle name="Normal 11 2 4 2 7" xfId="10712" xr:uid="{00000000-0005-0000-0000-000001100000}"/>
    <cellStyle name="Normal 11 2 4 2 8" xfId="12319" xr:uid="{00000000-0005-0000-0000-000002100000}"/>
    <cellStyle name="Normal 11 2 4 3" xfId="2001" xr:uid="{00000000-0005-0000-0000-000003100000}"/>
    <cellStyle name="Normal 11 2 4 3 2" xfId="2002" xr:uid="{00000000-0005-0000-0000-000004100000}"/>
    <cellStyle name="Normal 11 2 4 3 2 2" xfId="9107" xr:uid="{00000000-0005-0000-0000-000005100000}"/>
    <cellStyle name="Normal 11 2 4 3 2 3" xfId="7504" xr:uid="{00000000-0005-0000-0000-000006100000}"/>
    <cellStyle name="Normal 11 2 4 3 2 4" xfId="10717" xr:uid="{00000000-0005-0000-0000-000007100000}"/>
    <cellStyle name="Normal 11 2 4 3 2 5" xfId="12324" xr:uid="{00000000-0005-0000-0000-000008100000}"/>
    <cellStyle name="Normal 11 2 4 3 3" xfId="2003" xr:uid="{00000000-0005-0000-0000-000009100000}"/>
    <cellStyle name="Normal 11 2 4 3 3 2" xfId="9108" xr:uid="{00000000-0005-0000-0000-00000A100000}"/>
    <cellStyle name="Normal 11 2 4 3 3 3" xfId="7505" xr:uid="{00000000-0005-0000-0000-00000B100000}"/>
    <cellStyle name="Normal 11 2 4 3 3 4" xfId="10718" xr:uid="{00000000-0005-0000-0000-00000C100000}"/>
    <cellStyle name="Normal 11 2 4 3 3 5" xfId="12325" xr:uid="{00000000-0005-0000-0000-00000D100000}"/>
    <cellStyle name="Normal 11 2 4 3 4" xfId="2004" xr:uid="{00000000-0005-0000-0000-00000E100000}"/>
    <cellStyle name="Normal 11 2 4 3 4 2" xfId="9109" xr:uid="{00000000-0005-0000-0000-00000F100000}"/>
    <cellStyle name="Normal 11 2 4 3 4 3" xfId="7506" xr:uid="{00000000-0005-0000-0000-000010100000}"/>
    <cellStyle name="Normal 11 2 4 3 4 4" xfId="10719" xr:uid="{00000000-0005-0000-0000-000011100000}"/>
    <cellStyle name="Normal 11 2 4 3 4 5" xfId="12326" xr:uid="{00000000-0005-0000-0000-000012100000}"/>
    <cellStyle name="Normal 11 2 4 3 5" xfId="9106" xr:uid="{00000000-0005-0000-0000-000013100000}"/>
    <cellStyle name="Normal 11 2 4 3 6" xfId="7503" xr:uid="{00000000-0005-0000-0000-000014100000}"/>
    <cellStyle name="Normal 11 2 4 3 7" xfId="10716" xr:uid="{00000000-0005-0000-0000-000015100000}"/>
    <cellStyle name="Normal 11 2 4 3 8" xfId="12323" xr:uid="{00000000-0005-0000-0000-000016100000}"/>
    <cellStyle name="Normal 11 2 4 4" xfId="2005" xr:uid="{00000000-0005-0000-0000-000017100000}"/>
    <cellStyle name="Normal 11 2 4 4 2" xfId="2006" xr:uid="{00000000-0005-0000-0000-000018100000}"/>
    <cellStyle name="Normal 11 2 4 4 2 2" xfId="9111" xr:uid="{00000000-0005-0000-0000-000019100000}"/>
    <cellStyle name="Normal 11 2 4 4 2 3" xfId="7508" xr:uid="{00000000-0005-0000-0000-00001A100000}"/>
    <cellStyle name="Normal 11 2 4 4 2 4" xfId="10721" xr:uid="{00000000-0005-0000-0000-00001B100000}"/>
    <cellStyle name="Normal 11 2 4 4 2 5" xfId="12328" xr:uid="{00000000-0005-0000-0000-00001C100000}"/>
    <cellStyle name="Normal 11 2 4 4 3" xfId="2007" xr:uid="{00000000-0005-0000-0000-00001D100000}"/>
    <cellStyle name="Normal 11 2 4 4 3 2" xfId="9112" xr:uid="{00000000-0005-0000-0000-00001E100000}"/>
    <cellStyle name="Normal 11 2 4 4 3 3" xfId="7509" xr:uid="{00000000-0005-0000-0000-00001F100000}"/>
    <cellStyle name="Normal 11 2 4 4 3 4" xfId="10722" xr:uid="{00000000-0005-0000-0000-000020100000}"/>
    <cellStyle name="Normal 11 2 4 4 3 5" xfId="12329" xr:uid="{00000000-0005-0000-0000-000021100000}"/>
    <cellStyle name="Normal 11 2 4 4 4" xfId="2008" xr:uid="{00000000-0005-0000-0000-000022100000}"/>
    <cellStyle name="Normal 11 2 4 4 4 2" xfId="9113" xr:uid="{00000000-0005-0000-0000-000023100000}"/>
    <cellStyle name="Normal 11 2 4 4 4 3" xfId="7510" xr:uid="{00000000-0005-0000-0000-000024100000}"/>
    <cellStyle name="Normal 11 2 4 4 4 4" xfId="10723" xr:uid="{00000000-0005-0000-0000-000025100000}"/>
    <cellStyle name="Normal 11 2 4 4 4 5" xfId="12330" xr:uid="{00000000-0005-0000-0000-000026100000}"/>
    <cellStyle name="Normal 11 2 4 4 5" xfId="9110" xr:uid="{00000000-0005-0000-0000-000027100000}"/>
    <cellStyle name="Normal 11 2 4 4 6" xfId="7507" xr:uid="{00000000-0005-0000-0000-000028100000}"/>
    <cellStyle name="Normal 11 2 4 4 7" xfId="10720" xr:uid="{00000000-0005-0000-0000-000029100000}"/>
    <cellStyle name="Normal 11 2 4 4 8" xfId="12327" xr:uid="{00000000-0005-0000-0000-00002A100000}"/>
    <cellStyle name="Normal 11 2 4 5" xfId="2009" xr:uid="{00000000-0005-0000-0000-00002B100000}"/>
    <cellStyle name="Normal 11 2 4 5 2" xfId="9114" xr:uid="{00000000-0005-0000-0000-00002C100000}"/>
    <cellStyle name="Normal 11 2 4 5 3" xfId="7511" xr:uid="{00000000-0005-0000-0000-00002D100000}"/>
    <cellStyle name="Normal 11 2 4 5 4" xfId="10724" xr:uid="{00000000-0005-0000-0000-00002E100000}"/>
    <cellStyle name="Normal 11 2 4 5 5" xfId="12331" xr:uid="{00000000-0005-0000-0000-00002F100000}"/>
    <cellStyle name="Normal 11 2 4 6" xfId="2010" xr:uid="{00000000-0005-0000-0000-000030100000}"/>
    <cellStyle name="Normal 11 2 4 6 2" xfId="9115" xr:uid="{00000000-0005-0000-0000-000031100000}"/>
    <cellStyle name="Normal 11 2 4 6 3" xfId="7512" xr:uid="{00000000-0005-0000-0000-000032100000}"/>
    <cellStyle name="Normal 11 2 4 6 4" xfId="10725" xr:uid="{00000000-0005-0000-0000-000033100000}"/>
    <cellStyle name="Normal 11 2 4 6 5" xfId="12332" xr:uid="{00000000-0005-0000-0000-000034100000}"/>
    <cellStyle name="Normal 11 2 4 7" xfId="2011" xr:uid="{00000000-0005-0000-0000-000035100000}"/>
    <cellStyle name="Normal 11 2 4 7 2" xfId="9116" xr:uid="{00000000-0005-0000-0000-000036100000}"/>
    <cellStyle name="Normal 11 2 4 7 3" xfId="7513" xr:uid="{00000000-0005-0000-0000-000037100000}"/>
    <cellStyle name="Normal 11 2 4 7 4" xfId="10726" xr:uid="{00000000-0005-0000-0000-000038100000}"/>
    <cellStyle name="Normal 11 2 4 7 5" xfId="12333" xr:uid="{00000000-0005-0000-0000-000039100000}"/>
    <cellStyle name="Normal 11 2 5" xfId="2012" xr:uid="{00000000-0005-0000-0000-00003A100000}"/>
    <cellStyle name="Normal 11 2 6" xfId="2013" xr:uid="{00000000-0005-0000-0000-00003B100000}"/>
    <cellStyle name="Normal 11 2 7" xfId="2014" xr:uid="{00000000-0005-0000-0000-00003C100000}"/>
    <cellStyle name="Normal 11 2 7 2" xfId="9117" xr:uid="{00000000-0005-0000-0000-00003D100000}"/>
    <cellStyle name="Normal 11 2 7 3" xfId="7514" xr:uid="{00000000-0005-0000-0000-00003E100000}"/>
    <cellStyle name="Normal 11 2 7 4" xfId="10727" xr:uid="{00000000-0005-0000-0000-00003F100000}"/>
    <cellStyle name="Normal 11 2 7 5" xfId="12334" xr:uid="{00000000-0005-0000-0000-000040100000}"/>
    <cellStyle name="Normal 11 2 8" xfId="2015" xr:uid="{00000000-0005-0000-0000-000041100000}"/>
    <cellStyle name="Normal 11 2 8 2" xfId="9118" xr:uid="{00000000-0005-0000-0000-000042100000}"/>
    <cellStyle name="Normal 11 2 8 3" xfId="7515" xr:uid="{00000000-0005-0000-0000-000043100000}"/>
    <cellStyle name="Normal 11 2 8 4" xfId="10728" xr:uid="{00000000-0005-0000-0000-000044100000}"/>
    <cellStyle name="Normal 11 2 8 5" xfId="12335" xr:uid="{00000000-0005-0000-0000-000045100000}"/>
    <cellStyle name="Normal 11 2 9" xfId="2016" xr:uid="{00000000-0005-0000-0000-000046100000}"/>
    <cellStyle name="Normal 11 2 9 2" xfId="9119" xr:uid="{00000000-0005-0000-0000-000047100000}"/>
    <cellStyle name="Normal 11 2 9 3" xfId="7516" xr:uid="{00000000-0005-0000-0000-000048100000}"/>
    <cellStyle name="Normal 11 2 9 4" xfId="10729" xr:uid="{00000000-0005-0000-0000-000049100000}"/>
    <cellStyle name="Normal 11 2 9 5" xfId="12336" xr:uid="{00000000-0005-0000-0000-00004A100000}"/>
    <cellStyle name="Normal 11 3" xfId="2017" xr:uid="{00000000-0005-0000-0000-00004B100000}"/>
    <cellStyle name="Normal 11 3 2" xfId="2018" xr:uid="{00000000-0005-0000-0000-00004C100000}"/>
    <cellStyle name="Normal 11 4" xfId="1981" xr:uid="{00000000-0005-0000-0000-00004D100000}"/>
    <cellStyle name="Normal 11 4 2" xfId="9092" xr:uid="{00000000-0005-0000-0000-00004E100000}"/>
    <cellStyle name="Normal 11 4 3" xfId="10702" xr:uid="{00000000-0005-0000-0000-00004F100000}"/>
    <cellStyle name="Normal 11 5" xfId="7489" xr:uid="{00000000-0005-0000-0000-000050100000}"/>
    <cellStyle name="Normal 11 6" xfId="12309" xr:uid="{00000000-0005-0000-0000-000051100000}"/>
    <cellStyle name="Normal 110" xfId="2019" xr:uid="{00000000-0005-0000-0000-000052100000}"/>
    <cellStyle name="Normal 110 2" xfId="2020" xr:uid="{00000000-0005-0000-0000-000053100000}"/>
    <cellStyle name="Normal 110 2 2" xfId="9121" xr:uid="{00000000-0005-0000-0000-000054100000}"/>
    <cellStyle name="Normal 110 2 3" xfId="7518" xr:uid="{00000000-0005-0000-0000-000055100000}"/>
    <cellStyle name="Normal 110 2 4" xfId="10731" xr:uid="{00000000-0005-0000-0000-000056100000}"/>
    <cellStyle name="Normal 110 2 5" xfId="12338" xr:uid="{00000000-0005-0000-0000-000057100000}"/>
    <cellStyle name="Normal 110 3" xfId="2021" xr:uid="{00000000-0005-0000-0000-000058100000}"/>
    <cellStyle name="Normal 110 3 2" xfId="9122" xr:uid="{00000000-0005-0000-0000-000059100000}"/>
    <cellStyle name="Normal 110 3 3" xfId="7519" xr:uid="{00000000-0005-0000-0000-00005A100000}"/>
    <cellStyle name="Normal 110 3 4" xfId="10732" xr:uid="{00000000-0005-0000-0000-00005B100000}"/>
    <cellStyle name="Normal 110 3 5" xfId="12339" xr:uid="{00000000-0005-0000-0000-00005C100000}"/>
    <cellStyle name="Normal 110 4" xfId="2022" xr:uid="{00000000-0005-0000-0000-00005D100000}"/>
    <cellStyle name="Normal 110 4 2" xfId="9123" xr:uid="{00000000-0005-0000-0000-00005E100000}"/>
    <cellStyle name="Normal 110 4 3" xfId="7520" xr:uid="{00000000-0005-0000-0000-00005F100000}"/>
    <cellStyle name="Normal 110 4 4" xfId="10733" xr:uid="{00000000-0005-0000-0000-000060100000}"/>
    <cellStyle name="Normal 110 4 5" xfId="12340" xr:uid="{00000000-0005-0000-0000-000061100000}"/>
    <cellStyle name="Normal 110 5" xfId="9120" xr:uid="{00000000-0005-0000-0000-000062100000}"/>
    <cellStyle name="Normal 110 6" xfId="7517" xr:uid="{00000000-0005-0000-0000-000063100000}"/>
    <cellStyle name="Normal 110 7" xfId="10730" xr:uid="{00000000-0005-0000-0000-000064100000}"/>
    <cellStyle name="Normal 110 8" xfId="12337" xr:uid="{00000000-0005-0000-0000-000065100000}"/>
    <cellStyle name="Normal 111" xfId="2023" xr:uid="{00000000-0005-0000-0000-000066100000}"/>
    <cellStyle name="Normal 111 2" xfId="2024" xr:uid="{00000000-0005-0000-0000-000067100000}"/>
    <cellStyle name="Normal 111 2 2" xfId="9125" xr:uid="{00000000-0005-0000-0000-000068100000}"/>
    <cellStyle name="Normal 111 2 3" xfId="7522" xr:uid="{00000000-0005-0000-0000-000069100000}"/>
    <cellStyle name="Normal 111 2 4" xfId="10735" xr:uid="{00000000-0005-0000-0000-00006A100000}"/>
    <cellStyle name="Normal 111 2 5" xfId="12342" xr:uid="{00000000-0005-0000-0000-00006B100000}"/>
    <cellStyle name="Normal 111 3" xfId="2025" xr:uid="{00000000-0005-0000-0000-00006C100000}"/>
    <cellStyle name="Normal 111 3 2" xfId="9126" xr:uid="{00000000-0005-0000-0000-00006D100000}"/>
    <cellStyle name="Normal 111 3 3" xfId="7523" xr:uid="{00000000-0005-0000-0000-00006E100000}"/>
    <cellStyle name="Normal 111 3 4" xfId="10736" xr:uid="{00000000-0005-0000-0000-00006F100000}"/>
    <cellStyle name="Normal 111 3 5" xfId="12343" xr:uid="{00000000-0005-0000-0000-000070100000}"/>
    <cellStyle name="Normal 111 4" xfId="2026" xr:uid="{00000000-0005-0000-0000-000071100000}"/>
    <cellStyle name="Normal 111 4 2" xfId="9127" xr:uid="{00000000-0005-0000-0000-000072100000}"/>
    <cellStyle name="Normal 111 4 3" xfId="7524" xr:uid="{00000000-0005-0000-0000-000073100000}"/>
    <cellStyle name="Normal 111 4 4" xfId="10737" xr:uid="{00000000-0005-0000-0000-000074100000}"/>
    <cellStyle name="Normal 111 4 5" xfId="12344" xr:uid="{00000000-0005-0000-0000-000075100000}"/>
    <cellStyle name="Normal 111 5" xfId="9124" xr:uid="{00000000-0005-0000-0000-000076100000}"/>
    <cellStyle name="Normal 111 6" xfId="7521" xr:uid="{00000000-0005-0000-0000-000077100000}"/>
    <cellStyle name="Normal 111 7" xfId="10734" xr:uid="{00000000-0005-0000-0000-000078100000}"/>
    <cellStyle name="Normal 111 8" xfId="12341" xr:uid="{00000000-0005-0000-0000-000079100000}"/>
    <cellStyle name="Normal 112" xfId="2027" xr:uid="{00000000-0005-0000-0000-00007A100000}"/>
    <cellStyle name="Normal 112 2" xfId="2028" xr:uid="{00000000-0005-0000-0000-00007B100000}"/>
    <cellStyle name="Normal 112 2 2" xfId="9129" xr:uid="{00000000-0005-0000-0000-00007C100000}"/>
    <cellStyle name="Normal 112 2 3" xfId="7526" xr:uid="{00000000-0005-0000-0000-00007D100000}"/>
    <cellStyle name="Normal 112 2 4" xfId="10739" xr:uid="{00000000-0005-0000-0000-00007E100000}"/>
    <cellStyle name="Normal 112 2 5" xfId="12346" xr:uid="{00000000-0005-0000-0000-00007F100000}"/>
    <cellStyle name="Normal 112 3" xfId="2029" xr:uid="{00000000-0005-0000-0000-000080100000}"/>
    <cellStyle name="Normal 112 3 2" xfId="9130" xr:uid="{00000000-0005-0000-0000-000081100000}"/>
    <cellStyle name="Normal 112 3 3" xfId="7527" xr:uid="{00000000-0005-0000-0000-000082100000}"/>
    <cellStyle name="Normal 112 3 4" xfId="10740" xr:uid="{00000000-0005-0000-0000-000083100000}"/>
    <cellStyle name="Normal 112 3 5" xfId="12347" xr:uid="{00000000-0005-0000-0000-000084100000}"/>
    <cellStyle name="Normal 112 4" xfId="2030" xr:uid="{00000000-0005-0000-0000-000085100000}"/>
    <cellStyle name="Normal 112 4 2" xfId="9131" xr:uid="{00000000-0005-0000-0000-000086100000}"/>
    <cellStyle name="Normal 112 4 3" xfId="7528" xr:uid="{00000000-0005-0000-0000-000087100000}"/>
    <cellStyle name="Normal 112 4 4" xfId="10741" xr:uid="{00000000-0005-0000-0000-000088100000}"/>
    <cellStyle name="Normal 112 4 5" xfId="12348" xr:uid="{00000000-0005-0000-0000-000089100000}"/>
    <cellStyle name="Normal 112 5" xfId="4902" xr:uid="{00000000-0005-0000-0000-00008A100000}"/>
    <cellStyle name="Normal 112 6" xfId="9128" xr:uid="{00000000-0005-0000-0000-00008B100000}"/>
    <cellStyle name="Normal 112 7" xfId="7525" xr:uid="{00000000-0005-0000-0000-00008C100000}"/>
    <cellStyle name="Normal 112 8" xfId="10738" xr:uid="{00000000-0005-0000-0000-00008D100000}"/>
    <cellStyle name="Normal 112 9" xfId="12345" xr:uid="{00000000-0005-0000-0000-00008E100000}"/>
    <cellStyle name="Normal 113" xfId="2031" xr:uid="{00000000-0005-0000-0000-00008F100000}"/>
    <cellStyle name="Normal 113 2" xfId="2032" xr:uid="{00000000-0005-0000-0000-000090100000}"/>
    <cellStyle name="Normal 113 2 2" xfId="9133" xr:uid="{00000000-0005-0000-0000-000091100000}"/>
    <cellStyle name="Normal 113 2 3" xfId="7530" xr:uid="{00000000-0005-0000-0000-000092100000}"/>
    <cellStyle name="Normal 113 2 4" xfId="10743" xr:uid="{00000000-0005-0000-0000-000093100000}"/>
    <cellStyle name="Normal 113 2 5" xfId="12350" xr:uid="{00000000-0005-0000-0000-000094100000}"/>
    <cellStyle name="Normal 113 3" xfId="2033" xr:uid="{00000000-0005-0000-0000-000095100000}"/>
    <cellStyle name="Normal 113 3 2" xfId="9134" xr:uid="{00000000-0005-0000-0000-000096100000}"/>
    <cellStyle name="Normal 113 3 3" xfId="7531" xr:uid="{00000000-0005-0000-0000-000097100000}"/>
    <cellStyle name="Normal 113 3 4" xfId="10744" xr:uid="{00000000-0005-0000-0000-000098100000}"/>
    <cellStyle name="Normal 113 3 5" xfId="12351" xr:uid="{00000000-0005-0000-0000-000099100000}"/>
    <cellStyle name="Normal 113 4" xfId="2034" xr:uid="{00000000-0005-0000-0000-00009A100000}"/>
    <cellStyle name="Normal 113 4 2" xfId="9135" xr:uid="{00000000-0005-0000-0000-00009B100000}"/>
    <cellStyle name="Normal 113 4 3" xfId="7532" xr:uid="{00000000-0005-0000-0000-00009C100000}"/>
    <cellStyle name="Normal 113 4 4" xfId="10745" xr:uid="{00000000-0005-0000-0000-00009D100000}"/>
    <cellStyle name="Normal 113 4 5" xfId="12352" xr:uid="{00000000-0005-0000-0000-00009E100000}"/>
    <cellStyle name="Normal 113 5" xfId="9132" xr:uid="{00000000-0005-0000-0000-00009F100000}"/>
    <cellStyle name="Normal 113 6" xfId="7529" xr:uid="{00000000-0005-0000-0000-0000A0100000}"/>
    <cellStyle name="Normal 113 7" xfId="10742" xr:uid="{00000000-0005-0000-0000-0000A1100000}"/>
    <cellStyle name="Normal 113 8" xfId="12349" xr:uid="{00000000-0005-0000-0000-0000A2100000}"/>
    <cellStyle name="Normal 114" xfId="2035" xr:uid="{00000000-0005-0000-0000-0000A3100000}"/>
    <cellStyle name="Normal 114 2" xfId="2036" xr:uid="{00000000-0005-0000-0000-0000A4100000}"/>
    <cellStyle name="Normal 114 2 2" xfId="9137" xr:uid="{00000000-0005-0000-0000-0000A5100000}"/>
    <cellStyle name="Normal 114 2 3" xfId="7534" xr:uid="{00000000-0005-0000-0000-0000A6100000}"/>
    <cellStyle name="Normal 114 2 4" xfId="10747" xr:uid="{00000000-0005-0000-0000-0000A7100000}"/>
    <cellStyle name="Normal 114 2 5" xfId="12354" xr:uid="{00000000-0005-0000-0000-0000A8100000}"/>
    <cellStyle name="Normal 114 3" xfId="2037" xr:uid="{00000000-0005-0000-0000-0000A9100000}"/>
    <cellStyle name="Normal 114 3 2" xfId="9138" xr:uid="{00000000-0005-0000-0000-0000AA100000}"/>
    <cellStyle name="Normal 114 3 3" xfId="7535" xr:uid="{00000000-0005-0000-0000-0000AB100000}"/>
    <cellStyle name="Normal 114 3 4" xfId="10748" xr:uid="{00000000-0005-0000-0000-0000AC100000}"/>
    <cellStyle name="Normal 114 3 5" xfId="12355" xr:uid="{00000000-0005-0000-0000-0000AD100000}"/>
    <cellStyle name="Normal 114 4" xfId="2038" xr:uid="{00000000-0005-0000-0000-0000AE100000}"/>
    <cellStyle name="Normal 114 4 2" xfId="9139" xr:uid="{00000000-0005-0000-0000-0000AF100000}"/>
    <cellStyle name="Normal 114 4 3" xfId="7536" xr:uid="{00000000-0005-0000-0000-0000B0100000}"/>
    <cellStyle name="Normal 114 4 4" xfId="10749" xr:uid="{00000000-0005-0000-0000-0000B1100000}"/>
    <cellStyle name="Normal 114 4 5" xfId="12356" xr:uid="{00000000-0005-0000-0000-0000B2100000}"/>
    <cellStyle name="Normal 114 5" xfId="9136" xr:uid="{00000000-0005-0000-0000-0000B3100000}"/>
    <cellStyle name="Normal 114 6" xfId="7533" xr:uid="{00000000-0005-0000-0000-0000B4100000}"/>
    <cellStyle name="Normal 114 7" xfId="10746" xr:uid="{00000000-0005-0000-0000-0000B5100000}"/>
    <cellStyle name="Normal 114 8" xfId="12353" xr:uid="{00000000-0005-0000-0000-0000B6100000}"/>
    <cellStyle name="Normal 115" xfId="2039" xr:uid="{00000000-0005-0000-0000-0000B7100000}"/>
    <cellStyle name="Normal 115 2" xfId="2040" xr:uid="{00000000-0005-0000-0000-0000B8100000}"/>
    <cellStyle name="Normal 115 2 2" xfId="9141" xr:uid="{00000000-0005-0000-0000-0000B9100000}"/>
    <cellStyle name="Normal 115 2 3" xfId="7538" xr:uid="{00000000-0005-0000-0000-0000BA100000}"/>
    <cellStyle name="Normal 115 2 4" xfId="10751" xr:uid="{00000000-0005-0000-0000-0000BB100000}"/>
    <cellStyle name="Normal 115 2 5" xfId="12358" xr:uid="{00000000-0005-0000-0000-0000BC100000}"/>
    <cellStyle name="Normal 115 3" xfId="2041" xr:uid="{00000000-0005-0000-0000-0000BD100000}"/>
    <cellStyle name="Normal 115 3 2" xfId="9142" xr:uid="{00000000-0005-0000-0000-0000BE100000}"/>
    <cellStyle name="Normal 115 3 3" xfId="7539" xr:uid="{00000000-0005-0000-0000-0000BF100000}"/>
    <cellStyle name="Normal 115 3 4" xfId="10752" xr:uid="{00000000-0005-0000-0000-0000C0100000}"/>
    <cellStyle name="Normal 115 3 5" xfId="12359" xr:uid="{00000000-0005-0000-0000-0000C1100000}"/>
    <cellStyle name="Normal 115 4" xfId="2042" xr:uid="{00000000-0005-0000-0000-0000C2100000}"/>
    <cellStyle name="Normal 115 4 2" xfId="9143" xr:uid="{00000000-0005-0000-0000-0000C3100000}"/>
    <cellStyle name="Normal 115 4 3" xfId="7540" xr:uid="{00000000-0005-0000-0000-0000C4100000}"/>
    <cellStyle name="Normal 115 4 4" xfId="10753" xr:uid="{00000000-0005-0000-0000-0000C5100000}"/>
    <cellStyle name="Normal 115 4 5" xfId="12360" xr:uid="{00000000-0005-0000-0000-0000C6100000}"/>
    <cellStyle name="Normal 115 5" xfId="9140" xr:uid="{00000000-0005-0000-0000-0000C7100000}"/>
    <cellStyle name="Normal 115 6" xfId="7537" xr:uid="{00000000-0005-0000-0000-0000C8100000}"/>
    <cellStyle name="Normal 115 7" xfId="10750" xr:uid="{00000000-0005-0000-0000-0000C9100000}"/>
    <cellStyle name="Normal 115 8" xfId="12357" xr:uid="{00000000-0005-0000-0000-0000CA100000}"/>
    <cellStyle name="Normal 116" xfId="2043" xr:uid="{00000000-0005-0000-0000-0000CB100000}"/>
    <cellStyle name="Normal 116 2" xfId="2044" xr:uid="{00000000-0005-0000-0000-0000CC100000}"/>
    <cellStyle name="Normal 116 2 2" xfId="9145" xr:uid="{00000000-0005-0000-0000-0000CD100000}"/>
    <cellStyle name="Normal 116 2 3" xfId="7542" xr:uid="{00000000-0005-0000-0000-0000CE100000}"/>
    <cellStyle name="Normal 116 2 4" xfId="10755" xr:uid="{00000000-0005-0000-0000-0000CF100000}"/>
    <cellStyle name="Normal 116 2 5" xfId="12362" xr:uid="{00000000-0005-0000-0000-0000D0100000}"/>
    <cellStyle name="Normal 116 3" xfId="2045" xr:uid="{00000000-0005-0000-0000-0000D1100000}"/>
    <cellStyle name="Normal 116 3 2" xfId="9146" xr:uid="{00000000-0005-0000-0000-0000D2100000}"/>
    <cellStyle name="Normal 116 3 3" xfId="7543" xr:uid="{00000000-0005-0000-0000-0000D3100000}"/>
    <cellStyle name="Normal 116 3 4" xfId="10756" xr:uid="{00000000-0005-0000-0000-0000D4100000}"/>
    <cellStyle name="Normal 116 3 5" xfId="12363" xr:uid="{00000000-0005-0000-0000-0000D5100000}"/>
    <cellStyle name="Normal 116 4" xfId="2046" xr:uid="{00000000-0005-0000-0000-0000D6100000}"/>
    <cellStyle name="Normal 116 4 2" xfId="9147" xr:uid="{00000000-0005-0000-0000-0000D7100000}"/>
    <cellStyle name="Normal 116 4 3" xfId="7544" xr:uid="{00000000-0005-0000-0000-0000D8100000}"/>
    <cellStyle name="Normal 116 4 4" xfId="10757" xr:uid="{00000000-0005-0000-0000-0000D9100000}"/>
    <cellStyle name="Normal 116 4 5" xfId="12364" xr:uid="{00000000-0005-0000-0000-0000DA100000}"/>
    <cellStyle name="Normal 116 5" xfId="9144" xr:uid="{00000000-0005-0000-0000-0000DB100000}"/>
    <cellStyle name="Normal 116 6" xfId="7541" xr:uid="{00000000-0005-0000-0000-0000DC100000}"/>
    <cellStyle name="Normal 116 7" xfId="10754" xr:uid="{00000000-0005-0000-0000-0000DD100000}"/>
    <cellStyle name="Normal 116 8" xfId="12361" xr:uid="{00000000-0005-0000-0000-0000DE100000}"/>
    <cellStyle name="Normal 117" xfId="2047" xr:uid="{00000000-0005-0000-0000-0000DF100000}"/>
    <cellStyle name="Normal 117 2" xfId="2048" xr:uid="{00000000-0005-0000-0000-0000E0100000}"/>
    <cellStyle name="Normal 117 2 2" xfId="2049" xr:uid="{00000000-0005-0000-0000-0000E1100000}"/>
    <cellStyle name="Normal 117 2 3" xfId="2050" xr:uid="{00000000-0005-0000-0000-0000E2100000}"/>
    <cellStyle name="Normal 117 2 4" xfId="2051" xr:uid="{00000000-0005-0000-0000-0000E3100000}"/>
    <cellStyle name="Normal 117 2 5" xfId="9148" xr:uid="{00000000-0005-0000-0000-0000E4100000}"/>
    <cellStyle name="Normal 117 2 6" xfId="7545" xr:uid="{00000000-0005-0000-0000-0000E5100000}"/>
    <cellStyle name="Normal 117 2 7" xfId="10758" xr:uid="{00000000-0005-0000-0000-0000E6100000}"/>
    <cellStyle name="Normal 117 2 8" xfId="12365" xr:uid="{00000000-0005-0000-0000-0000E7100000}"/>
    <cellStyle name="Normal 117 3" xfId="2052" xr:uid="{00000000-0005-0000-0000-0000E8100000}"/>
    <cellStyle name="Normal 117 3 2" xfId="9149" xr:uid="{00000000-0005-0000-0000-0000E9100000}"/>
    <cellStyle name="Normal 117 3 3" xfId="7546" xr:uid="{00000000-0005-0000-0000-0000EA100000}"/>
    <cellStyle name="Normal 117 3 4" xfId="10759" xr:uid="{00000000-0005-0000-0000-0000EB100000}"/>
    <cellStyle name="Normal 117 3 5" xfId="12366" xr:uid="{00000000-0005-0000-0000-0000EC100000}"/>
    <cellStyle name="Normal 117 4" xfId="2053" xr:uid="{00000000-0005-0000-0000-0000ED100000}"/>
    <cellStyle name="Normal 117 4 2" xfId="9150" xr:uid="{00000000-0005-0000-0000-0000EE100000}"/>
    <cellStyle name="Normal 117 4 3" xfId="7547" xr:uid="{00000000-0005-0000-0000-0000EF100000}"/>
    <cellStyle name="Normal 117 4 4" xfId="10760" xr:uid="{00000000-0005-0000-0000-0000F0100000}"/>
    <cellStyle name="Normal 117 4 5" xfId="12367" xr:uid="{00000000-0005-0000-0000-0000F1100000}"/>
    <cellStyle name="Normal 118" xfId="2054" xr:uid="{00000000-0005-0000-0000-0000F2100000}"/>
    <cellStyle name="Normal 118 2" xfId="2055" xr:uid="{00000000-0005-0000-0000-0000F3100000}"/>
    <cellStyle name="Normal 118 2 2" xfId="9152" xr:uid="{00000000-0005-0000-0000-0000F4100000}"/>
    <cellStyle name="Normal 118 2 3" xfId="7549" xr:uid="{00000000-0005-0000-0000-0000F5100000}"/>
    <cellStyle name="Normal 118 2 4" xfId="10762" xr:uid="{00000000-0005-0000-0000-0000F6100000}"/>
    <cellStyle name="Normal 118 2 5" xfId="12369" xr:uid="{00000000-0005-0000-0000-0000F7100000}"/>
    <cellStyle name="Normal 118 3" xfId="2056" xr:uid="{00000000-0005-0000-0000-0000F8100000}"/>
    <cellStyle name="Normal 118 3 2" xfId="9153" xr:uid="{00000000-0005-0000-0000-0000F9100000}"/>
    <cellStyle name="Normal 118 3 3" xfId="7550" xr:uid="{00000000-0005-0000-0000-0000FA100000}"/>
    <cellStyle name="Normal 118 3 4" xfId="10763" xr:uid="{00000000-0005-0000-0000-0000FB100000}"/>
    <cellStyle name="Normal 118 3 5" xfId="12370" xr:uid="{00000000-0005-0000-0000-0000FC100000}"/>
    <cellStyle name="Normal 118 4" xfId="2057" xr:uid="{00000000-0005-0000-0000-0000FD100000}"/>
    <cellStyle name="Normal 118 4 2" xfId="9154" xr:uid="{00000000-0005-0000-0000-0000FE100000}"/>
    <cellStyle name="Normal 118 4 3" xfId="7551" xr:uid="{00000000-0005-0000-0000-0000FF100000}"/>
    <cellStyle name="Normal 118 4 4" xfId="10764" xr:uid="{00000000-0005-0000-0000-000000110000}"/>
    <cellStyle name="Normal 118 4 5" xfId="12371" xr:uid="{00000000-0005-0000-0000-000001110000}"/>
    <cellStyle name="Normal 118 5" xfId="9151" xr:uid="{00000000-0005-0000-0000-000002110000}"/>
    <cellStyle name="Normal 118 6" xfId="7548" xr:uid="{00000000-0005-0000-0000-000003110000}"/>
    <cellStyle name="Normal 118 7" xfId="10761" xr:uid="{00000000-0005-0000-0000-000004110000}"/>
    <cellStyle name="Normal 118 8" xfId="12368" xr:uid="{00000000-0005-0000-0000-000005110000}"/>
    <cellStyle name="Normal 119" xfId="2058" xr:uid="{00000000-0005-0000-0000-000006110000}"/>
    <cellStyle name="Normal 119 2" xfId="2059" xr:uid="{00000000-0005-0000-0000-000007110000}"/>
    <cellStyle name="Normal 12" xfId="149" xr:uid="{00000000-0005-0000-0000-000008110000}"/>
    <cellStyle name="Normal 12 2" xfId="2061" xr:uid="{00000000-0005-0000-0000-000009110000}"/>
    <cellStyle name="Normal 12 2 10" xfId="7553" xr:uid="{00000000-0005-0000-0000-00000A110000}"/>
    <cellStyle name="Normal 12 2 11" xfId="10766" xr:uid="{00000000-0005-0000-0000-00000B110000}"/>
    <cellStyle name="Normal 12 2 12" xfId="12373" xr:uid="{00000000-0005-0000-0000-00000C110000}"/>
    <cellStyle name="Normal 12 2 2" xfId="2062" xr:uid="{00000000-0005-0000-0000-00000D110000}"/>
    <cellStyle name="Normal 12 2 2 2" xfId="2063" xr:uid="{00000000-0005-0000-0000-00000E110000}"/>
    <cellStyle name="Normal 12 2 2 2 2" xfId="2064" xr:uid="{00000000-0005-0000-0000-00000F110000}"/>
    <cellStyle name="Normal 12 2 2 2 2 2" xfId="2065" xr:uid="{00000000-0005-0000-0000-000010110000}"/>
    <cellStyle name="Normal 12 2 2 2 2 2 2" xfId="9158" xr:uid="{00000000-0005-0000-0000-000011110000}"/>
    <cellStyle name="Normal 12 2 2 2 2 2 3" xfId="7555" xr:uid="{00000000-0005-0000-0000-000012110000}"/>
    <cellStyle name="Normal 12 2 2 2 2 2 4" xfId="10768" xr:uid="{00000000-0005-0000-0000-000013110000}"/>
    <cellStyle name="Normal 12 2 2 2 2 2 5" xfId="12375" xr:uid="{00000000-0005-0000-0000-000014110000}"/>
    <cellStyle name="Normal 12 2 2 2 2 3" xfId="2066" xr:uid="{00000000-0005-0000-0000-000015110000}"/>
    <cellStyle name="Normal 12 2 2 2 2 3 2" xfId="9159" xr:uid="{00000000-0005-0000-0000-000016110000}"/>
    <cellStyle name="Normal 12 2 2 2 2 3 3" xfId="7556" xr:uid="{00000000-0005-0000-0000-000017110000}"/>
    <cellStyle name="Normal 12 2 2 2 2 3 4" xfId="10769" xr:uid="{00000000-0005-0000-0000-000018110000}"/>
    <cellStyle name="Normal 12 2 2 2 2 3 5" xfId="12376" xr:uid="{00000000-0005-0000-0000-000019110000}"/>
    <cellStyle name="Normal 12 2 2 2 2 4" xfId="2067" xr:uid="{00000000-0005-0000-0000-00001A110000}"/>
    <cellStyle name="Normal 12 2 2 2 2 4 2" xfId="9160" xr:uid="{00000000-0005-0000-0000-00001B110000}"/>
    <cellStyle name="Normal 12 2 2 2 2 4 3" xfId="7557" xr:uid="{00000000-0005-0000-0000-00001C110000}"/>
    <cellStyle name="Normal 12 2 2 2 2 4 4" xfId="10770" xr:uid="{00000000-0005-0000-0000-00001D110000}"/>
    <cellStyle name="Normal 12 2 2 2 2 4 5" xfId="12377" xr:uid="{00000000-0005-0000-0000-00001E110000}"/>
    <cellStyle name="Normal 12 2 2 2 3" xfId="2068" xr:uid="{00000000-0005-0000-0000-00001F110000}"/>
    <cellStyle name="Normal 12 2 2 2 4" xfId="2069" xr:uid="{00000000-0005-0000-0000-000020110000}"/>
    <cellStyle name="Normal 12 2 2 2 5" xfId="9157" xr:uid="{00000000-0005-0000-0000-000021110000}"/>
    <cellStyle name="Normal 12 2 2 2 6" xfId="7554" xr:uid="{00000000-0005-0000-0000-000022110000}"/>
    <cellStyle name="Normal 12 2 2 2 7" xfId="10767" xr:uid="{00000000-0005-0000-0000-000023110000}"/>
    <cellStyle name="Normal 12 2 2 2 8" xfId="12374" xr:uid="{00000000-0005-0000-0000-000024110000}"/>
    <cellStyle name="Normal 12 2 2 3" xfId="2070" xr:uid="{00000000-0005-0000-0000-000025110000}"/>
    <cellStyle name="Normal 12 2 2 3 2" xfId="2071" xr:uid="{00000000-0005-0000-0000-000026110000}"/>
    <cellStyle name="Normal 12 2 2 3 2 2" xfId="9162" xr:uid="{00000000-0005-0000-0000-000027110000}"/>
    <cellStyle name="Normal 12 2 2 3 2 3" xfId="7559" xr:uid="{00000000-0005-0000-0000-000028110000}"/>
    <cellStyle name="Normal 12 2 2 3 2 4" xfId="10772" xr:uid="{00000000-0005-0000-0000-000029110000}"/>
    <cellStyle name="Normal 12 2 2 3 2 5" xfId="12379" xr:uid="{00000000-0005-0000-0000-00002A110000}"/>
    <cellStyle name="Normal 12 2 2 3 3" xfId="2072" xr:uid="{00000000-0005-0000-0000-00002B110000}"/>
    <cellStyle name="Normal 12 2 2 3 3 2" xfId="9163" xr:uid="{00000000-0005-0000-0000-00002C110000}"/>
    <cellStyle name="Normal 12 2 2 3 3 3" xfId="7560" xr:uid="{00000000-0005-0000-0000-00002D110000}"/>
    <cellStyle name="Normal 12 2 2 3 3 4" xfId="10773" xr:uid="{00000000-0005-0000-0000-00002E110000}"/>
    <cellStyle name="Normal 12 2 2 3 3 5" xfId="12380" xr:uid="{00000000-0005-0000-0000-00002F110000}"/>
    <cellStyle name="Normal 12 2 2 3 4" xfId="2073" xr:uid="{00000000-0005-0000-0000-000030110000}"/>
    <cellStyle name="Normal 12 2 2 3 4 2" xfId="9164" xr:uid="{00000000-0005-0000-0000-000031110000}"/>
    <cellStyle name="Normal 12 2 2 3 4 3" xfId="7561" xr:uid="{00000000-0005-0000-0000-000032110000}"/>
    <cellStyle name="Normal 12 2 2 3 4 4" xfId="10774" xr:uid="{00000000-0005-0000-0000-000033110000}"/>
    <cellStyle name="Normal 12 2 2 3 4 5" xfId="12381" xr:uid="{00000000-0005-0000-0000-000034110000}"/>
    <cellStyle name="Normal 12 2 2 3 5" xfId="9161" xr:uid="{00000000-0005-0000-0000-000035110000}"/>
    <cellStyle name="Normal 12 2 2 3 6" xfId="7558" xr:uid="{00000000-0005-0000-0000-000036110000}"/>
    <cellStyle name="Normal 12 2 2 3 7" xfId="10771" xr:uid="{00000000-0005-0000-0000-000037110000}"/>
    <cellStyle name="Normal 12 2 2 3 8" xfId="12378" xr:uid="{00000000-0005-0000-0000-000038110000}"/>
    <cellStyle name="Normal 12 2 2 4" xfId="2074" xr:uid="{00000000-0005-0000-0000-000039110000}"/>
    <cellStyle name="Normal 12 2 2 4 2" xfId="2075" xr:uid="{00000000-0005-0000-0000-00003A110000}"/>
    <cellStyle name="Normal 12 2 2 4 2 2" xfId="9166" xr:uid="{00000000-0005-0000-0000-00003B110000}"/>
    <cellStyle name="Normal 12 2 2 4 2 3" xfId="7563" xr:uid="{00000000-0005-0000-0000-00003C110000}"/>
    <cellStyle name="Normal 12 2 2 4 2 4" xfId="10776" xr:uid="{00000000-0005-0000-0000-00003D110000}"/>
    <cellStyle name="Normal 12 2 2 4 2 5" xfId="12383" xr:uid="{00000000-0005-0000-0000-00003E110000}"/>
    <cellStyle name="Normal 12 2 2 4 3" xfId="2076" xr:uid="{00000000-0005-0000-0000-00003F110000}"/>
    <cellStyle name="Normal 12 2 2 4 3 2" xfId="9167" xr:uid="{00000000-0005-0000-0000-000040110000}"/>
    <cellStyle name="Normal 12 2 2 4 3 3" xfId="7564" xr:uid="{00000000-0005-0000-0000-000041110000}"/>
    <cellStyle name="Normal 12 2 2 4 3 4" xfId="10777" xr:uid="{00000000-0005-0000-0000-000042110000}"/>
    <cellStyle name="Normal 12 2 2 4 3 5" xfId="12384" xr:uid="{00000000-0005-0000-0000-000043110000}"/>
    <cellStyle name="Normal 12 2 2 4 4" xfId="2077" xr:uid="{00000000-0005-0000-0000-000044110000}"/>
    <cellStyle name="Normal 12 2 2 4 4 2" xfId="9168" xr:uid="{00000000-0005-0000-0000-000045110000}"/>
    <cellStyle name="Normal 12 2 2 4 4 3" xfId="7565" xr:uid="{00000000-0005-0000-0000-000046110000}"/>
    <cellStyle name="Normal 12 2 2 4 4 4" xfId="10778" xr:uid="{00000000-0005-0000-0000-000047110000}"/>
    <cellStyle name="Normal 12 2 2 4 4 5" xfId="12385" xr:uid="{00000000-0005-0000-0000-000048110000}"/>
    <cellStyle name="Normal 12 2 2 4 5" xfId="9165" xr:uid="{00000000-0005-0000-0000-000049110000}"/>
    <cellStyle name="Normal 12 2 2 4 6" xfId="7562" xr:uid="{00000000-0005-0000-0000-00004A110000}"/>
    <cellStyle name="Normal 12 2 2 4 7" xfId="10775" xr:uid="{00000000-0005-0000-0000-00004B110000}"/>
    <cellStyle name="Normal 12 2 2 4 8" xfId="12382" xr:uid="{00000000-0005-0000-0000-00004C110000}"/>
    <cellStyle name="Normal 12 2 2 5" xfId="2078" xr:uid="{00000000-0005-0000-0000-00004D110000}"/>
    <cellStyle name="Normal 12 2 2 5 2" xfId="9169" xr:uid="{00000000-0005-0000-0000-00004E110000}"/>
    <cellStyle name="Normal 12 2 2 5 3" xfId="7566" xr:uid="{00000000-0005-0000-0000-00004F110000}"/>
    <cellStyle name="Normal 12 2 2 5 4" xfId="10779" xr:uid="{00000000-0005-0000-0000-000050110000}"/>
    <cellStyle name="Normal 12 2 2 5 5" xfId="12386" xr:uid="{00000000-0005-0000-0000-000051110000}"/>
    <cellStyle name="Normal 12 2 2 6" xfId="2079" xr:uid="{00000000-0005-0000-0000-000052110000}"/>
    <cellStyle name="Normal 12 2 2 6 2" xfId="9170" xr:uid="{00000000-0005-0000-0000-000053110000}"/>
    <cellStyle name="Normal 12 2 2 6 3" xfId="7567" xr:uid="{00000000-0005-0000-0000-000054110000}"/>
    <cellStyle name="Normal 12 2 2 6 4" xfId="10780" xr:uid="{00000000-0005-0000-0000-000055110000}"/>
    <cellStyle name="Normal 12 2 2 6 5" xfId="12387" xr:uid="{00000000-0005-0000-0000-000056110000}"/>
    <cellStyle name="Normal 12 2 2 7" xfId="2080" xr:uid="{00000000-0005-0000-0000-000057110000}"/>
    <cellStyle name="Normal 12 2 2 7 2" xfId="9171" xr:uid="{00000000-0005-0000-0000-000058110000}"/>
    <cellStyle name="Normal 12 2 2 7 3" xfId="7568" xr:uid="{00000000-0005-0000-0000-000059110000}"/>
    <cellStyle name="Normal 12 2 2 7 4" xfId="10781" xr:uid="{00000000-0005-0000-0000-00005A110000}"/>
    <cellStyle name="Normal 12 2 2 7 5" xfId="12388" xr:uid="{00000000-0005-0000-0000-00005B110000}"/>
    <cellStyle name="Normal 12 2 3" xfId="2081" xr:uid="{00000000-0005-0000-0000-00005C110000}"/>
    <cellStyle name="Normal 12 2 3 2" xfId="2082" xr:uid="{00000000-0005-0000-0000-00005D110000}"/>
    <cellStyle name="Normal 12 2 3 2 2" xfId="9173" xr:uid="{00000000-0005-0000-0000-00005E110000}"/>
    <cellStyle name="Normal 12 2 3 2 3" xfId="7570" xr:uid="{00000000-0005-0000-0000-00005F110000}"/>
    <cellStyle name="Normal 12 2 3 2 4" xfId="10783" xr:uid="{00000000-0005-0000-0000-000060110000}"/>
    <cellStyle name="Normal 12 2 3 2 5" xfId="12390" xr:uid="{00000000-0005-0000-0000-000061110000}"/>
    <cellStyle name="Normal 12 2 3 3" xfId="2083" xr:uid="{00000000-0005-0000-0000-000062110000}"/>
    <cellStyle name="Normal 12 2 3 3 2" xfId="9174" xr:uid="{00000000-0005-0000-0000-000063110000}"/>
    <cellStyle name="Normal 12 2 3 3 3" xfId="7571" xr:uid="{00000000-0005-0000-0000-000064110000}"/>
    <cellStyle name="Normal 12 2 3 3 4" xfId="10784" xr:uid="{00000000-0005-0000-0000-000065110000}"/>
    <cellStyle name="Normal 12 2 3 3 5" xfId="12391" xr:uid="{00000000-0005-0000-0000-000066110000}"/>
    <cellStyle name="Normal 12 2 3 4" xfId="2084" xr:uid="{00000000-0005-0000-0000-000067110000}"/>
    <cellStyle name="Normal 12 2 3 4 2" xfId="9175" xr:uid="{00000000-0005-0000-0000-000068110000}"/>
    <cellStyle name="Normal 12 2 3 4 3" xfId="7572" xr:uid="{00000000-0005-0000-0000-000069110000}"/>
    <cellStyle name="Normal 12 2 3 4 4" xfId="10785" xr:uid="{00000000-0005-0000-0000-00006A110000}"/>
    <cellStyle name="Normal 12 2 3 4 5" xfId="12392" xr:uid="{00000000-0005-0000-0000-00006B110000}"/>
    <cellStyle name="Normal 12 2 3 5" xfId="9172" xr:uid="{00000000-0005-0000-0000-00006C110000}"/>
    <cellStyle name="Normal 12 2 3 6" xfId="7569" xr:uid="{00000000-0005-0000-0000-00006D110000}"/>
    <cellStyle name="Normal 12 2 3 7" xfId="10782" xr:uid="{00000000-0005-0000-0000-00006E110000}"/>
    <cellStyle name="Normal 12 2 3 8" xfId="12389" xr:uid="{00000000-0005-0000-0000-00006F110000}"/>
    <cellStyle name="Normal 12 2 4" xfId="2085" xr:uid="{00000000-0005-0000-0000-000070110000}"/>
    <cellStyle name="Normal 12 2 5" xfId="2086" xr:uid="{00000000-0005-0000-0000-000071110000}"/>
    <cellStyle name="Normal 12 2 6" xfId="2087" xr:uid="{00000000-0005-0000-0000-000072110000}"/>
    <cellStyle name="Normal 12 2 6 2" xfId="9176" xr:uid="{00000000-0005-0000-0000-000073110000}"/>
    <cellStyle name="Normal 12 2 6 3" xfId="7573" xr:uid="{00000000-0005-0000-0000-000074110000}"/>
    <cellStyle name="Normal 12 2 6 4" xfId="10786" xr:uid="{00000000-0005-0000-0000-000075110000}"/>
    <cellStyle name="Normal 12 2 6 5" xfId="12393" xr:uid="{00000000-0005-0000-0000-000076110000}"/>
    <cellStyle name="Normal 12 2 7" xfId="2088" xr:uid="{00000000-0005-0000-0000-000077110000}"/>
    <cellStyle name="Normal 12 2 7 2" xfId="9177" xr:uid="{00000000-0005-0000-0000-000078110000}"/>
    <cellStyle name="Normal 12 2 7 3" xfId="7574" xr:uid="{00000000-0005-0000-0000-000079110000}"/>
    <cellStyle name="Normal 12 2 7 4" xfId="10787" xr:uid="{00000000-0005-0000-0000-00007A110000}"/>
    <cellStyle name="Normal 12 2 7 5" xfId="12394" xr:uid="{00000000-0005-0000-0000-00007B110000}"/>
    <cellStyle name="Normal 12 2 8" xfId="2089" xr:uid="{00000000-0005-0000-0000-00007C110000}"/>
    <cellStyle name="Normal 12 2 8 2" xfId="9178" xr:uid="{00000000-0005-0000-0000-00007D110000}"/>
    <cellStyle name="Normal 12 2 8 3" xfId="7575" xr:uid="{00000000-0005-0000-0000-00007E110000}"/>
    <cellStyle name="Normal 12 2 8 4" xfId="10788" xr:uid="{00000000-0005-0000-0000-00007F110000}"/>
    <cellStyle name="Normal 12 2 8 5" xfId="12395" xr:uid="{00000000-0005-0000-0000-000080110000}"/>
    <cellStyle name="Normal 12 2 9" xfId="6928" xr:uid="{00000000-0005-0000-0000-000081110000}"/>
    <cellStyle name="Normal 12 2 9 2" xfId="9156" xr:uid="{00000000-0005-0000-0000-000082110000}"/>
    <cellStyle name="Normal 12 3" xfId="2090" xr:uid="{00000000-0005-0000-0000-000083110000}"/>
    <cellStyle name="Normal 12 4" xfId="2091" xr:uid="{00000000-0005-0000-0000-000084110000}"/>
    <cellStyle name="Normal 12 5" xfId="4903" xr:uid="{00000000-0005-0000-0000-000085110000}"/>
    <cellStyle name="Normal 12 6" xfId="2060" xr:uid="{00000000-0005-0000-0000-000086110000}"/>
    <cellStyle name="Normal 12 6 2" xfId="9155" xr:uid="{00000000-0005-0000-0000-000087110000}"/>
    <cellStyle name="Normal 12 6 3" xfId="10765" xr:uid="{00000000-0005-0000-0000-000088110000}"/>
    <cellStyle name="Normal 12 7" xfId="7552" xr:uid="{00000000-0005-0000-0000-000089110000}"/>
    <cellStyle name="Normal 12 8" xfId="10629" xr:uid="{00000000-0005-0000-0000-00008A110000}"/>
    <cellStyle name="Normal 12 9" xfId="12372" xr:uid="{00000000-0005-0000-0000-00008B110000}"/>
    <cellStyle name="Normal 120" xfId="2092" xr:uid="{00000000-0005-0000-0000-00008C110000}"/>
    <cellStyle name="Normal 120 2" xfId="2093" xr:uid="{00000000-0005-0000-0000-00008D110000}"/>
    <cellStyle name="Normal 120 2 2" xfId="9180" xr:uid="{00000000-0005-0000-0000-00008E110000}"/>
    <cellStyle name="Normal 120 2 3" xfId="7577" xr:uid="{00000000-0005-0000-0000-00008F110000}"/>
    <cellStyle name="Normal 120 2 4" xfId="10790" xr:uid="{00000000-0005-0000-0000-000090110000}"/>
    <cellStyle name="Normal 120 2 5" xfId="12397" xr:uid="{00000000-0005-0000-0000-000091110000}"/>
    <cellStyle name="Normal 120 3" xfId="2094" xr:uid="{00000000-0005-0000-0000-000092110000}"/>
    <cellStyle name="Normal 120 3 2" xfId="9181" xr:uid="{00000000-0005-0000-0000-000093110000}"/>
    <cellStyle name="Normal 120 3 3" xfId="7578" xr:uid="{00000000-0005-0000-0000-000094110000}"/>
    <cellStyle name="Normal 120 3 4" xfId="10791" xr:uid="{00000000-0005-0000-0000-000095110000}"/>
    <cellStyle name="Normal 120 3 5" xfId="12398" xr:uid="{00000000-0005-0000-0000-000096110000}"/>
    <cellStyle name="Normal 120 4" xfId="2095" xr:uid="{00000000-0005-0000-0000-000097110000}"/>
    <cellStyle name="Normal 120 4 2" xfId="9182" xr:uid="{00000000-0005-0000-0000-000098110000}"/>
    <cellStyle name="Normal 120 4 3" xfId="7579" xr:uid="{00000000-0005-0000-0000-000099110000}"/>
    <cellStyle name="Normal 120 4 4" xfId="10792" xr:uid="{00000000-0005-0000-0000-00009A110000}"/>
    <cellStyle name="Normal 120 4 5" xfId="12399" xr:uid="{00000000-0005-0000-0000-00009B110000}"/>
    <cellStyle name="Normal 120 5" xfId="9179" xr:uid="{00000000-0005-0000-0000-00009C110000}"/>
    <cellStyle name="Normal 120 6" xfId="7576" xr:uid="{00000000-0005-0000-0000-00009D110000}"/>
    <cellStyle name="Normal 120 7" xfId="10789" xr:uid="{00000000-0005-0000-0000-00009E110000}"/>
    <cellStyle name="Normal 120 8" xfId="12396" xr:uid="{00000000-0005-0000-0000-00009F110000}"/>
    <cellStyle name="Normal 121" xfId="2096" xr:uid="{00000000-0005-0000-0000-0000A0110000}"/>
    <cellStyle name="Normal 121 2" xfId="2097" xr:uid="{00000000-0005-0000-0000-0000A1110000}"/>
    <cellStyle name="Normal 121 2 2" xfId="9184" xr:uid="{00000000-0005-0000-0000-0000A2110000}"/>
    <cellStyle name="Normal 121 2 3" xfId="7581" xr:uid="{00000000-0005-0000-0000-0000A3110000}"/>
    <cellStyle name="Normal 121 2 4" xfId="10794" xr:uid="{00000000-0005-0000-0000-0000A4110000}"/>
    <cellStyle name="Normal 121 2 5" xfId="12401" xr:uid="{00000000-0005-0000-0000-0000A5110000}"/>
    <cellStyle name="Normal 121 3" xfId="2098" xr:uid="{00000000-0005-0000-0000-0000A6110000}"/>
    <cellStyle name="Normal 121 3 2" xfId="9185" xr:uid="{00000000-0005-0000-0000-0000A7110000}"/>
    <cellStyle name="Normal 121 3 3" xfId="7582" xr:uid="{00000000-0005-0000-0000-0000A8110000}"/>
    <cellStyle name="Normal 121 3 4" xfId="10795" xr:uid="{00000000-0005-0000-0000-0000A9110000}"/>
    <cellStyle name="Normal 121 3 5" xfId="12402" xr:uid="{00000000-0005-0000-0000-0000AA110000}"/>
    <cellStyle name="Normal 121 4" xfId="2099" xr:uid="{00000000-0005-0000-0000-0000AB110000}"/>
    <cellStyle name="Normal 121 4 2" xfId="9186" xr:uid="{00000000-0005-0000-0000-0000AC110000}"/>
    <cellStyle name="Normal 121 4 3" xfId="7583" xr:uid="{00000000-0005-0000-0000-0000AD110000}"/>
    <cellStyle name="Normal 121 4 4" xfId="10796" xr:uid="{00000000-0005-0000-0000-0000AE110000}"/>
    <cellStyle name="Normal 121 4 5" xfId="12403" xr:uid="{00000000-0005-0000-0000-0000AF110000}"/>
    <cellStyle name="Normal 121 5" xfId="9183" xr:uid="{00000000-0005-0000-0000-0000B0110000}"/>
    <cellStyle name="Normal 121 6" xfId="7580" xr:uid="{00000000-0005-0000-0000-0000B1110000}"/>
    <cellStyle name="Normal 121 7" xfId="10793" xr:uid="{00000000-0005-0000-0000-0000B2110000}"/>
    <cellStyle name="Normal 121 8" xfId="12400" xr:uid="{00000000-0005-0000-0000-0000B3110000}"/>
    <cellStyle name="Normal 122" xfId="2100" xr:uid="{00000000-0005-0000-0000-0000B4110000}"/>
    <cellStyle name="Normal 122 2" xfId="2101" xr:uid="{00000000-0005-0000-0000-0000B5110000}"/>
    <cellStyle name="Normal 122 2 2" xfId="9188" xr:uid="{00000000-0005-0000-0000-0000B6110000}"/>
    <cellStyle name="Normal 122 2 3" xfId="7585" xr:uid="{00000000-0005-0000-0000-0000B7110000}"/>
    <cellStyle name="Normal 122 2 4" xfId="10798" xr:uid="{00000000-0005-0000-0000-0000B8110000}"/>
    <cellStyle name="Normal 122 2 5" xfId="12405" xr:uid="{00000000-0005-0000-0000-0000B9110000}"/>
    <cellStyle name="Normal 122 3" xfId="2102" xr:uid="{00000000-0005-0000-0000-0000BA110000}"/>
    <cellStyle name="Normal 122 3 2" xfId="9189" xr:uid="{00000000-0005-0000-0000-0000BB110000}"/>
    <cellStyle name="Normal 122 3 3" xfId="7586" xr:uid="{00000000-0005-0000-0000-0000BC110000}"/>
    <cellStyle name="Normal 122 3 4" xfId="10799" xr:uid="{00000000-0005-0000-0000-0000BD110000}"/>
    <cellStyle name="Normal 122 3 5" xfId="12406" xr:uid="{00000000-0005-0000-0000-0000BE110000}"/>
    <cellStyle name="Normal 122 4" xfId="2103" xr:uid="{00000000-0005-0000-0000-0000BF110000}"/>
    <cellStyle name="Normal 122 4 2" xfId="9190" xr:uid="{00000000-0005-0000-0000-0000C0110000}"/>
    <cellStyle name="Normal 122 4 3" xfId="7587" xr:uid="{00000000-0005-0000-0000-0000C1110000}"/>
    <cellStyle name="Normal 122 4 4" xfId="10800" xr:uid="{00000000-0005-0000-0000-0000C2110000}"/>
    <cellStyle name="Normal 122 4 5" xfId="12407" xr:uid="{00000000-0005-0000-0000-0000C3110000}"/>
    <cellStyle name="Normal 122 5" xfId="9187" xr:uid="{00000000-0005-0000-0000-0000C4110000}"/>
    <cellStyle name="Normal 122 6" xfId="7584" xr:uid="{00000000-0005-0000-0000-0000C5110000}"/>
    <cellStyle name="Normal 122 7" xfId="10797" xr:uid="{00000000-0005-0000-0000-0000C6110000}"/>
    <cellStyle name="Normal 122 8" xfId="12404" xr:uid="{00000000-0005-0000-0000-0000C7110000}"/>
    <cellStyle name="Normal 123" xfId="2104" xr:uid="{00000000-0005-0000-0000-0000C8110000}"/>
    <cellStyle name="Normal 123 2" xfId="2105" xr:uid="{00000000-0005-0000-0000-0000C9110000}"/>
    <cellStyle name="Normal 123 2 2" xfId="9192" xr:uid="{00000000-0005-0000-0000-0000CA110000}"/>
    <cellStyle name="Normal 123 2 3" xfId="7589" xr:uid="{00000000-0005-0000-0000-0000CB110000}"/>
    <cellStyle name="Normal 123 2 4" xfId="10802" xr:uid="{00000000-0005-0000-0000-0000CC110000}"/>
    <cellStyle name="Normal 123 2 5" xfId="12409" xr:uid="{00000000-0005-0000-0000-0000CD110000}"/>
    <cellStyle name="Normal 123 3" xfId="2106" xr:uid="{00000000-0005-0000-0000-0000CE110000}"/>
    <cellStyle name="Normal 123 3 2" xfId="9193" xr:uid="{00000000-0005-0000-0000-0000CF110000}"/>
    <cellStyle name="Normal 123 3 3" xfId="7590" xr:uid="{00000000-0005-0000-0000-0000D0110000}"/>
    <cellStyle name="Normal 123 3 4" xfId="10803" xr:uid="{00000000-0005-0000-0000-0000D1110000}"/>
    <cellStyle name="Normal 123 3 5" xfId="12410" xr:uid="{00000000-0005-0000-0000-0000D2110000}"/>
    <cellStyle name="Normal 123 4" xfId="2107" xr:uid="{00000000-0005-0000-0000-0000D3110000}"/>
    <cellStyle name="Normal 123 4 2" xfId="9194" xr:uid="{00000000-0005-0000-0000-0000D4110000}"/>
    <cellStyle name="Normal 123 4 3" xfId="7591" xr:uid="{00000000-0005-0000-0000-0000D5110000}"/>
    <cellStyle name="Normal 123 4 4" xfId="10804" xr:uid="{00000000-0005-0000-0000-0000D6110000}"/>
    <cellStyle name="Normal 123 4 5" xfId="12411" xr:uid="{00000000-0005-0000-0000-0000D7110000}"/>
    <cellStyle name="Normal 123 5" xfId="9191" xr:uid="{00000000-0005-0000-0000-0000D8110000}"/>
    <cellStyle name="Normal 123 6" xfId="7588" xr:uid="{00000000-0005-0000-0000-0000D9110000}"/>
    <cellStyle name="Normal 123 7" xfId="10801" xr:uid="{00000000-0005-0000-0000-0000DA110000}"/>
    <cellStyle name="Normal 123 8" xfId="12408" xr:uid="{00000000-0005-0000-0000-0000DB110000}"/>
    <cellStyle name="Normal 124" xfId="2108" xr:uid="{00000000-0005-0000-0000-0000DC110000}"/>
    <cellStyle name="Normal 124 2" xfId="2109" xr:uid="{00000000-0005-0000-0000-0000DD110000}"/>
    <cellStyle name="Normal 124 2 2" xfId="9196" xr:uid="{00000000-0005-0000-0000-0000DE110000}"/>
    <cellStyle name="Normal 124 2 3" xfId="7593" xr:uid="{00000000-0005-0000-0000-0000DF110000}"/>
    <cellStyle name="Normal 124 2 4" xfId="10806" xr:uid="{00000000-0005-0000-0000-0000E0110000}"/>
    <cellStyle name="Normal 124 2 5" xfId="12413" xr:uid="{00000000-0005-0000-0000-0000E1110000}"/>
    <cellStyle name="Normal 124 3" xfId="2110" xr:uid="{00000000-0005-0000-0000-0000E2110000}"/>
    <cellStyle name="Normal 124 3 2" xfId="9197" xr:uid="{00000000-0005-0000-0000-0000E3110000}"/>
    <cellStyle name="Normal 124 3 3" xfId="7594" xr:uid="{00000000-0005-0000-0000-0000E4110000}"/>
    <cellStyle name="Normal 124 3 4" xfId="10807" xr:uid="{00000000-0005-0000-0000-0000E5110000}"/>
    <cellStyle name="Normal 124 3 5" xfId="12414" xr:uid="{00000000-0005-0000-0000-0000E6110000}"/>
    <cellStyle name="Normal 124 4" xfId="2111" xr:uid="{00000000-0005-0000-0000-0000E7110000}"/>
    <cellStyle name="Normal 124 4 2" xfId="9198" xr:uid="{00000000-0005-0000-0000-0000E8110000}"/>
    <cellStyle name="Normal 124 4 3" xfId="7595" xr:uid="{00000000-0005-0000-0000-0000E9110000}"/>
    <cellStyle name="Normal 124 4 4" xfId="10808" xr:uid="{00000000-0005-0000-0000-0000EA110000}"/>
    <cellStyle name="Normal 124 4 5" xfId="12415" xr:uid="{00000000-0005-0000-0000-0000EB110000}"/>
    <cellStyle name="Normal 124 5" xfId="9195" xr:uid="{00000000-0005-0000-0000-0000EC110000}"/>
    <cellStyle name="Normal 124 6" xfId="7592" xr:uid="{00000000-0005-0000-0000-0000ED110000}"/>
    <cellStyle name="Normal 124 7" xfId="10805" xr:uid="{00000000-0005-0000-0000-0000EE110000}"/>
    <cellStyle name="Normal 124 8" xfId="12412" xr:uid="{00000000-0005-0000-0000-0000EF110000}"/>
    <cellStyle name="Normal 125" xfId="2112" xr:uid="{00000000-0005-0000-0000-0000F0110000}"/>
    <cellStyle name="Normal 125 2" xfId="2113" xr:uid="{00000000-0005-0000-0000-0000F1110000}"/>
    <cellStyle name="Normal 125 2 2" xfId="9200" xr:uid="{00000000-0005-0000-0000-0000F2110000}"/>
    <cellStyle name="Normal 125 2 3" xfId="7597" xr:uid="{00000000-0005-0000-0000-0000F3110000}"/>
    <cellStyle name="Normal 125 2 4" xfId="10810" xr:uid="{00000000-0005-0000-0000-0000F4110000}"/>
    <cellStyle name="Normal 125 2 5" xfId="12417" xr:uid="{00000000-0005-0000-0000-0000F5110000}"/>
    <cellStyle name="Normal 125 3" xfId="2114" xr:uid="{00000000-0005-0000-0000-0000F6110000}"/>
    <cellStyle name="Normal 125 3 2" xfId="9201" xr:uid="{00000000-0005-0000-0000-0000F7110000}"/>
    <cellStyle name="Normal 125 3 3" xfId="7598" xr:uid="{00000000-0005-0000-0000-0000F8110000}"/>
    <cellStyle name="Normal 125 3 4" xfId="10811" xr:uid="{00000000-0005-0000-0000-0000F9110000}"/>
    <cellStyle name="Normal 125 3 5" xfId="12418" xr:uid="{00000000-0005-0000-0000-0000FA110000}"/>
    <cellStyle name="Normal 125 4" xfId="2115" xr:uid="{00000000-0005-0000-0000-0000FB110000}"/>
    <cellStyle name="Normal 125 4 2" xfId="9202" xr:uid="{00000000-0005-0000-0000-0000FC110000}"/>
    <cellStyle name="Normal 125 4 3" xfId="7599" xr:uid="{00000000-0005-0000-0000-0000FD110000}"/>
    <cellStyle name="Normal 125 4 4" xfId="10812" xr:uid="{00000000-0005-0000-0000-0000FE110000}"/>
    <cellStyle name="Normal 125 4 5" xfId="12419" xr:uid="{00000000-0005-0000-0000-0000FF110000}"/>
    <cellStyle name="Normal 125 5" xfId="9199" xr:uid="{00000000-0005-0000-0000-000000120000}"/>
    <cellStyle name="Normal 125 6" xfId="7596" xr:uid="{00000000-0005-0000-0000-000001120000}"/>
    <cellStyle name="Normal 125 7" xfId="10809" xr:uid="{00000000-0005-0000-0000-000002120000}"/>
    <cellStyle name="Normal 125 8" xfId="12416" xr:uid="{00000000-0005-0000-0000-000003120000}"/>
    <cellStyle name="Normal 126" xfId="2116" xr:uid="{00000000-0005-0000-0000-000004120000}"/>
    <cellStyle name="Normal 126 2" xfId="2117" xr:uid="{00000000-0005-0000-0000-000005120000}"/>
    <cellStyle name="Normal 126 2 2" xfId="9204" xr:uid="{00000000-0005-0000-0000-000006120000}"/>
    <cellStyle name="Normal 126 2 3" xfId="7601" xr:uid="{00000000-0005-0000-0000-000007120000}"/>
    <cellStyle name="Normal 126 2 4" xfId="10814" xr:uid="{00000000-0005-0000-0000-000008120000}"/>
    <cellStyle name="Normal 126 2 5" xfId="12421" xr:uid="{00000000-0005-0000-0000-000009120000}"/>
    <cellStyle name="Normal 126 3" xfId="2118" xr:uid="{00000000-0005-0000-0000-00000A120000}"/>
    <cellStyle name="Normal 126 3 2" xfId="9205" xr:uid="{00000000-0005-0000-0000-00000B120000}"/>
    <cellStyle name="Normal 126 3 3" xfId="7602" xr:uid="{00000000-0005-0000-0000-00000C120000}"/>
    <cellStyle name="Normal 126 3 4" xfId="10815" xr:uid="{00000000-0005-0000-0000-00000D120000}"/>
    <cellStyle name="Normal 126 3 5" xfId="12422" xr:uid="{00000000-0005-0000-0000-00000E120000}"/>
    <cellStyle name="Normal 126 4" xfId="2119" xr:uid="{00000000-0005-0000-0000-00000F120000}"/>
    <cellStyle name="Normal 126 4 2" xfId="9206" xr:uid="{00000000-0005-0000-0000-000010120000}"/>
    <cellStyle name="Normal 126 4 3" xfId="7603" xr:uid="{00000000-0005-0000-0000-000011120000}"/>
    <cellStyle name="Normal 126 4 4" xfId="10816" xr:uid="{00000000-0005-0000-0000-000012120000}"/>
    <cellStyle name="Normal 126 4 5" xfId="12423" xr:uid="{00000000-0005-0000-0000-000013120000}"/>
    <cellStyle name="Normal 126 5" xfId="9203" xr:uid="{00000000-0005-0000-0000-000014120000}"/>
    <cellStyle name="Normal 126 6" xfId="7600" xr:uid="{00000000-0005-0000-0000-000015120000}"/>
    <cellStyle name="Normal 126 7" xfId="10813" xr:uid="{00000000-0005-0000-0000-000016120000}"/>
    <cellStyle name="Normal 126 8" xfId="12420" xr:uid="{00000000-0005-0000-0000-000017120000}"/>
    <cellStyle name="Normal 127" xfId="2120" xr:uid="{00000000-0005-0000-0000-000018120000}"/>
    <cellStyle name="Normal 127 2" xfId="2121" xr:uid="{00000000-0005-0000-0000-000019120000}"/>
    <cellStyle name="Normal 127 2 2" xfId="9208" xr:uid="{00000000-0005-0000-0000-00001A120000}"/>
    <cellStyle name="Normal 127 2 3" xfId="7605" xr:uid="{00000000-0005-0000-0000-00001B120000}"/>
    <cellStyle name="Normal 127 2 4" xfId="10818" xr:uid="{00000000-0005-0000-0000-00001C120000}"/>
    <cellStyle name="Normal 127 2 5" xfId="12425" xr:uid="{00000000-0005-0000-0000-00001D120000}"/>
    <cellStyle name="Normal 127 3" xfId="2122" xr:uid="{00000000-0005-0000-0000-00001E120000}"/>
    <cellStyle name="Normal 127 3 2" xfId="9209" xr:uid="{00000000-0005-0000-0000-00001F120000}"/>
    <cellStyle name="Normal 127 3 3" xfId="7606" xr:uid="{00000000-0005-0000-0000-000020120000}"/>
    <cellStyle name="Normal 127 3 4" xfId="10819" xr:uid="{00000000-0005-0000-0000-000021120000}"/>
    <cellStyle name="Normal 127 3 5" xfId="12426" xr:uid="{00000000-0005-0000-0000-000022120000}"/>
    <cellStyle name="Normal 127 4" xfId="2123" xr:uid="{00000000-0005-0000-0000-000023120000}"/>
    <cellStyle name="Normal 127 4 2" xfId="9210" xr:uid="{00000000-0005-0000-0000-000024120000}"/>
    <cellStyle name="Normal 127 4 3" xfId="7607" xr:uid="{00000000-0005-0000-0000-000025120000}"/>
    <cellStyle name="Normal 127 4 4" xfId="10820" xr:uid="{00000000-0005-0000-0000-000026120000}"/>
    <cellStyle name="Normal 127 4 5" xfId="12427" xr:uid="{00000000-0005-0000-0000-000027120000}"/>
    <cellStyle name="Normal 127 5" xfId="9207" xr:uid="{00000000-0005-0000-0000-000028120000}"/>
    <cellStyle name="Normal 127 6" xfId="7604" xr:uid="{00000000-0005-0000-0000-000029120000}"/>
    <cellStyle name="Normal 127 7" xfId="10817" xr:uid="{00000000-0005-0000-0000-00002A120000}"/>
    <cellStyle name="Normal 127 8" xfId="12424" xr:uid="{00000000-0005-0000-0000-00002B120000}"/>
    <cellStyle name="Normal 128" xfId="2124" xr:uid="{00000000-0005-0000-0000-00002C120000}"/>
    <cellStyle name="Normal 129" xfId="2125" xr:uid="{00000000-0005-0000-0000-00002D120000}"/>
    <cellStyle name="Normal 129 2" xfId="2126" xr:uid="{00000000-0005-0000-0000-00002E120000}"/>
    <cellStyle name="Normal 129 2 2" xfId="9212" xr:uid="{00000000-0005-0000-0000-00002F120000}"/>
    <cellStyle name="Normal 129 2 3" xfId="7609" xr:uid="{00000000-0005-0000-0000-000030120000}"/>
    <cellStyle name="Normal 129 2 4" xfId="10822" xr:uid="{00000000-0005-0000-0000-000031120000}"/>
    <cellStyle name="Normal 129 2 5" xfId="12429" xr:uid="{00000000-0005-0000-0000-000032120000}"/>
    <cellStyle name="Normal 129 3" xfId="2127" xr:uid="{00000000-0005-0000-0000-000033120000}"/>
    <cellStyle name="Normal 129 3 2" xfId="9213" xr:uid="{00000000-0005-0000-0000-000034120000}"/>
    <cellStyle name="Normal 129 3 3" xfId="7610" xr:uid="{00000000-0005-0000-0000-000035120000}"/>
    <cellStyle name="Normal 129 3 4" xfId="10823" xr:uid="{00000000-0005-0000-0000-000036120000}"/>
    <cellStyle name="Normal 129 3 5" xfId="12430" xr:uid="{00000000-0005-0000-0000-000037120000}"/>
    <cellStyle name="Normal 129 4" xfId="2128" xr:uid="{00000000-0005-0000-0000-000038120000}"/>
    <cellStyle name="Normal 129 4 2" xfId="9214" xr:uid="{00000000-0005-0000-0000-000039120000}"/>
    <cellStyle name="Normal 129 4 3" xfId="7611" xr:uid="{00000000-0005-0000-0000-00003A120000}"/>
    <cellStyle name="Normal 129 4 4" xfId="10824" xr:uid="{00000000-0005-0000-0000-00003B120000}"/>
    <cellStyle name="Normal 129 4 5" xfId="12431" xr:uid="{00000000-0005-0000-0000-00003C120000}"/>
    <cellStyle name="Normal 129 5" xfId="9211" xr:uid="{00000000-0005-0000-0000-00003D120000}"/>
    <cellStyle name="Normal 129 6" xfId="7608" xr:uid="{00000000-0005-0000-0000-00003E120000}"/>
    <cellStyle name="Normal 129 7" xfId="10821" xr:uid="{00000000-0005-0000-0000-00003F120000}"/>
    <cellStyle name="Normal 129 8" xfId="12428" xr:uid="{00000000-0005-0000-0000-000040120000}"/>
    <cellStyle name="Normal 13" xfId="146" xr:uid="{00000000-0005-0000-0000-000041120000}"/>
    <cellStyle name="Normal 13 2" xfId="2130" xr:uid="{00000000-0005-0000-0000-000042120000}"/>
    <cellStyle name="Normal 13 2 10" xfId="7613" xr:uid="{00000000-0005-0000-0000-000043120000}"/>
    <cellStyle name="Normal 13 2 11" xfId="10826" xr:uid="{00000000-0005-0000-0000-000044120000}"/>
    <cellStyle name="Normal 13 2 12" xfId="12433" xr:uid="{00000000-0005-0000-0000-000045120000}"/>
    <cellStyle name="Normal 13 2 2" xfId="2131" xr:uid="{00000000-0005-0000-0000-000046120000}"/>
    <cellStyle name="Normal 13 2 2 2" xfId="2132" xr:uid="{00000000-0005-0000-0000-000047120000}"/>
    <cellStyle name="Normal 13 2 2 2 2" xfId="2133" xr:uid="{00000000-0005-0000-0000-000048120000}"/>
    <cellStyle name="Normal 13 2 2 2 2 2" xfId="2134" xr:uid="{00000000-0005-0000-0000-000049120000}"/>
    <cellStyle name="Normal 13 2 2 2 2 2 2" xfId="9218" xr:uid="{00000000-0005-0000-0000-00004A120000}"/>
    <cellStyle name="Normal 13 2 2 2 2 2 3" xfId="7615" xr:uid="{00000000-0005-0000-0000-00004B120000}"/>
    <cellStyle name="Normal 13 2 2 2 2 2 4" xfId="10828" xr:uid="{00000000-0005-0000-0000-00004C120000}"/>
    <cellStyle name="Normal 13 2 2 2 2 2 5" xfId="12435" xr:uid="{00000000-0005-0000-0000-00004D120000}"/>
    <cellStyle name="Normal 13 2 2 2 2 3" xfId="2135" xr:uid="{00000000-0005-0000-0000-00004E120000}"/>
    <cellStyle name="Normal 13 2 2 2 2 3 2" xfId="9219" xr:uid="{00000000-0005-0000-0000-00004F120000}"/>
    <cellStyle name="Normal 13 2 2 2 2 3 3" xfId="7616" xr:uid="{00000000-0005-0000-0000-000050120000}"/>
    <cellStyle name="Normal 13 2 2 2 2 3 4" xfId="10829" xr:uid="{00000000-0005-0000-0000-000051120000}"/>
    <cellStyle name="Normal 13 2 2 2 2 3 5" xfId="12436" xr:uid="{00000000-0005-0000-0000-000052120000}"/>
    <cellStyle name="Normal 13 2 2 2 2 4" xfId="2136" xr:uid="{00000000-0005-0000-0000-000053120000}"/>
    <cellStyle name="Normal 13 2 2 2 2 4 2" xfId="9220" xr:uid="{00000000-0005-0000-0000-000054120000}"/>
    <cellStyle name="Normal 13 2 2 2 2 4 3" xfId="7617" xr:uid="{00000000-0005-0000-0000-000055120000}"/>
    <cellStyle name="Normal 13 2 2 2 2 4 4" xfId="10830" xr:uid="{00000000-0005-0000-0000-000056120000}"/>
    <cellStyle name="Normal 13 2 2 2 2 4 5" xfId="12437" xr:uid="{00000000-0005-0000-0000-000057120000}"/>
    <cellStyle name="Normal 13 2 2 2 3" xfId="2137" xr:uid="{00000000-0005-0000-0000-000058120000}"/>
    <cellStyle name="Normal 13 2 2 2 4" xfId="2138" xr:uid="{00000000-0005-0000-0000-000059120000}"/>
    <cellStyle name="Normal 13 2 2 2 5" xfId="9217" xr:uid="{00000000-0005-0000-0000-00005A120000}"/>
    <cellStyle name="Normal 13 2 2 2 6" xfId="7614" xr:uid="{00000000-0005-0000-0000-00005B120000}"/>
    <cellStyle name="Normal 13 2 2 2 7" xfId="10827" xr:uid="{00000000-0005-0000-0000-00005C120000}"/>
    <cellStyle name="Normal 13 2 2 2 8" xfId="12434" xr:uid="{00000000-0005-0000-0000-00005D120000}"/>
    <cellStyle name="Normal 13 2 2 3" xfId="2139" xr:uid="{00000000-0005-0000-0000-00005E120000}"/>
    <cellStyle name="Normal 13 2 2 3 2" xfId="2140" xr:uid="{00000000-0005-0000-0000-00005F120000}"/>
    <cellStyle name="Normal 13 2 2 3 2 2" xfId="9222" xr:uid="{00000000-0005-0000-0000-000060120000}"/>
    <cellStyle name="Normal 13 2 2 3 2 3" xfId="7619" xr:uid="{00000000-0005-0000-0000-000061120000}"/>
    <cellStyle name="Normal 13 2 2 3 2 4" xfId="10832" xr:uid="{00000000-0005-0000-0000-000062120000}"/>
    <cellStyle name="Normal 13 2 2 3 2 5" xfId="12439" xr:uid="{00000000-0005-0000-0000-000063120000}"/>
    <cellStyle name="Normal 13 2 2 3 3" xfId="2141" xr:uid="{00000000-0005-0000-0000-000064120000}"/>
    <cellStyle name="Normal 13 2 2 3 3 2" xfId="9223" xr:uid="{00000000-0005-0000-0000-000065120000}"/>
    <cellStyle name="Normal 13 2 2 3 3 3" xfId="7620" xr:uid="{00000000-0005-0000-0000-000066120000}"/>
    <cellStyle name="Normal 13 2 2 3 3 4" xfId="10833" xr:uid="{00000000-0005-0000-0000-000067120000}"/>
    <cellStyle name="Normal 13 2 2 3 3 5" xfId="12440" xr:uid="{00000000-0005-0000-0000-000068120000}"/>
    <cellStyle name="Normal 13 2 2 3 4" xfId="2142" xr:uid="{00000000-0005-0000-0000-000069120000}"/>
    <cellStyle name="Normal 13 2 2 3 4 2" xfId="9224" xr:uid="{00000000-0005-0000-0000-00006A120000}"/>
    <cellStyle name="Normal 13 2 2 3 4 3" xfId="7621" xr:uid="{00000000-0005-0000-0000-00006B120000}"/>
    <cellStyle name="Normal 13 2 2 3 4 4" xfId="10834" xr:uid="{00000000-0005-0000-0000-00006C120000}"/>
    <cellStyle name="Normal 13 2 2 3 4 5" xfId="12441" xr:uid="{00000000-0005-0000-0000-00006D120000}"/>
    <cellStyle name="Normal 13 2 2 3 5" xfId="9221" xr:uid="{00000000-0005-0000-0000-00006E120000}"/>
    <cellStyle name="Normal 13 2 2 3 6" xfId="7618" xr:uid="{00000000-0005-0000-0000-00006F120000}"/>
    <cellStyle name="Normal 13 2 2 3 7" xfId="10831" xr:uid="{00000000-0005-0000-0000-000070120000}"/>
    <cellStyle name="Normal 13 2 2 3 8" xfId="12438" xr:uid="{00000000-0005-0000-0000-000071120000}"/>
    <cellStyle name="Normal 13 2 2 4" xfId="2143" xr:uid="{00000000-0005-0000-0000-000072120000}"/>
    <cellStyle name="Normal 13 2 2 4 2" xfId="2144" xr:uid="{00000000-0005-0000-0000-000073120000}"/>
    <cellStyle name="Normal 13 2 2 4 2 2" xfId="9226" xr:uid="{00000000-0005-0000-0000-000074120000}"/>
    <cellStyle name="Normal 13 2 2 4 2 3" xfId="7623" xr:uid="{00000000-0005-0000-0000-000075120000}"/>
    <cellStyle name="Normal 13 2 2 4 2 4" xfId="10836" xr:uid="{00000000-0005-0000-0000-000076120000}"/>
    <cellStyle name="Normal 13 2 2 4 2 5" xfId="12443" xr:uid="{00000000-0005-0000-0000-000077120000}"/>
    <cellStyle name="Normal 13 2 2 4 3" xfId="2145" xr:uid="{00000000-0005-0000-0000-000078120000}"/>
    <cellStyle name="Normal 13 2 2 4 3 2" xfId="9227" xr:uid="{00000000-0005-0000-0000-000079120000}"/>
    <cellStyle name="Normal 13 2 2 4 3 3" xfId="7624" xr:uid="{00000000-0005-0000-0000-00007A120000}"/>
    <cellStyle name="Normal 13 2 2 4 3 4" xfId="10837" xr:uid="{00000000-0005-0000-0000-00007B120000}"/>
    <cellStyle name="Normal 13 2 2 4 3 5" xfId="12444" xr:uid="{00000000-0005-0000-0000-00007C120000}"/>
    <cellStyle name="Normal 13 2 2 4 4" xfId="2146" xr:uid="{00000000-0005-0000-0000-00007D120000}"/>
    <cellStyle name="Normal 13 2 2 4 4 2" xfId="9228" xr:uid="{00000000-0005-0000-0000-00007E120000}"/>
    <cellStyle name="Normal 13 2 2 4 4 3" xfId="7625" xr:uid="{00000000-0005-0000-0000-00007F120000}"/>
    <cellStyle name="Normal 13 2 2 4 4 4" xfId="10838" xr:uid="{00000000-0005-0000-0000-000080120000}"/>
    <cellStyle name="Normal 13 2 2 4 4 5" xfId="12445" xr:uid="{00000000-0005-0000-0000-000081120000}"/>
    <cellStyle name="Normal 13 2 2 4 5" xfId="9225" xr:uid="{00000000-0005-0000-0000-000082120000}"/>
    <cellStyle name="Normal 13 2 2 4 6" xfId="7622" xr:uid="{00000000-0005-0000-0000-000083120000}"/>
    <cellStyle name="Normal 13 2 2 4 7" xfId="10835" xr:uid="{00000000-0005-0000-0000-000084120000}"/>
    <cellStyle name="Normal 13 2 2 4 8" xfId="12442" xr:uid="{00000000-0005-0000-0000-000085120000}"/>
    <cellStyle name="Normal 13 2 2 5" xfId="2147" xr:uid="{00000000-0005-0000-0000-000086120000}"/>
    <cellStyle name="Normal 13 2 2 5 2" xfId="9229" xr:uid="{00000000-0005-0000-0000-000087120000}"/>
    <cellStyle name="Normal 13 2 2 5 3" xfId="7626" xr:uid="{00000000-0005-0000-0000-000088120000}"/>
    <cellStyle name="Normal 13 2 2 5 4" xfId="10839" xr:uid="{00000000-0005-0000-0000-000089120000}"/>
    <cellStyle name="Normal 13 2 2 5 5" xfId="12446" xr:uid="{00000000-0005-0000-0000-00008A120000}"/>
    <cellStyle name="Normal 13 2 2 6" xfId="2148" xr:uid="{00000000-0005-0000-0000-00008B120000}"/>
    <cellStyle name="Normal 13 2 2 6 2" xfId="9230" xr:uid="{00000000-0005-0000-0000-00008C120000}"/>
    <cellStyle name="Normal 13 2 2 6 3" xfId="7627" xr:uid="{00000000-0005-0000-0000-00008D120000}"/>
    <cellStyle name="Normal 13 2 2 6 4" xfId="10840" xr:uid="{00000000-0005-0000-0000-00008E120000}"/>
    <cellStyle name="Normal 13 2 2 6 5" xfId="12447" xr:uid="{00000000-0005-0000-0000-00008F120000}"/>
    <cellStyle name="Normal 13 2 2 7" xfId="2149" xr:uid="{00000000-0005-0000-0000-000090120000}"/>
    <cellStyle name="Normal 13 2 2 7 2" xfId="9231" xr:uid="{00000000-0005-0000-0000-000091120000}"/>
    <cellStyle name="Normal 13 2 2 7 3" xfId="7628" xr:uid="{00000000-0005-0000-0000-000092120000}"/>
    <cellStyle name="Normal 13 2 2 7 4" xfId="10841" xr:uid="{00000000-0005-0000-0000-000093120000}"/>
    <cellStyle name="Normal 13 2 2 7 5" xfId="12448" xr:uid="{00000000-0005-0000-0000-000094120000}"/>
    <cellStyle name="Normal 13 2 3" xfId="2150" xr:uid="{00000000-0005-0000-0000-000095120000}"/>
    <cellStyle name="Normal 13 2 3 2" xfId="2151" xr:uid="{00000000-0005-0000-0000-000096120000}"/>
    <cellStyle name="Normal 13 2 3 2 2" xfId="9233" xr:uid="{00000000-0005-0000-0000-000097120000}"/>
    <cellStyle name="Normal 13 2 3 2 3" xfId="7630" xr:uid="{00000000-0005-0000-0000-000098120000}"/>
    <cellStyle name="Normal 13 2 3 2 4" xfId="10843" xr:uid="{00000000-0005-0000-0000-000099120000}"/>
    <cellStyle name="Normal 13 2 3 2 5" xfId="12450" xr:uid="{00000000-0005-0000-0000-00009A120000}"/>
    <cellStyle name="Normal 13 2 3 3" xfId="2152" xr:uid="{00000000-0005-0000-0000-00009B120000}"/>
    <cellStyle name="Normal 13 2 3 3 2" xfId="9234" xr:uid="{00000000-0005-0000-0000-00009C120000}"/>
    <cellStyle name="Normal 13 2 3 3 3" xfId="7631" xr:uid="{00000000-0005-0000-0000-00009D120000}"/>
    <cellStyle name="Normal 13 2 3 3 4" xfId="10844" xr:uid="{00000000-0005-0000-0000-00009E120000}"/>
    <cellStyle name="Normal 13 2 3 3 5" xfId="12451" xr:uid="{00000000-0005-0000-0000-00009F120000}"/>
    <cellStyle name="Normal 13 2 3 4" xfId="2153" xr:uid="{00000000-0005-0000-0000-0000A0120000}"/>
    <cellStyle name="Normal 13 2 3 4 2" xfId="9235" xr:uid="{00000000-0005-0000-0000-0000A1120000}"/>
    <cellStyle name="Normal 13 2 3 4 3" xfId="7632" xr:uid="{00000000-0005-0000-0000-0000A2120000}"/>
    <cellStyle name="Normal 13 2 3 4 4" xfId="10845" xr:uid="{00000000-0005-0000-0000-0000A3120000}"/>
    <cellStyle name="Normal 13 2 3 4 5" xfId="12452" xr:uid="{00000000-0005-0000-0000-0000A4120000}"/>
    <cellStyle name="Normal 13 2 3 5" xfId="9232" xr:uid="{00000000-0005-0000-0000-0000A5120000}"/>
    <cellStyle name="Normal 13 2 3 6" xfId="7629" xr:uid="{00000000-0005-0000-0000-0000A6120000}"/>
    <cellStyle name="Normal 13 2 3 7" xfId="10842" xr:uid="{00000000-0005-0000-0000-0000A7120000}"/>
    <cellStyle name="Normal 13 2 3 8" xfId="12449" xr:uid="{00000000-0005-0000-0000-0000A8120000}"/>
    <cellStyle name="Normal 13 2 4" xfId="2154" xr:uid="{00000000-0005-0000-0000-0000A9120000}"/>
    <cellStyle name="Normal 13 2 5" xfId="2155" xr:uid="{00000000-0005-0000-0000-0000AA120000}"/>
    <cellStyle name="Normal 13 2 6" xfId="2156" xr:uid="{00000000-0005-0000-0000-0000AB120000}"/>
    <cellStyle name="Normal 13 2 6 2" xfId="9236" xr:uid="{00000000-0005-0000-0000-0000AC120000}"/>
    <cellStyle name="Normal 13 2 6 3" xfId="7633" xr:uid="{00000000-0005-0000-0000-0000AD120000}"/>
    <cellStyle name="Normal 13 2 6 4" xfId="10846" xr:uid="{00000000-0005-0000-0000-0000AE120000}"/>
    <cellStyle name="Normal 13 2 6 5" xfId="12453" xr:uid="{00000000-0005-0000-0000-0000AF120000}"/>
    <cellStyle name="Normal 13 2 7" xfId="2157" xr:uid="{00000000-0005-0000-0000-0000B0120000}"/>
    <cellStyle name="Normal 13 2 7 2" xfId="9237" xr:uid="{00000000-0005-0000-0000-0000B1120000}"/>
    <cellStyle name="Normal 13 2 7 3" xfId="7634" xr:uid="{00000000-0005-0000-0000-0000B2120000}"/>
    <cellStyle name="Normal 13 2 7 4" xfId="10847" xr:uid="{00000000-0005-0000-0000-0000B3120000}"/>
    <cellStyle name="Normal 13 2 7 5" xfId="12454" xr:uid="{00000000-0005-0000-0000-0000B4120000}"/>
    <cellStyle name="Normal 13 2 8" xfId="2158" xr:uid="{00000000-0005-0000-0000-0000B5120000}"/>
    <cellStyle name="Normal 13 2 8 2" xfId="9238" xr:uid="{00000000-0005-0000-0000-0000B6120000}"/>
    <cellStyle name="Normal 13 2 8 3" xfId="7635" xr:uid="{00000000-0005-0000-0000-0000B7120000}"/>
    <cellStyle name="Normal 13 2 8 4" xfId="10848" xr:uid="{00000000-0005-0000-0000-0000B8120000}"/>
    <cellStyle name="Normal 13 2 8 5" xfId="12455" xr:uid="{00000000-0005-0000-0000-0000B9120000}"/>
    <cellStyle name="Normal 13 2 9" xfId="6929" xr:uid="{00000000-0005-0000-0000-0000BA120000}"/>
    <cellStyle name="Normal 13 2 9 2" xfId="9216" xr:uid="{00000000-0005-0000-0000-0000BB120000}"/>
    <cellStyle name="Normal 13 3" xfId="2159" xr:uid="{00000000-0005-0000-0000-0000BC120000}"/>
    <cellStyle name="Normal 13 4" xfId="2160" xr:uid="{00000000-0005-0000-0000-0000BD120000}"/>
    <cellStyle name="Normal 13 5" xfId="2129" xr:uid="{00000000-0005-0000-0000-0000BE120000}"/>
    <cellStyle name="Normal 13 5 2" xfId="9215" xr:uid="{00000000-0005-0000-0000-0000BF120000}"/>
    <cellStyle name="Normal 13 5 3" xfId="10825" xr:uid="{00000000-0005-0000-0000-0000C0120000}"/>
    <cellStyle name="Normal 13 6" xfId="7612" xr:uid="{00000000-0005-0000-0000-0000C1120000}"/>
    <cellStyle name="Normal 13 7" xfId="10626" xr:uid="{00000000-0005-0000-0000-0000C2120000}"/>
    <cellStyle name="Normal 13 8" xfId="12432" xr:uid="{00000000-0005-0000-0000-0000C3120000}"/>
    <cellStyle name="Normal 130" xfId="2161" xr:uid="{00000000-0005-0000-0000-0000C4120000}"/>
    <cellStyle name="Normal 130 2" xfId="2162" xr:uid="{00000000-0005-0000-0000-0000C5120000}"/>
    <cellStyle name="Normal 130 2 2" xfId="9240" xr:uid="{00000000-0005-0000-0000-0000C6120000}"/>
    <cellStyle name="Normal 130 2 3" xfId="7637" xr:uid="{00000000-0005-0000-0000-0000C7120000}"/>
    <cellStyle name="Normal 130 2 4" xfId="10850" xr:uid="{00000000-0005-0000-0000-0000C8120000}"/>
    <cellStyle name="Normal 130 2 5" xfId="12457" xr:uid="{00000000-0005-0000-0000-0000C9120000}"/>
    <cellStyle name="Normal 130 3" xfId="2163" xr:uid="{00000000-0005-0000-0000-0000CA120000}"/>
    <cellStyle name="Normal 130 3 2" xfId="9241" xr:uid="{00000000-0005-0000-0000-0000CB120000}"/>
    <cellStyle name="Normal 130 3 3" xfId="7638" xr:uid="{00000000-0005-0000-0000-0000CC120000}"/>
    <cellStyle name="Normal 130 3 4" xfId="10851" xr:uid="{00000000-0005-0000-0000-0000CD120000}"/>
    <cellStyle name="Normal 130 3 5" xfId="12458" xr:uid="{00000000-0005-0000-0000-0000CE120000}"/>
    <cellStyle name="Normal 130 4" xfId="2164" xr:uid="{00000000-0005-0000-0000-0000CF120000}"/>
    <cellStyle name="Normal 130 4 2" xfId="9242" xr:uid="{00000000-0005-0000-0000-0000D0120000}"/>
    <cellStyle name="Normal 130 4 3" xfId="7639" xr:uid="{00000000-0005-0000-0000-0000D1120000}"/>
    <cellStyle name="Normal 130 4 4" xfId="10852" xr:uid="{00000000-0005-0000-0000-0000D2120000}"/>
    <cellStyle name="Normal 130 4 5" xfId="12459" xr:uid="{00000000-0005-0000-0000-0000D3120000}"/>
    <cellStyle name="Normal 130 5" xfId="9239" xr:uid="{00000000-0005-0000-0000-0000D4120000}"/>
    <cellStyle name="Normal 130 6" xfId="7636" xr:uid="{00000000-0005-0000-0000-0000D5120000}"/>
    <cellStyle name="Normal 130 7" xfId="10849" xr:uid="{00000000-0005-0000-0000-0000D6120000}"/>
    <cellStyle name="Normal 130 8" xfId="12456" xr:uid="{00000000-0005-0000-0000-0000D7120000}"/>
    <cellStyle name="Normal 131" xfId="2165" xr:uid="{00000000-0005-0000-0000-0000D8120000}"/>
    <cellStyle name="Normal 131 2" xfId="2166" xr:uid="{00000000-0005-0000-0000-0000D9120000}"/>
    <cellStyle name="Normal 131 2 2" xfId="9244" xr:uid="{00000000-0005-0000-0000-0000DA120000}"/>
    <cellStyle name="Normal 131 2 3" xfId="7641" xr:uid="{00000000-0005-0000-0000-0000DB120000}"/>
    <cellStyle name="Normal 131 2 4" xfId="10854" xr:uid="{00000000-0005-0000-0000-0000DC120000}"/>
    <cellStyle name="Normal 131 2 5" xfId="12461" xr:uid="{00000000-0005-0000-0000-0000DD120000}"/>
    <cellStyle name="Normal 131 3" xfId="2167" xr:uid="{00000000-0005-0000-0000-0000DE120000}"/>
    <cellStyle name="Normal 131 3 2" xfId="9245" xr:uid="{00000000-0005-0000-0000-0000DF120000}"/>
    <cellStyle name="Normal 131 3 3" xfId="7642" xr:uid="{00000000-0005-0000-0000-0000E0120000}"/>
    <cellStyle name="Normal 131 3 4" xfId="10855" xr:uid="{00000000-0005-0000-0000-0000E1120000}"/>
    <cellStyle name="Normal 131 3 5" xfId="12462" xr:uid="{00000000-0005-0000-0000-0000E2120000}"/>
    <cellStyle name="Normal 131 4" xfId="2168" xr:uid="{00000000-0005-0000-0000-0000E3120000}"/>
    <cellStyle name="Normal 131 4 2" xfId="9246" xr:uid="{00000000-0005-0000-0000-0000E4120000}"/>
    <cellStyle name="Normal 131 4 3" xfId="7643" xr:uid="{00000000-0005-0000-0000-0000E5120000}"/>
    <cellStyle name="Normal 131 4 4" xfId="10856" xr:uid="{00000000-0005-0000-0000-0000E6120000}"/>
    <cellStyle name="Normal 131 4 5" xfId="12463" xr:uid="{00000000-0005-0000-0000-0000E7120000}"/>
    <cellStyle name="Normal 131 5" xfId="9243" xr:uid="{00000000-0005-0000-0000-0000E8120000}"/>
    <cellStyle name="Normal 131 6" xfId="7640" xr:uid="{00000000-0005-0000-0000-0000E9120000}"/>
    <cellStyle name="Normal 131 7" xfId="10853" xr:uid="{00000000-0005-0000-0000-0000EA120000}"/>
    <cellStyle name="Normal 131 8" xfId="12460" xr:uid="{00000000-0005-0000-0000-0000EB120000}"/>
    <cellStyle name="Normal 132" xfId="2169" xr:uid="{00000000-0005-0000-0000-0000EC120000}"/>
    <cellStyle name="Normal 133" xfId="2170" xr:uid="{00000000-0005-0000-0000-0000ED120000}"/>
    <cellStyle name="Normal 134" xfId="2171" xr:uid="{00000000-0005-0000-0000-0000EE120000}"/>
    <cellStyle name="Normal 134 2" xfId="9247" xr:uid="{00000000-0005-0000-0000-0000EF120000}"/>
    <cellStyle name="Normal 134 3" xfId="7644" xr:uid="{00000000-0005-0000-0000-0000F0120000}"/>
    <cellStyle name="Normal 134 4" xfId="10857" xr:uid="{00000000-0005-0000-0000-0000F1120000}"/>
    <cellStyle name="Normal 134 5" xfId="12464" xr:uid="{00000000-0005-0000-0000-0000F2120000}"/>
    <cellStyle name="Normal 135" xfId="2172" xr:uid="{00000000-0005-0000-0000-0000F3120000}"/>
    <cellStyle name="Normal 136" xfId="2173" xr:uid="{00000000-0005-0000-0000-0000F4120000}"/>
    <cellStyle name="Normal 137" xfId="2174" xr:uid="{00000000-0005-0000-0000-0000F5120000}"/>
    <cellStyle name="Normal 138" xfId="2175" xr:uid="{00000000-0005-0000-0000-0000F6120000}"/>
    <cellStyle name="Normal 139" xfId="2176" xr:uid="{00000000-0005-0000-0000-0000F7120000}"/>
    <cellStyle name="Normal 14" xfId="148" xr:uid="{00000000-0005-0000-0000-0000F8120000}"/>
    <cellStyle name="Normal 14 2" xfId="2178" xr:uid="{00000000-0005-0000-0000-0000F9120000}"/>
    <cellStyle name="Normal 14 2 10" xfId="7646" xr:uid="{00000000-0005-0000-0000-0000FA120000}"/>
    <cellStyle name="Normal 14 2 11" xfId="10859" xr:uid="{00000000-0005-0000-0000-0000FB120000}"/>
    <cellStyle name="Normal 14 2 12" xfId="12466" xr:uid="{00000000-0005-0000-0000-0000FC120000}"/>
    <cellStyle name="Normal 14 2 2" xfId="2179" xr:uid="{00000000-0005-0000-0000-0000FD120000}"/>
    <cellStyle name="Normal 14 2 2 2" xfId="2180" xr:uid="{00000000-0005-0000-0000-0000FE120000}"/>
    <cellStyle name="Normal 14 2 2 2 2" xfId="2181" xr:uid="{00000000-0005-0000-0000-0000FF120000}"/>
    <cellStyle name="Normal 14 2 2 2 2 2" xfId="2182" xr:uid="{00000000-0005-0000-0000-000000130000}"/>
    <cellStyle name="Normal 14 2 2 2 2 2 2" xfId="9251" xr:uid="{00000000-0005-0000-0000-000001130000}"/>
    <cellStyle name="Normal 14 2 2 2 2 2 3" xfId="7648" xr:uid="{00000000-0005-0000-0000-000002130000}"/>
    <cellStyle name="Normal 14 2 2 2 2 2 4" xfId="10861" xr:uid="{00000000-0005-0000-0000-000003130000}"/>
    <cellStyle name="Normal 14 2 2 2 2 2 5" xfId="12468" xr:uid="{00000000-0005-0000-0000-000004130000}"/>
    <cellStyle name="Normal 14 2 2 2 2 3" xfId="2183" xr:uid="{00000000-0005-0000-0000-000005130000}"/>
    <cellStyle name="Normal 14 2 2 2 2 3 2" xfId="9252" xr:uid="{00000000-0005-0000-0000-000006130000}"/>
    <cellStyle name="Normal 14 2 2 2 2 3 3" xfId="7649" xr:uid="{00000000-0005-0000-0000-000007130000}"/>
    <cellStyle name="Normal 14 2 2 2 2 3 4" xfId="10862" xr:uid="{00000000-0005-0000-0000-000008130000}"/>
    <cellStyle name="Normal 14 2 2 2 2 3 5" xfId="12469" xr:uid="{00000000-0005-0000-0000-000009130000}"/>
    <cellStyle name="Normal 14 2 2 2 2 4" xfId="2184" xr:uid="{00000000-0005-0000-0000-00000A130000}"/>
    <cellStyle name="Normal 14 2 2 2 2 4 2" xfId="9253" xr:uid="{00000000-0005-0000-0000-00000B130000}"/>
    <cellStyle name="Normal 14 2 2 2 2 4 3" xfId="7650" xr:uid="{00000000-0005-0000-0000-00000C130000}"/>
    <cellStyle name="Normal 14 2 2 2 2 4 4" xfId="10863" xr:uid="{00000000-0005-0000-0000-00000D130000}"/>
    <cellStyle name="Normal 14 2 2 2 2 4 5" xfId="12470" xr:uid="{00000000-0005-0000-0000-00000E130000}"/>
    <cellStyle name="Normal 14 2 2 2 3" xfId="2185" xr:uid="{00000000-0005-0000-0000-00000F130000}"/>
    <cellStyle name="Normal 14 2 2 2 4" xfId="2186" xr:uid="{00000000-0005-0000-0000-000010130000}"/>
    <cellStyle name="Normal 14 2 2 2 5" xfId="9250" xr:uid="{00000000-0005-0000-0000-000011130000}"/>
    <cellStyle name="Normal 14 2 2 2 6" xfId="7647" xr:uid="{00000000-0005-0000-0000-000012130000}"/>
    <cellStyle name="Normal 14 2 2 2 7" xfId="10860" xr:uid="{00000000-0005-0000-0000-000013130000}"/>
    <cellStyle name="Normal 14 2 2 2 8" xfId="12467" xr:uid="{00000000-0005-0000-0000-000014130000}"/>
    <cellStyle name="Normal 14 2 2 3" xfId="2187" xr:uid="{00000000-0005-0000-0000-000015130000}"/>
    <cellStyle name="Normal 14 2 2 3 2" xfId="2188" xr:uid="{00000000-0005-0000-0000-000016130000}"/>
    <cellStyle name="Normal 14 2 2 3 2 2" xfId="9255" xr:uid="{00000000-0005-0000-0000-000017130000}"/>
    <cellStyle name="Normal 14 2 2 3 2 3" xfId="7652" xr:uid="{00000000-0005-0000-0000-000018130000}"/>
    <cellStyle name="Normal 14 2 2 3 2 4" xfId="10865" xr:uid="{00000000-0005-0000-0000-000019130000}"/>
    <cellStyle name="Normal 14 2 2 3 2 5" xfId="12472" xr:uid="{00000000-0005-0000-0000-00001A130000}"/>
    <cellStyle name="Normal 14 2 2 3 3" xfId="2189" xr:uid="{00000000-0005-0000-0000-00001B130000}"/>
    <cellStyle name="Normal 14 2 2 3 3 2" xfId="9256" xr:uid="{00000000-0005-0000-0000-00001C130000}"/>
    <cellStyle name="Normal 14 2 2 3 3 3" xfId="7653" xr:uid="{00000000-0005-0000-0000-00001D130000}"/>
    <cellStyle name="Normal 14 2 2 3 3 4" xfId="10866" xr:uid="{00000000-0005-0000-0000-00001E130000}"/>
    <cellStyle name="Normal 14 2 2 3 3 5" xfId="12473" xr:uid="{00000000-0005-0000-0000-00001F130000}"/>
    <cellStyle name="Normal 14 2 2 3 4" xfId="2190" xr:uid="{00000000-0005-0000-0000-000020130000}"/>
    <cellStyle name="Normal 14 2 2 3 4 2" xfId="9257" xr:uid="{00000000-0005-0000-0000-000021130000}"/>
    <cellStyle name="Normal 14 2 2 3 4 3" xfId="7654" xr:uid="{00000000-0005-0000-0000-000022130000}"/>
    <cellStyle name="Normal 14 2 2 3 4 4" xfId="10867" xr:uid="{00000000-0005-0000-0000-000023130000}"/>
    <cellStyle name="Normal 14 2 2 3 4 5" xfId="12474" xr:uid="{00000000-0005-0000-0000-000024130000}"/>
    <cellStyle name="Normal 14 2 2 3 5" xfId="9254" xr:uid="{00000000-0005-0000-0000-000025130000}"/>
    <cellStyle name="Normal 14 2 2 3 6" xfId="7651" xr:uid="{00000000-0005-0000-0000-000026130000}"/>
    <cellStyle name="Normal 14 2 2 3 7" xfId="10864" xr:uid="{00000000-0005-0000-0000-000027130000}"/>
    <cellStyle name="Normal 14 2 2 3 8" xfId="12471" xr:uid="{00000000-0005-0000-0000-000028130000}"/>
    <cellStyle name="Normal 14 2 2 4" xfId="2191" xr:uid="{00000000-0005-0000-0000-000029130000}"/>
    <cellStyle name="Normal 14 2 2 4 2" xfId="2192" xr:uid="{00000000-0005-0000-0000-00002A130000}"/>
    <cellStyle name="Normal 14 2 2 4 2 2" xfId="9259" xr:uid="{00000000-0005-0000-0000-00002B130000}"/>
    <cellStyle name="Normal 14 2 2 4 2 3" xfId="7656" xr:uid="{00000000-0005-0000-0000-00002C130000}"/>
    <cellStyle name="Normal 14 2 2 4 2 4" xfId="10869" xr:uid="{00000000-0005-0000-0000-00002D130000}"/>
    <cellStyle name="Normal 14 2 2 4 2 5" xfId="12476" xr:uid="{00000000-0005-0000-0000-00002E130000}"/>
    <cellStyle name="Normal 14 2 2 4 3" xfId="2193" xr:uid="{00000000-0005-0000-0000-00002F130000}"/>
    <cellStyle name="Normal 14 2 2 4 3 2" xfId="9260" xr:uid="{00000000-0005-0000-0000-000030130000}"/>
    <cellStyle name="Normal 14 2 2 4 3 3" xfId="7657" xr:uid="{00000000-0005-0000-0000-000031130000}"/>
    <cellStyle name="Normal 14 2 2 4 3 4" xfId="10870" xr:uid="{00000000-0005-0000-0000-000032130000}"/>
    <cellStyle name="Normal 14 2 2 4 3 5" xfId="12477" xr:uid="{00000000-0005-0000-0000-000033130000}"/>
    <cellStyle name="Normal 14 2 2 4 4" xfId="2194" xr:uid="{00000000-0005-0000-0000-000034130000}"/>
    <cellStyle name="Normal 14 2 2 4 4 2" xfId="9261" xr:uid="{00000000-0005-0000-0000-000035130000}"/>
    <cellStyle name="Normal 14 2 2 4 4 3" xfId="7658" xr:uid="{00000000-0005-0000-0000-000036130000}"/>
    <cellStyle name="Normal 14 2 2 4 4 4" xfId="10871" xr:uid="{00000000-0005-0000-0000-000037130000}"/>
    <cellStyle name="Normal 14 2 2 4 4 5" xfId="12478" xr:uid="{00000000-0005-0000-0000-000038130000}"/>
    <cellStyle name="Normal 14 2 2 4 5" xfId="9258" xr:uid="{00000000-0005-0000-0000-000039130000}"/>
    <cellStyle name="Normal 14 2 2 4 6" xfId="7655" xr:uid="{00000000-0005-0000-0000-00003A130000}"/>
    <cellStyle name="Normal 14 2 2 4 7" xfId="10868" xr:uid="{00000000-0005-0000-0000-00003B130000}"/>
    <cellStyle name="Normal 14 2 2 4 8" xfId="12475" xr:uid="{00000000-0005-0000-0000-00003C130000}"/>
    <cellStyle name="Normal 14 2 2 5" xfId="2195" xr:uid="{00000000-0005-0000-0000-00003D130000}"/>
    <cellStyle name="Normal 14 2 2 5 2" xfId="9262" xr:uid="{00000000-0005-0000-0000-00003E130000}"/>
    <cellStyle name="Normal 14 2 2 5 3" xfId="7659" xr:uid="{00000000-0005-0000-0000-00003F130000}"/>
    <cellStyle name="Normal 14 2 2 5 4" xfId="10872" xr:uid="{00000000-0005-0000-0000-000040130000}"/>
    <cellStyle name="Normal 14 2 2 5 5" xfId="12479" xr:uid="{00000000-0005-0000-0000-000041130000}"/>
    <cellStyle name="Normal 14 2 2 6" xfId="2196" xr:uid="{00000000-0005-0000-0000-000042130000}"/>
    <cellStyle name="Normal 14 2 2 6 2" xfId="9263" xr:uid="{00000000-0005-0000-0000-000043130000}"/>
    <cellStyle name="Normal 14 2 2 6 3" xfId="7660" xr:uid="{00000000-0005-0000-0000-000044130000}"/>
    <cellStyle name="Normal 14 2 2 6 4" xfId="10873" xr:uid="{00000000-0005-0000-0000-000045130000}"/>
    <cellStyle name="Normal 14 2 2 6 5" xfId="12480" xr:uid="{00000000-0005-0000-0000-000046130000}"/>
    <cellStyle name="Normal 14 2 2 7" xfId="2197" xr:uid="{00000000-0005-0000-0000-000047130000}"/>
    <cellStyle name="Normal 14 2 2 7 2" xfId="9264" xr:uid="{00000000-0005-0000-0000-000048130000}"/>
    <cellStyle name="Normal 14 2 2 7 3" xfId="7661" xr:uid="{00000000-0005-0000-0000-000049130000}"/>
    <cellStyle name="Normal 14 2 2 7 4" xfId="10874" xr:uid="{00000000-0005-0000-0000-00004A130000}"/>
    <cellStyle name="Normal 14 2 2 7 5" xfId="12481" xr:uid="{00000000-0005-0000-0000-00004B130000}"/>
    <cellStyle name="Normal 14 2 3" xfId="2198" xr:uid="{00000000-0005-0000-0000-00004C130000}"/>
    <cellStyle name="Normal 14 2 3 2" xfId="2199" xr:uid="{00000000-0005-0000-0000-00004D130000}"/>
    <cellStyle name="Normal 14 2 3 2 2" xfId="9266" xr:uid="{00000000-0005-0000-0000-00004E130000}"/>
    <cellStyle name="Normal 14 2 3 2 3" xfId="7663" xr:uid="{00000000-0005-0000-0000-00004F130000}"/>
    <cellStyle name="Normal 14 2 3 2 4" xfId="10876" xr:uid="{00000000-0005-0000-0000-000050130000}"/>
    <cellStyle name="Normal 14 2 3 2 5" xfId="12483" xr:uid="{00000000-0005-0000-0000-000051130000}"/>
    <cellStyle name="Normal 14 2 3 3" xfId="2200" xr:uid="{00000000-0005-0000-0000-000052130000}"/>
    <cellStyle name="Normal 14 2 3 3 2" xfId="9267" xr:uid="{00000000-0005-0000-0000-000053130000}"/>
    <cellStyle name="Normal 14 2 3 3 3" xfId="7664" xr:uid="{00000000-0005-0000-0000-000054130000}"/>
    <cellStyle name="Normal 14 2 3 3 4" xfId="10877" xr:uid="{00000000-0005-0000-0000-000055130000}"/>
    <cellStyle name="Normal 14 2 3 3 5" xfId="12484" xr:uid="{00000000-0005-0000-0000-000056130000}"/>
    <cellStyle name="Normal 14 2 3 4" xfId="2201" xr:uid="{00000000-0005-0000-0000-000057130000}"/>
    <cellStyle name="Normal 14 2 3 4 2" xfId="9268" xr:uid="{00000000-0005-0000-0000-000058130000}"/>
    <cellStyle name="Normal 14 2 3 4 3" xfId="7665" xr:uid="{00000000-0005-0000-0000-000059130000}"/>
    <cellStyle name="Normal 14 2 3 4 4" xfId="10878" xr:uid="{00000000-0005-0000-0000-00005A130000}"/>
    <cellStyle name="Normal 14 2 3 4 5" xfId="12485" xr:uid="{00000000-0005-0000-0000-00005B130000}"/>
    <cellStyle name="Normal 14 2 3 5" xfId="9265" xr:uid="{00000000-0005-0000-0000-00005C130000}"/>
    <cellStyle name="Normal 14 2 3 6" xfId="7662" xr:uid="{00000000-0005-0000-0000-00005D130000}"/>
    <cellStyle name="Normal 14 2 3 7" xfId="10875" xr:uid="{00000000-0005-0000-0000-00005E130000}"/>
    <cellStyle name="Normal 14 2 3 8" xfId="12482" xr:uid="{00000000-0005-0000-0000-00005F130000}"/>
    <cellStyle name="Normal 14 2 4" xfId="2202" xr:uid="{00000000-0005-0000-0000-000060130000}"/>
    <cellStyle name="Normal 14 2 5" xfId="2203" xr:uid="{00000000-0005-0000-0000-000061130000}"/>
    <cellStyle name="Normal 14 2 6" xfId="2204" xr:uid="{00000000-0005-0000-0000-000062130000}"/>
    <cellStyle name="Normal 14 2 6 2" xfId="9269" xr:uid="{00000000-0005-0000-0000-000063130000}"/>
    <cellStyle name="Normal 14 2 6 3" xfId="7666" xr:uid="{00000000-0005-0000-0000-000064130000}"/>
    <cellStyle name="Normal 14 2 6 4" xfId="10879" xr:uid="{00000000-0005-0000-0000-000065130000}"/>
    <cellStyle name="Normal 14 2 6 5" xfId="12486" xr:uid="{00000000-0005-0000-0000-000066130000}"/>
    <cellStyle name="Normal 14 2 7" xfId="2205" xr:uid="{00000000-0005-0000-0000-000067130000}"/>
    <cellStyle name="Normal 14 2 7 2" xfId="9270" xr:uid="{00000000-0005-0000-0000-000068130000}"/>
    <cellStyle name="Normal 14 2 7 3" xfId="7667" xr:uid="{00000000-0005-0000-0000-000069130000}"/>
    <cellStyle name="Normal 14 2 7 4" xfId="10880" xr:uid="{00000000-0005-0000-0000-00006A130000}"/>
    <cellStyle name="Normal 14 2 7 5" xfId="12487" xr:uid="{00000000-0005-0000-0000-00006B130000}"/>
    <cellStyle name="Normal 14 2 8" xfId="2206" xr:uid="{00000000-0005-0000-0000-00006C130000}"/>
    <cellStyle name="Normal 14 2 8 2" xfId="9271" xr:uid="{00000000-0005-0000-0000-00006D130000}"/>
    <cellStyle name="Normal 14 2 8 3" xfId="7668" xr:uid="{00000000-0005-0000-0000-00006E130000}"/>
    <cellStyle name="Normal 14 2 8 4" xfId="10881" xr:uid="{00000000-0005-0000-0000-00006F130000}"/>
    <cellStyle name="Normal 14 2 8 5" xfId="12488" xr:uid="{00000000-0005-0000-0000-000070130000}"/>
    <cellStyle name="Normal 14 2 9" xfId="7367" xr:uid="{00000000-0005-0000-0000-000071130000}"/>
    <cellStyle name="Normal 14 2 9 2" xfId="9249" xr:uid="{00000000-0005-0000-0000-000072130000}"/>
    <cellStyle name="Normal 14 3" xfId="2207" xr:uid="{00000000-0005-0000-0000-000073130000}"/>
    <cellStyle name="Normal 14 4" xfId="2208" xr:uid="{00000000-0005-0000-0000-000074130000}"/>
    <cellStyle name="Normal 14 5" xfId="2177" xr:uid="{00000000-0005-0000-0000-000075130000}"/>
    <cellStyle name="Normal 14 5 2" xfId="9248" xr:uid="{00000000-0005-0000-0000-000076130000}"/>
    <cellStyle name="Normal 14 5 3" xfId="10858" xr:uid="{00000000-0005-0000-0000-000077130000}"/>
    <cellStyle name="Normal 14 6" xfId="6930" xr:uid="{00000000-0005-0000-0000-000078130000}"/>
    <cellStyle name="Normal 14 7" xfId="7645" xr:uid="{00000000-0005-0000-0000-000079130000}"/>
    <cellStyle name="Normal 14 8" xfId="10628" xr:uid="{00000000-0005-0000-0000-00007A130000}"/>
    <cellStyle name="Normal 14 9" xfId="12465" xr:uid="{00000000-0005-0000-0000-00007B130000}"/>
    <cellStyle name="Normal 140" xfId="2209" xr:uid="{00000000-0005-0000-0000-00007C130000}"/>
    <cellStyle name="Normal 141" xfId="2210" xr:uid="{00000000-0005-0000-0000-00007D130000}"/>
    <cellStyle name="Normal 142" xfId="2211" xr:uid="{00000000-0005-0000-0000-00007E130000}"/>
    <cellStyle name="Normal 143" xfId="2212" xr:uid="{00000000-0005-0000-0000-00007F130000}"/>
    <cellStyle name="Normal 144" xfId="2213" xr:uid="{00000000-0005-0000-0000-000080130000}"/>
    <cellStyle name="Normal 145" xfId="2214" xr:uid="{00000000-0005-0000-0000-000081130000}"/>
    <cellStyle name="Normal 146" xfId="2215" xr:uid="{00000000-0005-0000-0000-000082130000}"/>
    <cellStyle name="Normal 147" xfId="2216" xr:uid="{00000000-0005-0000-0000-000083130000}"/>
    <cellStyle name="Normal 148" xfId="2217" xr:uid="{00000000-0005-0000-0000-000084130000}"/>
    <cellStyle name="Normal 149" xfId="2218" xr:uid="{00000000-0005-0000-0000-000085130000}"/>
    <cellStyle name="Normal 15" xfId="147" xr:uid="{00000000-0005-0000-0000-000086130000}"/>
    <cellStyle name="Normal 15 2" xfId="2220" xr:uid="{00000000-0005-0000-0000-000087130000}"/>
    <cellStyle name="Normal 15 2 10" xfId="7670" xr:uid="{00000000-0005-0000-0000-000088130000}"/>
    <cellStyle name="Normal 15 2 11" xfId="10883" xr:uid="{00000000-0005-0000-0000-000089130000}"/>
    <cellStyle name="Normal 15 2 12" xfId="12490" xr:uid="{00000000-0005-0000-0000-00008A130000}"/>
    <cellStyle name="Normal 15 2 2" xfId="2221" xr:uid="{00000000-0005-0000-0000-00008B130000}"/>
    <cellStyle name="Normal 15 2 2 2" xfId="2222" xr:uid="{00000000-0005-0000-0000-00008C130000}"/>
    <cellStyle name="Normal 15 2 2 2 2" xfId="2223" xr:uid="{00000000-0005-0000-0000-00008D130000}"/>
    <cellStyle name="Normal 15 2 2 2 2 2" xfId="2224" xr:uid="{00000000-0005-0000-0000-00008E130000}"/>
    <cellStyle name="Normal 15 2 2 2 2 2 2" xfId="9275" xr:uid="{00000000-0005-0000-0000-00008F130000}"/>
    <cellStyle name="Normal 15 2 2 2 2 2 3" xfId="7672" xr:uid="{00000000-0005-0000-0000-000090130000}"/>
    <cellStyle name="Normal 15 2 2 2 2 2 4" xfId="10885" xr:uid="{00000000-0005-0000-0000-000091130000}"/>
    <cellStyle name="Normal 15 2 2 2 2 2 5" xfId="12492" xr:uid="{00000000-0005-0000-0000-000092130000}"/>
    <cellStyle name="Normal 15 2 2 2 2 3" xfId="2225" xr:uid="{00000000-0005-0000-0000-000093130000}"/>
    <cellStyle name="Normal 15 2 2 2 2 3 2" xfId="9276" xr:uid="{00000000-0005-0000-0000-000094130000}"/>
    <cellStyle name="Normal 15 2 2 2 2 3 3" xfId="7673" xr:uid="{00000000-0005-0000-0000-000095130000}"/>
    <cellStyle name="Normal 15 2 2 2 2 3 4" xfId="10886" xr:uid="{00000000-0005-0000-0000-000096130000}"/>
    <cellStyle name="Normal 15 2 2 2 2 3 5" xfId="12493" xr:uid="{00000000-0005-0000-0000-000097130000}"/>
    <cellStyle name="Normal 15 2 2 2 2 4" xfId="2226" xr:uid="{00000000-0005-0000-0000-000098130000}"/>
    <cellStyle name="Normal 15 2 2 2 2 4 2" xfId="9277" xr:uid="{00000000-0005-0000-0000-000099130000}"/>
    <cellStyle name="Normal 15 2 2 2 2 4 3" xfId="7674" xr:uid="{00000000-0005-0000-0000-00009A130000}"/>
    <cellStyle name="Normal 15 2 2 2 2 4 4" xfId="10887" xr:uid="{00000000-0005-0000-0000-00009B130000}"/>
    <cellStyle name="Normal 15 2 2 2 2 4 5" xfId="12494" xr:uid="{00000000-0005-0000-0000-00009C130000}"/>
    <cellStyle name="Normal 15 2 2 2 3" xfId="2227" xr:uid="{00000000-0005-0000-0000-00009D130000}"/>
    <cellStyle name="Normal 15 2 2 2 4" xfId="2228" xr:uid="{00000000-0005-0000-0000-00009E130000}"/>
    <cellStyle name="Normal 15 2 2 2 5" xfId="9274" xr:uid="{00000000-0005-0000-0000-00009F130000}"/>
    <cellStyle name="Normal 15 2 2 2 6" xfId="7671" xr:uid="{00000000-0005-0000-0000-0000A0130000}"/>
    <cellStyle name="Normal 15 2 2 2 7" xfId="10884" xr:uid="{00000000-0005-0000-0000-0000A1130000}"/>
    <cellStyle name="Normal 15 2 2 2 8" xfId="12491" xr:uid="{00000000-0005-0000-0000-0000A2130000}"/>
    <cellStyle name="Normal 15 2 2 3" xfId="2229" xr:uid="{00000000-0005-0000-0000-0000A3130000}"/>
    <cellStyle name="Normal 15 2 2 3 2" xfId="2230" xr:uid="{00000000-0005-0000-0000-0000A4130000}"/>
    <cellStyle name="Normal 15 2 2 3 2 2" xfId="9279" xr:uid="{00000000-0005-0000-0000-0000A5130000}"/>
    <cellStyle name="Normal 15 2 2 3 2 3" xfId="7676" xr:uid="{00000000-0005-0000-0000-0000A6130000}"/>
    <cellStyle name="Normal 15 2 2 3 2 4" xfId="10889" xr:uid="{00000000-0005-0000-0000-0000A7130000}"/>
    <cellStyle name="Normal 15 2 2 3 2 5" xfId="12496" xr:uid="{00000000-0005-0000-0000-0000A8130000}"/>
    <cellStyle name="Normal 15 2 2 3 3" xfId="2231" xr:uid="{00000000-0005-0000-0000-0000A9130000}"/>
    <cellStyle name="Normal 15 2 2 3 3 2" xfId="9280" xr:uid="{00000000-0005-0000-0000-0000AA130000}"/>
    <cellStyle name="Normal 15 2 2 3 3 3" xfId="7677" xr:uid="{00000000-0005-0000-0000-0000AB130000}"/>
    <cellStyle name="Normal 15 2 2 3 3 4" xfId="10890" xr:uid="{00000000-0005-0000-0000-0000AC130000}"/>
    <cellStyle name="Normal 15 2 2 3 3 5" xfId="12497" xr:uid="{00000000-0005-0000-0000-0000AD130000}"/>
    <cellStyle name="Normal 15 2 2 3 4" xfId="2232" xr:uid="{00000000-0005-0000-0000-0000AE130000}"/>
    <cellStyle name="Normal 15 2 2 3 4 2" xfId="9281" xr:uid="{00000000-0005-0000-0000-0000AF130000}"/>
    <cellStyle name="Normal 15 2 2 3 4 3" xfId="7678" xr:uid="{00000000-0005-0000-0000-0000B0130000}"/>
    <cellStyle name="Normal 15 2 2 3 4 4" xfId="10891" xr:uid="{00000000-0005-0000-0000-0000B1130000}"/>
    <cellStyle name="Normal 15 2 2 3 4 5" xfId="12498" xr:uid="{00000000-0005-0000-0000-0000B2130000}"/>
    <cellStyle name="Normal 15 2 2 3 5" xfId="9278" xr:uid="{00000000-0005-0000-0000-0000B3130000}"/>
    <cellStyle name="Normal 15 2 2 3 6" xfId="7675" xr:uid="{00000000-0005-0000-0000-0000B4130000}"/>
    <cellStyle name="Normal 15 2 2 3 7" xfId="10888" xr:uid="{00000000-0005-0000-0000-0000B5130000}"/>
    <cellStyle name="Normal 15 2 2 3 8" xfId="12495" xr:uid="{00000000-0005-0000-0000-0000B6130000}"/>
    <cellStyle name="Normal 15 2 2 4" xfId="2233" xr:uid="{00000000-0005-0000-0000-0000B7130000}"/>
    <cellStyle name="Normal 15 2 2 4 2" xfId="2234" xr:uid="{00000000-0005-0000-0000-0000B8130000}"/>
    <cellStyle name="Normal 15 2 2 4 2 2" xfId="9283" xr:uid="{00000000-0005-0000-0000-0000B9130000}"/>
    <cellStyle name="Normal 15 2 2 4 2 3" xfId="7680" xr:uid="{00000000-0005-0000-0000-0000BA130000}"/>
    <cellStyle name="Normal 15 2 2 4 2 4" xfId="10893" xr:uid="{00000000-0005-0000-0000-0000BB130000}"/>
    <cellStyle name="Normal 15 2 2 4 2 5" xfId="12500" xr:uid="{00000000-0005-0000-0000-0000BC130000}"/>
    <cellStyle name="Normal 15 2 2 4 3" xfId="2235" xr:uid="{00000000-0005-0000-0000-0000BD130000}"/>
    <cellStyle name="Normal 15 2 2 4 3 2" xfId="9284" xr:uid="{00000000-0005-0000-0000-0000BE130000}"/>
    <cellStyle name="Normal 15 2 2 4 3 3" xfId="7681" xr:uid="{00000000-0005-0000-0000-0000BF130000}"/>
    <cellStyle name="Normal 15 2 2 4 3 4" xfId="10894" xr:uid="{00000000-0005-0000-0000-0000C0130000}"/>
    <cellStyle name="Normal 15 2 2 4 3 5" xfId="12501" xr:uid="{00000000-0005-0000-0000-0000C1130000}"/>
    <cellStyle name="Normal 15 2 2 4 4" xfId="2236" xr:uid="{00000000-0005-0000-0000-0000C2130000}"/>
    <cellStyle name="Normal 15 2 2 4 4 2" xfId="9285" xr:uid="{00000000-0005-0000-0000-0000C3130000}"/>
    <cellStyle name="Normal 15 2 2 4 4 3" xfId="7682" xr:uid="{00000000-0005-0000-0000-0000C4130000}"/>
    <cellStyle name="Normal 15 2 2 4 4 4" xfId="10895" xr:uid="{00000000-0005-0000-0000-0000C5130000}"/>
    <cellStyle name="Normal 15 2 2 4 4 5" xfId="12502" xr:uid="{00000000-0005-0000-0000-0000C6130000}"/>
    <cellStyle name="Normal 15 2 2 4 5" xfId="9282" xr:uid="{00000000-0005-0000-0000-0000C7130000}"/>
    <cellStyle name="Normal 15 2 2 4 6" xfId="7679" xr:uid="{00000000-0005-0000-0000-0000C8130000}"/>
    <cellStyle name="Normal 15 2 2 4 7" xfId="10892" xr:uid="{00000000-0005-0000-0000-0000C9130000}"/>
    <cellStyle name="Normal 15 2 2 4 8" xfId="12499" xr:uid="{00000000-0005-0000-0000-0000CA130000}"/>
    <cellStyle name="Normal 15 2 2 5" xfId="2237" xr:uid="{00000000-0005-0000-0000-0000CB130000}"/>
    <cellStyle name="Normal 15 2 2 5 2" xfId="9286" xr:uid="{00000000-0005-0000-0000-0000CC130000}"/>
    <cellStyle name="Normal 15 2 2 5 3" xfId="7683" xr:uid="{00000000-0005-0000-0000-0000CD130000}"/>
    <cellStyle name="Normal 15 2 2 5 4" xfId="10896" xr:uid="{00000000-0005-0000-0000-0000CE130000}"/>
    <cellStyle name="Normal 15 2 2 5 5" xfId="12503" xr:uid="{00000000-0005-0000-0000-0000CF130000}"/>
    <cellStyle name="Normal 15 2 2 6" xfId="2238" xr:uid="{00000000-0005-0000-0000-0000D0130000}"/>
    <cellStyle name="Normal 15 2 2 6 2" xfId="9287" xr:uid="{00000000-0005-0000-0000-0000D1130000}"/>
    <cellStyle name="Normal 15 2 2 6 3" xfId="7684" xr:uid="{00000000-0005-0000-0000-0000D2130000}"/>
    <cellStyle name="Normal 15 2 2 6 4" xfId="10897" xr:uid="{00000000-0005-0000-0000-0000D3130000}"/>
    <cellStyle name="Normal 15 2 2 6 5" xfId="12504" xr:uid="{00000000-0005-0000-0000-0000D4130000}"/>
    <cellStyle name="Normal 15 2 2 7" xfId="2239" xr:uid="{00000000-0005-0000-0000-0000D5130000}"/>
    <cellStyle name="Normal 15 2 2 7 2" xfId="9288" xr:uid="{00000000-0005-0000-0000-0000D6130000}"/>
    <cellStyle name="Normal 15 2 2 7 3" xfId="7685" xr:uid="{00000000-0005-0000-0000-0000D7130000}"/>
    <cellStyle name="Normal 15 2 2 7 4" xfId="10898" xr:uid="{00000000-0005-0000-0000-0000D8130000}"/>
    <cellStyle name="Normal 15 2 2 7 5" xfId="12505" xr:uid="{00000000-0005-0000-0000-0000D9130000}"/>
    <cellStyle name="Normal 15 2 3" xfId="2240" xr:uid="{00000000-0005-0000-0000-0000DA130000}"/>
    <cellStyle name="Normal 15 2 3 2" xfId="2241" xr:uid="{00000000-0005-0000-0000-0000DB130000}"/>
    <cellStyle name="Normal 15 2 3 2 2" xfId="9290" xr:uid="{00000000-0005-0000-0000-0000DC130000}"/>
    <cellStyle name="Normal 15 2 3 2 3" xfId="7687" xr:uid="{00000000-0005-0000-0000-0000DD130000}"/>
    <cellStyle name="Normal 15 2 3 2 4" xfId="10900" xr:uid="{00000000-0005-0000-0000-0000DE130000}"/>
    <cellStyle name="Normal 15 2 3 2 5" xfId="12507" xr:uid="{00000000-0005-0000-0000-0000DF130000}"/>
    <cellStyle name="Normal 15 2 3 3" xfId="2242" xr:uid="{00000000-0005-0000-0000-0000E0130000}"/>
    <cellStyle name="Normal 15 2 3 3 2" xfId="9291" xr:uid="{00000000-0005-0000-0000-0000E1130000}"/>
    <cellStyle name="Normal 15 2 3 3 3" xfId="7688" xr:uid="{00000000-0005-0000-0000-0000E2130000}"/>
    <cellStyle name="Normal 15 2 3 3 4" xfId="10901" xr:uid="{00000000-0005-0000-0000-0000E3130000}"/>
    <cellStyle name="Normal 15 2 3 3 5" xfId="12508" xr:uid="{00000000-0005-0000-0000-0000E4130000}"/>
    <cellStyle name="Normal 15 2 3 4" xfId="2243" xr:uid="{00000000-0005-0000-0000-0000E5130000}"/>
    <cellStyle name="Normal 15 2 3 4 2" xfId="9292" xr:uid="{00000000-0005-0000-0000-0000E6130000}"/>
    <cellStyle name="Normal 15 2 3 4 3" xfId="7689" xr:uid="{00000000-0005-0000-0000-0000E7130000}"/>
    <cellStyle name="Normal 15 2 3 4 4" xfId="10902" xr:uid="{00000000-0005-0000-0000-0000E8130000}"/>
    <cellStyle name="Normal 15 2 3 4 5" xfId="12509" xr:uid="{00000000-0005-0000-0000-0000E9130000}"/>
    <cellStyle name="Normal 15 2 3 5" xfId="9289" xr:uid="{00000000-0005-0000-0000-0000EA130000}"/>
    <cellStyle name="Normal 15 2 3 6" xfId="7686" xr:uid="{00000000-0005-0000-0000-0000EB130000}"/>
    <cellStyle name="Normal 15 2 3 7" xfId="10899" xr:uid="{00000000-0005-0000-0000-0000EC130000}"/>
    <cellStyle name="Normal 15 2 3 8" xfId="12506" xr:uid="{00000000-0005-0000-0000-0000ED130000}"/>
    <cellStyle name="Normal 15 2 4" xfId="2244" xr:uid="{00000000-0005-0000-0000-0000EE130000}"/>
    <cellStyle name="Normal 15 2 5" xfId="2245" xr:uid="{00000000-0005-0000-0000-0000EF130000}"/>
    <cellStyle name="Normal 15 2 6" xfId="2246" xr:uid="{00000000-0005-0000-0000-0000F0130000}"/>
    <cellStyle name="Normal 15 2 6 2" xfId="9293" xr:uid="{00000000-0005-0000-0000-0000F1130000}"/>
    <cellStyle name="Normal 15 2 6 3" xfId="7690" xr:uid="{00000000-0005-0000-0000-0000F2130000}"/>
    <cellStyle name="Normal 15 2 6 4" xfId="10903" xr:uid="{00000000-0005-0000-0000-0000F3130000}"/>
    <cellStyle name="Normal 15 2 6 5" xfId="12510" xr:uid="{00000000-0005-0000-0000-0000F4130000}"/>
    <cellStyle name="Normal 15 2 7" xfId="2247" xr:uid="{00000000-0005-0000-0000-0000F5130000}"/>
    <cellStyle name="Normal 15 2 7 2" xfId="9294" xr:uid="{00000000-0005-0000-0000-0000F6130000}"/>
    <cellStyle name="Normal 15 2 7 3" xfId="7691" xr:uid="{00000000-0005-0000-0000-0000F7130000}"/>
    <cellStyle name="Normal 15 2 7 4" xfId="10904" xr:uid="{00000000-0005-0000-0000-0000F8130000}"/>
    <cellStyle name="Normal 15 2 7 5" xfId="12511" xr:uid="{00000000-0005-0000-0000-0000F9130000}"/>
    <cellStyle name="Normal 15 2 8" xfId="2248" xr:uid="{00000000-0005-0000-0000-0000FA130000}"/>
    <cellStyle name="Normal 15 2 8 2" xfId="9295" xr:uid="{00000000-0005-0000-0000-0000FB130000}"/>
    <cellStyle name="Normal 15 2 8 3" xfId="7692" xr:uid="{00000000-0005-0000-0000-0000FC130000}"/>
    <cellStyle name="Normal 15 2 8 4" xfId="10905" xr:uid="{00000000-0005-0000-0000-0000FD130000}"/>
    <cellStyle name="Normal 15 2 8 5" xfId="12512" xr:uid="{00000000-0005-0000-0000-0000FE130000}"/>
    <cellStyle name="Normal 15 2 9" xfId="7368" xr:uid="{00000000-0005-0000-0000-0000FF130000}"/>
    <cellStyle name="Normal 15 2 9 2" xfId="9273" xr:uid="{00000000-0005-0000-0000-000000140000}"/>
    <cellStyle name="Normal 15 3" xfId="2249" xr:uid="{00000000-0005-0000-0000-000001140000}"/>
    <cellStyle name="Normal 15 4" xfId="2250" xr:uid="{00000000-0005-0000-0000-000002140000}"/>
    <cellStyle name="Normal 15 5" xfId="2219" xr:uid="{00000000-0005-0000-0000-000003140000}"/>
    <cellStyle name="Normal 15 5 2" xfId="9272" xr:uid="{00000000-0005-0000-0000-000004140000}"/>
    <cellStyle name="Normal 15 5 3" xfId="10882" xr:uid="{00000000-0005-0000-0000-000005140000}"/>
    <cellStyle name="Normal 15 6" xfId="6931" xr:uid="{00000000-0005-0000-0000-000006140000}"/>
    <cellStyle name="Normal 15 7" xfId="7669" xr:uid="{00000000-0005-0000-0000-000007140000}"/>
    <cellStyle name="Normal 15 8" xfId="10627" xr:uid="{00000000-0005-0000-0000-000008140000}"/>
    <cellStyle name="Normal 15 9" xfId="12489" xr:uid="{00000000-0005-0000-0000-000009140000}"/>
    <cellStyle name="Normal 150" xfId="2251" xr:uid="{00000000-0005-0000-0000-00000A140000}"/>
    <cellStyle name="Normal 151" xfId="4884" xr:uid="{00000000-0005-0000-0000-00000B140000}"/>
    <cellStyle name="Normal 152" xfId="116" xr:uid="{00000000-0005-0000-0000-00000C140000}"/>
    <cellStyle name="Normal 152 2" xfId="4890" xr:uid="{00000000-0005-0000-0000-00000D140000}"/>
    <cellStyle name="Normal 153" xfId="4888" xr:uid="{00000000-0005-0000-0000-00000E140000}"/>
    <cellStyle name="Normal 153 2" xfId="4893" xr:uid="{00000000-0005-0000-0000-00000F140000}"/>
    <cellStyle name="Normal 154" xfId="162" xr:uid="{00000000-0005-0000-0000-000010140000}"/>
    <cellStyle name="Normal 154 2" xfId="7417" xr:uid="{00000000-0005-0000-0000-000011140000}"/>
    <cellStyle name="Normal 154 3" xfId="10642" xr:uid="{00000000-0005-0000-0000-000012140000}"/>
    <cellStyle name="Normal 155" xfId="4874" xr:uid="{00000000-0005-0000-0000-000013140000}"/>
    <cellStyle name="Normal 155 2" xfId="9026" xr:uid="{00000000-0005-0000-0000-000014140000}"/>
    <cellStyle name="Normal 155 3" xfId="12230" xr:uid="{00000000-0005-0000-0000-000015140000}"/>
    <cellStyle name="Normal 156" xfId="4910" xr:uid="{00000000-0005-0000-0000-000016140000}"/>
    <cellStyle name="Normal 156 2" xfId="9039" xr:uid="{00000000-0005-0000-0000-000017140000}"/>
    <cellStyle name="Normal 156 3" xfId="12242" xr:uid="{00000000-0005-0000-0000-000018140000}"/>
    <cellStyle name="Normal 157" xfId="4913" xr:uid="{00000000-0005-0000-0000-000019140000}"/>
    <cellStyle name="Normal 157 2" xfId="9037" xr:uid="{00000000-0005-0000-0000-00001A140000}"/>
    <cellStyle name="Normal 158" xfId="5177" xr:uid="{00000000-0005-0000-0000-00001B140000}"/>
    <cellStyle name="Normal 158 2" xfId="9038" xr:uid="{00000000-0005-0000-0000-00001C140000}"/>
    <cellStyle name="Normal 159" xfId="7400" xr:uid="{00000000-0005-0000-0000-00001D140000}"/>
    <cellStyle name="Normal 159 2" xfId="9040" xr:uid="{00000000-0005-0000-0000-00001E140000}"/>
    <cellStyle name="Normal 16" xfId="150" xr:uid="{00000000-0005-0000-0000-00001F140000}"/>
    <cellStyle name="Normal 16 10" xfId="10630" xr:uid="{00000000-0005-0000-0000-000020140000}"/>
    <cellStyle name="Normal 16 11" xfId="12513" xr:uid="{00000000-0005-0000-0000-000021140000}"/>
    <cellStyle name="Normal 16 2" xfId="2253" xr:uid="{00000000-0005-0000-0000-000022140000}"/>
    <cellStyle name="Normal 16 2 2" xfId="2254" xr:uid="{00000000-0005-0000-0000-000023140000}"/>
    <cellStyle name="Normal 16 2 2 2" xfId="9298" xr:uid="{00000000-0005-0000-0000-000024140000}"/>
    <cellStyle name="Normal 16 2 2 3" xfId="7695" xr:uid="{00000000-0005-0000-0000-000025140000}"/>
    <cellStyle name="Normal 16 2 2 4" xfId="10908" xr:uid="{00000000-0005-0000-0000-000026140000}"/>
    <cellStyle name="Normal 16 2 2 5" xfId="12515" xr:uid="{00000000-0005-0000-0000-000027140000}"/>
    <cellStyle name="Normal 16 2 3" xfId="2255" xr:uid="{00000000-0005-0000-0000-000028140000}"/>
    <cellStyle name="Normal 16 2 3 2" xfId="9299" xr:uid="{00000000-0005-0000-0000-000029140000}"/>
    <cellStyle name="Normal 16 2 3 3" xfId="7696" xr:uid="{00000000-0005-0000-0000-00002A140000}"/>
    <cellStyle name="Normal 16 2 3 4" xfId="10909" xr:uid="{00000000-0005-0000-0000-00002B140000}"/>
    <cellStyle name="Normal 16 2 3 5" xfId="12516" xr:uid="{00000000-0005-0000-0000-00002C140000}"/>
    <cellStyle name="Normal 16 2 4" xfId="2256" xr:uid="{00000000-0005-0000-0000-00002D140000}"/>
    <cellStyle name="Normal 16 2 4 2" xfId="9300" xr:uid="{00000000-0005-0000-0000-00002E140000}"/>
    <cellStyle name="Normal 16 2 4 3" xfId="7697" xr:uid="{00000000-0005-0000-0000-00002F140000}"/>
    <cellStyle name="Normal 16 2 4 4" xfId="10910" xr:uid="{00000000-0005-0000-0000-000030140000}"/>
    <cellStyle name="Normal 16 2 4 5" xfId="12517" xr:uid="{00000000-0005-0000-0000-000031140000}"/>
    <cellStyle name="Normal 16 2 5" xfId="9297" xr:uid="{00000000-0005-0000-0000-000032140000}"/>
    <cellStyle name="Normal 16 2 6" xfId="7694" xr:uid="{00000000-0005-0000-0000-000033140000}"/>
    <cellStyle name="Normal 16 2 7" xfId="10907" xr:uid="{00000000-0005-0000-0000-000034140000}"/>
    <cellStyle name="Normal 16 2 8" xfId="12514" xr:uid="{00000000-0005-0000-0000-000035140000}"/>
    <cellStyle name="Normal 16 3" xfId="2257" xr:uid="{00000000-0005-0000-0000-000036140000}"/>
    <cellStyle name="Normal 16 3 2" xfId="2258" xr:uid="{00000000-0005-0000-0000-000037140000}"/>
    <cellStyle name="Normal 16 3 2 2" xfId="9302" xr:uid="{00000000-0005-0000-0000-000038140000}"/>
    <cellStyle name="Normal 16 3 2 3" xfId="7699" xr:uid="{00000000-0005-0000-0000-000039140000}"/>
    <cellStyle name="Normal 16 3 2 4" xfId="10912" xr:uid="{00000000-0005-0000-0000-00003A140000}"/>
    <cellStyle name="Normal 16 3 2 5" xfId="12519" xr:uid="{00000000-0005-0000-0000-00003B140000}"/>
    <cellStyle name="Normal 16 3 3" xfId="2259" xr:uid="{00000000-0005-0000-0000-00003C140000}"/>
    <cellStyle name="Normal 16 3 3 2" xfId="9303" xr:uid="{00000000-0005-0000-0000-00003D140000}"/>
    <cellStyle name="Normal 16 3 3 3" xfId="7700" xr:uid="{00000000-0005-0000-0000-00003E140000}"/>
    <cellStyle name="Normal 16 3 3 4" xfId="10913" xr:uid="{00000000-0005-0000-0000-00003F140000}"/>
    <cellStyle name="Normal 16 3 3 5" xfId="12520" xr:uid="{00000000-0005-0000-0000-000040140000}"/>
    <cellStyle name="Normal 16 3 4" xfId="2260" xr:uid="{00000000-0005-0000-0000-000041140000}"/>
    <cellStyle name="Normal 16 3 4 2" xfId="9304" xr:uid="{00000000-0005-0000-0000-000042140000}"/>
    <cellStyle name="Normal 16 3 4 3" xfId="7701" xr:uid="{00000000-0005-0000-0000-000043140000}"/>
    <cellStyle name="Normal 16 3 4 4" xfId="10914" xr:uid="{00000000-0005-0000-0000-000044140000}"/>
    <cellStyle name="Normal 16 3 4 5" xfId="12521" xr:uid="{00000000-0005-0000-0000-000045140000}"/>
    <cellStyle name="Normal 16 3 5" xfId="9301" xr:uid="{00000000-0005-0000-0000-000046140000}"/>
    <cellStyle name="Normal 16 3 6" xfId="7698" xr:uid="{00000000-0005-0000-0000-000047140000}"/>
    <cellStyle name="Normal 16 3 7" xfId="10911" xr:uid="{00000000-0005-0000-0000-000048140000}"/>
    <cellStyle name="Normal 16 3 8" xfId="12518" xr:uid="{00000000-0005-0000-0000-000049140000}"/>
    <cellStyle name="Normal 16 4" xfId="2261" xr:uid="{00000000-0005-0000-0000-00004A140000}"/>
    <cellStyle name="Normal 16 4 2" xfId="2262" xr:uid="{00000000-0005-0000-0000-00004B140000}"/>
    <cellStyle name="Normal 16 4 2 2" xfId="9306" xr:uid="{00000000-0005-0000-0000-00004C140000}"/>
    <cellStyle name="Normal 16 4 2 3" xfId="7703" xr:uid="{00000000-0005-0000-0000-00004D140000}"/>
    <cellStyle name="Normal 16 4 2 4" xfId="10916" xr:uid="{00000000-0005-0000-0000-00004E140000}"/>
    <cellStyle name="Normal 16 4 2 5" xfId="12523" xr:uid="{00000000-0005-0000-0000-00004F140000}"/>
    <cellStyle name="Normal 16 4 3" xfId="2263" xr:uid="{00000000-0005-0000-0000-000050140000}"/>
    <cellStyle name="Normal 16 4 3 2" xfId="9307" xr:uid="{00000000-0005-0000-0000-000051140000}"/>
    <cellStyle name="Normal 16 4 3 3" xfId="7704" xr:uid="{00000000-0005-0000-0000-000052140000}"/>
    <cellStyle name="Normal 16 4 3 4" xfId="10917" xr:uid="{00000000-0005-0000-0000-000053140000}"/>
    <cellStyle name="Normal 16 4 3 5" xfId="12524" xr:uid="{00000000-0005-0000-0000-000054140000}"/>
    <cellStyle name="Normal 16 4 4" xfId="2264" xr:uid="{00000000-0005-0000-0000-000055140000}"/>
    <cellStyle name="Normal 16 4 4 2" xfId="9308" xr:uid="{00000000-0005-0000-0000-000056140000}"/>
    <cellStyle name="Normal 16 4 4 3" xfId="7705" xr:uid="{00000000-0005-0000-0000-000057140000}"/>
    <cellStyle name="Normal 16 4 4 4" xfId="10918" xr:uid="{00000000-0005-0000-0000-000058140000}"/>
    <cellStyle name="Normal 16 4 4 5" xfId="12525" xr:uid="{00000000-0005-0000-0000-000059140000}"/>
    <cellStyle name="Normal 16 4 5" xfId="9305" xr:uid="{00000000-0005-0000-0000-00005A140000}"/>
    <cellStyle name="Normal 16 4 6" xfId="7702" xr:uid="{00000000-0005-0000-0000-00005B140000}"/>
    <cellStyle name="Normal 16 4 7" xfId="10915" xr:uid="{00000000-0005-0000-0000-00005C140000}"/>
    <cellStyle name="Normal 16 4 8" xfId="12522" xr:uid="{00000000-0005-0000-0000-00005D140000}"/>
    <cellStyle name="Normal 16 5" xfId="2265" xr:uid="{00000000-0005-0000-0000-00005E140000}"/>
    <cellStyle name="Normal 16 5 2" xfId="9309" xr:uid="{00000000-0005-0000-0000-00005F140000}"/>
    <cellStyle name="Normal 16 5 3" xfId="7706" xr:uid="{00000000-0005-0000-0000-000060140000}"/>
    <cellStyle name="Normal 16 5 4" xfId="10919" xr:uid="{00000000-0005-0000-0000-000061140000}"/>
    <cellStyle name="Normal 16 5 5" xfId="12526" xr:uid="{00000000-0005-0000-0000-000062140000}"/>
    <cellStyle name="Normal 16 6" xfId="2266" xr:uid="{00000000-0005-0000-0000-000063140000}"/>
    <cellStyle name="Normal 16 6 2" xfId="9310" xr:uid="{00000000-0005-0000-0000-000064140000}"/>
    <cellStyle name="Normal 16 6 3" xfId="7707" xr:uid="{00000000-0005-0000-0000-000065140000}"/>
    <cellStyle name="Normal 16 6 4" xfId="10920" xr:uid="{00000000-0005-0000-0000-000066140000}"/>
    <cellStyle name="Normal 16 6 5" xfId="12527" xr:uid="{00000000-0005-0000-0000-000067140000}"/>
    <cellStyle name="Normal 16 7" xfId="2267" xr:uid="{00000000-0005-0000-0000-000068140000}"/>
    <cellStyle name="Normal 16 7 2" xfId="9311" xr:uid="{00000000-0005-0000-0000-000069140000}"/>
    <cellStyle name="Normal 16 7 3" xfId="7708" xr:uid="{00000000-0005-0000-0000-00006A140000}"/>
    <cellStyle name="Normal 16 7 4" xfId="10921" xr:uid="{00000000-0005-0000-0000-00006B140000}"/>
    <cellStyle name="Normal 16 7 5" xfId="12528" xr:uid="{00000000-0005-0000-0000-00006C140000}"/>
    <cellStyle name="Normal 16 8" xfId="2252" xr:uid="{00000000-0005-0000-0000-00006D140000}"/>
    <cellStyle name="Normal 16 8 2" xfId="9296" xr:uid="{00000000-0005-0000-0000-00006E140000}"/>
    <cellStyle name="Normal 16 8 3" xfId="10906" xr:uid="{00000000-0005-0000-0000-00006F140000}"/>
    <cellStyle name="Normal 16 9" xfId="7693" xr:uid="{00000000-0005-0000-0000-000070140000}"/>
    <cellStyle name="Normal 160" xfId="7407" xr:uid="{00000000-0005-0000-0000-000071140000}"/>
    <cellStyle name="Normal 160 2" xfId="10440" xr:uid="{00000000-0005-0000-0000-000072140000}"/>
    <cellStyle name="Normal 161" xfId="7404" xr:uid="{00000000-0005-0000-0000-000073140000}"/>
    <cellStyle name="Normal 161 2" xfId="10449" xr:uid="{00000000-0005-0000-0000-000074140000}"/>
    <cellStyle name="Normal 162" xfId="10451" xr:uid="{00000000-0005-0000-0000-000075140000}"/>
    <cellStyle name="Normal 163" xfId="10469" xr:uid="{00000000-0005-0000-0000-000076140000}"/>
    <cellStyle name="Normal 164" xfId="10470" xr:uid="{00000000-0005-0000-0000-000077140000}"/>
    <cellStyle name="Normal 165" xfId="10454" xr:uid="{00000000-0005-0000-0000-000078140000}"/>
    <cellStyle name="Normal 166" xfId="10450" xr:uid="{00000000-0005-0000-0000-000079140000}"/>
    <cellStyle name="Normal 167" xfId="10471" xr:uid="{00000000-0005-0000-0000-00007A140000}"/>
    <cellStyle name="Normal 168" xfId="10472" xr:uid="{00000000-0005-0000-0000-00007B140000}"/>
    <cellStyle name="Normal 169" xfId="10473" xr:uid="{00000000-0005-0000-0000-00007C140000}"/>
    <cellStyle name="Normal 17" xfId="151" xr:uid="{00000000-0005-0000-0000-00007D140000}"/>
    <cellStyle name="Normal 17 2" xfId="2269" xr:uid="{00000000-0005-0000-0000-00007E140000}"/>
    <cellStyle name="Normal 17 2 10" xfId="7709" xr:uid="{00000000-0005-0000-0000-00007F140000}"/>
    <cellStyle name="Normal 17 2 11" xfId="10922" xr:uid="{00000000-0005-0000-0000-000080140000}"/>
    <cellStyle name="Normal 17 2 12" xfId="12529" xr:uid="{00000000-0005-0000-0000-000081140000}"/>
    <cellStyle name="Normal 17 2 2" xfId="2270" xr:uid="{00000000-0005-0000-0000-000082140000}"/>
    <cellStyle name="Normal 17 2 2 2" xfId="2271" xr:uid="{00000000-0005-0000-0000-000083140000}"/>
    <cellStyle name="Normal 17 2 2 2 2" xfId="2272" xr:uid="{00000000-0005-0000-0000-000084140000}"/>
    <cellStyle name="Normal 17 2 2 2 2 2" xfId="2273" xr:uid="{00000000-0005-0000-0000-000085140000}"/>
    <cellStyle name="Normal 17 2 2 2 2 2 2" xfId="9314" xr:uid="{00000000-0005-0000-0000-000086140000}"/>
    <cellStyle name="Normal 17 2 2 2 2 2 3" xfId="7711" xr:uid="{00000000-0005-0000-0000-000087140000}"/>
    <cellStyle name="Normal 17 2 2 2 2 2 4" xfId="10924" xr:uid="{00000000-0005-0000-0000-000088140000}"/>
    <cellStyle name="Normal 17 2 2 2 2 2 5" xfId="12531" xr:uid="{00000000-0005-0000-0000-000089140000}"/>
    <cellStyle name="Normal 17 2 2 2 2 3" xfId="2274" xr:uid="{00000000-0005-0000-0000-00008A140000}"/>
    <cellStyle name="Normal 17 2 2 2 2 3 2" xfId="9315" xr:uid="{00000000-0005-0000-0000-00008B140000}"/>
    <cellStyle name="Normal 17 2 2 2 2 3 3" xfId="7712" xr:uid="{00000000-0005-0000-0000-00008C140000}"/>
    <cellStyle name="Normal 17 2 2 2 2 3 4" xfId="10925" xr:uid="{00000000-0005-0000-0000-00008D140000}"/>
    <cellStyle name="Normal 17 2 2 2 2 3 5" xfId="12532" xr:uid="{00000000-0005-0000-0000-00008E140000}"/>
    <cellStyle name="Normal 17 2 2 2 2 4" xfId="2275" xr:uid="{00000000-0005-0000-0000-00008F140000}"/>
    <cellStyle name="Normal 17 2 2 2 2 4 2" xfId="9316" xr:uid="{00000000-0005-0000-0000-000090140000}"/>
    <cellStyle name="Normal 17 2 2 2 2 4 3" xfId="7713" xr:uid="{00000000-0005-0000-0000-000091140000}"/>
    <cellStyle name="Normal 17 2 2 2 2 4 4" xfId="10926" xr:uid="{00000000-0005-0000-0000-000092140000}"/>
    <cellStyle name="Normal 17 2 2 2 2 4 5" xfId="12533" xr:uid="{00000000-0005-0000-0000-000093140000}"/>
    <cellStyle name="Normal 17 2 2 2 3" xfId="2276" xr:uid="{00000000-0005-0000-0000-000094140000}"/>
    <cellStyle name="Normal 17 2 2 2 4" xfId="2277" xr:uid="{00000000-0005-0000-0000-000095140000}"/>
    <cellStyle name="Normal 17 2 2 2 5" xfId="9313" xr:uid="{00000000-0005-0000-0000-000096140000}"/>
    <cellStyle name="Normal 17 2 2 2 6" xfId="7710" xr:uid="{00000000-0005-0000-0000-000097140000}"/>
    <cellStyle name="Normal 17 2 2 2 7" xfId="10923" xr:uid="{00000000-0005-0000-0000-000098140000}"/>
    <cellStyle name="Normal 17 2 2 2 8" xfId="12530" xr:uid="{00000000-0005-0000-0000-000099140000}"/>
    <cellStyle name="Normal 17 2 2 3" xfId="2278" xr:uid="{00000000-0005-0000-0000-00009A140000}"/>
    <cellStyle name="Normal 17 2 2 3 2" xfId="2279" xr:uid="{00000000-0005-0000-0000-00009B140000}"/>
    <cellStyle name="Normal 17 2 2 3 2 2" xfId="9318" xr:uid="{00000000-0005-0000-0000-00009C140000}"/>
    <cellStyle name="Normal 17 2 2 3 2 3" xfId="7715" xr:uid="{00000000-0005-0000-0000-00009D140000}"/>
    <cellStyle name="Normal 17 2 2 3 2 4" xfId="10928" xr:uid="{00000000-0005-0000-0000-00009E140000}"/>
    <cellStyle name="Normal 17 2 2 3 2 5" xfId="12535" xr:uid="{00000000-0005-0000-0000-00009F140000}"/>
    <cellStyle name="Normal 17 2 2 3 3" xfId="2280" xr:uid="{00000000-0005-0000-0000-0000A0140000}"/>
    <cellStyle name="Normal 17 2 2 3 3 2" xfId="9319" xr:uid="{00000000-0005-0000-0000-0000A1140000}"/>
    <cellStyle name="Normal 17 2 2 3 3 3" xfId="7716" xr:uid="{00000000-0005-0000-0000-0000A2140000}"/>
    <cellStyle name="Normal 17 2 2 3 3 4" xfId="10929" xr:uid="{00000000-0005-0000-0000-0000A3140000}"/>
    <cellStyle name="Normal 17 2 2 3 3 5" xfId="12536" xr:uid="{00000000-0005-0000-0000-0000A4140000}"/>
    <cellStyle name="Normal 17 2 2 3 4" xfId="2281" xr:uid="{00000000-0005-0000-0000-0000A5140000}"/>
    <cellStyle name="Normal 17 2 2 3 4 2" xfId="9320" xr:uid="{00000000-0005-0000-0000-0000A6140000}"/>
    <cellStyle name="Normal 17 2 2 3 4 3" xfId="7717" xr:uid="{00000000-0005-0000-0000-0000A7140000}"/>
    <cellStyle name="Normal 17 2 2 3 4 4" xfId="10930" xr:uid="{00000000-0005-0000-0000-0000A8140000}"/>
    <cellStyle name="Normal 17 2 2 3 4 5" xfId="12537" xr:uid="{00000000-0005-0000-0000-0000A9140000}"/>
    <cellStyle name="Normal 17 2 2 3 5" xfId="9317" xr:uid="{00000000-0005-0000-0000-0000AA140000}"/>
    <cellStyle name="Normal 17 2 2 3 6" xfId="7714" xr:uid="{00000000-0005-0000-0000-0000AB140000}"/>
    <cellStyle name="Normal 17 2 2 3 7" xfId="10927" xr:uid="{00000000-0005-0000-0000-0000AC140000}"/>
    <cellStyle name="Normal 17 2 2 3 8" xfId="12534" xr:uid="{00000000-0005-0000-0000-0000AD140000}"/>
    <cellStyle name="Normal 17 2 2 4" xfId="2282" xr:uid="{00000000-0005-0000-0000-0000AE140000}"/>
    <cellStyle name="Normal 17 2 2 4 2" xfId="2283" xr:uid="{00000000-0005-0000-0000-0000AF140000}"/>
    <cellStyle name="Normal 17 2 2 4 2 2" xfId="9322" xr:uid="{00000000-0005-0000-0000-0000B0140000}"/>
    <cellStyle name="Normal 17 2 2 4 2 3" xfId="7719" xr:uid="{00000000-0005-0000-0000-0000B1140000}"/>
    <cellStyle name="Normal 17 2 2 4 2 4" xfId="10932" xr:uid="{00000000-0005-0000-0000-0000B2140000}"/>
    <cellStyle name="Normal 17 2 2 4 2 5" xfId="12539" xr:uid="{00000000-0005-0000-0000-0000B3140000}"/>
    <cellStyle name="Normal 17 2 2 4 3" xfId="2284" xr:uid="{00000000-0005-0000-0000-0000B4140000}"/>
    <cellStyle name="Normal 17 2 2 4 3 2" xfId="9323" xr:uid="{00000000-0005-0000-0000-0000B5140000}"/>
    <cellStyle name="Normal 17 2 2 4 3 3" xfId="7720" xr:uid="{00000000-0005-0000-0000-0000B6140000}"/>
    <cellStyle name="Normal 17 2 2 4 3 4" xfId="10933" xr:uid="{00000000-0005-0000-0000-0000B7140000}"/>
    <cellStyle name="Normal 17 2 2 4 3 5" xfId="12540" xr:uid="{00000000-0005-0000-0000-0000B8140000}"/>
    <cellStyle name="Normal 17 2 2 4 4" xfId="2285" xr:uid="{00000000-0005-0000-0000-0000B9140000}"/>
    <cellStyle name="Normal 17 2 2 4 4 2" xfId="9324" xr:uid="{00000000-0005-0000-0000-0000BA140000}"/>
    <cellStyle name="Normal 17 2 2 4 4 3" xfId="7721" xr:uid="{00000000-0005-0000-0000-0000BB140000}"/>
    <cellStyle name="Normal 17 2 2 4 4 4" xfId="10934" xr:uid="{00000000-0005-0000-0000-0000BC140000}"/>
    <cellStyle name="Normal 17 2 2 4 4 5" xfId="12541" xr:uid="{00000000-0005-0000-0000-0000BD140000}"/>
    <cellStyle name="Normal 17 2 2 4 5" xfId="9321" xr:uid="{00000000-0005-0000-0000-0000BE140000}"/>
    <cellStyle name="Normal 17 2 2 4 6" xfId="7718" xr:uid="{00000000-0005-0000-0000-0000BF140000}"/>
    <cellStyle name="Normal 17 2 2 4 7" xfId="10931" xr:uid="{00000000-0005-0000-0000-0000C0140000}"/>
    <cellStyle name="Normal 17 2 2 4 8" xfId="12538" xr:uid="{00000000-0005-0000-0000-0000C1140000}"/>
    <cellStyle name="Normal 17 2 2 5" xfId="2286" xr:uid="{00000000-0005-0000-0000-0000C2140000}"/>
    <cellStyle name="Normal 17 2 2 5 2" xfId="9325" xr:uid="{00000000-0005-0000-0000-0000C3140000}"/>
    <cellStyle name="Normal 17 2 2 5 3" xfId="7722" xr:uid="{00000000-0005-0000-0000-0000C4140000}"/>
    <cellStyle name="Normal 17 2 2 5 4" xfId="10935" xr:uid="{00000000-0005-0000-0000-0000C5140000}"/>
    <cellStyle name="Normal 17 2 2 5 5" xfId="12542" xr:uid="{00000000-0005-0000-0000-0000C6140000}"/>
    <cellStyle name="Normal 17 2 2 6" xfId="2287" xr:uid="{00000000-0005-0000-0000-0000C7140000}"/>
    <cellStyle name="Normal 17 2 2 6 2" xfId="9326" xr:uid="{00000000-0005-0000-0000-0000C8140000}"/>
    <cellStyle name="Normal 17 2 2 6 3" xfId="7723" xr:uid="{00000000-0005-0000-0000-0000C9140000}"/>
    <cellStyle name="Normal 17 2 2 6 4" xfId="10936" xr:uid="{00000000-0005-0000-0000-0000CA140000}"/>
    <cellStyle name="Normal 17 2 2 6 5" xfId="12543" xr:uid="{00000000-0005-0000-0000-0000CB140000}"/>
    <cellStyle name="Normal 17 2 2 7" xfId="2288" xr:uid="{00000000-0005-0000-0000-0000CC140000}"/>
    <cellStyle name="Normal 17 2 2 7 2" xfId="9327" xr:uid="{00000000-0005-0000-0000-0000CD140000}"/>
    <cellStyle name="Normal 17 2 2 7 3" xfId="7724" xr:uid="{00000000-0005-0000-0000-0000CE140000}"/>
    <cellStyle name="Normal 17 2 2 7 4" xfId="10937" xr:uid="{00000000-0005-0000-0000-0000CF140000}"/>
    <cellStyle name="Normal 17 2 2 7 5" xfId="12544" xr:uid="{00000000-0005-0000-0000-0000D0140000}"/>
    <cellStyle name="Normal 17 2 3" xfId="2289" xr:uid="{00000000-0005-0000-0000-0000D1140000}"/>
    <cellStyle name="Normal 17 2 3 2" xfId="2290" xr:uid="{00000000-0005-0000-0000-0000D2140000}"/>
    <cellStyle name="Normal 17 2 3 2 2" xfId="9329" xr:uid="{00000000-0005-0000-0000-0000D3140000}"/>
    <cellStyle name="Normal 17 2 3 2 3" xfId="7726" xr:uid="{00000000-0005-0000-0000-0000D4140000}"/>
    <cellStyle name="Normal 17 2 3 2 4" xfId="10939" xr:uid="{00000000-0005-0000-0000-0000D5140000}"/>
    <cellStyle name="Normal 17 2 3 2 5" xfId="12546" xr:uid="{00000000-0005-0000-0000-0000D6140000}"/>
    <cellStyle name="Normal 17 2 3 3" xfId="2291" xr:uid="{00000000-0005-0000-0000-0000D7140000}"/>
    <cellStyle name="Normal 17 2 3 3 2" xfId="9330" xr:uid="{00000000-0005-0000-0000-0000D8140000}"/>
    <cellStyle name="Normal 17 2 3 3 3" xfId="7727" xr:uid="{00000000-0005-0000-0000-0000D9140000}"/>
    <cellStyle name="Normal 17 2 3 3 4" xfId="10940" xr:uid="{00000000-0005-0000-0000-0000DA140000}"/>
    <cellStyle name="Normal 17 2 3 3 5" xfId="12547" xr:uid="{00000000-0005-0000-0000-0000DB140000}"/>
    <cellStyle name="Normal 17 2 3 4" xfId="2292" xr:uid="{00000000-0005-0000-0000-0000DC140000}"/>
    <cellStyle name="Normal 17 2 3 4 2" xfId="9331" xr:uid="{00000000-0005-0000-0000-0000DD140000}"/>
    <cellStyle name="Normal 17 2 3 4 3" xfId="7728" xr:uid="{00000000-0005-0000-0000-0000DE140000}"/>
    <cellStyle name="Normal 17 2 3 4 4" xfId="10941" xr:uid="{00000000-0005-0000-0000-0000DF140000}"/>
    <cellStyle name="Normal 17 2 3 4 5" xfId="12548" xr:uid="{00000000-0005-0000-0000-0000E0140000}"/>
    <cellStyle name="Normal 17 2 3 5" xfId="9328" xr:uid="{00000000-0005-0000-0000-0000E1140000}"/>
    <cellStyle name="Normal 17 2 3 6" xfId="7725" xr:uid="{00000000-0005-0000-0000-0000E2140000}"/>
    <cellStyle name="Normal 17 2 3 7" xfId="10938" xr:uid="{00000000-0005-0000-0000-0000E3140000}"/>
    <cellStyle name="Normal 17 2 3 8" xfId="12545" xr:uid="{00000000-0005-0000-0000-0000E4140000}"/>
    <cellStyle name="Normal 17 2 4" xfId="2293" xr:uid="{00000000-0005-0000-0000-0000E5140000}"/>
    <cellStyle name="Normal 17 2 5" xfId="2294" xr:uid="{00000000-0005-0000-0000-0000E6140000}"/>
    <cellStyle name="Normal 17 2 6" xfId="2295" xr:uid="{00000000-0005-0000-0000-0000E7140000}"/>
    <cellStyle name="Normal 17 2 6 2" xfId="9332" xr:uid="{00000000-0005-0000-0000-0000E8140000}"/>
    <cellStyle name="Normal 17 2 6 3" xfId="7729" xr:uid="{00000000-0005-0000-0000-0000E9140000}"/>
    <cellStyle name="Normal 17 2 6 4" xfId="10942" xr:uid="{00000000-0005-0000-0000-0000EA140000}"/>
    <cellStyle name="Normal 17 2 6 5" xfId="12549" xr:uid="{00000000-0005-0000-0000-0000EB140000}"/>
    <cellStyle name="Normal 17 2 7" xfId="2296" xr:uid="{00000000-0005-0000-0000-0000EC140000}"/>
    <cellStyle name="Normal 17 2 7 2" xfId="9333" xr:uid="{00000000-0005-0000-0000-0000ED140000}"/>
    <cellStyle name="Normal 17 2 7 3" xfId="7730" xr:uid="{00000000-0005-0000-0000-0000EE140000}"/>
    <cellStyle name="Normal 17 2 7 4" xfId="10943" xr:uid="{00000000-0005-0000-0000-0000EF140000}"/>
    <cellStyle name="Normal 17 2 7 5" xfId="12550" xr:uid="{00000000-0005-0000-0000-0000F0140000}"/>
    <cellStyle name="Normal 17 2 8" xfId="2297" xr:uid="{00000000-0005-0000-0000-0000F1140000}"/>
    <cellStyle name="Normal 17 2 8 2" xfId="9334" xr:uid="{00000000-0005-0000-0000-0000F2140000}"/>
    <cellStyle name="Normal 17 2 8 3" xfId="7731" xr:uid="{00000000-0005-0000-0000-0000F3140000}"/>
    <cellStyle name="Normal 17 2 8 4" xfId="10944" xr:uid="{00000000-0005-0000-0000-0000F4140000}"/>
    <cellStyle name="Normal 17 2 8 5" xfId="12551" xr:uid="{00000000-0005-0000-0000-0000F5140000}"/>
    <cellStyle name="Normal 17 2 9" xfId="9312" xr:uid="{00000000-0005-0000-0000-0000F6140000}"/>
    <cellStyle name="Normal 17 3" xfId="2298" xr:uid="{00000000-0005-0000-0000-0000F7140000}"/>
    <cellStyle name="Normal 17 4" xfId="2299" xr:uid="{00000000-0005-0000-0000-0000F8140000}"/>
    <cellStyle name="Normal 17 5" xfId="2268" xr:uid="{00000000-0005-0000-0000-0000F9140000}"/>
    <cellStyle name="Normal 17 6" xfId="10631" xr:uid="{00000000-0005-0000-0000-0000FA140000}"/>
    <cellStyle name="Normal 170" xfId="10474" xr:uid="{00000000-0005-0000-0000-0000FB140000}"/>
    <cellStyle name="Normal 171" xfId="10475" xr:uid="{00000000-0005-0000-0000-0000FC140000}"/>
    <cellStyle name="Normal 172" xfId="10476" xr:uid="{00000000-0005-0000-0000-0000FD140000}"/>
    <cellStyle name="Normal 173" xfId="10477" xr:uid="{00000000-0005-0000-0000-0000FE140000}"/>
    <cellStyle name="Normal 174" xfId="10478" xr:uid="{00000000-0005-0000-0000-0000FF140000}"/>
    <cellStyle name="Normal 175" xfId="10479" xr:uid="{00000000-0005-0000-0000-000000150000}"/>
    <cellStyle name="Normal 176" xfId="10480" xr:uid="{00000000-0005-0000-0000-000001150000}"/>
    <cellStyle name="Normal 177" xfId="10481" xr:uid="{00000000-0005-0000-0000-000002150000}"/>
    <cellStyle name="Normal 178" xfId="10482" xr:uid="{00000000-0005-0000-0000-000003150000}"/>
    <cellStyle name="Normal 179" xfId="10483" xr:uid="{00000000-0005-0000-0000-000004150000}"/>
    <cellStyle name="Normal 18" xfId="152" xr:uid="{00000000-0005-0000-0000-000005150000}"/>
    <cellStyle name="Normal 18 2" xfId="2301" xr:uid="{00000000-0005-0000-0000-000006150000}"/>
    <cellStyle name="Normal 18 2 10" xfId="7732" xr:uid="{00000000-0005-0000-0000-000007150000}"/>
    <cellStyle name="Normal 18 2 11" xfId="10945" xr:uid="{00000000-0005-0000-0000-000008150000}"/>
    <cellStyle name="Normal 18 2 12" xfId="12552" xr:uid="{00000000-0005-0000-0000-000009150000}"/>
    <cellStyle name="Normal 18 2 2" xfId="2302" xr:uid="{00000000-0005-0000-0000-00000A150000}"/>
    <cellStyle name="Normal 18 2 2 2" xfId="2303" xr:uid="{00000000-0005-0000-0000-00000B150000}"/>
    <cellStyle name="Normal 18 2 2 2 2" xfId="2304" xr:uid="{00000000-0005-0000-0000-00000C150000}"/>
    <cellStyle name="Normal 18 2 2 2 2 2" xfId="2305" xr:uid="{00000000-0005-0000-0000-00000D150000}"/>
    <cellStyle name="Normal 18 2 2 2 2 2 2" xfId="9337" xr:uid="{00000000-0005-0000-0000-00000E150000}"/>
    <cellStyle name="Normal 18 2 2 2 2 2 3" xfId="7734" xr:uid="{00000000-0005-0000-0000-00000F150000}"/>
    <cellStyle name="Normal 18 2 2 2 2 2 4" xfId="10947" xr:uid="{00000000-0005-0000-0000-000010150000}"/>
    <cellStyle name="Normal 18 2 2 2 2 2 5" xfId="12554" xr:uid="{00000000-0005-0000-0000-000011150000}"/>
    <cellStyle name="Normal 18 2 2 2 2 3" xfId="2306" xr:uid="{00000000-0005-0000-0000-000012150000}"/>
    <cellStyle name="Normal 18 2 2 2 2 3 2" xfId="9338" xr:uid="{00000000-0005-0000-0000-000013150000}"/>
    <cellStyle name="Normal 18 2 2 2 2 3 3" xfId="7735" xr:uid="{00000000-0005-0000-0000-000014150000}"/>
    <cellStyle name="Normal 18 2 2 2 2 3 4" xfId="10948" xr:uid="{00000000-0005-0000-0000-000015150000}"/>
    <cellStyle name="Normal 18 2 2 2 2 3 5" xfId="12555" xr:uid="{00000000-0005-0000-0000-000016150000}"/>
    <cellStyle name="Normal 18 2 2 2 2 4" xfId="2307" xr:uid="{00000000-0005-0000-0000-000017150000}"/>
    <cellStyle name="Normal 18 2 2 2 2 4 2" xfId="9339" xr:uid="{00000000-0005-0000-0000-000018150000}"/>
    <cellStyle name="Normal 18 2 2 2 2 4 3" xfId="7736" xr:uid="{00000000-0005-0000-0000-000019150000}"/>
    <cellStyle name="Normal 18 2 2 2 2 4 4" xfId="10949" xr:uid="{00000000-0005-0000-0000-00001A150000}"/>
    <cellStyle name="Normal 18 2 2 2 2 4 5" xfId="12556" xr:uid="{00000000-0005-0000-0000-00001B150000}"/>
    <cellStyle name="Normal 18 2 2 2 3" xfId="2308" xr:uid="{00000000-0005-0000-0000-00001C150000}"/>
    <cellStyle name="Normal 18 2 2 2 4" xfId="2309" xr:uid="{00000000-0005-0000-0000-00001D150000}"/>
    <cellStyle name="Normal 18 2 2 2 5" xfId="9336" xr:uid="{00000000-0005-0000-0000-00001E150000}"/>
    <cellStyle name="Normal 18 2 2 2 6" xfId="7733" xr:uid="{00000000-0005-0000-0000-00001F150000}"/>
    <cellStyle name="Normal 18 2 2 2 7" xfId="10946" xr:uid="{00000000-0005-0000-0000-000020150000}"/>
    <cellStyle name="Normal 18 2 2 2 8" xfId="12553" xr:uid="{00000000-0005-0000-0000-000021150000}"/>
    <cellStyle name="Normal 18 2 2 3" xfId="2310" xr:uid="{00000000-0005-0000-0000-000022150000}"/>
    <cellStyle name="Normal 18 2 2 3 2" xfId="2311" xr:uid="{00000000-0005-0000-0000-000023150000}"/>
    <cellStyle name="Normal 18 2 2 3 2 2" xfId="9341" xr:uid="{00000000-0005-0000-0000-000024150000}"/>
    <cellStyle name="Normal 18 2 2 3 2 3" xfId="7738" xr:uid="{00000000-0005-0000-0000-000025150000}"/>
    <cellStyle name="Normal 18 2 2 3 2 4" xfId="10951" xr:uid="{00000000-0005-0000-0000-000026150000}"/>
    <cellStyle name="Normal 18 2 2 3 2 5" xfId="12558" xr:uid="{00000000-0005-0000-0000-000027150000}"/>
    <cellStyle name="Normal 18 2 2 3 3" xfId="2312" xr:uid="{00000000-0005-0000-0000-000028150000}"/>
    <cellStyle name="Normal 18 2 2 3 3 2" xfId="9342" xr:uid="{00000000-0005-0000-0000-000029150000}"/>
    <cellStyle name="Normal 18 2 2 3 3 3" xfId="7739" xr:uid="{00000000-0005-0000-0000-00002A150000}"/>
    <cellStyle name="Normal 18 2 2 3 3 4" xfId="10952" xr:uid="{00000000-0005-0000-0000-00002B150000}"/>
    <cellStyle name="Normal 18 2 2 3 3 5" xfId="12559" xr:uid="{00000000-0005-0000-0000-00002C150000}"/>
    <cellStyle name="Normal 18 2 2 3 4" xfId="2313" xr:uid="{00000000-0005-0000-0000-00002D150000}"/>
    <cellStyle name="Normal 18 2 2 3 4 2" xfId="9343" xr:uid="{00000000-0005-0000-0000-00002E150000}"/>
    <cellStyle name="Normal 18 2 2 3 4 3" xfId="7740" xr:uid="{00000000-0005-0000-0000-00002F150000}"/>
    <cellStyle name="Normal 18 2 2 3 4 4" xfId="10953" xr:uid="{00000000-0005-0000-0000-000030150000}"/>
    <cellStyle name="Normal 18 2 2 3 4 5" xfId="12560" xr:uid="{00000000-0005-0000-0000-000031150000}"/>
    <cellStyle name="Normal 18 2 2 3 5" xfId="9340" xr:uid="{00000000-0005-0000-0000-000032150000}"/>
    <cellStyle name="Normal 18 2 2 3 6" xfId="7737" xr:uid="{00000000-0005-0000-0000-000033150000}"/>
    <cellStyle name="Normal 18 2 2 3 7" xfId="10950" xr:uid="{00000000-0005-0000-0000-000034150000}"/>
    <cellStyle name="Normal 18 2 2 3 8" xfId="12557" xr:uid="{00000000-0005-0000-0000-000035150000}"/>
    <cellStyle name="Normal 18 2 2 4" xfId="2314" xr:uid="{00000000-0005-0000-0000-000036150000}"/>
    <cellStyle name="Normal 18 2 2 4 2" xfId="2315" xr:uid="{00000000-0005-0000-0000-000037150000}"/>
    <cellStyle name="Normal 18 2 2 4 2 2" xfId="9345" xr:uid="{00000000-0005-0000-0000-000038150000}"/>
    <cellStyle name="Normal 18 2 2 4 2 3" xfId="7742" xr:uid="{00000000-0005-0000-0000-000039150000}"/>
    <cellStyle name="Normal 18 2 2 4 2 4" xfId="10955" xr:uid="{00000000-0005-0000-0000-00003A150000}"/>
    <cellStyle name="Normal 18 2 2 4 2 5" xfId="12562" xr:uid="{00000000-0005-0000-0000-00003B150000}"/>
    <cellStyle name="Normal 18 2 2 4 3" xfId="2316" xr:uid="{00000000-0005-0000-0000-00003C150000}"/>
    <cellStyle name="Normal 18 2 2 4 3 2" xfId="9346" xr:uid="{00000000-0005-0000-0000-00003D150000}"/>
    <cellStyle name="Normal 18 2 2 4 3 3" xfId="7743" xr:uid="{00000000-0005-0000-0000-00003E150000}"/>
    <cellStyle name="Normal 18 2 2 4 3 4" xfId="10956" xr:uid="{00000000-0005-0000-0000-00003F150000}"/>
    <cellStyle name="Normal 18 2 2 4 3 5" xfId="12563" xr:uid="{00000000-0005-0000-0000-000040150000}"/>
    <cellStyle name="Normal 18 2 2 4 4" xfId="2317" xr:uid="{00000000-0005-0000-0000-000041150000}"/>
    <cellStyle name="Normal 18 2 2 4 4 2" xfId="9347" xr:uid="{00000000-0005-0000-0000-000042150000}"/>
    <cellStyle name="Normal 18 2 2 4 4 3" xfId="7744" xr:uid="{00000000-0005-0000-0000-000043150000}"/>
    <cellStyle name="Normal 18 2 2 4 4 4" xfId="10957" xr:uid="{00000000-0005-0000-0000-000044150000}"/>
    <cellStyle name="Normal 18 2 2 4 4 5" xfId="12564" xr:uid="{00000000-0005-0000-0000-000045150000}"/>
    <cellStyle name="Normal 18 2 2 4 5" xfId="9344" xr:uid="{00000000-0005-0000-0000-000046150000}"/>
    <cellStyle name="Normal 18 2 2 4 6" xfId="7741" xr:uid="{00000000-0005-0000-0000-000047150000}"/>
    <cellStyle name="Normal 18 2 2 4 7" xfId="10954" xr:uid="{00000000-0005-0000-0000-000048150000}"/>
    <cellStyle name="Normal 18 2 2 4 8" xfId="12561" xr:uid="{00000000-0005-0000-0000-000049150000}"/>
    <cellStyle name="Normal 18 2 2 5" xfId="2318" xr:uid="{00000000-0005-0000-0000-00004A150000}"/>
    <cellStyle name="Normal 18 2 2 5 2" xfId="9348" xr:uid="{00000000-0005-0000-0000-00004B150000}"/>
    <cellStyle name="Normal 18 2 2 5 3" xfId="7745" xr:uid="{00000000-0005-0000-0000-00004C150000}"/>
    <cellStyle name="Normal 18 2 2 5 4" xfId="10958" xr:uid="{00000000-0005-0000-0000-00004D150000}"/>
    <cellStyle name="Normal 18 2 2 5 5" xfId="12565" xr:uid="{00000000-0005-0000-0000-00004E150000}"/>
    <cellStyle name="Normal 18 2 2 6" xfId="2319" xr:uid="{00000000-0005-0000-0000-00004F150000}"/>
    <cellStyle name="Normal 18 2 2 6 2" xfId="9349" xr:uid="{00000000-0005-0000-0000-000050150000}"/>
    <cellStyle name="Normal 18 2 2 6 3" xfId="7746" xr:uid="{00000000-0005-0000-0000-000051150000}"/>
    <cellStyle name="Normal 18 2 2 6 4" xfId="10959" xr:uid="{00000000-0005-0000-0000-000052150000}"/>
    <cellStyle name="Normal 18 2 2 6 5" xfId="12566" xr:uid="{00000000-0005-0000-0000-000053150000}"/>
    <cellStyle name="Normal 18 2 2 7" xfId="2320" xr:uid="{00000000-0005-0000-0000-000054150000}"/>
    <cellStyle name="Normal 18 2 2 7 2" xfId="9350" xr:uid="{00000000-0005-0000-0000-000055150000}"/>
    <cellStyle name="Normal 18 2 2 7 3" xfId="7747" xr:uid="{00000000-0005-0000-0000-000056150000}"/>
    <cellStyle name="Normal 18 2 2 7 4" xfId="10960" xr:uid="{00000000-0005-0000-0000-000057150000}"/>
    <cellStyle name="Normal 18 2 2 7 5" xfId="12567" xr:uid="{00000000-0005-0000-0000-000058150000}"/>
    <cellStyle name="Normal 18 2 3" xfId="2321" xr:uid="{00000000-0005-0000-0000-000059150000}"/>
    <cellStyle name="Normal 18 2 3 2" xfId="2322" xr:uid="{00000000-0005-0000-0000-00005A150000}"/>
    <cellStyle name="Normal 18 2 3 2 2" xfId="9352" xr:uid="{00000000-0005-0000-0000-00005B150000}"/>
    <cellStyle name="Normal 18 2 3 2 3" xfId="7749" xr:uid="{00000000-0005-0000-0000-00005C150000}"/>
    <cellStyle name="Normal 18 2 3 2 4" xfId="10962" xr:uid="{00000000-0005-0000-0000-00005D150000}"/>
    <cellStyle name="Normal 18 2 3 2 5" xfId="12569" xr:uid="{00000000-0005-0000-0000-00005E150000}"/>
    <cellStyle name="Normal 18 2 3 3" xfId="2323" xr:uid="{00000000-0005-0000-0000-00005F150000}"/>
    <cellStyle name="Normal 18 2 3 3 2" xfId="9353" xr:uid="{00000000-0005-0000-0000-000060150000}"/>
    <cellStyle name="Normal 18 2 3 3 3" xfId="7750" xr:uid="{00000000-0005-0000-0000-000061150000}"/>
    <cellStyle name="Normal 18 2 3 3 4" xfId="10963" xr:uid="{00000000-0005-0000-0000-000062150000}"/>
    <cellStyle name="Normal 18 2 3 3 5" xfId="12570" xr:uid="{00000000-0005-0000-0000-000063150000}"/>
    <cellStyle name="Normal 18 2 3 4" xfId="2324" xr:uid="{00000000-0005-0000-0000-000064150000}"/>
    <cellStyle name="Normal 18 2 3 4 2" xfId="9354" xr:uid="{00000000-0005-0000-0000-000065150000}"/>
    <cellStyle name="Normal 18 2 3 4 3" xfId="7751" xr:uid="{00000000-0005-0000-0000-000066150000}"/>
    <cellStyle name="Normal 18 2 3 4 4" xfId="10964" xr:uid="{00000000-0005-0000-0000-000067150000}"/>
    <cellStyle name="Normal 18 2 3 4 5" xfId="12571" xr:uid="{00000000-0005-0000-0000-000068150000}"/>
    <cellStyle name="Normal 18 2 3 5" xfId="9351" xr:uid="{00000000-0005-0000-0000-000069150000}"/>
    <cellStyle name="Normal 18 2 3 6" xfId="7748" xr:uid="{00000000-0005-0000-0000-00006A150000}"/>
    <cellStyle name="Normal 18 2 3 7" xfId="10961" xr:uid="{00000000-0005-0000-0000-00006B150000}"/>
    <cellStyle name="Normal 18 2 3 8" xfId="12568" xr:uid="{00000000-0005-0000-0000-00006C150000}"/>
    <cellStyle name="Normal 18 2 4" xfId="2325" xr:uid="{00000000-0005-0000-0000-00006D150000}"/>
    <cellStyle name="Normal 18 2 5" xfId="2326" xr:uid="{00000000-0005-0000-0000-00006E150000}"/>
    <cellStyle name="Normal 18 2 6" xfId="2327" xr:uid="{00000000-0005-0000-0000-00006F150000}"/>
    <cellStyle name="Normal 18 2 6 2" xfId="9355" xr:uid="{00000000-0005-0000-0000-000070150000}"/>
    <cellStyle name="Normal 18 2 6 3" xfId="7752" xr:uid="{00000000-0005-0000-0000-000071150000}"/>
    <cellStyle name="Normal 18 2 6 4" xfId="10965" xr:uid="{00000000-0005-0000-0000-000072150000}"/>
    <cellStyle name="Normal 18 2 6 5" xfId="12572" xr:uid="{00000000-0005-0000-0000-000073150000}"/>
    <cellStyle name="Normal 18 2 7" xfId="2328" xr:uid="{00000000-0005-0000-0000-000074150000}"/>
    <cellStyle name="Normal 18 2 7 2" xfId="9356" xr:uid="{00000000-0005-0000-0000-000075150000}"/>
    <cellStyle name="Normal 18 2 7 3" xfId="7753" xr:uid="{00000000-0005-0000-0000-000076150000}"/>
    <cellStyle name="Normal 18 2 7 4" xfId="10966" xr:uid="{00000000-0005-0000-0000-000077150000}"/>
    <cellStyle name="Normal 18 2 7 5" xfId="12573" xr:uid="{00000000-0005-0000-0000-000078150000}"/>
    <cellStyle name="Normal 18 2 8" xfId="2329" xr:uid="{00000000-0005-0000-0000-000079150000}"/>
    <cellStyle name="Normal 18 2 8 2" xfId="9357" xr:uid="{00000000-0005-0000-0000-00007A150000}"/>
    <cellStyle name="Normal 18 2 8 3" xfId="7754" xr:uid="{00000000-0005-0000-0000-00007B150000}"/>
    <cellStyle name="Normal 18 2 8 4" xfId="10967" xr:uid="{00000000-0005-0000-0000-00007C150000}"/>
    <cellStyle name="Normal 18 2 8 5" xfId="12574" xr:uid="{00000000-0005-0000-0000-00007D150000}"/>
    <cellStyle name="Normal 18 2 9" xfId="9335" xr:uid="{00000000-0005-0000-0000-00007E150000}"/>
    <cellStyle name="Normal 18 3" xfId="2330" xr:uid="{00000000-0005-0000-0000-00007F150000}"/>
    <cellStyle name="Normal 18 4" xfId="2331" xr:uid="{00000000-0005-0000-0000-000080150000}"/>
    <cellStyle name="Normal 18 5" xfId="2300" xr:uid="{00000000-0005-0000-0000-000081150000}"/>
    <cellStyle name="Normal 18 6" xfId="10632" xr:uid="{00000000-0005-0000-0000-000082150000}"/>
    <cellStyle name="Normal 180" xfId="7409" xr:uid="{00000000-0005-0000-0000-000083150000}"/>
    <cellStyle name="Normal 181" xfId="9023" xr:uid="{00000000-0005-0000-0000-000084150000}"/>
    <cellStyle name="Normal 182" xfId="9022" xr:uid="{00000000-0005-0000-0000-000085150000}"/>
    <cellStyle name="Normal 183" xfId="9019" xr:uid="{00000000-0005-0000-0000-000086150000}"/>
    <cellStyle name="Normal 184" xfId="10493" xr:uid="{00000000-0005-0000-0000-000087150000}"/>
    <cellStyle name="Normal 184 2" xfId="2332" xr:uid="{00000000-0005-0000-0000-000088150000}"/>
    <cellStyle name="Normal 184 2 2" xfId="2333" xr:uid="{00000000-0005-0000-0000-000089150000}"/>
    <cellStyle name="Normal 185" xfId="7439" xr:uid="{00000000-0005-0000-0000-00008A150000}"/>
    <cellStyle name="Normal 186" xfId="9018" xr:uid="{00000000-0005-0000-0000-00008B150000}"/>
    <cellStyle name="Normal 187" xfId="10488" xr:uid="{00000000-0005-0000-0000-00008C150000}"/>
    <cellStyle name="Normal 188" xfId="10497" xr:uid="{00000000-0005-0000-0000-00008D150000}"/>
    <cellStyle name="Normal 189" xfId="10492" xr:uid="{00000000-0005-0000-0000-00008E150000}"/>
    <cellStyle name="Normal 19" xfId="153" xr:uid="{00000000-0005-0000-0000-00008F150000}"/>
    <cellStyle name="Normal 19 2" xfId="2335" xr:uid="{00000000-0005-0000-0000-000090150000}"/>
    <cellStyle name="Normal 19 2 10" xfId="7755" xr:uid="{00000000-0005-0000-0000-000091150000}"/>
    <cellStyle name="Normal 19 2 11" xfId="10968" xr:uid="{00000000-0005-0000-0000-000092150000}"/>
    <cellStyle name="Normal 19 2 12" xfId="12575" xr:uid="{00000000-0005-0000-0000-000093150000}"/>
    <cellStyle name="Normal 19 2 2" xfId="2336" xr:uid="{00000000-0005-0000-0000-000094150000}"/>
    <cellStyle name="Normal 19 2 2 2" xfId="2337" xr:uid="{00000000-0005-0000-0000-000095150000}"/>
    <cellStyle name="Normal 19 2 2 2 2" xfId="2338" xr:uid="{00000000-0005-0000-0000-000096150000}"/>
    <cellStyle name="Normal 19 2 2 2 2 2" xfId="2339" xr:uid="{00000000-0005-0000-0000-000097150000}"/>
    <cellStyle name="Normal 19 2 2 2 2 2 2" xfId="9360" xr:uid="{00000000-0005-0000-0000-000098150000}"/>
    <cellStyle name="Normal 19 2 2 2 2 2 3" xfId="7757" xr:uid="{00000000-0005-0000-0000-000099150000}"/>
    <cellStyle name="Normal 19 2 2 2 2 2 4" xfId="10970" xr:uid="{00000000-0005-0000-0000-00009A150000}"/>
    <cellStyle name="Normal 19 2 2 2 2 2 5" xfId="12577" xr:uid="{00000000-0005-0000-0000-00009B150000}"/>
    <cellStyle name="Normal 19 2 2 2 2 3" xfId="2340" xr:uid="{00000000-0005-0000-0000-00009C150000}"/>
    <cellStyle name="Normal 19 2 2 2 2 3 2" xfId="9361" xr:uid="{00000000-0005-0000-0000-00009D150000}"/>
    <cellStyle name="Normal 19 2 2 2 2 3 3" xfId="7758" xr:uid="{00000000-0005-0000-0000-00009E150000}"/>
    <cellStyle name="Normal 19 2 2 2 2 3 4" xfId="10971" xr:uid="{00000000-0005-0000-0000-00009F150000}"/>
    <cellStyle name="Normal 19 2 2 2 2 3 5" xfId="12578" xr:uid="{00000000-0005-0000-0000-0000A0150000}"/>
    <cellStyle name="Normal 19 2 2 2 2 4" xfId="2341" xr:uid="{00000000-0005-0000-0000-0000A1150000}"/>
    <cellStyle name="Normal 19 2 2 2 2 4 2" xfId="9362" xr:uid="{00000000-0005-0000-0000-0000A2150000}"/>
    <cellStyle name="Normal 19 2 2 2 2 4 3" xfId="7759" xr:uid="{00000000-0005-0000-0000-0000A3150000}"/>
    <cellStyle name="Normal 19 2 2 2 2 4 4" xfId="10972" xr:uid="{00000000-0005-0000-0000-0000A4150000}"/>
    <cellStyle name="Normal 19 2 2 2 2 4 5" xfId="12579" xr:uid="{00000000-0005-0000-0000-0000A5150000}"/>
    <cellStyle name="Normal 19 2 2 2 3" xfId="2342" xr:uid="{00000000-0005-0000-0000-0000A6150000}"/>
    <cellStyle name="Normal 19 2 2 2 4" xfId="2343" xr:uid="{00000000-0005-0000-0000-0000A7150000}"/>
    <cellStyle name="Normal 19 2 2 2 5" xfId="9359" xr:uid="{00000000-0005-0000-0000-0000A8150000}"/>
    <cellStyle name="Normal 19 2 2 2 6" xfId="7756" xr:uid="{00000000-0005-0000-0000-0000A9150000}"/>
    <cellStyle name="Normal 19 2 2 2 7" xfId="10969" xr:uid="{00000000-0005-0000-0000-0000AA150000}"/>
    <cellStyle name="Normal 19 2 2 2 8" xfId="12576" xr:uid="{00000000-0005-0000-0000-0000AB150000}"/>
    <cellStyle name="Normal 19 2 2 3" xfId="2344" xr:uid="{00000000-0005-0000-0000-0000AC150000}"/>
    <cellStyle name="Normal 19 2 2 3 2" xfId="2345" xr:uid="{00000000-0005-0000-0000-0000AD150000}"/>
    <cellStyle name="Normal 19 2 2 3 2 2" xfId="9364" xr:uid="{00000000-0005-0000-0000-0000AE150000}"/>
    <cellStyle name="Normal 19 2 2 3 2 3" xfId="7761" xr:uid="{00000000-0005-0000-0000-0000AF150000}"/>
    <cellStyle name="Normal 19 2 2 3 2 4" xfId="10974" xr:uid="{00000000-0005-0000-0000-0000B0150000}"/>
    <cellStyle name="Normal 19 2 2 3 2 5" xfId="12581" xr:uid="{00000000-0005-0000-0000-0000B1150000}"/>
    <cellStyle name="Normal 19 2 2 3 3" xfId="2346" xr:uid="{00000000-0005-0000-0000-0000B2150000}"/>
    <cellStyle name="Normal 19 2 2 3 3 2" xfId="9365" xr:uid="{00000000-0005-0000-0000-0000B3150000}"/>
    <cellStyle name="Normal 19 2 2 3 3 3" xfId="7762" xr:uid="{00000000-0005-0000-0000-0000B4150000}"/>
    <cellStyle name="Normal 19 2 2 3 3 4" xfId="10975" xr:uid="{00000000-0005-0000-0000-0000B5150000}"/>
    <cellStyle name="Normal 19 2 2 3 3 5" xfId="12582" xr:uid="{00000000-0005-0000-0000-0000B6150000}"/>
    <cellStyle name="Normal 19 2 2 3 4" xfId="2347" xr:uid="{00000000-0005-0000-0000-0000B7150000}"/>
    <cellStyle name="Normal 19 2 2 3 4 2" xfId="9366" xr:uid="{00000000-0005-0000-0000-0000B8150000}"/>
    <cellStyle name="Normal 19 2 2 3 4 3" xfId="7763" xr:uid="{00000000-0005-0000-0000-0000B9150000}"/>
    <cellStyle name="Normal 19 2 2 3 4 4" xfId="10976" xr:uid="{00000000-0005-0000-0000-0000BA150000}"/>
    <cellStyle name="Normal 19 2 2 3 4 5" xfId="12583" xr:uid="{00000000-0005-0000-0000-0000BB150000}"/>
    <cellStyle name="Normal 19 2 2 3 5" xfId="9363" xr:uid="{00000000-0005-0000-0000-0000BC150000}"/>
    <cellStyle name="Normal 19 2 2 3 6" xfId="7760" xr:uid="{00000000-0005-0000-0000-0000BD150000}"/>
    <cellStyle name="Normal 19 2 2 3 7" xfId="10973" xr:uid="{00000000-0005-0000-0000-0000BE150000}"/>
    <cellStyle name="Normal 19 2 2 3 8" xfId="12580" xr:uid="{00000000-0005-0000-0000-0000BF150000}"/>
    <cellStyle name="Normal 19 2 2 4" xfId="2348" xr:uid="{00000000-0005-0000-0000-0000C0150000}"/>
    <cellStyle name="Normal 19 2 2 4 2" xfId="2349" xr:uid="{00000000-0005-0000-0000-0000C1150000}"/>
    <cellStyle name="Normal 19 2 2 4 2 2" xfId="9368" xr:uid="{00000000-0005-0000-0000-0000C2150000}"/>
    <cellStyle name="Normal 19 2 2 4 2 3" xfId="7765" xr:uid="{00000000-0005-0000-0000-0000C3150000}"/>
    <cellStyle name="Normal 19 2 2 4 2 4" xfId="10978" xr:uid="{00000000-0005-0000-0000-0000C4150000}"/>
    <cellStyle name="Normal 19 2 2 4 2 5" xfId="12585" xr:uid="{00000000-0005-0000-0000-0000C5150000}"/>
    <cellStyle name="Normal 19 2 2 4 3" xfId="2350" xr:uid="{00000000-0005-0000-0000-0000C6150000}"/>
    <cellStyle name="Normal 19 2 2 4 3 2" xfId="9369" xr:uid="{00000000-0005-0000-0000-0000C7150000}"/>
    <cellStyle name="Normal 19 2 2 4 3 3" xfId="7766" xr:uid="{00000000-0005-0000-0000-0000C8150000}"/>
    <cellStyle name="Normal 19 2 2 4 3 4" xfId="10979" xr:uid="{00000000-0005-0000-0000-0000C9150000}"/>
    <cellStyle name="Normal 19 2 2 4 3 5" xfId="12586" xr:uid="{00000000-0005-0000-0000-0000CA150000}"/>
    <cellStyle name="Normal 19 2 2 4 4" xfId="2351" xr:uid="{00000000-0005-0000-0000-0000CB150000}"/>
    <cellStyle name="Normal 19 2 2 4 4 2" xfId="9370" xr:uid="{00000000-0005-0000-0000-0000CC150000}"/>
    <cellStyle name="Normal 19 2 2 4 4 3" xfId="7767" xr:uid="{00000000-0005-0000-0000-0000CD150000}"/>
    <cellStyle name="Normal 19 2 2 4 4 4" xfId="10980" xr:uid="{00000000-0005-0000-0000-0000CE150000}"/>
    <cellStyle name="Normal 19 2 2 4 4 5" xfId="12587" xr:uid="{00000000-0005-0000-0000-0000CF150000}"/>
    <cellStyle name="Normal 19 2 2 4 5" xfId="9367" xr:uid="{00000000-0005-0000-0000-0000D0150000}"/>
    <cellStyle name="Normal 19 2 2 4 6" xfId="7764" xr:uid="{00000000-0005-0000-0000-0000D1150000}"/>
    <cellStyle name="Normal 19 2 2 4 7" xfId="10977" xr:uid="{00000000-0005-0000-0000-0000D2150000}"/>
    <cellStyle name="Normal 19 2 2 4 8" xfId="12584" xr:uid="{00000000-0005-0000-0000-0000D3150000}"/>
    <cellStyle name="Normal 19 2 2 5" xfId="2352" xr:uid="{00000000-0005-0000-0000-0000D4150000}"/>
    <cellStyle name="Normal 19 2 2 5 2" xfId="9371" xr:uid="{00000000-0005-0000-0000-0000D5150000}"/>
    <cellStyle name="Normal 19 2 2 5 3" xfId="7768" xr:uid="{00000000-0005-0000-0000-0000D6150000}"/>
    <cellStyle name="Normal 19 2 2 5 4" xfId="10981" xr:uid="{00000000-0005-0000-0000-0000D7150000}"/>
    <cellStyle name="Normal 19 2 2 5 5" xfId="12588" xr:uid="{00000000-0005-0000-0000-0000D8150000}"/>
    <cellStyle name="Normal 19 2 2 6" xfId="2353" xr:uid="{00000000-0005-0000-0000-0000D9150000}"/>
    <cellStyle name="Normal 19 2 2 6 2" xfId="9372" xr:uid="{00000000-0005-0000-0000-0000DA150000}"/>
    <cellStyle name="Normal 19 2 2 6 3" xfId="7769" xr:uid="{00000000-0005-0000-0000-0000DB150000}"/>
    <cellStyle name="Normal 19 2 2 6 4" xfId="10982" xr:uid="{00000000-0005-0000-0000-0000DC150000}"/>
    <cellStyle name="Normal 19 2 2 6 5" xfId="12589" xr:uid="{00000000-0005-0000-0000-0000DD150000}"/>
    <cellStyle name="Normal 19 2 2 7" xfId="2354" xr:uid="{00000000-0005-0000-0000-0000DE150000}"/>
    <cellStyle name="Normal 19 2 2 7 2" xfId="9373" xr:uid="{00000000-0005-0000-0000-0000DF150000}"/>
    <cellStyle name="Normal 19 2 2 7 3" xfId="7770" xr:uid="{00000000-0005-0000-0000-0000E0150000}"/>
    <cellStyle name="Normal 19 2 2 7 4" xfId="10983" xr:uid="{00000000-0005-0000-0000-0000E1150000}"/>
    <cellStyle name="Normal 19 2 2 7 5" xfId="12590" xr:uid="{00000000-0005-0000-0000-0000E2150000}"/>
    <cellStyle name="Normal 19 2 3" xfId="2355" xr:uid="{00000000-0005-0000-0000-0000E3150000}"/>
    <cellStyle name="Normal 19 2 3 2" xfId="2356" xr:uid="{00000000-0005-0000-0000-0000E4150000}"/>
    <cellStyle name="Normal 19 2 3 2 2" xfId="9375" xr:uid="{00000000-0005-0000-0000-0000E5150000}"/>
    <cellStyle name="Normal 19 2 3 2 3" xfId="7772" xr:uid="{00000000-0005-0000-0000-0000E6150000}"/>
    <cellStyle name="Normal 19 2 3 2 4" xfId="10985" xr:uid="{00000000-0005-0000-0000-0000E7150000}"/>
    <cellStyle name="Normal 19 2 3 2 5" xfId="12592" xr:uid="{00000000-0005-0000-0000-0000E8150000}"/>
    <cellStyle name="Normal 19 2 3 3" xfId="2357" xr:uid="{00000000-0005-0000-0000-0000E9150000}"/>
    <cellStyle name="Normal 19 2 3 3 2" xfId="9376" xr:uid="{00000000-0005-0000-0000-0000EA150000}"/>
    <cellStyle name="Normal 19 2 3 3 3" xfId="7773" xr:uid="{00000000-0005-0000-0000-0000EB150000}"/>
    <cellStyle name="Normal 19 2 3 3 4" xfId="10986" xr:uid="{00000000-0005-0000-0000-0000EC150000}"/>
    <cellStyle name="Normal 19 2 3 3 5" xfId="12593" xr:uid="{00000000-0005-0000-0000-0000ED150000}"/>
    <cellStyle name="Normal 19 2 3 4" xfId="2358" xr:uid="{00000000-0005-0000-0000-0000EE150000}"/>
    <cellStyle name="Normal 19 2 3 4 2" xfId="9377" xr:uid="{00000000-0005-0000-0000-0000EF150000}"/>
    <cellStyle name="Normal 19 2 3 4 3" xfId="7774" xr:uid="{00000000-0005-0000-0000-0000F0150000}"/>
    <cellStyle name="Normal 19 2 3 4 4" xfId="10987" xr:uid="{00000000-0005-0000-0000-0000F1150000}"/>
    <cellStyle name="Normal 19 2 3 4 5" xfId="12594" xr:uid="{00000000-0005-0000-0000-0000F2150000}"/>
    <cellStyle name="Normal 19 2 3 5" xfId="9374" xr:uid="{00000000-0005-0000-0000-0000F3150000}"/>
    <cellStyle name="Normal 19 2 3 6" xfId="7771" xr:uid="{00000000-0005-0000-0000-0000F4150000}"/>
    <cellStyle name="Normal 19 2 3 7" xfId="10984" xr:uid="{00000000-0005-0000-0000-0000F5150000}"/>
    <cellStyle name="Normal 19 2 3 8" xfId="12591" xr:uid="{00000000-0005-0000-0000-0000F6150000}"/>
    <cellStyle name="Normal 19 2 4" xfId="2359" xr:uid="{00000000-0005-0000-0000-0000F7150000}"/>
    <cellStyle name="Normal 19 2 5" xfId="2360" xr:uid="{00000000-0005-0000-0000-0000F8150000}"/>
    <cellStyle name="Normal 19 2 6" xfId="2361" xr:uid="{00000000-0005-0000-0000-0000F9150000}"/>
    <cellStyle name="Normal 19 2 6 2" xfId="9378" xr:uid="{00000000-0005-0000-0000-0000FA150000}"/>
    <cellStyle name="Normal 19 2 6 3" xfId="7775" xr:uid="{00000000-0005-0000-0000-0000FB150000}"/>
    <cellStyle name="Normal 19 2 6 4" xfId="10988" xr:uid="{00000000-0005-0000-0000-0000FC150000}"/>
    <cellStyle name="Normal 19 2 6 5" xfId="12595" xr:uid="{00000000-0005-0000-0000-0000FD150000}"/>
    <cellStyle name="Normal 19 2 7" xfId="2362" xr:uid="{00000000-0005-0000-0000-0000FE150000}"/>
    <cellStyle name="Normal 19 2 7 2" xfId="9379" xr:uid="{00000000-0005-0000-0000-0000FF150000}"/>
    <cellStyle name="Normal 19 2 7 3" xfId="7776" xr:uid="{00000000-0005-0000-0000-000000160000}"/>
    <cellStyle name="Normal 19 2 7 4" xfId="10989" xr:uid="{00000000-0005-0000-0000-000001160000}"/>
    <cellStyle name="Normal 19 2 7 5" xfId="12596" xr:uid="{00000000-0005-0000-0000-000002160000}"/>
    <cellStyle name="Normal 19 2 8" xfId="2363" xr:uid="{00000000-0005-0000-0000-000003160000}"/>
    <cellStyle name="Normal 19 2 8 2" xfId="9380" xr:uid="{00000000-0005-0000-0000-000004160000}"/>
    <cellStyle name="Normal 19 2 8 3" xfId="7777" xr:uid="{00000000-0005-0000-0000-000005160000}"/>
    <cellStyle name="Normal 19 2 8 4" xfId="10990" xr:uid="{00000000-0005-0000-0000-000006160000}"/>
    <cellStyle name="Normal 19 2 8 5" xfId="12597" xr:uid="{00000000-0005-0000-0000-000007160000}"/>
    <cellStyle name="Normal 19 2 9" xfId="9358" xr:uid="{00000000-0005-0000-0000-000008160000}"/>
    <cellStyle name="Normal 19 3" xfId="2364" xr:uid="{00000000-0005-0000-0000-000009160000}"/>
    <cellStyle name="Normal 19 4" xfId="2334" xr:uid="{00000000-0005-0000-0000-00000A160000}"/>
    <cellStyle name="Normal 19 5" xfId="10633" xr:uid="{00000000-0005-0000-0000-00000B160000}"/>
    <cellStyle name="Normal 190" xfId="7418" xr:uid="{00000000-0005-0000-0000-00000C160000}"/>
    <cellStyle name="Normal 191" xfId="10489" xr:uid="{00000000-0005-0000-0000-00000D160000}"/>
    <cellStyle name="Normal 192" xfId="7438" xr:uid="{00000000-0005-0000-0000-00000E160000}"/>
    <cellStyle name="Normal 193" xfId="10484" xr:uid="{00000000-0005-0000-0000-00000F160000}"/>
    <cellStyle name="Normal 194" xfId="10485" xr:uid="{00000000-0005-0000-0000-000010160000}"/>
    <cellStyle name="Normal 195" xfId="10496" xr:uid="{00000000-0005-0000-0000-000011160000}"/>
    <cellStyle name="Normal 196" xfId="7442" xr:uid="{00000000-0005-0000-0000-000012160000}"/>
    <cellStyle name="Normal 197" xfId="10486" xr:uid="{00000000-0005-0000-0000-000013160000}"/>
    <cellStyle name="Normal 198" xfId="10494" xr:uid="{00000000-0005-0000-0000-000014160000}"/>
    <cellStyle name="Normal 199" xfId="10499" xr:uid="{00000000-0005-0000-0000-000015160000}"/>
    <cellStyle name="Normal 2" xfId="92" xr:uid="{00000000-0005-0000-0000-000016160000}"/>
    <cellStyle name="Normal 2 10" xfId="7778" xr:uid="{00000000-0005-0000-0000-000017160000}"/>
    <cellStyle name="Normal 2 103" xfId="4895" xr:uid="{00000000-0005-0000-0000-000018160000}"/>
    <cellStyle name="Normal 2 11" xfId="7411" xr:uid="{00000000-0005-0000-0000-000019160000}"/>
    <cellStyle name="Normal 2 2" xfId="120" xr:uid="{00000000-0005-0000-0000-00001A160000}"/>
    <cellStyle name="Normal 2 2 10" xfId="2365" xr:uid="{00000000-0005-0000-0000-00001B160000}"/>
    <cellStyle name="Normal 2 2 10 2" xfId="2366" xr:uid="{00000000-0005-0000-0000-00001C160000}"/>
    <cellStyle name="Normal 2 2 11" xfId="2367" xr:uid="{00000000-0005-0000-0000-00001D160000}"/>
    <cellStyle name="Normal 2 2 11 2" xfId="2368" xr:uid="{00000000-0005-0000-0000-00001E160000}"/>
    <cellStyle name="Normal 2 2 12" xfId="2369" xr:uid="{00000000-0005-0000-0000-00001F160000}"/>
    <cellStyle name="Normal 2 2 12 2" xfId="2370" xr:uid="{00000000-0005-0000-0000-000020160000}"/>
    <cellStyle name="Normal 2 2 13" xfId="2371" xr:uid="{00000000-0005-0000-0000-000021160000}"/>
    <cellStyle name="Normal 2 2 13 2" xfId="2372" xr:uid="{00000000-0005-0000-0000-000022160000}"/>
    <cellStyle name="Normal 2 2 14" xfId="2373" xr:uid="{00000000-0005-0000-0000-000023160000}"/>
    <cellStyle name="Normal 2 2 14 2" xfId="2374" xr:uid="{00000000-0005-0000-0000-000024160000}"/>
    <cellStyle name="Normal 2 2 15" xfId="2375" xr:uid="{00000000-0005-0000-0000-000025160000}"/>
    <cellStyle name="Normal 2 2 15 2" xfId="2376" xr:uid="{00000000-0005-0000-0000-000026160000}"/>
    <cellStyle name="Normal 2 2 16" xfId="2377" xr:uid="{00000000-0005-0000-0000-000027160000}"/>
    <cellStyle name="Normal 2 2 16 2" xfId="2378" xr:uid="{00000000-0005-0000-0000-000028160000}"/>
    <cellStyle name="Normal 2 2 17" xfId="2379" xr:uid="{00000000-0005-0000-0000-000029160000}"/>
    <cellStyle name="Normal 2 2 17 2" xfId="2380" xr:uid="{00000000-0005-0000-0000-00002A160000}"/>
    <cellStyle name="Normal 2 2 18" xfId="2381" xr:uid="{00000000-0005-0000-0000-00002B160000}"/>
    <cellStyle name="Normal 2 2 18 2" xfId="2382" xr:uid="{00000000-0005-0000-0000-00002C160000}"/>
    <cellStyle name="Normal 2 2 19" xfId="2383" xr:uid="{00000000-0005-0000-0000-00002D160000}"/>
    <cellStyle name="Normal 2 2 19 2" xfId="2384" xr:uid="{00000000-0005-0000-0000-00002E160000}"/>
    <cellStyle name="Normal 2 2 19 2 2" xfId="2385" xr:uid="{00000000-0005-0000-0000-00002F160000}"/>
    <cellStyle name="Normal 2 2 19 3" xfId="2386" xr:uid="{00000000-0005-0000-0000-000030160000}"/>
    <cellStyle name="Normal 2 2 19 3 2" xfId="2387" xr:uid="{00000000-0005-0000-0000-000031160000}"/>
    <cellStyle name="Normal 2 2 19 4" xfId="2388" xr:uid="{00000000-0005-0000-0000-000032160000}"/>
    <cellStyle name="Normal 2 2 19 4 2" xfId="2389" xr:uid="{00000000-0005-0000-0000-000033160000}"/>
    <cellStyle name="Normal 2 2 19 5" xfId="2390" xr:uid="{00000000-0005-0000-0000-000034160000}"/>
    <cellStyle name="Normal 2 2 19 5 2" xfId="2391" xr:uid="{00000000-0005-0000-0000-000035160000}"/>
    <cellStyle name="Normal 2 2 19 6" xfId="2392" xr:uid="{00000000-0005-0000-0000-000036160000}"/>
    <cellStyle name="Normal 2 2 19 6 2" xfId="2393" xr:uid="{00000000-0005-0000-0000-000037160000}"/>
    <cellStyle name="Normal 2 2 19 7" xfId="2394" xr:uid="{00000000-0005-0000-0000-000038160000}"/>
    <cellStyle name="Normal 2 2 2" xfId="132" xr:uid="{00000000-0005-0000-0000-000039160000}"/>
    <cellStyle name="Normal 2 2 2 10" xfId="2395" xr:uid="{00000000-0005-0000-0000-00003A160000}"/>
    <cellStyle name="Normal 2 2 2 2" xfId="2396" xr:uid="{00000000-0005-0000-0000-00003B160000}"/>
    <cellStyle name="Normal 2 2 2 2 2" xfId="2397" xr:uid="{00000000-0005-0000-0000-00003C160000}"/>
    <cellStyle name="Normal 2 2 2 2 2 2" xfId="2398" xr:uid="{00000000-0005-0000-0000-00003D160000}"/>
    <cellStyle name="Normal 2 2 2 2 2 2 2" xfId="2399" xr:uid="{00000000-0005-0000-0000-00003E160000}"/>
    <cellStyle name="Normal 2 2 2 2 2 2 2 2" xfId="2400" xr:uid="{00000000-0005-0000-0000-00003F160000}"/>
    <cellStyle name="Normal 2 2 2 2 2 2 3" xfId="2401" xr:uid="{00000000-0005-0000-0000-000040160000}"/>
    <cellStyle name="Normal 2 2 2 2 2 2 3 2" xfId="2402" xr:uid="{00000000-0005-0000-0000-000041160000}"/>
    <cellStyle name="Normal 2 2 2 2 2 2 4" xfId="2403" xr:uid="{00000000-0005-0000-0000-000042160000}"/>
    <cellStyle name="Normal 2 2 2 2 2 2 4 2" xfId="2404" xr:uid="{00000000-0005-0000-0000-000043160000}"/>
    <cellStyle name="Normal 2 2 2 2 2 2 5" xfId="2405" xr:uid="{00000000-0005-0000-0000-000044160000}"/>
    <cellStyle name="Normal 2 2 2 2 2 2 5 2" xfId="2406" xr:uid="{00000000-0005-0000-0000-000045160000}"/>
    <cellStyle name="Normal 2 2 2 2 2 2 6" xfId="2407" xr:uid="{00000000-0005-0000-0000-000046160000}"/>
    <cellStyle name="Normal 2 2 2 2 2 2 6 2" xfId="2408" xr:uid="{00000000-0005-0000-0000-000047160000}"/>
    <cellStyle name="Normal 2 2 2 2 2 2 7" xfId="2409" xr:uid="{00000000-0005-0000-0000-000048160000}"/>
    <cellStyle name="Normal 2 2 2 2 2 3" xfId="2410" xr:uid="{00000000-0005-0000-0000-000049160000}"/>
    <cellStyle name="Normal 2 2 2 2 2 3 2" xfId="2411" xr:uid="{00000000-0005-0000-0000-00004A160000}"/>
    <cellStyle name="Normal 2 2 2 2 2 4" xfId="2412" xr:uid="{00000000-0005-0000-0000-00004B160000}"/>
    <cellStyle name="Normal 2 2 2 2 2 4 2" xfId="2413" xr:uid="{00000000-0005-0000-0000-00004C160000}"/>
    <cellStyle name="Normal 2 2 2 2 2 5" xfId="2414" xr:uid="{00000000-0005-0000-0000-00004D160000}"/>
    <cellStyle name="Normal 2 2 2 2 2 5 2" xfId="2415" xr:uid="{00000000-0005-0000-0000-00004E160000}"/>
    <cellStyle name="Normal 2 2 2 2 2 6" xfId="2416" xr:uid="{00000000-0005-0000-0000-00004F160000}"/>
    <cellStyle name="Normal 2 2 2 2 2 6 2" xfId="2417" xr:uid="{00000000-0005-0000-0000-000050160000}"/>
    <cellStyle name="Normal 2 2 2 2 2 7" xfId="2418" xr:uid="{00000000-0005-0000-0000-000051160000}"/>
    <cellStyle name="Normal 2 2 2 2 2 7 2" xfId="2419" xr:uid="{00000000-0005-0000-0000-000052160000}"/>
    <cellStyle name="Normal 2 2 2 2 2 8" xfId="2420" xr:uid="{00000000-0005-0000-0000-000053160000}"/>
    <cellStyle name="Normal 2 2 2 2 2 8 2" xfId="2421" xr:uid="{00000000-0005-0000-0000-000054160000}"/>
    <cellStyle name="Normal 2 2 2 2 2 9" xfId="2422" xr:uid="{00000000-0005-0000-0000-000055160000}"/>
    <cellStyle name="Normal 2 2 2 2 3" xfId="2423" xr:uid="{00000000-0005-0000-0000-000056160000}"/>
    <cellStyle name="Normal 2 2 2 2 3 2" xfId="2424" xr:uid="{00000000-0005-0000-0000-000057160000}"/>
    <cellStyle name="Normal 2 2 2 2 3 2 2" xfId="2425" xr:uid="{00000000-0005-0000-0000-000058160000}"/>
    <cellStyle name="Normal 2 2 2 2 3 3" xfId="2426" xr:uid="{00000000-0005-0000-0000-000059160000}"/>
    <cellStyle name="Normal 2 2 2 2 3 3 2" xfId="2427" xr:uid="{00000000-0005-0000-0000-00005A160000}"/>
    <cellStyle name="Normal 2 2 2 2 3 4" xfId="2428" xr:uid="{00000000-0005-0000-0000-00005B160000}"/>
    <cellStyle name="Normal 2 2 2 2 3 4 2" xfId="2429" xr:uid="{00000000-0005-0000-0000-00005C160000}"/>
    <cellStyle name="Normal 2 2 2 2 3 5" xfId="2430" xr:uid="{00000000-0005-0000-0000-00005D160000}"/>
    <cellStyle name="Normal 2 2 2 2 3 5 2" xfId="2431" xr:uid="{00000000-0005-0000-0000-00005E160000}"/>
    <cellStyle name="Normal 2 2 2 2 3 6" xfId="2432" xr:uid="{00000000-0005-0000-0000-00005F160000}"/>
    <cellStyle name="Normal 2 2 2 2 3 6 2" xfId="2433" xr:uid="{00000000-0005-0000-0000-000060160000}"/>
    <cellStyle name="Normal 2 2 2 2 3 7" xfId="2434" xr:uid="{00000000-0005-0000-0000-000061160000}"/>
    <cellStyle name="Normal 2 2 2 2 4" xfId="2435" xr:uid="{00000000-0005-0000-0000-000062160000}"/>
    <cellStyle name="Normal 2 2 2 2 4 2" xfId="2436" xr:uid="{00000000-0005-0000-0000-000063160000}"/>
    <cellStyle name="Normal 2 2 2 2 5" xfId="2437" xr:uid="{00000000-0005-0000-0000-000064160000}"/>
    <cellStyle name="Normal 2 2 2 2 5 2" xfId="2438" xr:uid="{00000000-0005-0000-0000-000065160000}"/>
    <cellStyle name="Normal 2 2 2 2 6" xfId="2439" xr:uid="{00000000-0005-0000-0000-000066160000}"/>
    <cellStyle name="Normal 2 2 2 2 6 2" xfId="2440" xr:uid="{00000000-0005-0000-0000-000067160000}"/>
    <cellStyle name="Normal 2 2 2 2 7" xfId="2441" xr:uid="{00000000-0005-0000-0000-000068160000}"/>
    <cellStyle name="Normal 2 2 2 2 7 2" xfId="2442" xr:uid="{00000000-0005-0000-0000-000069160000}"/>
    <cellStyle name="Normal 2 2 2 2 8" xfId="2443" xr:uid="{00000000-0005-0000-0000-00006A160000}"/>
    <cellStyle name="Normal 2 2 2 2 8 2" xfId="2444" xr:uid="{00000000-0005-0000-0000-00006B160000}"/>
    <cellStyle name="Normal 2 2 2 2 9" xfId="2445" xr:uid="{00000000-0005-0000-0000-00006C160000}"/>
    <cellStyle name="Normal 2 2 2 3" xfId="2446" xr:uid="{00000000-0005-0000-0000-00006D160000}"/>
    <cellStyle name="Normal 2 2 2 3 2" xfId="2447" xr:uid="{00000000-0005-0000-0000-00006E160000}"/>
    <cellStyle name="Normal 2 2 2 3 2 2" xfId="2448" xr:uid="{00000000-0005-0000-0000-00006F160000}"/>
    <cellStyle name="Normal 2 2 2 3 3" xfId="2449" xr:uid="{00000000-0005-0000-0000-000070160000}"/>
    <cellStyle name="Normal 2 2 2 3 3 2" xfId="2450" xr:uid="{00000000-0005-0000-0000-000071160000}"/>
    <cellStyle name="Normal 2 2 2 3 4" xfId="2451" xr:uid="{00000000-0005-0000-0000-000072160000}"/>
    <cellStyle name="Normal 2 2 2 3 4 2" xfId="2452" xr:uid="{00000000-0005-0000-0000-000073160000}"/>
    <cellStyle name="Normal 2 2 2 3 5" xfId="2453" xr:uid="{00000000-0005-0000-0000-000074160000}"/>
    <cellStyle name="Normal 2 2 2 3 5 2" xfId="2454" xr:uid="{00000000-0005-0000-0000-000075160000}"/>
    <cellStyle name="Normal 2 2 2 3 6" xfId="2455" xr:uid="{00000000-0005-0000-0000-000076160000}"/>
    <cellStyle name="Normal 2 2 2 3 6 2" xfId="2456" xr:uid="{00000000-0005-0000-0000-000077160000}"/>
    <cellStyle name="Normal 2 2 2 3 7" xfId="2457" xr:uid="{00000000-0005-0000-0000-000078160000}"/>
    <cellStyle name="Normal 2 2 2 4" xfId="2458" xr:uid="{00000000-0005-0000-0000-000079160000}"/>
    <cellStyle name="Normal 2 2 2 4 2" xfId="2459" xr:uid="{00000000-0005-0000-0000-00007A160000}"/>
    <cellStyle name="Normal 2 2 2 5" xfId="2460" xr:uid="{00000000-0005-0000-0000-00007B160000}"/>
    <cellStyle name="Normal 2 2 2 5 2" xfId="2461" xr:uid="{00000000-0005-0000-0000-00007C160000}"/>
    <cellStyle name="Normal 2 2 2 6" xfId="2462" xr:uid="{00000000-0005-0000-0000-00007D160000}"/>
    <cellStyle name="Normal 2 2 2 6 2" xfId="2463" xr:uid="{00000000-0005-0000-0000-00007E160000}"/>
    <cellStyle name="Normal 2 2 2 7" xfId="2464" xr:uid="{00000000-0005-0000-0000-00007F160000}"/>
    <cellStyle name="Normal 2 2 2 7 2" xfId="2465" xr:uid="{00000000-0005-0000-0000-000080160000}"/>
    <cellStyle name="Normal 2 2 2 8" xfId="2466" xr:uid="{00000000-0005-0000-0000-000081160000}"/>
    <cellStyle name="Normal 2 2 2 8 2" xfId="2467" xr:uid="{00000000-0005-0000-0000-000082160000}"/>
    <cellStyle name="Normal 2 2 2 9" xfId="2468" xr:uid="{00000000-0005-0000-0000-000083160000}"/>
    <cellStyle name="Normal 2 2 20" xfId="2469" xr:uid="{00000000-0005-0000-0000-000084160000}"/>
    <cellStyle name="Normal 2 2 20 2" xfId="2470" xr:uid="{00000000-0005-0000-0000-000085160000}"/>
    <cellStyle name="Normal 2 2 21" xfId="2471" xr:uid="{00000000-0005-0000-0000-000086160000}"/>
    <cellStyle name="Normal 2 2 21 2" xfId="2472" xr:uid="{00000000-0005-0000-0000-000087160000}"/>
    <cellStyle name="Normal 2 2 22" xfId="2473" xr:uid="{00000000-0005-0000-0000-000088160000}"/>
    <cellStyle name="Normal 2 2 22 2" xfId="2474" xr:uid="{00000000-0005-0000-0000-000089160000}"/>
    <cellStyle name="Normal 2 2 23" xfId="2475" xr:uid="{00000000-0005-0000-0000-00008A160000}"/>
    <cellStyle name="Normal 2 2 23 2" xfId="2476" xr:uid="{00000000-0005-0000-0000-00008B160000}"/>
    <cellStyle name="Normal 2 2 24" xfId="2477" xr:uid="{00000000-0005-0000-0000-00008C160000}"/>
    <cellStyle name="Normal 2 2 24 2" xfId="2478" xr:uid="{00000000-0005-0000-0000-00008D160000}"/>
    <cellStyle name="Normal 2 2 25" xfId="2479" xr:uid="{00000000-0005-0000-0000-00008E160000}"/>
    <cellStyle name="Normal 2 2 25 10" xfId="12598" xr:uid="{00000000-0005-0000-0000-00008F160000}"/>
    <cellStyle name="Normal 2 2 25 2" xfId="2480" xr:uid="{00000000-0005-0000-0000-000090160000}"/>
    <cellStyle name="Normal 2 2 25 2 2" xfId="2481" xr:uid="{00000000-0005-0000-0000-000091160000}"/>
    <cellStyle name="Normal 2 2 25 2 2 2" xfId="9383" xr:uid="{00000000-0005-0000-0000-000092160000}"/>
    <cellStyle name="Normal 2 2 25 2 2 3" xfId="7781" xr:uid="{00000000-0005-0000-0000-000093160000}"/>
    <cellStyle name="Normal 2 2 25 2 2 4" xfId="10993" xr:uid="{00000000-0005-0000-0000-000094160000}"/>
    <cellStyle name="Normal 2 2 25 2 2 5" xfId="12600" xr:uid="{00000000-0005-0000-0000-000095160000}"/>
    <cellStyle name="Normal 2 2 25 2 3" xfId="2482" xr:uid="{00000000-0005-0000-0000-000096160000}"/>
    <cellStyle name="Normal 2 2 25 2 3 2" xfId="9384" xr:uid="{00000000-0005-0000-0000-000097160000}"/>
    <cellStyle name="Normal 2 2 25 2 3 3" xfId="7782" xr:uid="{00000000-0005-0000-0000-000098160000}"/>
    <cellStyle name="Normal 2 2 25 2 3 4" xfId="10994" xr:uid="{00000000-0005-0000-0000-000099160000}"/>
    <cellStyle name="Normal 2 2 25 2 3 5" xfId="12601" xr:uid="{00000000-0005-0000-0000-00009A160000}"/>
    <cellStyle name="Normal 2 2 25 2 4" xfId="2483" xr:uid="{00000000-0005-0000-0000-00009B160000}"/>
    <cellStyle name="Normal 2 2 25 2 4 2" xfId="9385" xr:uid="{00000000-0005-0000-0000-00009C160000}"/>
    <cellStyle name="Normal 2 2 25 2 4 3" xfId="7783" xr:uid="{00000000-0005-0000-0000-00009D160000}"/>
    <cellStyle name="Normal 2 2 25 2 4 4" xfId="10995" xr:uid="{00000000-0005-0000-0000-00009E160000}"/>
    <cellStyle name="Normal 2 2 25 2 4 5" xfId="12602" xr:uid="{00000000-0005-0000-0000-00009F160000}"/>
    <cellStyle name="Normal 2 2 25 2 5" xfId="9382" xr:uid="{00000000-0005-0000-0000-0000A0160000}"/>
    <cellStyle name="Normal 2 2 25 2 6" xfId="7780" xr:uid="{00000000-0005-0000-0000-0000A1160000}"/>
    <cellStyle name="Normal 2 2 25 2 7" xfId="10992" xr:uid="{00000000-0005-0000-0000-0000A2160000}"/>
    <cellStyle name="Normal 2 2 25 2 8" xfId="12599" xr:uid="{00000000-0005-0000-0000-0000A3160000}"/>
    <cellStyle name="Normal 2 2 25 3" xfId="2484" xr:uid="{00000000-0005-0000-0000-0000A4160000}"/>
    <cellStyle name="Normal 2 2 25 3 2" xfId="2485" xr:uid="{00000000-0005-0000-0000-0000A5160000}"/>
    <cellStyle name="Normal 2 2 25 3 2 2" xfId="9387" xr:uid="{00000000-0005-0000-0000-0000A6160000}"/>
    <cellStyle name="Normal 2 2 25 3 2 3" xfId="7785" xr:uid="{00000000-0005-0000-0000-0000A7160000}"/>
    <cellStyle name="Normal 2 2 25 3 2 4" xfId="10997" xr:uid="{00000000-0005-0000-0000-0000A8160000}"/>
    <cellStyle name="Normal 2 2 25 3 2 5" xfId="12604" xr:uid="{00000000-0005-0000-0000-0000A9160000}"/>
    <cellStyle name="Normal 2 2 25 3 3" xfId="2486" xr:uid="{00000000-0005-0000-0000-0000AA160000}"/>
    <cellStyle name="Normal 2 2 25 3 3 2" xfId="9388" xr:uid="{00000000-0005-0000-0000-0000AB160000}"/>
    <cellStyle name="Normal 2 2 25 3 3 3" xfId="7786" xr:uid="{00000000-0005-0000-0000-0000AC160000}"/>
    <cellStyle name="Normal 2 2 25 3 3 4" xfId="10998" xr:uid="{00000000-0005-0000-0000-0000AD160000}"/>
    <cellStyle name="Normal 2 2 25 3 3 5" xfId="12605" xr:uid="{00000000-0005-0000-0000-0000AE160000}"/>
    <cellStyle name="Normal 2 2 25 3 4" xfId="2487" xr:uid="{00000000-0005-0000-0000-0000AF160000}"/>
    <cellStyle name="Normal 2 2 25 3 4 2" xfId="9389" xr:uid="{00000000-0005-0000-0000-0000B0160000}"/>
    <cellStyle name="Normal 2 2 25 3 4 3" xfId="7787" xr:uid="{00000000-0005-0000-0000-0000B1160000}"/>
    <cellStyle name="Normal 2 2 25 3 4 4" xfId="10999" xr:uid="{00000000-0005-0000-0000-0000B2160000}"/>
    <cellStyle name="Normal 2 2 25 3 4 5" xfId="12606" xr:uid="{00000000-0005-0000-0000-0000B3160000}"/>
    <cellStyle name="Normal 2 2 25 3 5" xfId="9386" xr:uid="{00000000-0005-0000-0000-0000B4160000}"/>
    <cellStyle name="Normal 2 2 25 3 6" xfId="7784" xr:uid="{00000000-0005-0000-0000-0000B5160000}"/>
    <cellStyle name="Normal 2 2 25 3 7" xfId="10996" xr:uid="{00000000-0005-0000-0000-0000B6160000}"/>
    <cellStyle name="Normal 2 2 25 3 8" xfId="12603" xr:uid="{00000000-0005-0000-0000-0000B7160000}"/>
    <cellStyle name="Normal 2 2 25 4" xfId="2488" xr:uid="{00000000-0005-0000-0000-0000B8160000}"/>
    <cellStyle name="Normal 2 2 25 4 2" xfId="9390" xr:uid="{00000000-0005-0000-0000-0000B9160000}"/>
    <cellStyle name="Normal 2 2 25 4 3" xfId="7788" xr:uid="{00000000-0005-0000-0000-0000BA160000}"/>
    <cellStyle name="Normal 2 2 25 4 4" xfId="11000" xr:uid="{00000000-0005-0000-0000-0000BB160000}"/>
    <cellStyle name="Normal 2 2 25 4 5" xfId="12607" xr:uid="{00000000-0005-0000-0000-0000BC160000}"/>
    <cellStyle name="Normal 2 2 25 5" xfId="2489" xr:uid="{00000000-0005-0000-0000-0000BD160000}"/>
    <cellStyle name="Normal 2 2 25 5 2" xfId="9391" xr:uid="{00000000-0005-0000-0000-0000BE160000}"/>
    <cellStyle name="Normal 2 2 25 5 3" xfId="7789" xr:uid="{00000000-0005-0000-0000-0000BF160000}"/>
    <cellStyle name="Normal 2 2 25 5 4" xfId="11001" xr:uid="{00000000-0005-0000-0000-0000C0160000}"/>
    <cellStyle name="Normal 2 2 25 5 5" xfId="12608" xr:uid="{00000000-0005-0000-0000-0000C1160000}"/>
    <cellStyle name="Normal 2 2 25 6" xfId="2490" xr:uid="{00000000-0005-0000-0000-0000C2160000}"/>
    <cellStyle name="Normal 2 2 25 6 2" xfId="9392" xr:uid="{00000000-0005-0000-0000-0000C3160000}"/>
    <cellStyle name="Normal 2 2 25 6 3" xfId="7790" xr:uid="{00000000-0005-0000-0000-0000C4160000}"/>
    <cellStyle name="Normal 2 2 25 6 4" xfId="11002" xr:uid="{00000000-0005-0000-0000-0000C5160000}"/>
    <cellStyle name="Normal 2 2 25 6 5" xfId="12609" xr:uid="{00000000-0005-0000-0000-0000C6160000}"/>
    <cellStyle name="Normal 2 2 25 7" xfId="9381" xr:uid="{00000000-0005-0000-0000-0000C7160000}"/>
    <cellStyle name="Normal 2 2 25 8" xfId="7779" xr:uid="{00000000-0005-0000-0000-0000C8160000}"/>
    <cellStyle name="Normal 2 2 25 9" xfId="10991" xr:uid="{00000000-0005-0000-0000-0000C9160000}"/>
    <cellStyle name="Normal 2 2 26" xfId="2491" xr:uid="{00000000-0005-0000-0000-0000CA160000}"/>
    <cellStyle name="Normal 2 2 27" xfId="2492" xr:uid="{00000000-0005-0000-0000-0000CB160000}"/>
    <cellStyle name="Normal 2 2 28" xfId="4901" xr:uid="{00000000-0005-0000-0000-0000CC160000}"/>
    <cellStyle name="Normal 2 2 29" xfId="10457" xr:uid="{00000000-0005-0000-0000-0000CD160000}"/>
    <cellStyle name="Normal 2 2 3" xfId="2493" xr:uid="{00000000-0005-0000-0000-0000CE160000}"/>
    <cellStyle name="Normal 2 2 3 2" xfId="2494" xr:uid="{00000000-0005-0000-0000-0000CF160000}"/>
    <cellStyle name="Normal 2 2 4" xfId="2495" xr:uid="{00000000-0005-0000-0000-0000D0160000}"/>
    <cellStyle name="Normal 2 2 4 2" xfId="2496" xr:uid="{00000000-0005-0000-0000-0000D1160000}"/>
    <cellStyle name="Normal 2 2 5" xfId="2497" xr:uid="{00000000-0005-0000-0000-0000D2160000}"/>
    <cellStyle name="Normal 2 2 5 2" xfId="2498" xr:uid="{00000000-0005-0000-0000-0000D3160000}"/>
    <cellStyle name="Normal 2 2 6" xfId="2499" xr:uid="{00000000-0005-0000-0000-0000D4160000}"/>
    <cellStyle name="Normal 2 2 6 2" xfId="2500" xr:uid="{00000000-0005-0000-0000-0000D5160000}"/>
    <cellStyle name="Normal 2 2 7" xfId="2501" xr:uid="{00000000-0005-0000-0000-0000D6160000}"/>
    <cellStyle name="Normal 2 2 7 2" xfId="2502" xr:uid="{00000000-0005-0000-0000-0000D7160000}"/>
    <cellStyle name="Normal 2 2 8" xfId="2503" xr:uid="{00000000-0005-0000-0000-0000D8160000}"/>
    <cellStyle name="Normal 2 2 8 2" xfId="2504" xr:uid="{00000000-0005-0000-0000-0000D9160000}"/>
    <cellStyle name="Normal 2 2 9" xfId="2505" xr:uid="{00000000-0005-0000-0000-0000DA160000}"/>
    <cellStyle name="Normal 2 2 9 2" xfId="2506" xr:uid="{00000000-0005-0000-0000-0000DB160000}"/>
    <cellStyle name="Normal 2 3" xfId="2507" xr:uid="{00000000-0005-0000-0000-0000DC160000}"/>
    <cellStyle name="Normal 2 3 2" xfId="2508" xr:uid="{00000000-0005-0000-0000-0000DD160000}"/>
    <cellStyle name="Normal 2 3 2 2" xfId="2509" xr:uid="{00000000-0005-0000-0000-0000DE160000}"/>
    <cellStyle name="Normal 2 3 3" xfId="2510" xr:uid="{00000000-0005-0000-0000-0000DF160000}"/>
    <cellStyle name="Normal 2 3 3 2" xfId="2511" xr:uid="{00000000-0005-0000-0000-0000E0160000}"/>
    <cellStyle name="Normal 2 3 4" xfId="2512" xr:uid="{00000000-0005-0000-0000-0000E1160000}"/>
    <cellStyle name="Normal 2 3 4 2" xfId="2513" xr:uid="{00000000-0005-0000-0000-0000E2160000}"/>
    <cellStyle name="Normal 2 3 5" xfId="2514" xr:uid="{00000000-0005-0000-0000-0000E3160000}"/>
    <cellStyle name="Normal 2 3 5 2" xfId="2515" xr:uid="{00000000-0005-0000-0000-0000E4160000}"/>
    <cellStyle name="Normal 2 3 6" xfId="2516" xr:uid="{00000000-0005-0000-0000-0000E5160000}"/>
    <cellStyle name="Normal 2 3 6 2" xfId="2517" xr:uid="{00000000-0005-0000-0000-0000E6160000}"/>
    <cellStyle name="Normal 2 3 7" xfId="2518" xr:uid="{00000000-0005-0000-0000-0000E7160000}"/>
    <cellStyle name="Normal 2 3 7 2" xfId="2519" xr:uid="{00000000-0005-0000-0000-0000E8160000}"/>
    <cellStyle name="Normal 2 3 8" xfId="2520" xr:uid="{00000000-0005-0000-0000-0000E9160000}"/>
    <cellStyle name="Normal 2 4" xfId="2521" xr:uid="{00000000-0005-0000-0000-0000EA160000}"/>
    <cellStyle name="Normal 2 4 2" xfId="2522" xr:uid="{00000000-0005-0000-0000-0000EB160000}"/>
    <cellStyle name="Normal 2 4 2 2" xfId="6933" xr:uid="{00000000-0005-0000-0000-0000EC160000}"/>
    <cellStyle name="Normal 2 4 3" xfId="6932" xr:uid="{00000000-0005-0000-0000-0000ED160000}"/>
    <cellStyle name="Normal 2 5" xfId="2523" xr:uid="{00000000-0005-0000-0000-0000EE160000}"/>
    <cellStyle name="Normal 2 5 2" xfId="2524" xr:uid="{00000000-0005-0000-0000-0000EF160000}"/>
    <cellStyle name="Normal 2 5 3" xfId="2525" xr:uid="{00000000-0005-0000-0000-0000F0160000}"/>
    <cellStyle name="Normal 2 5 4" xfId="7304" xr:uid="{00000000-0005-0000-0000-0000F1160000}"/>
    <cellStyle name="Normal 2 5 4 2" xfId="9393" xr:uid="{00000000-0005-0000-0000-0000F2160000}"/>
    <cellStyle name="Normal 2 5 5" xfId="7791" xr:uid="{00000000-0005-0000-0000-0000F3160000}"/>
    <cellStyle name="Normal 2 5 6" xfId="11003" xr:uid="{00000000-0005-0000-0000-0000F4160000}"/>
    <cellStyle name="Normal 2 5 7" xfId="12610" xr:uid="{00000000-0005-0000-0000-0000F5160000}"/>
    <cellStyle name="Normal 2 6" xfId="2526" xr:uid="{00000000-0005-0000-0000-0000F6160000}"/>
    <cellStyle name="Normal 2 6 2" xfId="2527" xr:uid="{00000000-0005-0000-0000-0000F7160000}"/>
    <cellStyle name="Normal 2 7" xfId="2528" xr:uid="{00000000-0005-0000-0000-0000F8160000}"/>
    <cellStyle name="Normal 2 7 2" xfId="2529" xr:uid="{00000000-0005-0000-0000-0000F9160000}"/>
    <cellStyle name="Normal 2 7 3" xfId="2530" xr:uid="{00000000-0005-0000-0000-0000FA160000}"/>
    <cellStyle name="Normal 2 8" xfId="2531" xr:uid="{00000000-0005-0000-0000-0000FB160000}"/>
    <cellStyle name="Normal 2 9" xfId="4886" xr:uid="{00000000-0005-0000-0000-0000FC160000}"/>
    <cellStyle name="Normal 2 9 2" xfId="4892" xr:uid="{00000000-0005-0000-0000-0000FD160000}"/>
    <cellStyle name="Normal 2_Base Arquivos PA 2008_OEI_V4" xfId="2532" xr:uid="{00000000-0005-0000-0000-0000FE160000}"/>
    <cellStyle name="Normal 20" xfId="157" xr:uid="{00000000-0005-0000-0000-0000FF160000}"/>
    <cellStyle name="Normal 20 2" xfId="2534" xr:uid="{00000000-0005-0000-0000-000000170000}"/>
    <cellStyle name="Normal 20 2 10" xfId="7792" xr:uid="{00000000-0005-0000-0000-000001170000}"/>
    <cellStyle name="Normal 20 2 11" xfId="11004" xr:uid="{00000000-0005-0000-0000-000002170000}"/>
    <cellStyle name="Normal 20 2 12" xfId="12611" xr:uid="{00000000-0005-0000-0000-000003170000}"/>
    <cellStyle name="Normal 20 2 2" xfId="2535" xr:uid="{00000000-0005-0000-0000-000004170000}"/>
    <cellStyle name="Normal 20 2 2 2" xfId="2536" xr:uid="{00000000-0005-0000-0000-000005170000}"/>
    <cellStyle name="Normal 20 2 2 2 2" xfId="2537" xr:uid="{00000000-0005-0000-0000-000006170000}"/>
    <cellStyle name="Normal 20 2 2 2 2 2" xfId="2538" xr:uid="{00000000-0005-0000-0000-000007170000}"/>
    <cellStyle name="Normal 20 2 2 2 2 2 2" xfId="9396" xr:uid="{00000000-0005-0000-0000-000008170000}"/>
    <cellStyle name="Normal 20 2 2 2 2 2 3" xfId="7794" xr:uid="{00000000-0005-0000-0000-000009170000}"/>
    <cellStyle name="Normal 20 2 2 2 2 2 4" xfId="11006" xr:uid="{00000000-0005-0000-0000-00000A170000}"/>
    <cellStyle name="Normal 20 2 2 2 2 2 5" xfId="12613" xr:uid="{00000000-0005-0000-0000-00000B170000}"/>
    <cellStyle name="Normal 20 2 2 2 2 3" xfId="2539" xr:uid="{00000000-0005-0000-0000-00000C170000}"/>
    <cellStyle name="Normal 20 2 2 2 2 3 2" xfId="9397" xr:uid="{00000000-0005-0000-0000-00000D170000}"/>
    <cellStyle name="Normal 20 2 2 2 2 3 3" xfId="7795" xr:uid="{00000000-0005-0000-0000-00000E170000}"/>
    <cellStyle name="Normal 20 2 2 2 2 3 4" xfId="11007" xr:uid="{00000000-0005-0000-0000-00000F170000}"/>
    <cellStyle name="Normal 20 2 2 2 2 3 5" xfId="12614" xr:uid="{00000000-0005-0000-0000-000010170000}"/>
    <cellStyle name="Normal 20 2 2 2 2 4" xfId="2540" xr:uid="{00000000-0005-0000-0000-000011170000}"/>
    <cellStyle name="Normal 20 2 2 2 2 4 2" xfId="9398" xr:uid="{00000000-0005-0000-0000-000012170000}"/>
    <cellStyle name="Normal 20 2 2 2 2 4 3" xfId="7796" xr:uid="{00000000-0005-0000-0000-000013170000}"/>
    <cellStyle name="Normal 20 2 2 2 2 4 4" xfId="11008" xr:uid="{00000000-0005-0000-0000-000014170000}"/>
    <cellStyle name="Normal 20 2 2 2 2 4 5" xfId="12615" xr:uid="{00000000-0005-0000-0000-000015170000}"/>
    <cellStyle name="Normal 20 2 2 2 3" xfId="2541" xr:uid="{00000000-0005-0000-0000-000016170000}"/>
    <cellStyle name="Normal 20 2 2 2 4" xfId="2542" xr:uid="{00000000-0005-0000-0000-000017170000}"/>
    <cellStyle name="Normal 20 2 2 2 5" xfId="9395" xr:uid="{00000000-0005-0000-0000-000018170000}"/>
    <cellStyle name="Normal 20 2 2 2 6" xfId="7793" xr:uid="{00000000-0005-0000-0000-000019170000}"/>
    <cellStyle name="Normal 20 2 2 2 7" xfId="11005" xr:uid="{00000000-0005-0000-0000-00001A170000}"/>
    <cellStyle name="Normal 20 2 2 2 8" xfId="12612" xr:uid="{00000000-0005-0000-0000-00001B170000}"/>
    <cellStyle name="Normal 20 2 2 3" xfId="2543" xr:uid="{00000000-0005-0000-0000-00001C170000}"/>
    <cellStyle name="Normal 20 2 2 3 2" xfId="2544" xr:uid="{00000000-0005-0000-0000-00001D170000}"/>
    <cellStyle name="Normal 20 2 2 3 2 2" xfId="9400" xr:uid="{00000000-0005-0000-0000-00001E170000}"/>
    <cellStyle name="Normal 20 2 2 3 2 3" xfId="7798" xr:uid="{00000000-0005-0000-0000-00001F170000}"/>
    <cellStyle name="Normal 20 2 2 3 2 4" xfId="11010" xr:uid="{00000000-0005-0000-0000-000020170000}"/>
    <cellStyle name="Normal 20 2 2 3 2 5" xfId="12617" xr:uid="{00000000-0005-0000-0000-000021170000}"/>
    <cellStyle name="Normal 20 2 2 3 3" xfId="2545" xr:uid="{00000000-0005-0000-0000-000022170000}"/>
    <cellStyle name="Normal 20 2 2 3 3 2" xfId="9401" xr:uid="{00000000-0005-0000-0000-000023170000}"/>
    <cellStyle name="Normal 20 2 2 3 3 3" xfId="7799" xr:uid="{00000000-0005-0000-0000-000024170000}"/>
    <cellStyle name="Normal 20 2 2 3 3 4" xfId="11011" xr:uid="{00000000-0005-0000-0000-000025170000}"/>
    <cellStyle name="Normal 20 2 2 3 3 5" xfId="12618" xr:uid="{00000000-0005-0000-0000-000026170000}"/>
    <cellStyle name="Normal 20 2 2 3 4" xfId="2546" xr:uid="{00000000-0005-0000-0000-000027170000}"/>
    <cellStyle name="Normal 20 2 2 3 4 2" xfId="9402" xr:uid="{00000000-0005-0000-0000-000028170000}"/>
    <cellStyle name="Normal 20 2 2 3 4 3" xfId="7800" xr:uid="{00000000-0005-0000-0000-000029170000}"/>
    <cellStyle name="Normal 20 2 2 3 4 4" xfId="11012" xr:uid="{00000000-0005-0000-0000-00002A170000}"/>
    <cellStyle name="Normal 20 2 2 3 4 5" xfId="12619" xr:uid="{00000000-0005-0000-0000-00002B170000}"/>
    <cellStyle name="Normal 20 2 2 3 5" xfId="9399" xr:uid="{00000000-0005-0000-0000-00002C170000}"/>
    <cellStyle name="Normal 20 2 2 3 6" xfId="7797" xr:uid="{00000000-0005-0000-0000-00002D170000}"/>
    <cellStyle name="Normal 20 2 2 3 7" xfId="11009" xr:uid="{00000000-0005-0000-0000-00002E170000}"/>
    <cellStyle name="Normal 20 2 2 3 8" xfId="12616" xr:uid="{00000000-0005-0000-0000-00002F170000}"/>
    <cellStyle name="Normal 20 2 2 4" xfId="2547" xr:uid="{00000000-0005-0000-0000-000030170000}"/>
    <cellStyle name="Normal 20 2 2 4 2" xfId="2548" xr:uid="{00000000-0005-0000-0000-000031170000}"/>
    <cellStyle name="Normal 20 2 2 4 2 2" xfId="9404" xr:uid="{00000000-0005-0000-0000-000032170000}"/>
    <cellStyle name="Normal 20 2 2 4 2 3" xfId="7802" xr:uid="{00000000-0005-0000-0000-000033170000}"/>
    <cellStyle name="Normal 20 2 2 4 2 4" xfId="11014" xr:uid="{00000000-0005-0000-0000-000034170000}"/>
    <cellStyle name="Normal 20 2 2 4 2 5" xfId="12621" xr:uid="{00000000-0005-0000-0000-000035170000}"/>
    <cellStyle name="Normal 20 2 2 4 3" xfId="2549" xr:uid="{00000000-0005-0000-0000-000036170000}"/>
    <cellStyle name="Normal 20 2 2 4 3 2" xfId="9405" xr:uid="{00000000-0005-0000-0000-000037170000}"/>
    <cellStyle name="Normal 20 2 2 4 3 3" xfId="7803" xr:uid="{00000000-0005-0000-0000-000038170000}"/>
    <cellStyle name="Normal 20 2 2 4 3 4" xfId="11015" xr:uid="{00000000-0005-0000-0000-000039170000}"/>
    <cellStyle name="Normal 20 2 2 4 3 5" xfId="12622" xr:uid="{00000000-0005-0000-0000-00003A170000}"/>
    <cellStyle name="Normal 20 2 2 4 4" xfId="2550" xr:uid="{00000000-0005-0000-0000-00003B170000}"/>
    <cellStyle name="Normal 20 2 2 4 4 2" xfId="9406" xr:uid="{00000000-0005-0000-0000-00003C170000}"/>
    <cellStyle name="Normal 20 2 2 4 4 3" xfId="7804" xr:uid="{00000000-0005-0000-0000-00003D170000}"/>
    <cellStyle name="Normal 20 2 2 4 4 4" xfId="11016" xr:uid="{00000000-0005-0000-0000-00003E170000}"/>
    <cellStyle name="Normal 20 2 2 4 4 5" xfId="12623" xr:uid="{00000000-0005-0000-0000-00003F170000}"/>
    <cellStyle name="Normal 20 2 2 4 5" xfId="9403" xr:uid="{00000000-0005-0000-0000-000040170000}"/>
    <cellStyle name="Normal 20 2 2 4 6" xfId="7801" xr:uid="{00000000-0005-0000-0000-000041170000}"/>
    <cellStyle name="Normal 20 2 2 4 7" xfId="11013" xr:uid="{00000000-0005-0000-0000-000042170000}"/>
    <cellStyle name="Normal 20 2 2 4 8" xfId="12620" xr:uid="{00000000-0005-0000-0000-000043170000}"/>
    <cellStyle name="Normal 20 2 2 5" xfId="2551" xr:uid="{00000000-0005-0000-0000-000044170000}"/>
    <cellStyle name="Normal 20 2 2 5 2" xfId="9407" xr:uid="{00000000-0005-0000-0000-000045170000}"/>
    <cellStyle name="Normal 20 2 2 5 3" xfId="7805" xr:uid="{00000000-0005-0000-0000-000046170000}"/>
    <cellStyle name="Normal 20 2 2 5 4" xfId="11017" xr:uid="{00000000-0005-0000-0000-000047170000}"/>
    <cellStyle name="Normal 20 2 2 5 5" xfId="12624" xr:uid="{00000000-0005-0000-0000-000048170000}"/>
    <cellStyle name="Normal 20 2 2 6" xfId="2552" xr:uid="{00000000-0005-0000-0000-000049170000}"/>
    <cellStyle name="Normal 20 2 2 6 2" xfId="9408" xr:uid="{00000000-0005-0000-0000-00004A170000}"/>
    <cellStyle name="Normal 20 2 2 6 3" xfId="7806" xr:uid="{00000000-0005-0000-0000-00004B170000}"/>
    <cellStyle name="Normal 20 2 2 6 4" xfId="11018" xr:uid="{00000000-0005-0000-0000-00004C170000}"/>
    <cellStyle name="Normal 20 2 2 6 5" xfId="12625" xr:uid="{00000000-0005-0000-0000-00004D170000}"/>
    <cellStyle name="Normal 20 2 2 7" xfId="2553" xr:uid="{00000000-0005-0000-0000-00004E170000}"/>
    <cellStyle name="Normal 20 2 2 7 2" xfId="9409" xr:uid="{00000000-0005-0000-0000-00004F170000}"/>
    <cellStyle name="Normal 20 2 2 7 3" xfId="7807" xr:uid="{00000000-0005-0000-0000-000050170000}"/>
    <cellStyle name="Normal 20 2 2 7 4" xfId="11019" xr:uid="{00000000-0005-0000-0000-000051170000}"/>
    <cellStyle name="Normal 20 2 2 7 5" xfId="12626" xr:uid="{00000000-0005-0000-0000-000052170000}"/>
    <cellStyle name="Normal 20 2 3" xfId="2554" xr:uid="{00000000-0005-0000-0000-000053170000}"/>
    <cellStyle name="Normal 20 2 3 2" xfId="2555" xr:uid="{00000000-0005-0000-0000-000054170000}"/>
    <cellStyle name="Normal 20 2 3 2 2" xfId="9411" xr:uid="{00000000-0005-0000-0000-000055170000}"/>
    <cellStyle name="Normal 20 2 3 2 3" xfId="7809" xr:uid="{00000000-0005-0000-0000-000056170000}"/>
    <cellStyle name="Normal 20 2 3 2 4" xfId="11021" xr:uid="{00000000-0005-0000-0000-000057170000}"/>
    <cellStyle name="Normal 20 2 3 2 5" xfId="12628" xr:uid="{00000000-0005-0000-0000-000058170000}"/>
    <cellStyle name="Normal 20 2 3 3" xfId="2556" xr:uid="{00000000-0005-0000-0000-000059170000}"/>
    <cellStyle name="Normal 20 2 3 3 2" xfId="9412" xr:uid="{00000000-0005-0000-0000-00005A170000}"/>
    <cellStyle name="Normal 20 2 3 3 3" xfId="7810" xr:uid="{00000000-0005-0000-0000-00005B170000}"/>
    <cellStyle name="Normal 20 2 3 3 4" xfId="11022" xr:uid="{00000000-0005-0000-0000-00005C170000}"/>
    <cellStyle name="Normal 20 2 3 3 5" xfId="12629" xr:uid="{00000000-0005-0000-0000-00005D170000}"/>
    <cellStyle name="Normal 20 2 3 4" xfId="2557" xr:uid="{00000000-0005-0000-0000-00005E170000}"/>
    <cellStyle name="Normal 20 2 3 4 2" xfId="9413" xr:uid="{00000000-0005-0000-0000-00005F170000}"/>
    <cellStyle name="Normal 20 2 3 4 3" xfId="7811" xr:uid="{00000000-0005-0000-0000-000060170000}"/>
    <cellStyle name="Normal 20 2 3 4 4" xfId="11023" xr:uid="{00000000-0005-0000-0000-000061170000}"/>
    <cellStyle name="Normal 20 2 3 4 5" xfId="12630" xr:uid="{00000000-0005-0000-0000-000062170000}"/>
    <cellStyle name="Normal 20 2 3 5" xfId="9410" xr:uid="{00000000-0005-0000-0000-000063170000}"/>
    <cellStyle name="Normal 20 2 3 6" xfId="7808" xr:uid="{00000000-0005-0000-0000-000064170000}"/>
    <cellStyle name="Normal 20 2 3 7" xfId="11020" xr:uid="{00000000-0005-0000-0000-000065170000}"/>
    <cellStyle name="Normal 20 2 3 8" xfId="12627" xr:uid="{00000000-0005-0000-0000-000066170000}"/>
    <cellStyle name="Normal 20 2 4" xfId="2558" xr:uid="{00000000-0005-0000-0000-000067170000}"/>
    <cellStyle name="Normal 20 2 5" xfId="2559" xr:uid="{00000000-0005-0000-0000-000068170000}"/>
    <cellStyle name="Normal 20 2 6" xfId="2560" xr:uid="{00000000-0005-0000-0000-000069170000}"/>
    <cellStyle name="Normal 20 2 6 2" xfId="9414" xr:uid="{00000000-0005-0000-0000-00006A170000}"/>
    <cellStyle name="Normal 20 2 6 3" xfId="7812" xr:uid="{00000000-0005-0000-0000-00006B170000}"/>
    <cellStyle name="Normal 20 2 6 4" xfId="11024" xr:uid="{00000000-0005-0000-0000-00006C170000}"/>
    <cellStyle name="Normal 20 2 6 5" xfId="12631" xr:uid="{00000000-0005-0000-0000-00006D170000}"/>
    <cellStyle name="Normal 20 2 7" xfId="2561" xr:uid="{00000000-0005-0000-0000-00006E170000}"/>
    <cellStyle name="Normal 20 2 7 2" xfId="9415" xr:uid="{00000000-0005-0000-0000-00006F170000}"/>
    <cellStyle name="Normal 20 2 7 3" xfId="7813" xr:uid="{00000000-0005-0000-0000-000070170000}"/>
    <cellStyle name="Normal 20 2 7 4" xfId="11025" xr:uid="{00000000-0005-0000-0000-000071170000}"/>
    <cellStyle name="Normal 20 2 7 5" xfId="12632" xr:uid="{00000000-0005-0000-0000-000072170000}"/>
    <cellStyle name="Normal 20 2 8" xfId="2562" xr:uid="{00000000-0005-0000-0000-000073170000}"/>
    <cellStyle name="Normal 20 2 8 2" xfId="9416" xr:uid="{00000000-0005-0000-0000-000074170000}"/>
    <cellStyle name="Normal 20 2 8 3" xfId="7814" xr:uid="{00000000-0005-0000-0000-000075170000}"/>
    <cellStyle name="Normal 20 2 8 4" xfId="11026" xr:uid="{00000000-0005-0000-0000-000076170000}"/>
    <cellStyle name="Normal 20 2 8 5" xfId="12633" xr:uid="{00000000-0005-0000-0000-000077170000}"/>
    <cellStyle name="Normal 20 2 9" xfId="9394" xr:uid="{00000000-0005-0000-0000-000078170000}"/>
    <cellStyle name="Normal 20 3" xfId="2563" xr:uid="{00000000-0005-0000-0000-000079170000}"/>
    <cellStyle name="Normal 20 4" xfId="2533" xr:uid="{00000000-0005-0000-0000-00007A170000}"/>
    <cellStyle name="Normal 20 5" xfId="10637" xr:uid="{00000000-0005-0000-0000-00007B170000}"/>
    <cellStyle name="Normal 200" xfId="7435" xr:uid="{00000000-0005-0000-0000-00007C170000}"/>
    <cellStyle name="Normal 201" xfId="10495" xr:uid="{00000000-0005-0000-0000-00007D170000}"/>
    <cellStyle name="Normal 202" xfId="7434" xr:uid="{00000000-0005-0000-0000-00007E170000}"/>
    <cellStyle name="Normal 203" xfId="10500" xr:uid="{00000000-0005-0000-0000-00007F170000}"/>
    <cellStyle name="Normal 204" xfId="10502" xr:uid="{00000000-0005-0000-0000-000080170000}"/>
    <cellStyle name="Normal 205" xfId="10487" xr:uid="{00000000-0005-0000-0000-000081170000}"/>
    <cellStyle name="Normal 206" xfId="10503" xr:uid="{00000000-0005-0000-0000-000082170000}"/>
    <cellStyle name="Normal 207" xfId="10490" xr:uid="{00000000-0005-0000-0000-000083170000}"/>
    <cellStyle name="Normal 208" xfId="10501" xr:uid="{00000000-0005-0000-0000-000084170000}"/>
    <cellStyle name="Normal 209" xfId="10590" xr:uid="{00000000-0005-0000-0000-000085170000}"/>
    <cellStyle name="Normal 21" xfId="154" xr:uid="{00000000-0005-0000-0000-000086170000}"/>
    <cellStyle name="Normal 21 2" xfId="2565" xr:uid="{00000000-0005-0000-0000-000087170000}"/>
    <cellStyle name="Normal 21 2 10" xfId="7815" xr:uid="{00000000-0005-0000-0000-000088170000}"/>
    <cellStyle name="Normal 21 2 11" xfId="11027" xr:uid="{00000000-0005-0000-0000-000089170000}"/>
    <cellStyle name="Normal 21 2 12" xfId="12634" xr:uid="{00000000-0005-0000-0000-00008A170000}"/>
    <cellStyle name="Normal 21 2 2" xfId="2566" xr:uid="{00000000-0005-0000-0000-00008B170000}"/>
    <cellStyle name="Normal 21 2 2 2" xfId="2567" xr:uid="{00000000-0005-0000-0000-00008C170000}"/>
    <cellStyle name="Normal 21 2 2 2 2" xfId="2568" xr:uid="{00000000-0005-0000-0000-00008D170000}"/>
    <cellStyle name="Normal 21 2 2 2 2 2" xfId="2569" xr:uid="{00000000-0005-0000-0000-00008E170000}"/>
    <cellStyle name="Normal 21 2 2 2 2 2 2" xfId="9419" xr:uid="{00000000-0005-0000-0000-00008F170000}"/>
    <cellStyle name="Normal 21 2 2 2 2 2 3" xfId="7817" xr:uid="{00000000-0005-0000-0000-000090170000}"/>
    <cellStyle name="Normal 21 2 2 2 2 2 4" xfId="11029" xr:uid="{00000000-0005-0000-0000-000091170000}"/>
    <cellStyle name="Normal 21 2 2 2 2 2 5" xfId="12636" xr:uid="{00000000-0005-0000-0000-000092170000}"/>
    <cellStyle name="Normal 21 2 2 2 2 3" xfId="2570" xr:uid="{00000000-0005-0000-0000-000093170000}"/>
    <cellStyle name="Normal 21 2 2 2 2 3 2" xfId="9420" xr:uid="{00000000-0005-0000-0000-000094170000}"/>
    <cellStyle name="Normal 21 2 2 2 2 3 3" xfId="7818" xr:uid="{00000000-0005-0000-0000-000095170000}"/>
    <cellStyle name="Normal 21 2 2 2 2 3 4" xfId="11030" xr:uid="{00000000-0005-0000-0000-000096170000}"/>
    <cellStyle name="Normal 21 2 2 2 2 3 5" xfId="12637" xr:uid="{00000000-0005-0000-0000-000097170000}"/>
    <cellStyle name="Normal 21 2 2 2 2 4" xfId="2571" xr:uid="{00000000-0005-0000-0000-000098170000}"/>
    <cellStyle name="Normal 21 2 2 2 2 4 2" xfId="9421" xr:uid="{00000000-0005-0000-0000-000099170000}"/>
    <cellStyle name="Normal 21 2 2 2 2 4 3" xfId="7819" xr:uid="{00000000-0005-0000-0000-00009A170000}"/>
    <cellStyle name="Normal 21 2 2 2 2 4 4" xfId="11031" xr:uid="{00000000-0005-0000-0000-00009B170000}"/>
    <cellStyle name="Normal 21 2 2 2 2 4 5" xfId="12638" xr:uid="{00000000-0005-0000-0000-00009C170000}"/>
    <cellStyle name="Normal 21 2 2 2 3" xfId="2572" xr:uid="{00000000-0005-0000-0000-00009D170000}"/>
    <cellStyle name="Normal 21 2 2 2 4" xfId="2573" xr:uid="{00000000-0005-0000-0000-00009E170000}"/>
    <cellStyle name="Normal 21 2 2 2 5" xfId="9418" xr:uid="{00000000-0005-0000-0000-00009F170000}"/>
    <cellStyle name="Normal 21 2 2 2 6" xfId="7816" xr:uid="{00000000-0005-0000-0000-0000A0170000}"/>
    <cellStyle name="Normal 21 2 2 2 7" xfId="11028" xr:uid="{00000000-0005-0000-0000-0000A1170000}"/>
    <cellStyle name="Normal 21 2 2 2 8" xfId="12635" xr:uid="{00000000-0005-0000-0000-0000A2170000}"/>
    <cellStyle name="Normal 21 2 2 3" xfId="2574" xr:uid="{00000000-0005-0000-0000-0000A3170000}"/>
    <cellStyle name="Normal 21 2 2 3 2" xfId="2575" xr:uid="{00000000-0005-0000-0000-0000A4170000}"/>
    <cellStyle name="Normal 21 2 2 3 2 2" xfId="9423" xr:uid="{00000000-0005-0000-0000-0000A5170000}"/>
    <cellStyle name="Normal 21 2 2 3 2 3" xfId="7821" xr:uid="{00000000-0005-0000-0000-0000A6170000}"/>
    <cellStyle name="Normal 21 2 2 3 2 4" xfId="11033" xr:uid="{00000000-0005-0000-0000-0000A7170000}"/>
    <cellStyle name="Normal 21 2 2 3 2 5" xfId="12640" xr:uid="{00000000-0005-0000-0000-0000A8170000}"/>
    <cellStyle name="Normal 21 2 2 3 3" xfId="2576" xr:uid="{00000000-0005-0000-0000-0000A9170000}"/>
    <cellStyle name="Normal 21 2 2 3 3 2" xfId="9424" xr:uid="{00000000-0005-0000-0000-0000AA170000}"/>
    <cellStyle name="Normal 21 2 2 3 3 3" xfId="7822" xr:uid="{00000000-0005-0000-0000-0000AB170000}"/>
    <cellStyle name="Normal 21 2 2 3 3 4" xfId="11034" xr:uid="{00000000-0005-0000-0000-0000AC170000}"/>
    <cellStyle name="Normal 21 2 2 3 3 5" xfId="12641" xr:uid="{00000000-0005-0000-0000-0000AD170000}"/>
    <cellStyle name="Normal 21 2 2 3 4" xfId="2577" xr:uid="{00000000-0005-0000-0000-0000AE170000}"/>
    <cellStyle name="Normal 21 2 2 3 4 2" xfId="9425" xr:uid="{00000000-0005-0000-0000-0000AF170000}"/>
    <cellStyle name="Normal 21 2 2 3 4 3" xfId="7823" xr:uid="{00000000-0005-0000-0000-0000B0170000}"/>
    <cellStyle name="Normal 21 2 2 3 4 4" xfId="11035" xr:uid="{00000000-0005-0000-0000-0000B1170000}"/>
    <cellStyle name="Normal 21 2 2 3 4 5" xfId="12642" xr:uid="{00000000-0005-0000-0000-0000B2170000}"/>
    <cellStyle name="Normal 21 2 2 3 5" xfId="9422" xr:uid="{00000000-0005-0000-0000-0000B3170000}"/>
    <cellStyle name="Normal 21 2 2 3 6" xfId="7820" xr:uid="{00000000-0005-0000-0000-0000B4170000}"/>
    <cellStyle name="Normal 21 2 2 3 7" xfId="11032" xr:uid="{00000000-0005-0000-0000-0000B5170000}"/>
    <cellStyle name="Normal 21 2 2 3 8" xfId="12639" xr:uid="{00000000-0005-0000-0000-0000B6170000}"/>
    <cellStyle name="Normal 21 2 2 4" xfId="2578" xr:uid="{00000000-0005-0000-0000-0000B7170000}"/>
    <cellStyle name="Normal 21 2 2 4 2" xfId="2579" xr:uid="{00000000-0005-0000-0000-0000B8170000}"/>
    <cellStyle name="Normal 21 2 2 4 2 2" xfId="9427" xr:uid="{00000000-0005-0000-0000-0000B9170000}"/>
    <cellStyle name="Normal 21 2 2 4 2 3" xfId="7825" xr:uid="{00000000-0005-0000-0000-0000BA170000}"/>
    <cellStyle name="Normal 21 2 2 4 2 4" xfId="11037" xr:uid="{00000000-0005-0000-0000-0000BB170000}"/>
    <cellStyle name="Normal 21 2 2 4 2 5" xfId="12644" xr:uid="{00000000-0005-0000-0000-0000BC170000}"/>
    <cellStyle name="Normal 21 2 2 4 3" xfId="2580" xr:uid="{00000000-0005-0000-0000-0000BD170000}"/>
    <cellStyle name="Normal 21 2 2 4 3 2" xfId="9428" xr:uid="{00000000-0005-0000-0000-0000BE170000}"/>
    <cellStyle name="Normal 21 2 2 4 3 3" xfId="7826" xr:uid="{00000000-0005-0000-0000-0000BF170000}"/>
    <cellStyle name="Normal 21 2 2 4 3 4" xfId="11038" xr:uid="{00000000-0005-0000-0000-0000C0170000}"/>
    <cellStyle name="Normal 21 2 2 4 3 5" xfId="12645" xr:uid="{00000000-0005-0000-0000-0000C1170000}"/>
    <cellStyle name="Normal 21 2 2 4 4" xfId="2581" xr:uid="{00000000-0005-0000-0000-0000C2170000}"/>
    <cellStyle name="Normal 21 2 2 4 4 2" xfId="9429" xr:uid="{00000000-0005-0000-0000-0000C3170000}"/>
    <cellStyle name="Normal 21 2 2 4 4 3" xfId="7827" xr:uid="{00000000-0005-0000-0000-0000C4170000}"/>
    <cellStyle name="Normal 21 2 2 4 4 4" xfId="11039" xr:uid="{00000000-0005-0000-0000-0000C5170000}"/>
    <cellStyle name="Normal 21 2 2 4 4 5" xfId="12646" xr:uid="{00000000-0005-0000-0000-0000C6170000}"/>
    <cellStyle name="Normal 21 2 2 4 5" xfId="9426" xr:uid="{00000000-0005-0000-0000-0000C7170000}"/>
    <cellStyle name="Normal 21 2 2 4 6" xfId="7824" xr:uid="{00000000-0005-0000-0000-0000C8170000}"/>
    <cellStyle name="Normal 21 2 2 4 7" xfId="11036" xr:uid="{00000000-0005-0000-0000-0000C9170000}"/>
    <cellStyle name="Normal 21 2 2 4 8" xfId="12643" xr:uid="{00000000-0005-0000-0000-0000CA170000}"/>
    <cellStyle name="Normal 21 2 2 5" xfId="2582" xr:uid="{00000000-0005-0000-0000-0000CB170000}"/>
    <cellStyle name="Normal 21 2 2 5 2" xfId="9430" xr:uid="{00000000-0005-0000-0000-0000CC170000}"/>
    <cellStyle name="Normal 21 2 2 5 3" xfId="7828" xr:uid="{00000000-0005-0000-0000-0000CD170000}"/>
    <cellStyle name="Normal 21 2 2 5 4" xfId="11040" xr:uid="{00000000-0005-0000-0000-0000CE170000}"/>
    <cellStyle name="Normal 21 2 2 5 5" xfId="12647" xr:uid="{00000000-0005-0000-0000-0000CF170000}"/>
    <cellStyle name="Normal 21 2 2 6" xfId="2583" xr:uid="{00000000-0005-0000-0000-0000D0170000}"/>
    <cellStyle name="Normal 21 2 2 6 2" xfId="9431" xr:uid="{00000000-0005-0000-0000-0000D1170000}"/>
    <cellStyle name="Normal 21 2 2 6 3" xfId="7829" xr:uid="{00000000-0005-0000-0000-0000D2170000}"/>
    <cellStyle name="Normal 21 2 2 6 4" xfId="11041" xr:uid="{00000000-0005-0000-0000-0000D3170000}"/>
    <cellStyle name="Normal 21 2 2 6 5" xfId="12648" xr:uid="{00000000-0005-0000-0000-0000D4170000}"/>
    <cellStyle name="Normal 21 2 2 7" xfId="2584" xr:uid="{00000000-0005-0000-0000-0000D5170000}"/>
    <cellStyle name="Normal 21 2 2 7 2" xfId="9432" xr:uid="{00000000-0005-0000-0000-0000D6170000}"/>
    <cellStyle name="Normal 21 2 2 7 3" xfId="7830" xr:uid="{00000000-0005-0000-0000-0000D7170000}"/>
    <cellStyle name="Normal 21 2 2 7 4" xfId="11042" xr:uid="{00000000-0005-0000-0000-0000D8170000}"/>
    <cellStyle name="Normal 21 2 2 7 5" xfId="12649" xr:uid="{00000000-0005-0000-0000-0000D9170000}"/>
    <cellStyle name="Normal 21 2 3" xfId="2585" xr:uid="{00000000-0005-0000-0000-0000DA170000}"/>
    <cellStyle name="Normal 21 2 3 2" xfId="2586" xr:uid="{00000000-0005-0000-0000-0000DB170000}"/>
    <cellStyle name="Normal 21 2 3 2 2" xfId="9434" xr:uid="{00000000-0005-0000-0000-0000DC170000}"/>
    <cellStyle name="Normal 21 2 3 2 3" xfId="7832" xr:uid="{00000000-0005-0000-0000-0000DD170000}"/>
    <cellStyle name="Normal 21 2 3 2 4" xfId="11044" xr:uid="{00000000-0005-0000-0000-0000DE170000}"/>
    <cellStyle name="Normal 21 2 3 2 5" xfId="12651" xr:uid="{00000000-0005-0000-0000-0000DF170000}"/>
    <cellStyle name="Normal 21 2 3 3" xfId="2587" xr:uid="{00000000-0005-0000-0000-0000E0170000}"/>
    <cellStyle name="Normal 21 2 3 3 2" xfId="9435" xr:uid="{00000000-0005-0000-0000-0000E1170000}"/>
    <cellStyle name="Normal 21 2 3 3 3" xfId="7833" xr:uid="{00000000-0005-0000-0000-0000E2170000}"/>
    <cellStyle name="Normal 21 2 3 3 4" xfId="11045" xr:uid="{00000000-0005-0000-0000-0000E3170000}"/>
    <cellStyle name="Normal 21 2 3 3 5" xfId="12652" xr:uid="{00000000-0005-0000-0000-0000E4170000}"/>
    <cellStyle name="Normal 21 2 3 4" xfId="2588" xr:uid="{00000000-0005-0000-0000-0000E5170000}"/>
    <cellStyle name="Normal 21 2 3 4 2" xfId="9436" xr:uid="{00000000-0005-0000-0000-0000E6170000}"/>
    <cellStyle name="Normal 21 2 3 4 3" xfId="7834" xr:uid="{00000000-0005-0000-0000-0000E7170000}"/>
    <cellStyle name="Normal 21 2 3 4 4" xfId="11046" xr:uid="{00000000-0005-0000-0000-0000E8170000}"/>
    <cellStyle name="Normal 21 2 3 4 5" xfId="12653" xr:uid="{00000000-0005-0000-0000-0000E9170000}"/>
    <cellStyle name="Normal 21 2 3 5" xfId="9433" xr:uid="{00000000-0005-0000-0000-0000EA170000}"/>
    <cellStyle name="Normal 21 2 3 6" xfId="7831" xr:uid="{00000000-0005-0000-0000-0000EB170000}"/>
    <cellStyle name="Normal 21 2 3 7" xfId="11043" xr:uid="{00000000-0005-0000-0000-0000EC170000}"/>
    <cellStyle name="Normal 21 2 3 8" xfId="12650" xr:uid="{00000000-0005-0000-0000-0000ED170000}"/>
    <cellStyle name="Normal 21 2 4" xfId="2589" xr:uid="{00000000-0005-0000-0000-0000EE170000}"/>
    <cellStyle name="Normal 21 2 5" xfId="2590" xr:uid="{00000000-0005-0000-0000-0000EF170000}"/>
    <cellStyle name="Normal 21 2 6" xfId="2591" xr:uid="{00000000-0005-0000-0000-0000F0170000}"/>
    <cellStyle name="Normal 21 2 6 2" xfId="9437" xr:uid="{00000000-0005-0000-0000-0000F1170000}"/>
    <cellStyle name="Normal 21 2 6 3" xfId="7835" xr:uid="{00000000-0005-0000-0000-0000F2170000}"/>
    <cellStyle name="Normal 21 2 6 4" xfId="11047" xr:uid="{00000000-0005-0000-0000-0000F3170000}"/>
    <cellStyle name="Normal 21 2 6 5" xfId="12654" xr:uid="{00000000-0005-0000-0000-0000F4170000}"/>
    <cellStyle name="Normal 21 2 7" xfId="2592" xr:uid="{00000000-0005-0000-0000-0000F5170000}"/>
    <cellStyle name="Normal 21 2 7 2" xfId="9438" xr:uid="{00000000-0005-0000-0000-0000F6170000}"/>
    <cellStyle name="Normal 21 2 7 3" xfId="7836" xr:uid="{00000000-0005-0000-0000-0000F7170000}"/>
    <cellStyle name="Normal 21 2 7 4" xfId="11048" xr:uid="{00000000-0005-0000-0000-0000F8170000}"/>
    <cellStyle name="Normal 21 2 7 5" xfId="12655" xr:uid="{00000000-0005-0000-0000-0000F9170000}"/>
    <cellStyle name="Normal 21 2 8" xfId="2593" xr:uid="{00000000-0005-0000-0000-0000FA170000}"/>
    <cellStyle name="Normal 21 2 8 2" xfId="9439" xr:uid="{00000000-0005-0000-0000-0000FB170000}"/>
    <cellStyle name="Normal 21 2 8 3" xfId="7837" xr:uid="{00000000-0005-0000-0000-0000FC170000}"/>
    <cellStyle name="Normal 21 2 8 4" xfId="11049" xr:uid="{00000000-0005-0000-0000-0000FD170000}"/>
    <cellStyle name="Normal 21 2 8 5" xfId="12656" xr:uid="{00000000-0005-0000-0000-0000FE170000}"/>
    <cellStyle name="Normal 21 2 9" xfId="9417" xr:uid="{00000000-0005-0000-0000-0000FF170000}"/>
    <cellStyle name="Normal 21 3" xfId="2594" xr:uid="{00000000-0005-0000-0000-000000180000}"/>
    <cellStyle name="Normal 21 4" xfId="2564" xr:uid="{00000000-0005-0000-0000-000001180000}"/>
    <cellStyle name="Normal 21 5" xfId="10634" xr:uid="{00000000-0005-0000-0000-000002180000}"/>
    <cellStyle name="Normal 210" xfId="10526" xr:uid="{00000000-0005-0000-0000-000003180000}"/>
    <cellStyle name="Normal 211" xfId="10533" xr:uid="{00000000-0005-0000-0000-000004180000}"/>
    <cellStyle name="Normal 212" xfId="10529" xr:uid="{00000000-0005-0000-0000-000005180000}"/>
    <cellStyle name="Normal 213" xfId="10516" xr:uid="{00000000-0005-0000-0000-000006180000}"/>
    <cellStyle name="Normal 214" xfId="10534" xr:uid="{00000000-0005-0000-0000-000007180000}"/>
    <cellStyle name="Normal 215" xfId="10591" xr:uid="{00000000-0005-0000-0000-000008180000}"/>
    <cellStyle name="Normal 216" xfId="10531" xr:uid="{00000000-0005-0000-0000-000009180000}"/>
    <cellStyle name="Normal 217" xfId="12243" xr:uid="{00000000-0005-0000-0000-00000A180000}"/>
    <cellStyle name="Normal 22" xfId="156" xr:uid="{00000000-0005-0000-0000-00000B180000}"/>
    <cellStyle name="Normal 22 2" xfId="2596" xr:uid="{00000000-0005-0000-0000-00000C180000}"/>
    <cellStyle name="Normal 22 2 10" xfId="7838" xr:uid="{00000000-0005-0000-0000-00000D180000}"/>
    <cellStyle name="Normal 22 2 11" xfId="11050" xr:uid="{00000000-0005-0000-0000-00000E180000}"/>
    <cellStyle name="Normal 22 2 12" xfId="12657" xr:uid="{00000000-0005-0000-0000-00000F180000}"/>
    <cellStyle name="Normal 22 2 2" xfId="2597" xr:uid="{00000000-0005-0000-0000-000010180000}"/>
    <cellStyle name="Normal 22 2 2 2" xfId="2598" xr:uid="{00000000-0005-0000-0000-000011180000}"/>
    <cellStyle name="Normal 22 2 2 2 2" xfId="2599" xr:uid="{00000000-0005-0000-0000-000012180000}"/>
    <cellStyle name="Normal 22 2 2 2 2 2" xfId="2600" xr:uid="{00000000-0005-0000-0000-000013180000}"/>
    <cellStyle name="Normal 22 2 2 2 2 2 2" xfId="9442" xr:uid="{00000000-0005-0000-0000-000014180000}"/>
    <cellStyle name="Normal 22 2 2 2 2 2 3" xfId="7840" xr:uid="{00000000-0005-0000-0000-000015180000}"/>
    <cellStyle name="Normal 22 2 2 2 2 2 4" xfId="11052" xr:uid="{00000000-0005-0000-0000-000016180000}"/>
    <cellStyle name="Normal 22 2 2 2 2 2 5" xfId="12659" xr:uid="{00000000-0005-0000-0000-000017180000}"/>
    <cellStyle name="Normal 22 2 2 2 2 3" xfId="2601" xr:uid="{00000000-0005-0000-0000-000018180000}"/>
    <cellStyle name="Normal 22 2 2 2 2 3 2" xfId="9443" xr:uid="{00000000-0005-0000-0000-000019180000}"/>
    <cellStyle name="Normal 22 2 2 2 2 3 3" xfId="7841" xr:uid="{00000000-0005-0000-0000-00001A180000}"/>
    <cellStyle name="Normal 22 2 2 2 2 3 4" xfId="11053" xr:uid="{00000000-0005-0000-0000-00001B180000}"/>
    <cellStyle name="Normal 22 2 2 2 2 3 5" xfId="12660" xr:uid="{00000000-0005-0000-0000-00001C180000}"/>
    <cellStyle name="Normal 22 2 2 2 2 4" xfId="2602" xr:uid="{00000000-0005-0000-0000-00001D180000}"/>
    <cellStyle name="Normal 22 2 2 2 2 4 2" xfId="9444" xr:uid="{00000000-0005-0000-0000-00001E180000}"/>
    <cellStyle name="Normal 22 2 2 2 2 4 3" xfId="7842" xr:uid="{00000000-0005-0000-0000-00001F180000}"/>
    <cellStyle name="Normal 22 2 2 2 2 4 4" xfId="11054" xr:uid="{00000000-0005-0000-0000-000020180000}"/>
    <cellStyle name="Normal 22 2 2 2 2 4 5" xfId="12661" xr:uid="{00000000-0005-0000-0000-000021180000}"/>
    <cellStyle name="Normal 22 2 2 2 3" xfId="2603" xr:uid="{00000000-0005-0000-0000-000022180000}"/>
    <cellStyle name="Normal 22 2 2 2 4" xfId="2604" xr:uid="{00000000-0005-0000-0000-000023180000}"/>
    <cellStyle name="Normal 22 2 2 2 5" xfId="9441" xr:uid="{00000000-0005-0000-0000-000024180000}"/>
    <cellStyle name="Normal 22 2 2 2 6" xfId="7839" xr:uid="{00000000-0005-0000-0000-000025180000}"/>
    <cellStyle name="Normal 22 2 2 2 7" xfId="11051" xr:uid="{00000000-0005-0000-0000-000026180000}"/>
    <cellStyle name="Normal 22 2 2 2 8" xfId="12658" xr:uid="{00000000-0005-0000-0000-000027180000}"/>
    <cellStyle name="Normal 22 2 2 3" xfId="2605" xr:uid="{00000000-0005-0000-0000-000028180000}"/>
    <cellStyle name="Normal 22 2 2 3 2" xfId="2606" xr:uid="{00000000-0005-0000-0000-000029180000}"/>
    <cellStyle name="Normal 22 2 2 3 2 2" xfId="9446" xr:uid="{00000000-0005-0000-0000-00002A180000}"/>
    <cellStyle name="Normal 22 2 2 3 2 3" xfId="7844" xr:uid="{00000000-0005-0000-0000-00002B180000}"/>
    <cellStyle name="Normal 22 2 2 3 2 4" xfId="11056" xr:uid="{00000000-0005-0000-0000-00002C180000}"/>
    <cellStyle name="Normal 22 2 2 3 2 5" xfId="12663" xr:uid="{00000000-0005-0000-0000-00002D180000}"/>
    <cellStyle name="Normal 22 2 2 3 3" xfId="2607" xr:uid="{00000000-0005-0000-0000-00002E180000}"/>
    <cellStyle name="Normal 22 2 2 3 3 2" xfId="9447" xr:uid="{00000000-0005-0000-0000-00002F180000}"/>
    <cellStyle name="Normal 22 2 2 3 3 3" xfId="7845" xr:uid="{00000000-0005-0000-0000-000030180000}"/>
    <cellStyle name="Normal 22 2 2 3 3 4" xfId="11057" xr:uid="{00000000-0005-0000-0000-000031180000}"/>
    <cellStyle name="Normal 22 2 2 3 3 5" xfId="12664" xr:uid="{00000000-0005-0000-0000-000032180000}"/>
    <cellStyle name="Normal 22 2 2 3 4" xfId="2608" xr:uid="{00000000-0005-0000-0000-000033180000}"/>
    <cellStyle name="Normal 22 2 2 3 4 2" xfId="9448" xr:uid="{00000000-0005-0000-0000-000034180000}"/>
    <cellStyle name="Normal 22 2 2 3 4 3" xfId="7846" xr:uid="{00000000-0005-0000-0000-000035180000}"/>
    <cellStyle name="Normal 22 2 2 3 4 4" xfId="11058" xr:uid="{00000000-0005-0000-0000-000036180000}"/>
    <cellStyle name="Normal 22 2 2 3 4 5" xfId="12665" xr:uid="{00000000-0005-0000-0000-000037180000}"/>
    <cellStyle name="Normal 22 2 2 3 5" xfId="9445" xr:uid="{00000000-0005-0000-0000-000038180000}"/>
    <cellStyle name="Normal 22 2 2 3 6" xfId="7843" xr:uid="{00000000-0005-0000-0000-000039180000}"/>
    <cellStyle name="Normal 22 2 2 3 7" xfId="11055" xr:uid="{00000000-0005-0000-0000-00003A180000}"/>
    <cellStyle name="Normal 22 2 2 3 8" xfId="12662" xr:uid="{00000000-0005-0000-0000-00003B180000}"/>
    <cellStyle name="Normal 22 2 2 4" xfId="2609" xr:uid="{00000000-0005-0000-0000-00003C180000}"/>
    <cellStyle name="Normal 22 2 2 4 2" xfId="2610" xr:uid="{00000000-0005-0000-0000-00003D180000}"/>
    <cellStyle name="Normal 22 2 2 4 2 2" xfId="9450" xr:uid="{00000000-0005-0000-0000-00003E180000}"/>
    <cellStyle name="Normal 22 2 2 4 2 3" xfId="7848" xr:uid="{00000000-0005-0000-0000-00003F180000}"/>
    <cellStyle name="Normal 22 2 2 4 2 4" xfId="11060" xr:uid="{00000000-0005-0000-0000-000040180000}"/>
    <cellStyle name="Normal 22 2 2 4 2 5" xfId="12667" xr:uid="{00000000-0005-0000-0000-000041180000}"/>
    <cellStyle name="Normal 22 2 2 4 3" xfId="2611" xr:uid="{00000000-0005-0000-0000-000042180000}"/>
    <cellStyle name="Normal 22 2 2 4 3 2" xfId="9451" xr:uid="{00000000-0005-0000-0000-000043180000}"/>
    <cellStyle name="Normal 22 2 2 4 3 3" xfId="7849" xr:uid="{00000000-0005-0000-0000-000044180000}"/>
    <cellStyle name="Normal 22 2 2 4 3 4" xfId="11061" xr:uid="{00000000-0005-0000-0000-000045180000}"/>
    <cellStyle name="Normal 22 2 2 4 3 5" xfId="12668" xr:uid="{00000000-0005-0000-0000-000046180000}"/>
    <cellStyle name="Normal 22 2 2 4 4" xfId="2612" xr:uid="{00000000-0005-0000-0000-000047180000}"/>
    <cellStyle name="Normal 22 2 2 4 4 2" xfId="9452" xr:uid="{00000000-0005-0000-0000-000048180000}"/>
    <cellStyle name="Normal 22 2 2 4 4 3" xfId="7850" xr:uid="{00000000-0005-0000-0000-000049180000}"/>
    <cellStyle name="Normal 22 2 2 4 4 4" xfId="11062" xr:uid="{00000000-0005-0000-0000-00004A180000}"/>
    <cellStyle name="Normal 22 2 2 4 4 5" xfId="12669" xr:uid="{00000000-0005-0000-0000-00004B180000}"/>
    <cellStyle name="Normal 22 2 2 4 5" xfId="9449" xr:uid="{00000000-0005-0000-0000-00004C180000}"/>
    <cellStyle name="Normal 22 2 2 4 6" xfId="7847" xr:uid="{00000000-0005-0000-0000-00004D180000}"/>
    <cellStyle name="Normal 22 2 2 4 7" xfId="11059" xr:uid="{00000000-0005-0000-0000-00004E180000}"/>
    <cellStyle name="Normal 22 2 2 4 8" xfId="12666" xr:uid="{00000000-0005-0000-0000-00004F180000}"/>
    <cellStyle name="Normal 22 2 2 5" xfId="2613" xr:uid="{00000000-0005-0000-0000-000050180000}"/>
    <cellStyle name="Normal 22 2 2 5 2" xfId="9453" xr:uid="{00000000-0005-0000-0000-000051180000}"/>
    <cellStyle name="Normal 22 2 2 5 3" xfId="7851" xr:uid="{00000000-0005-0000-0000-000052180000}"/>
    <cellStyle name="Normal 22 2 2 5 4" xfId="11063" xr:uid="{00000000-0005-0000-0000-000053180000}"/>
    <cellStyle name="Normal 22 2 2 5 5" xfId="12670" xr:uid="{00000000-0005-0000-0000-000054180000}"/>
    <cellStyle name="Normal 22 2 2 6" xfId="2614" xr:uid="{00000000-0005-0000-0000-000055180000}"/>
    <cellStyle name="Normal 22 2 2 6 2" xfId="9454" xr:uid="{00000000-0005-0000-0000-000056180000}"/>
    <cellStyle name="Normal 22 2 2 6 3" xfId="7852" xr:uid="{00000000-0005-0000-0000-000057180000}"/>
    <cellStyle name="Normal 22 2 2 6 4" xfId="11064" xr:uid="{00000000-0005-0000-0000-000058180000}"/>
    <cellStyle name="Normal 22 2 2 6 5" xfId="12671" xr:uid="{00000000-0005-0000-0000-000059180000}"/>
    <cellStyle name="Normal 22 2 2 7" xfId="2615" xr:uid="{00000000-0005-0000-0000-00005A180000}"/>
    <cellStyle name="Normal 22 2 2 7 2" xfId="9455" xr:uid="{00000000-0005-0000-0000-00005B180000}"/>
    <cellStyle name="Normal 22 2 2 7 3" xfId="7853" xr:uid="{00000000-0005-0000-0000-00005C180000}"/>
    <cellStyle name="Normal 22 2 2 7 4" xfId="11065" xr:uid="{00000000-0005-0000-0000-00005D180000}"/>
    <cellStyle name="Normal 22 2 2 7 5" xfId="12672" xr:uid="{00000000-0005-0000-0000-00005E180000}"/>
    <cellStyle name="Normal 22 2 3" xfId="2616" xr:uid="{00000000-0005-0000-0000-00005F180000}"/>
    <cellStyle name="Normal 22 2 3 2" xfId="2617" xr:uid="{00000000-0005-0000-0000-000060180000}"/>
    <cellStyle name="Normal 22 2 3 2 2" xfId="9457" xr:uid="{00000000-0005-0000-0000-000061180000}"/>
    <cellStyle name="Normal 22 2 3 2 3" xfId="7855" xr:uid="{00000000-0005-0000-0000-000062180000}"/>
    <cellStyle name="Normal 22 2 3 2 4" xfId="11067" xr:uid="{00000000-0005-0000-0000-000063180000}"/>
    <cellStyle name="Normal 22 2 3 2 5" xfId="12674" xr:uid="{00000000-0005-0000-0000-000064180000}"/>
    <cellStyle name="Normal 22 2 3 3" xfId="2618" xr:uid="{00000000-0005-0000-0000-000065180000}"/>
    <cellStyle name="Normal 22 2 3 3 2" xfId="9458" xr:uid="{00000000-0005-0000-0000-000066180000}"/>
    <cellStyle name="Normal 22 2 3 3 3" xfId="7856" xr:uid="{00000000-0005-0000-0000-000067180000}"/>
    <cellStyle name="Normal 22 2 3 3 4" xfId="11068" xr:uid="{00000000-0005-0000-0000-000068180000}"/>
    <cellStyle name="Normal 22 2 3 3 5" xfId="12675" xr:uid="{00000000-0005-0000-0000-000069180000}"/>
    <cellStyle name="Normal 22 2 3 4" xfId="2619" xr:uid="{00000000-0005-0000-0000-00006A180000}"/>
    <cellStyle name="Normal 22 2 3 4 2" xfId="9459" xr:uid="{00000000-0005-0000-0000-00006B180000}"/>
    <cellStyle name="Normal 22 2 3 4 3" xfId="7857" xr:uid="{00000000-0005-0000-0000-00006C180000}"/>
    <cellStyle name="Normal 22 2 3 4 4" xfId="11069" xr:uid="{00000000-0005-0000-0000-00006D180000}"/>
    <cellStyle name="Normal 22 2 3 4 5" xfId="12676" xr:uid="{00000000-0005-0000-0000-00006E180000}"/>
    <cellStyle name="Normal 22 2 3 5" xfId="9456" xr:uid="{00000000-0005-0000-0000-00006F180000}"/>
    <cellStyle name="Normal 22 2 3 6" xfId="7854" xr:uid="{00000000-0005-0000-0000-000070180000}"/>
    <cellStyle name="Normal 22 2 3 7" xfId="11066" xr:uid="{00000000-0005-0000-0000-000071180000}"/>
    <cellStyle name="Normal 22 2 3 8" xfId="12673" xr:uid="{00000000-0005-0000-0000-000072180000}"/>
    <cellStyle name="Normal 22 2 4" xfId="2620" xr:uid="{00000000-0005-0000-0000-000073180000}"/>
    <cellStyle name="Normal 22 2 5" xfId="2621" xr:uid="{00000000-0005-0000-0000-000074180000}"/>
    <cellStyle name="Normal 22 2 6" xfId="2622" xr:uid="{00000000-0005-0000-0000-000075180000}"/>
    <cellStyle name="Normal 22 2 6 2" xfId="9460" xr:uid="{00000000-0005-0000-0000-000076180000}"/>
    <cellStyle name="Normal 22 2 6 3" xfId="7858" xr:uid="{00000000-0005-0000-0000-000077180000}"/>
    <cellStyle name="Normal 22 2 6 4" xfId="11070" xr:uid="{00000000-0005-0000-0000-000078180000}"/>
    <cellStyle name="Normal 22 2 6 5" xfId="12677" xr:uid="{00000000-0005-0000-0000-000079180000}"/>
    <cellStyle name="Normal 22 2 7" xfId="2623" xr:uid="{00000000-0005-0000-0000-00007A180000}"/>
    <cellStyle name="Normal 22 2 7 2" xfId="9461" xr:uid="{00000000-0005-0000-0000-00007B180000}"/>
    <cellStyle name="Normal 22 2 7 3" xfId="7859" xr:uid="{00000000-0005-0000-0000-00007C180000}"/>
    <cellStyle name="Normal 22 2 7 4" xfId="11071" xr:uid="{00000000-0005-0000-0000-00007D180000}"/>
    <cellStyle name="Normal 22 2 7 5" xfId="12678" xr:uid="{00000000-0005-0000-0000-00007E180000}"/>
    <cellStyle name="Normal 22 2 8" xfId="2624" xr:uid="{00000000-0005-0000-0000-00007F180000}"/>
    <cellStyle name="Normal 22 2 8 2" xfId="9462" xr:uid="{00000000-0005-0000-0000-000080180000}"/>
    <cellStyle name="Normal 22 2 8 3" xfId="7860" xr:uid="{00000000-0005-0000-0000-000081180000}"/>
    <cellStyle name="Normal 22 2 8 4" xfId="11072" xr:uid="{00000000-0005-0000-0000-000082180000}"/>
    <cellStyle name="Normal 22 2 8 5" xfId="12679" xr:uid="{00000000-0005-0000-0000-000083180000}"/>
    <cellStyle name="Normal 22 2 9" xfId="9440" xr:uid="{00000000-0005-0000-0000-000084180000}"/>
    <cellStyle name="Normal 22 3" xfId="2625" xr:uid="{00000000-0005-0000-0000-000085180000}"/>
    <cellStyle name="Normal 22 4" xfId="2595" xr:uid="{00000000-0005-0000-0000-000086180000}"/>
    <cellStyle name="Normal 22 5" xfId="10636" xr:uid="{00000000-0005-0000-0000-000087180000}"/>
    <cellStyle name="Normal 23" xfId="155" xr:uid="{00000000-0005-0000-0000-000088180000}"/>
    <cellStyle name="Normal 23 2" xfId="2627" xr:uid="{00000000-0005-0000-0000-000089180000}"/>
    <cellStyle name="Normal 23 2 10" xfId="7861" xr:uid="{00000000-0005-0000-0000-00008A180000}"/>
    <cellStyle name="Normal 23 2 11" xfId="11073" xr:uid="{00000000-0005-0000-0000-00008B180000}"/>
    <cellStyle name="Normal 23 2 12" xfId="12680" xr:uid="{00000000-0005-0000-0000-00008C180000}"/>
    <cellStyle name="Normal 23 2 2" xfId="2628" xr:uid="{00000000-0005-0000-0000-00008D180000}"/>
    <cellStyle name="Normal 23 2 2 2" xfId="2629" xr:uid="{00000000-0005-0000-0000-00008E180000}"/>
    <cellStyle name="Normal 23 2 2 2 2" xfId="2630" xr:uid="{00000000-0005-0000-0000-00008F180000}"/>
    <cellStyle name="Normal 23 2 2 2 2 2" xfId="2631" xr:uid="{00000000-0005-0000-0000-000090180000}"/>
    <cellStyle name="Normal 23 2 2 2 2 2 2" xfId="9465" xr:uid="{00000000-0005-0000-0000-000091180000}"/>
    <cellStyle name="Normal 23 2 2 2 2 2 3" xfId="7863" xr:uid="{00000000-0005-0000-0000-000092180000}"/>
    <cellStyle name="Normal 23 2 2 2 2 2 4" xfId="11075" xr:uid="{00000000-0005-0000-0000-000093180000}"/>
    <cellStyle name="Normal 23 2 2 2 2 2 5" xfId="12682" xr:uid="{00000000-0005-0000-0000-000094180000}"/>
    <cellStyle name="Normal 23 2 2 2 2 3" xfId="2632" xr:uid="{00000000-0005-0000-0000-000095180000}"/>
    <cellStyle name="Normal 23 2 2 2 2 3 2" xfId="9466" xr:uid="{00000000-0005-0000-0000-000096180000}"/>
    <cellStyle name="Normal 23 2 2 2 2 3 3" xfId="7864" xr:uid="{00000000-0005-0000-0000-000097180000}"/>
    <cellStyle name="Normal 23 2 2 2 2 3 4" xfId="11076" xr:uid="{00000000-0005-0000-0000-000098180000}"/>
    <cellStyle name="Normal 23 2 2 2 2 3 5" xfId="12683" xr:uid="{00000000-0005-0000-0000-000099180000}"/>
    <cellStyle name="Normal 23 2 2 2 2 4" xfId="2633" xr:uid="{00000000-0005-0000-0000-00009A180000}"/>
    <cellStyle name="Normal 23 2 2 2 2 4 2" xfId="9467" xr:uid="{00000000-0005-0000-0000-00009B180000}"/>
    <cellStyle name="Normal 23 2 2 2 2 4 3" xfId="7865" xr:uid="{00000000-0005-0000-0000-00009C180000}"/>
    <cellStyle name="Normal 23 2 2 2 2 4 4" xfId="11077" xr:uid="{00000000-0005-0000-0000-00009D180000}"/>
    <cellStyle name="Normal 23 2 2 2 2 4 5" xfId="12684" xr:uid="{00000000-0005-0000-0000-00009E180000}"/>
    <cellStyle name="Normal 23 2 2 2 3" xfId="2634" xr:uid="{00000000-0005-0000-0000-00009F180000}"/>
    <cellStyle name="Normal 23 2 2 2 4" xfId="2635" xr:uid="{00000000-0005-0000-0000-0000A0180000}"/>
    <cellStyle name="Normal 23 2 2 2 5" xfId="9464" xr:uid="{00000000-0005-0000-0000-0000A1180000}"/>
    <cellStyle name="Normal 23 2 2 2 6" xfId="7862" xr:uid="{00000000-0005-0000-0000-0000A2180000}"/>
    <cellStyle name="Normal 23 2 2 2 7" xfId="11074" xr:uid="{00000000-0005-0000-0000-0000A3180000}"/>
    <cellStyle name="Normal 23 2 2 2 8" xfId="12681" xr:uid="{00000000-0005-0000-0000-0000A4180000}"/>
    <cellStyle name="Normal 23 2 2 3" xfId="2636" xr:uid="{00000000-0005-0000-0000-0000A5180000}"/>
    <cellStyle name="Normal 23 2 2 3 2" xfId="2637" xr:uid="{00000000-0005-0000-0000-0000A6180000}"/>
    <cellStyle name="Normal 23 2 2 3 2 2" xfId="9469" xr:uid="{00000000-0005-0000-0000-0000A7180000}"/>
    <cellStyle name="Normal 23 2 2 3 2 3" xfId="7867" xr:uid="{00000000-0005-0000-0000-0000A8180000}"/>
    <cellStyle name="Normal 23 2 2 3 2 4" xfId="11079" xr:uid="{00000000-0005-0000-0000-0000A9180000}"/>
    <cellStyle name="Normal 23 2 2 3 2 5" xfId="12686" xr:uid="{00000000-0005-0000-0000-0000AA180000}"/>
    <cellStyle name="Normal 23 2 2 3 3" xfId="2638" xr:uid="{00000000-0005-0000-0000-0000AB180000}"/>
    <cellStyle name="Normal 23 2 2 3 3 2" xfId="9470" xr:uid="{00000000-0005-0000-0000-0000AC180000}"/>
    <cellStyle name="Normal 23 2 2 3 3 3" xfId="7868" xr:uid="{00000000-0005-0000-0000-0000AD180000}"/>
    <cellStyle name="Normal 23 2 2 3 3 4" xfId="11080" xr:uid="{00000000-0005-0000-0000-0000AE180000}"/>
    <cellStyle name="Normal 23 2 2 3 3 5" xfId="12687" xr:uid="{00000000-0005-0000-0000-0000AF180000}"/>
    <cellStyle name="Normal 23 2 2 3 4" xfId="2639" xr:uid="{00000000-0005-0000-0000-0000B0180000}"/>
    <cellStyle name="Normal 23 2 2 3 4 2" xfId="9471" xr:uid="{00000000-0005-0000-0000-0000B1180000}"/>
    <cellStyle name="Normal 23 2 2 3 4 3" xfId="7869" xr:uid="{00000000-0005-0000-0000-0000B2180000}"/>
    <cellStyle name="Normal 23 2 2 3 4 4" xfId="11081" xr:uid="{00000000-0005-0000-0000-0000B3180000}"/>
    <cellStyle name="Normal 23 2 2 3 4 5" xfId="12688" xr:uid="{00000000-0005-0000-0000-0000B4180000}"/>
    <cellStyle name="Normal 23 2 2 3 5" xfId="9468" xr:uid="{00000000-0005-0000-0000-0000B5180000}"/>
    <cellStyle name="Normal 23 2 2 3 6" xfId="7866" xr:uid="{00000000-0005-0000-0000-0000B6180000}"/>
    <cellStyle name="Normal 23 2 2 3 7" xfId="11078" xr:uid="{00000000-0005-0000-0000-0000B7180000}"/>
    <cellStyle name="Normal 23 2 2 3 8" xfId="12685" xr:uid="{00000000-0005-0000-0000-0000B8180000}"/>
    <cellStyle name="Normal 23 2 2 4" xfId="2640" xr:uid="{00000000-0005-0000-0000-0000B9180000}"/>
    <cellStyle name="Normal 23 2 2 4 2" xfId="2641" xr:uid="{00000000-0005-0000-0000-0000BA180000}"/>
    <cellStyle name="Normal 23 2 2 4 2 2" xfId="9473" xr:uid="{00000000-0005-0000-0000-0000BB180000}"/>
    <cellStyle name="Normal 23 2 2 4 2 3" xfId="7871" xr:uid="{00000000-0005-0000-0000-0000BC180000}"/>
    <cellStyle name="Normal 23 2 2 4 2 4" xfId="11083" xr:uid="{00000000-0005-0000-0000-0000BD180000}"/>
    <cellStyle name="Normal 23 2 2 4 2 5" xfId="12690" xr:uid="{00000000-0005-0000-0000-0000BE180000}"/>
    <cellStyle name="Normal 23 2 2 4 3" xfId="2642" xr:uid="{00000000-0005-0000-0000-0000BF180000}"/>
    <cellStyle name="Normal 23 2 2 4 3 2" xfId="9474" xr:uid="{00000000-0005-0000-0000-0000C0180000}"/>
    <cellStyle name="Normal 23 2 2 4 3 3" xfId="7872" xr:uid="{00000000-0005-0000-0000-0000C1180000}"/>
    <cellStyle name="Normal 23 2 2 4 3 4" xfId="11084" xr:uid="{00000000-0005-0000-0000-0000C2180000}"/>
    <cellStyle name="Normal 23 2 2 4 3 5" xfId="12691" xr:uid="{00000000-0005-0000-0000-0000C3180000}"/>
    <cellStyle name="Normal 23 2 2 4 4" xfId="2643" xr:uid="{00000000-0005-0000-0000-0000C4180000}"/>
    <cellStyle name="Normal 23 2 2 4 4 2" xfId="9475" xr:uid="{00000000-0005-0000-0000-0000C5180000}"/>
    <cellStyle name="Normal 23 2 2 4 4 3" xfId="7873" xr:uid="{00000000-0005-0000-0000-0000C6180000}"/>
    <cellStyle name="Normal 23 2 2 4 4 4" xfId="11085" xr:uid="{00000000-0005-0000-0000-0000C7180000}"/>
    <cellStyle name="Normal 23 2 2 4 4 5" xfId="12692" xr:uid="{00000000-0005-0000-0000-0000C8180000}"/>
    <cellStyle name="Normal 23 2 2 4 5" xfId="9472" xr:uid="{00000000-0005-0000-0000-0000C9180000}"/>
    <cellStyle name="Normal 23 2 2 4 6" xfId="7870" xr:uid="{00000000-0005-0000-0000-0000CA180000}"/>
    <cellStyle name="Normal 23 2 2 4 7" xfId="11082" xr:uid="{00000000-0005-0000-0000-0000CB180000}"/>
    <cellStyle name="Normal 23 2 2 4 8" xfId="12689" xr:uid="{00000000-0005-0000-0000-0000CC180000}"/>
    <cellStyle name="Normal 23 2 2 5" xfId="2644" xr:uid="{00000000-0005-0000-0000-0000CD180000}"/>
    <cellStyle name="Normal 23 2 2 5 2" xfId="9476" xr:uid="{00000000-0005-0000-0000-0000CE180000}"/>
    <cellStyle name="Normal 23 2 2 5 3" xfId="7874" xr:uid="{00000000-0005-0000-0000-0000CF180000}"/>
    <cellStyle name="Normal 23 2 2 5 4" xfId="11086" xr:uid="{00000000-0005-0000-0000-0000D0180000}"/>
    <cellStyle name="Normal 23 2 2 5 5" xfId="12693" xr:uid="{00000000-0005-0000-0000-0000D1180000}"/>
    <cellStyle name="Normal 23 2 2 6" xfId="2645" xr:uid="{00000000-0005-0000-0000-0000D2180000}"/>
    <cellStyle name="Normal 23 2 2 6 2" xfId="9477" xr:uid="{00000000-0005-0000-0000-0000D3180000}"/>
    <cellStyle name="Normal 23 2 2 6 3" xfId="7875" xr:uid="{00000000-0005-0000-0000-0000D4180000}"/>
    <cellStyle name="Normal 23 2 2 6 4" xfId="11087" xr:uid="{00000000-0005-0000-0000-0000D5180000}"/>
    <cellStyle name="Normal 23 2 2 6 5" xfId="12694" xr:uid="{00000000-0005-0000-0000-0000D6180000}"/>
    <cellStyle name="Normal 23 2 2 7" xfId="2646" xr:uid="{00000000-0005-0000-0000-0000D7180000}"/>
    <cellStyle name="Normal 23 2 2 7 2" xfId="9478" xr:uid="{00000000-0005-0000-0000-0000D8180000}"/>
    <cellStyle name="Normal 23 2 2 7 3" xfId="7876" xr:uid="{00000000-0005-0000-0000-0000D9180000}"/>
    <cellStyle name="Normal 23 2 2 7 4" xfId="11088" xr:uid="{00000000-0005-0000-0000-0000DA180000}"/>
    <cellStyle name="Normal 23 2 2 7 5" xfId="12695" xr:uid="{00000000-0005-0000-0000-0000DB180000}"/>
    <cellStyle name="Normal 23 2 3" xfId="2647" xr:uid="{00000000-0005-0000-0000-0000DC180000}"/>
    <cellStyle name="Normal 23 2 3 2" xfId="2648" xr:uid="{00000000-0005-0000-0000-0000DD180000}"/>
    <cellStyle name="Normal 23 2 3 2 2" xfId="9480" xr:uid="{00000000-0005-0000-0000-0000DE180000}"/>
    <cellStyle name="Normal 23 2 3 2 3" xfId="7878" xr:uid="{00000000-0005-0000-0000-0000DF180000}"/>
    <cellStyle name="Normal 23 2 3 2 4" xfId="11090" xr:uid="{00000000-0005-0000-0000-0000E0180000}"/>
    <cellStyle name="Normal 23 2 3 2 5" xfId="12697" xr:uid="{00000000-0005-0000-0000-0000E1180000}"/>
    <cellStyle name="Normal 23 2 3 3" xfId="2649" xr:uid="{00000000-0005-0000-0000-0000E2180000}"/>
    <cellStyle name="Normal 23 2 3 3 2" xfId="9481" xr:uid="{00000000-0005-0000-0000-0000E3180000}"/>
    <cellStyle name="Normal 23 2 3 3 3" xfId="7879" xr:uid="{00000000-0005-0000-0000-0000E4180000}"/>
    <cellStyle name="Normal 23 2 3 3 4" xfId="11091" xr:uid="{00000000-0005-0000-0000-0000E5180000}"/>
    <cellStyle name="Normal 23 2 3 3 5" xfId="12698" xr:uid="{00000000-0005-0000-0000-0000E6180000}"/>
    <cellStyle name="Normal 23 2 3 4" xfId="2650" xr:uid="{00000000-0005-0000-0000-0000E7180000}"/>
    <cellStyle name="Normal 23 2 3 4 2" xfId="9482" xr:uid="{00000000-0005-0000-0000-0000E8180000}"/>
    <cellStyle name="Normal 23 2 3 4 3" xfId="7880" xr:uid="{00000000-0005-0000-0000-0000E9180000}"/>
    <cellStyle name="Normal 23 2 3 4 4" xfId="11092" xr:uid="{00000000-0005-0000-0000-0000EA180000}"/>
    <cellStyle name="Normal 23 2 3 4 5" xfId="12699" xr:uid="{00000000-0005-0000-0000-0000EB180000}"/>
    <cellStyle name="Normal 23 2 3 5" xfId="9479" xr:uid="{00000000-0005-0000-0000-0000EC180000}"/>
    <cellStyle name="Normal 23 2 3 6" xfId="7877" xr:uid="{00000000-0005-0000-0000-0000ED180000}"/>
    <cellStyle name="Normal 23 2 3 7" xfId="11089" xr:uid="{00000000-0005-0000-0000-0000EE180000}"/>
    <cellStyle name="Normal 23 2 3 8" xfId="12696" xr:uid="{00000000-0005-0000-0000-0000EF180000}"/>
    <cellStyle name="Normal 23 2 4" xfId="2651" xr:uid="{00000000-0005-0000-0000-0000F0180000}"/>
    <cellStyle name="Normal 23 2 5" xfId="2652" xr:uid="{00000000-0005-0000-0000-0000F1180000}"/>
    <cellStyle name="Normal 23 2 6" xfId="2653" xr:uid="{00000000-0005-0000-0000-0000F2180000}"/>
    <cellStyle name="Normal 23 2 6 2" xfId="9483" xr:uid="{00000000-0005-0000-0000-0000F3180000}"/>
    <cellStyle name="Normal 23 2 6 3" xfId="7881" xr:uid="{00000000-0005-0000-0000-0000F4180000}"/>
    <cellStyle name="Normal 23 2 6 4" xfId="11093" xr:uid="{00000000-0005-0000-0000-0000F5180000}"/>
    <cellStyle name="Normal 23 2 6 5" xfId="12700" xr:uid="{00000000-0005-0000-0000-0000F6180000}"/>
    <cellStyle name="Normal 23 2 7" xfId="2654" xr:uid="{00000000-0005-0000-0000-0000F7180000}"/>
    <cellStyle name="Normal 23 2 7 2" xfId="9484" xr:uid="{00000000-0005-0000-0000-0000F8180000}"/>
    <cellStyle name="Normal 23 2 7 3" xfId="7882" xr:uid="{00000000-0005-0000-0000-0000F9180000}"/>
    <cellStyle name="Normal 23 2 7 4" xfId="11094" xr:uid="{00000000-0005-0000-0000-0000FA180000}"/>
    <cellStyle name="Normal 23 2 7 5" xfId="12701" xr:uid="{00000000-0005-0000-0000-0000FB180000}"/>
    <cellStyle name="Normal 23 2 8" xfId="2655" xr:uid="{00000000-0005-0000-0000-0000FC180000}"/>
    <cellStyle name="Normal 23 2 8 2" xfId="9485" xr:uid="{00000000-0005-0000-0000-0000FD180000}"/>
    <cellStyle name="Normal 23 2 8 3" xfId="7883" xr:uid="{00000000-0005-0000-0000-0000FE180000}"/>
    <cellStyle name="Normal 23 2 8 4" xfId="11095" xr:uid="{00000000-0005-0000-0000-0000FF180000}"/>
    <cellStyle name="Normal 23 2 8 5" xfId="12702" xr:uid="{00000000-0005-0000-0000-000000190000}"/>
    <cellStyle name="Normal 23 2 9" xfId="9463" xr:uid="{00000000-0005-0000-0000-000001190000}"/>
    <cellStyle name="Normal 23 3" xfId="2656" xr:uid="{00000000-0005-0000-0000-000002190000}"/>
    <cellStyle name="Normal 23 4" xfId="2626" xr:uid="{00000000-0005-0000-0000-000003190000}"/>
    <cellStyle name="Normal 23 5" xfId="10635" xr:uid="{00000000-0005-0000-0000-000004190000}"/>
    <cellStyle name="Normal 24" xfId="161" xr:uid="{00000000-0005-0000-0000-000005190000}"/>
    <cellStyle name="Normal 24 2" xfId="2658" xr:uid="{00000000-0005-0000-0000-000006190000}"/>
    <cellStyle name="Normal 24 2 10" xfId="7884" xr:uid="{00000000-0005-0000-0000-000007190000}"/>
    <cellStyle name="Normal 24 2 11" xfId="11096" xr:uid="{00000000-0005-0000-0000-000008190000}"/>
    <cellStyle name="Normal 24 2 12" xfId="12703" xr:uid="{00000000-0005-0000-0000-000009190000}"/>
    <cellStyle name="Normal 24 2 2" xfId="2659" xr:uid="{00000000-0005-0000-0000-00000A190000}"/>
    <cellStyle name="Normal 24 2 2 2" xfId="2660" xr:uid="{00000000-0005-0000-0000-00000B190000}"/>
    <cellStyle name="Normal 24 2 2 2 2" xfId="2661" xr:uid="{00000000-0005-0000-0000-00000C190000}"/>
    <cellStyle name="Normal 24 2 2 2 2 2" xfId="2662" xr:uid="{00000000-0005-0000-0000-00000D190000}"/>
    <cellStyle name="Normal 24 2 2 2 2 2 2" xfId="9488" xr:uid="{00000000-0005-0000-0000-00000E190000}"/>
    <cellStyle name="Normal 24 2 2 2 2 2 3" xfId="7886" xr:uid="{00000000-0005-0000-0000-00000F190000}"/>
    <cellStyle name="Normal 24 2 2 2 2 2 4" xfId="11098" xr:uid="{00000000-0005-0000-0000-000010190000}"/>
    <cellStyle name="Normal 24 2 2 2 2 2 5" xfId="12705" xr:uid="{00000000-0005-0000-0000-000011190000}"/>
    <cellStyle name="Normal 24 2 2 2 2 3" xfId="2663" xr:uid="{00000000-0005-0000-0000-000012190000}"/>
    <cellStyle name="Normal 24 2 2 2 2 3 2" xfId="9489" xr:uid="{00000000-0005-0000-0000-000013190000}"/>
    <cellStyle name="Normal 24 2 2 2 2 3 3" xfId="7887" xr:uid="{00000000-0005-0000-0000-000014190000}"/>
    <cellStyle name="Normal 24 2 2 2 2 3 4" xfId="11099" xr:uid="{00000000-0005-0000-0000-000015190000}"/>
    <cellStyle name="Normal 24 2 2 2 2 3 5" xfId="12706" xr:uid="{00000000-0005-0000-0000-000016190000}"/>
    <cellStyle name="Normal 24 2 2 2 2 4" xfId="2664" xr:uid="{00000000-0005-0000-0000-000017190000}"/>
    <cellStyle name="Normal 24 2 2 2 2 4 2" xfId="9490" xr:uid="{00000000-0005-0000-0000-000018190000}"/>
    <cellStyle name="Normal 24 2 2 2 2 4 3" xfId="7888" xr:uid="{00000000-0005-0000-0000-000019190000}"/>
    <cellStyle name="Normal 24 2 2 2 2 4 4" xfId="11100" xr:uid="{00000000-0005-0000-0000-00001A190000}"/>
    <cellStyle name="Normal 24 2 2 2 2 4 5" xfId="12707" xr:uid="{00000000-0005-0000-0000-00001B190000}"/>
    <cellStyle name="Normal 24 2 2 2 3" xfId="2665" xr:uid="{00000000-0005-0000-0000-00001C190000}"/>
    <cellStyle name="Normal 24 2 2 2 4" xfId="2666" xr:uid="{00000000-0005-0000-0000-00001D190000}"/>
    <cellStyle name="Normal 24 2 2 2 5" xfId="9487" xr:uid="{00000000-0005-0000-0000-00001E190000}"/>
    <cellStyle name="Normal 24 2 2 2 6" xfId="7885" xr:uid="{00000000-0005-0000-0000-00001F190000}"/>
    <cellStyle name="Normal 24 2 2 2 7" xfId="11097" xr:uid="{00000000-0005-0000-0000-000020190000}"/>
    <cellStyle name="Normal 24 2 2 2 8" xfId="12704" xr:uid="{00000000-0005-0000-0000-000021190000}"/>
    <cellStyle name="Normal 24 2 2 3" xfId="2667" xr:uid="{00000000-0005-0000-0000-000022190000}"/>
    <cellStyle name="Normal 24 2 2 3 2" xfId="2668" xr:uid="{00000000-0005-0000-0000-000023190000}"/>
    <cellStyle name="Normal 24 2 2 3 2 2" xfId="9492" xr:uid="{00000000-0005-0000-0000-000024190000}"/>
    <cellStyle name="Normal 24 2 2 3 2 3" xfId="7890" xr:uid="{00000000-0005-0000-0000-000025190000}"/>
    <cellStyle name="Normal 24 2 2 3 2 4" xfId="11102" xr:uid="{00000000-0005-0000-0000-000026190000}"/>
    <cellStyle name="Normal 24 2 2 3 2 5" xfId="12709" xr:uid="{00000000-0005-0000-0000-000027190000}"/>
    <cellStyle name="Normal 24 2 2 3 3" xfId="2669" xr:uid="{00000000-0005-0000-0000-000028190000}"/>
    <cellStyle name="Normal 24 2 2 3 3 2" xfId="9493" xr:uid="{00000000-0005-0000-0000-000029190000}"/>
    <cellStyle name="Normal 24 2 2 3 3 3" xfId="7891" xr:uid="{00000000-0005-0000-0000-00002A190000}"/>
    <cellStyle name="Normal 24 2 2 3 3 4" xfId="11103" xr:uid="{00000000-0005-0000-0000-00002B190000}"/>
    <cellStyle name="Normal 24 2 2 3 3 5" xfId="12710" xr:uid="{00000000-0005-0000-0000-00002C190000}"/>
    <cellStyle name="Normal 24 2 2 3 4" xfId="2670" xr:uid="{00000000-0005-0000-0000-00002D190000}"/>
    <cellStyle name="Normal 24 2 2 3 4 2" xfId="9494" xr:uid="{00000000-0005-0000-0000-00002E190000}"/>
    <cellStyle name="Normal 24 2 2 3 4 3" xfId="7892" xr:uid="{00000000-0005-0000-0000-00002F190000}"/>
    <cellStyle name="Normal 24 2 2 3 4 4" xfId="11104" xr:uid="{00000000-0005-0000-0000-000030190000}"/>
    <cellStyle name="Normal 24 2 2 3 4 5" xfId="12711" xr:uid="{00000000-0005-0000-0000-000031190000}"/>
    <cellStyle name="Normal 24 2 2 3 5" xfId="9491" xr:uid="{00000000-0005-0000-0000-000032190000}"/>
    <cellStyle name="Normal 24 2 2 3 6" xfId="7889" xr:uid="{00000000-0005-0000-0000-000033190000}"/>
    <cellStyle name="Normal 24 2 2 3 7" xfId="11101" xr:uid="{00000000-0005-0000-0000-000034190000}"/>
    <cellStyle name="Normal 24 2 2 3 8" xfId="12708" xr:uid="{00000000-0005-0000-0000-000035190000}"/>
    <cellStyle name="Normal 24 2 2 4" xfId="2671" xr:uid="{00000000-0005-0000-0000-000036190000}"/>
    <cellStyle name="Normal 24 2 2 4 2" xfId="2672" xr:uid="{00000000-0005-0000-0000-000037190000}"/>
    <cellStyle name="Normal 24 2 2 4 2 2" xfId="9496" xr:uid="{00000000-0005-0000-0000-000038190000}"/>
    <cellStyle name="Normal 24 2 2 4 2 3" xfId="7894" xr:uid="{00000000-0005-0000-0000-000039190000}"/>
    <cellStyle name="Normal 24 2 2 4 2 4" xfId="11106" xr:uid="{00000000-0005-0000-0000-00003A190000}"/>
    <cellStyle name="Normal 24 2 2 4 2 5" xfId="12713" xr:uid="{00000000-0005-0000-0000-00003B190000}"/>
    <cellStyle name="Normal 24 2 2 4 3" xfId="2673" xr:uid="{00000000-0005-0000-0000-00003C190000}"/>
    <cellStyle name="Normal 24 2 2 4 3 2" xfId="9497" xr:uid="{00000000-0005-0000-0000-00003D190000}"/>
    <cellStyle name="Normal 24 2 2 4 3 3" xfId="7895" xr:uid="{00000000-0005-0000-0000-00003E190000}"/>
    <cellStyle name="Normal 24 2 2 4 3 4" xfId="11107" xr:uid="{00000000-0005-0000-0000-00003F190000}"/>
    <cellStyle name="Normal 24 2 2 4 3 5" xfId="12714" xr:uid="{00000000-0005-0000-0000-000040190000}"/>
    <cellStyle name="Normal 24 2 2 4 4" xfId="2674" xr:uid="{00000000-0005-0000-0000-000041190000}"/>
    <cellStyle name="Normal 24 2 2 4 4 2" xfId="9498" xr:uid="{00000000-0005-0000-0000-000042190000}"/>
    <cellStyle name="Normal 24 2 2 4 4 3" xfId="7896" xr:uid="{00000000-0005-0000-0000-000043190000}"/>
    <cellStyle name="Normal 24 2 2 4 4 4" xfId="11108" xr:uid="{00000000-0005-0000-0000-000044190000}"/>
    <cellStyle name="Normal 24 2 2 4 4 5" xfId="12715" xr:uid="{00000000-0005-0000-0000-000045190000}"/>
    <cellStyle name="Normal 24 2 2 4 5" xfId="9495" xr:uid="{00000000-0005-0000-0000-000046190000}"/>
    <cellStyle name="Normal 24 2 2 4 6" xfId="7893" xr:uid="{00000000-0005-0000-0000-000047190000}"/>
    <cellStyle name="Normal 24 2 2 4 7" xfId="11105" xr:uid="{00000000-0005-0000-0000-000048190000}"/>
    <cellStyle name="Normal 24 2 2 4 8" xfId="12712" xr:uid="{00000000-0005-0000-0000-000049190000}"/>
    <cellStyle name="Normal 24 2 2 5" xfId="2675" xr:uid="{00000000-0005-0000-0000-00004A190000}"/>
    <cellStyle name="Normal 24 2 2 5 2" xfId="9499" xr:uid="{00000000-0005-0000-0000-00004B190000}"/>
    <cellStyle name="Normal 24 2 2 5 3" xfId="7897" xr:uid="{00000000-0005-0000-0000-00004C190000}"/>
    <cellStyle name="Normal 24 2 2 5 4" xfId="11109" xr:uid="{00000000-0005-0000-0000-00004D190000}"/>
    <cellStyle name="Normal 24 2 2 5 5" xfId="12716" xr:uid="{00000000-0005-0000-0000-00004E190000}"/>
    <cellStyle name="Normal 24 2 2 6" xfId="2676" xr:uid="{00000000-0005-0000-0000-00004F190000}"/>
    <cellStyle name="Normal 24 2 2 6 2" xfId="9500" xr:uid="{00000000-0005-0000-0000-000050190000}"/>
    <cellStyle name="Normal 24 2 2 6 3" xfId="7898" xr:uid="{00000000-0005-0000-0000-000051190000}"/>
    <cellStyle name="Normal 24 2 2 6 4" xfId="11110" xr:uid="{00000000-0005-0000-0000-000052190000}"/>
    <cellStyle name="Normal 24 2 2 6 5" xfId="12717" xr:uid="{00000000-0005-0000-0000-000053190000}"/>
    <cellStyle name="Normal 24 2 2 7" xfId="2677" xr:uid="{00000000-0005-0000-0000-000054190000}"/>
    <cellStyle name="Normal 24 2 2 7 2" xfId="9501" xr:uid="{00000000-0005-0000-0000-000055190000}"/>
    <cellStyle name="Normal 24 2 2 7 3" xfId="7899" xr:uid="{00000000-0005-0000-0000-000056190000}"/>
    <cellStyle name="Normal 24 2 2 7 4" xfId="11111" xr:uid="{00000000-0005-0000-0000-000057190000}"/>
    <cellStyle name="Normal 24 2 2 7 5" xfId="12718" xr:uid="{00000000-0005-0000-0000-000058190000}"/>
    <cellStyle name="Normal 24 2 3" xfId="2678" xr:uid="{00000000-0005-0000-0000-000059190000}"/>
    <cellStyle name="Normal 24 2 3 2" xfId="2679" xr:uid="{00000000-0005-0000-0000-00005A190000}"/>
    <cellStyle name="Normal 24 2 3 2 2" xfId="9503" xr:uid="{00000000-0005-0000-0000-00005B190000}"/>
    <cellStyle name="Normal 24 2 3 2 3" xfId="7901" xr:uid="{00000000-0005-0000-0000-00005C190000}"/>
    <cellStyle name="Normal 24 2 3 2 4" xfId="11113" xr:uid="{00000000-0005-0000-0000-00005D190000}"/>
    <cellStyle name="Normal 24 2 3 2 5" xfId="12720" xr:uid="{00000000-0005-0000-0000-00005E190000}"/>
    <cellStyle name="Normal 24 2 3 3" xfId="2680" xr:uid="{00000000-0005-0000-0000-00005F190000}"/>
    <cellStyle name="Normal 24 2 3 3 2" xfId="9504" xr:uid="{00000000-0005-0000-0000-000060190000}"/>
    <cellStyle name="Normal 24 2 3 3 3" xfId="7902" xr:uid="{00000000-0005-0000-0000-000061190000}"/>
    <cellStyle name="Normal 24 2 3 3 4" xfId="11114" xr:uid="{00000000-0005-0000-0000-000062190000}"/>
    <cellStyle name="Normal 24 2 3 3 5" xfId="12721" xr:uid="{00000000-0005-0000-0000-000063190000}"/>
    <cellStyle name="Normal 24 2 3 4" xfId="2681" xr:uid="{00000000-0005-0000-0000-000064190000}"/>
    <cellStyle name="Normal 24 2 3 4 2" xfId="9505" xr:uid="{00000000-0005-0000-0000-000065190000}"/>
    <cellStyle name="Normal 24 2 3 4 3" xfId="7903" xr:uid="{00000000-0005-0000-0000-000066190000}"/>
    <cellStyle name="Normal 24 2 3 4 4" xfId="11115" xr:uid="{00000000-0005-0000-0000-000067190000}"/>
    <cellStyle name="Normal 24 2 3 4 5" xfId="12722" xr:uid="{00000000-0005-0000-0000-000068190000}"/>
    <cellStyle name="Normal 24 2 3 5" xfId="9502" xr:uid="{00000000-0005-0000-0000-000069190000}"/>
    <cellStyle name="Normal 24 2 3 6" xfId="7900" xr:uid="{00000000-0005-0000-0000-00006A190000}"/>
    <cellStyle name="Normal 24 2 3 7" xfId="11112" xr:uid="{00000000-0005-0000-0000-00006B190000}"/>
    <cellStyle name="Normal 24 2 3 8" xfId="12719" xr:uid="{00000000-0005-0000-0000-00006C190000}"/>
    <cellStyle name="Normal 24 2 4" xfId="2682" xr:uid="{00000000-0005-0000-0000-00006D190000}"/>
    <cellStyle name="Normal 24 2 5" xfId="2683" xr:uid="{00000000-0005-0000-0000-00006E190000}"/>
    <cellStyle name="Normal 24 2 6" xfId="2684" xr:uid="{00000000-0005-0000-0000-00006F190000}"/>
    <cellStyle name="Normal 24 2 6 2" xfId="9506" xr:uid="{00000000-0005-0000-0000-000070190000}"/>
    <cellStyle name="Normal 24 2 6 3" xfId="7904" xr:uid="{00000000-0005-0000-0000-000071190000}"/>
    <cellStyle name="Normal 24 2 6 4" xfId="11116" xr:uid="{00000000-0005-0000-0000-000072190000}"/>
    <cellStyle name="Normal 24 2 6 5" xfId="12723" xr:uid="{00000000-0005-0000-0000-000073190000}"/>
    <cellStyle name="Normal 24 2 7" xfId="2685" xr:uid="{00000000-0005-0000-0000-000074190000}"/>
    <cellStyle name="Normal 24 2 7 2" xfId="9507" xr:uid="{00000000-0005-0000-0000-000075190000}"/>
    <cellStyle name="Normal 24 2 7 3" xfId="7905" xr:uid="{00000000-0005-0000-0000-000076190000}"/>
    <cellStyle name="Normal 24 2 7 4" xfId="11117" xr:uid="{00000000-0005-0000-0000-000077190000}"/>
    <cellStyle name="Normal 24 2 7 5" xfId="12724" xr:uid="{00000000-0005-0000-0000-000078190000}"/>
    <cellStyle name="Normal 24 2 8" xfId="2686" xr:uid="{00000000-0005-0000-0000-000079190000}"/>
    <cellStyle name="Normal 24 2 8 2" xfId="9508" xr:uid="{00000000-0005-0000-0000-00007A190000}"/>
    <cellStyle name="Normal 24 2 8 3" xfId="7906" xr:uid="{00000000-0005-0000-0000-00007B190000}"/>
    <cellStyle name="Normal 24 2 8 4" xfId="11118" xr:uid="{00000000-0005-0000-0000-00007C190000}"/>
    <cellStyle name="Normal 24 2 8 5" xfId="12725" xr:uid="{00000000-0005-0000-0000-00007D190000}"/>
    <cellStyle name="Normal 24 2 9" xfId="9486" xr:uid="{00000000-0005-0000-0000-00007E190000}"/>
    <cellStyle name="Normal 24 3" xfId="2687" xr:uid="{00000000-0005-0000-0000-00007F190000}"/>
    <cellStyle name="Normal 24 4" xfId="2657" xr:uid="{00000000-0005-0000-0000-000080190000}"/>
    <cellStyle name="Normal 24 5" xfId="10641" xr:uid="{00000000-0005-0000-0000-000081190000}"/>
    <cellStyle name="Normal 25" xfId="158" xr:uid="{00000000-0005-0000-0000-000082190000}"/>
    <cellStyle name="Normal 25 2" xfId="2689" xr:uid="{00000000-0005-0000-0000-000083190000}"/>
    <cellStyle name="Normal 25 2 10" xfId="7907" xr:uid="{00000000-0005-0000-0000-000084190000}"/>
    <cellStyle name="Normal 25 2 11" xfId="11119" xr:uid="{00000000-0005-0000-0000-000085190000}"/>
    <cellStyle name="Normal 25 2 12" xfId="12726" xr:uid="{00000000-0005-0000-0000-000086190000}"/>
    <cellStyle name="Normal 25 2 2" xfId="2690" xr:uid="{00000000-0005-0000-0000-000087190000}"/>
    <cellStyle name="Normal 25 2 2 2" xfId="2691" xr:uid="{00000000-0005-0000-0000-000088190000}"/>
    <cellStyle name="Normal 25 2 2 2 2" xfId="2692" xr:uid="{00000000-0005-0000-0000-000089190000}"/>
    <cellStyle name="Normal 25 2 2 2 2 2" xfId="2693" xr:uid="{00000000-0005-0000-0000-00008A190000}"/>
    <cellStyle name="Normal 25 2 2 2 2 2 2" xfId="9511" xr:uid="{00000000-0005-0000-0000-00008B190000}"/>
    <cellStyle name="Normal 25 2 2 2 2 2 3" xfId="7909" xr:uid="{00000000-0005-0000-0000-00008C190000}"/>
    <cellStyle name="Normal 25 2 2 2 2 2 4" xfId="11121" xr:uid="{00000000-0005-0000-0000-00008D190000}"/>
    <cellStyle name="Normal 25 2 2 2 2 2 5" xfId="12728" xr:uid="{00000000-0005-0000-0000-00008E190000}"/>
    <cellStyle name="Normal 25 2 2 2 2 3" xfId="2694" xr:uid="{00000000-0005-0000-0000-00008F190000}"/>
    <cellStyle name="Normal 25 2 2 2 2 3 2" xfId="9512" xr:uid="{00000000-0005-0000-0000-000090190000}"/>
    <cellStyle name="Normal 25 2 2 2 2 3 3" xfId="7910" xr:uid="{00000000-0005-0000-0000-000091190000}"/>
    <cellStyle name="Normal 25 2 2 2 2 3 4" xfId="11122" xr:uid="{00000000-0005-0000-0000-000092190000}"/>
    <cellStyle name="Normal 25 2 2 2 2 3 5" xfId="12729" xr:uid="{00000000-0005-0000-0000-000093190000}"/>
    <cellStyle name="Normal 25 2 2 2 2 4" xfId="2695" xr:uid="{00000000-0005-0000-0000-000094190000}"/>
    <cellStyle name="Normal 25 2 2 2 2 4 2" xfId="9513" xr:uid="{00000000-0005-0000-0000-000095190000}"/>
    <cellStyle name="Normal 25 2 2 2 2 4 3" xfId="7911" xr:uid="{00000000-0005-0000-0000-000096190000}"/>
    <cellStyle name="Normal 25 2 2 2 2 4 4" xfId="11123" xr:uid="{00000000-0005-0000-0000-000097190000}"/>
    <cellStyle name="Normal 25 2 2 2 2 4 5" xfId="12730" xr:uid="{00000000-0005-0000-0000-000098190000}"/>
    <cellStyle name="Normal 25 2 2 2 3" xfId="2696" xr:uid="{00000000-0005-0000-0000-000099190000}"/>
    <cellStyle name="Normal 25 2 2 2 4" xfId="2697" xr:uid="{00000000-0005-0000-0000-00009A190000}"/>
    <cellStyle name="Normal 25 2 2 2 5" xfId="9510" xr:uid="{00000000-0005-0000-0000-00009B190000}"/>
    <cellStyle name="Normal 25 2 2 2 6" xfId="7908" xr:uid="{00000000-0005-0000-0000-00009C190000}"/>
    <cellStyle name="Normal 25 2 2 2 7" xfId="11120" xr:uid="{00000000-0005-0000-0000-00009D190000}"/>
    <cellStyle name="Normal 25 2 2 2 8" xfId="12727" xr:uid="{00000000-0005-0000-0000-00009E190000}"/>
    <cellStyle name="Normal 25 2 2 3" xfId="2698" xr:uid="{00000000-0005-0000-0000-00009F190000}"/>
    <cellStyle name="Normal 25 2 2 3 2" xfId="2699" xr:uid="{00000000-0005-0000-0000-0000A0190000}"/>
    <cellStyle name="Normal 25 2 2 3 2 2" xfId="9515" xr:uid="{00000000-0005-0000-0000-0000A1190000}"/>
    <cellStyle name="Normal 25 2 2 3 2 3" xfId="7913" xr:uid="{00000000-0005-0000-0000-0000A2190000}"/>
    <cellStyle name="Normal 25 2 2 3 2 4" xfId="11125" xr:uid="{00000000-0005-0000-0000-0000A3190000}"/>
    <cellStyle name="Normal 25 2 2 3 2 5" xfId="12732" xr:uid="{00000000-0005-0000-0000-0000A4190000}"/>
    <cellStyle name="Normal 25 2 2 3 3" xfId="2700" xr:uid="{00000000-0005-0000-0000-0000A5190000}"/>
    <cellStyle name="Normal 25 2 2 3 3 2" xfId="9516" xr:uid="{00000000-0005-0000-0000-0000A6190000}"/>
    <cellStyle name="Normal 25 2 2 3 3 3" xfId="7914" xr:uid="{00000000-0005-0000-0000-0000A7190000}"/>
    <cellStyle name="Normal 25 2 2 3 3 4" xfId="11126" xr:uid="{00000000-0005-0000-0000-0000A8190000}"/>
    <cellStyle name="Normal 25 2 2 3 3 5" xfId="12733" xr:uid="{00000000-0005-0000-0000-0000A9190000}"/>
    <cellStyle name="Normal 25 2 2 3 4" xfId="2701" xr:uid="{00000000-0005-0000-0000-0000AA190000}"/>
    <cellStyle name="Normal 25 2 2 3 4 2" xfId="9517" xr:uid="{00000000-0005-0000-0000-0000AB190000}"/>
    <cellStyle name="Normal 25 2 2 3 4 3" xfId="7915" xr:uid="{00000000-0005-0000-0000-0000AC190000}"/>
    <cellStyle name="Normal 25 2 2 3 4 4" xfId="11127" xr:uid="{00000000-0005-0000-0000-0000AD190000}"/>
    <cellStyle name="Normal 25 2 2 3 4 5" xfId="12734" xr:uid="{00000000-0005-0000-0000-0000AE190000}"/>
    <cellStyle name="Normal 25 2 2 3 5" xfId="9514" xr:uid="{00000000-0005-0000-0000-0000AF190000}"/>
    <cellStyle name="Normal 25 2 2 3 6" xfId="7912" xr:uid="{00000000-0005-0000-0000-0000B0190000}"/>
    <cellStyle name="Normal 25 2 2 3 7" xfId="11124" xr:uid="{00000000-0005-0000-0000-0000B1190000}"/>
    <cellStyle name="Normal 25 2 2 3 8" xfId="12731" xr:uid="{00000000-0005-0000-0000-0000B2190000}"/>
    <cellStyle name="Normal 25 2 2 4" xfId="2702" xr:uid="{00000000-0005-0000-0000-0000B3190000}"/>
    <cellStyle name="Normal 25 2 2 4 2" xfId="2703" xr:uid="{00000000-0005-0000-0000-0000B4190000}"/>
    <cellStyle name="Normal 25 2 2 4 2 2" xfId="9519" xr:uid="{00000000-0005-0000-0000-0000B5190000}"/>
    <cellStyle name="Normal 25 2 2 4 2 3" xfId="7917" xr:uid="{00000000-0005-0000-0000-0000B6190000}"/>
    <cellStyle name="Normal 25 2 2 4 2 4" xfId="11129" xr:uid="{00000000-0005-0000-0000-0000B7190000}"/>
    <cellStyle name="Normal 25 2 2 4 2 5" xfId="12736" xr:uid="{00000000-0005-0000-0000-0000B8190000}"/>
    <cellStyle name="Normal 25 2 2 4 3" xfId="2704" xr:uid="{00000000-0005-0000-0000-0000B9190000}"/>
    <cellStyle name="Normal 25 2 2 4 3 2" xfId="9520" xr:uid="{00000000-0005-0000-0000-0000BA190000}"/>
    <cellStyle name="Normal 25 2 2 4 3 3" xfId="7918" xr:uid="{00000000-0005-0000-0000-0000BB190000}"/>
    <cellStyle name="Normal 25 2 2 4 3 4" xfId="11130" xr:uid="{00000000-0005-0000-0000-0000BC190000}"/>
    <cellStyle name="Normal 25 2 2 4 3 5" xfId="12737" xr:uid="{00000000-0005-0000-0000-0000BD190000}"/>
    <cellStyle name="Normal 25 2 2 4 4" xfId="2705" xr:uid="{00000000-0005-0000-0000-0000BE190000}"/>
    <cellStyle name="Normal 25 2 2 4 4 2" xfId="9521" xr:uid="{00000000-0005-0000-0000-0000BF190000}"/>
    <cellStyle name="Normal 25 2 2 4 4 3" xfId="7919" xr:uid="{00000000-0005-0000-0000-0000C0190000}"/>
    <cellStyle name="Normal 25 2 2 4 4 4" xfId="11131" xr:uid="{00000000-0005-0000-0000-0000C1190000}"/>
    <cellStyle name="Normal 25 2 2 4 4 5" xfId="12738" xr:uid="{00000000-0005-0000-0000-0000C2190000}"/>
    <cellStyle name="Normal 25 2 2 4 5" xfId="9518" xr:uid="{00000000-0005-0000-0000-0000C3190000}"/>
    <cellStyle name="Normal 25 2 2 4 6" xfId="7916" xr:uid="{00000000-0005-0000-0000-0000C4190000}"/>
    <cellStyle name="Normal 25 2 2 4 7" xfId="11128" xr:uid="{00000000-0005-0000-0000-0000C5190000}"/>
    <cellStyle name="Normal 25 2 2 4 8" xfId="12735" xr:uid="{00000000-0005-0000-0000-0000C6190000}"/>
    <cellStyle name="Normal 25 2 2 5" xfId="2706" xr:uid="{00000000-0005-0000-0000-0000C7190000}"/>
    <cellStyle name="Normal 25 2 2 5 2" xfId="9522" xr:uid="{00000000-0005-0000-0000-0000C8190000}"/>
    <cellStyle name="Normal 25 2 2 5 3" xfId="7920" xr:uid="{00000000-0005-0000-0000-0000C9190000}"/>
    <cellStyle name="Normal 25 2 2 5 4" xfId="11132" xr:uid="{00000000-0005-0000-0000-0000CA190000}"/>
    <cellStyle name="Normal 25 2 2 5 5" xfId="12739" xr:uid="{00000000-0005-0000-0000-0000CB190000}"/>
    <cellStyle name="Normal 25 2 2 6" xfId="2707" xr:uid="{00000000-0005-0000-0000-0000CC190000}"/>
    <cellStyle name="Normal 25 2 2 6 2" xfId="9523" xr:uid="{00000000-0005-0000-0000-0000CD190000}"/>
    <cellStyle name="Normal 25 2 2 6 3" xfId="7921" xr:uid="{00000000-0005-0000-0000-0000CE190000}"/>
    <cellStyle name="Normal 25 2 2 6 4" xfId="11133" xr:uid="{00000000-0005-0000-0000-0000CF190000}"/>
    <cellStyle name="Normal 25 2 2 6 5" xfId="12740" xr:uid="{00000000-0005-0000-0000-0000D0190000}"/>
    <cellStyle name="Normal 25 2 2 7" xfId="2708" xr:uid="{00000000-0005-0000-0000-0000D1190000}"/>
    <cellStyle name="Normal 25 2 2 7 2" xfId="9524" xr:uid="{00000000-0005-0000-0000-0000D2190000}"/>
    <cellStyle name="Normal 25 2 2 7 3" xfId="7922" xr:uid="{00000000-0005-0000-0000-0000D3190000}"/>
    <cellStyle name="Normal 25 2 2 7 4" xfId="11134" xr:uid="{00000000-0005-0000-0000-0000D4190000}"/>
    <cellStyle name="Normal 25 2 2 7 5" xfId="12741" xr:uid="{00000000-0005-0000-0000-0000D5190000}"/>
    <cellStyle name="Normal 25 2 3" xfId="2709" xr:uid="{00000000-0005-0000-0000-0000D6190000}"/>
    <cellStyle name="Normal 25 2 3 2" xfId="2710" xr:uid="{00000000-0005-0000-0000-0000D7190000}"/>
    <cellStyle name="Normal 25 2 3 2 2" xfId="9526" xr:uid="{00000000-0005-0000-0000-0000D8190000}"/>
    <cellStyle name="Normal 25 2 3 2 3" xfId="7924" xr:uid="{00000000-0005-0000-0000-0000D9190000}"/>
    <cellStyle name="Normal 25 2 3 2 4" xfId="11136" xr:uid="{00000000-0005-0000-0000-0000DA190000}"/>
    <cellStyle name="Normal 25 2 3 2 5" xfId="12743" xr:uid="{00000000-0005-0000-0000-0000DB190000}"/>
    <cellStyle name="Normal 25 2 3 3" xfId="2711" xr:uid="{00000000-0005-0000-0000-0000DC190000}"/>
    <cellStyle name="Normal 25 2 3 3 2" xfId="9527" xr:uid="{00000000-0005-0000-0000-0000DD190000}"/>
    <cellStyle name="Normal 25 2 3 3 3" xfId="7925" xr:uid="{00000000-0005-0000-0000-0000DE190000}"/>
    <cellStyle name="Normal 25 2 3 3 4" xfId="11137" xr:uid="{00000000-0005-0000-0000-0000DF190000}"/>
    <cellStyle name="Normal 25 2 3 3 5" xfId="12744" xr:uid="{00000000-0005-0000-0000-0000E0190000}"/>
    <cellStyle name="Normal 25 2 3 4" xfId="2712" xr:uid="{00000000-0005-0000-0000-0000E1190000}"/>
    <cellStyle name="Normal 25 2 3 4 2" xfId="9528" xr:uid="{00000000-0005-0000-0000-0000E2190000}"/>
    <cellStyle name="Normal 25 2 3 4 3" xfId="7926" xr:uid="{00000000-0005-0000-0000-0000E3190000}"/>
    <cellStyle name="Normal 25 2 3 4 4" xfId="11138" xr:uid="{00000000-0005-0000-0000-0000E4190000}"/>
    <cellStyle name="Normal 25 2 3 4 5" xfId="12745" xr:uid="{00000000-0005-0000-0000-0000E5190000}"/>
    <cellStyle name="Normal 25 2 3 5" xfId="9525" xr:uid="{00000000-0005-0000-0000-0000E6190000}"/>
    <cellStyle name="Normal 25 2 3 6" xfId="7923" xr:uid="{00000000-0005-0000-0000-0000E7190000}"/>
    <cellStyle name="Normal 25 2 3 7" xfId="11135" xr:uid="{00000000-0005-0000-0000-0000E8190000}"/>
    <cellStyle name="Normal 25 2 3 8" xfId="12742" xr:uid="{00000000-0005-0000-0000-0000E9190000}"/>
    <cellStyle name="Normal 25 2 4" xfId="2713" xr:uid="{00000000-0005-0000-0000-0000EA190000}"/>
    <cellStyle name="Normal 25 2 5" xfId="2714" xr:uid="{00000000-0005-0000-0000-0000EB190000}"/>
    <cellStyle name="Normal 25 2 6" xfId="2715" xr:uid="{00000000-0005-0000-0000-0000EC190000}"/>
    <cellStyle name="Normal 25 2 6 2" xfId="9529" xr:uid="{00000000-0005-0000-0000-0000ED190000}"/>
    <cellStyle name="Normal 25 2 6 3" xfId="7927" xr:uid="{00000000-0005-0000-0000-0000EE190000}"/>
    <cellStyle name="Normal 25 2 6 4" xfId="11139" xr:uid="{00000000-0005-0000-0000-0000EF190000}"/>
    <cellStyle name="Normal 25 2 6 5" xfId="12746" xr:uid="{00000000-0005-0000-0000-0000F0190000}"/>
    <cellStyle name="Normal 25 2 7" xfId="2716" xr:uid="{00000000-0005-0000-0000-0000F1190000}"/>
    <cellStyle name="Normal 25 2 7 2" xfId="9530" xr:uid="{00000000-0005-0000-0000-0000F2190000}"/>
    <cellStyle name="Normal 25 2 7 3" xfId="7928" xr:uid="{00000000-0005-0000-0000-0000F3190000}"/>
    <cellStyle name="Normal 25 2 7 4" xfId="11140" xr:uid="{00000000-0005-0000-0000-0000F4190000}"/>
    <cellStyle name="Normal 25 2 7 5" xfId="12747" xr:uid="{00000000-0005-0000-0000-0000F5190000}"/>
    <cellStyle name="Normal 25 2 8" xfId="2717" xr:uid="{00000000-0005-0000-0000-0000F6190000}"/>
    <cellStyle name="Normal 25 2 8 2" xfId="9531" xr:uid="{00000000-0005-0000-0000-0000F7190000}"/>
    <cellStyle name="Normal 25 2 8 3" xfId="7929" xr:uid="{00000000-0005-0000-0000-0000F8190000}"/>
    <cellStyle name="Normal 25 2 8 4" xfId="11141" xr:uid="{00000000-0005-0000-0000-0000F9190000}"/>
    <cellStyle name="Normal 25 2 8 5" xfId="12748" xr:uid="{00000000-0005-0000-0000-0000FA190000}"/>
    <cellStyle name="Normal 25 2 9" xfId="9509" xr:uid="{00000000-0005-0000-0000-0000FB190000}"/>
    <cellStyle name="Normal 25 3" xfId="2718" xr:uid="{00000000-0005-0000-0000-0000FC190000}"/>
    <cellStyle name="Normal 25 4" xfId="2688" xr:uid="{00000000-0005-0000-0000-0000FD190000}"/>
    <cellStyle name="Normal 25 5" xfId="10638" xr:uid="{00000000-0005-0000-0000-0000FE190000}"/>
    <cellStyle name="Normal 256" xfId="145" xr:uid="{00000000-0005-0000-0000-0000FF190000}"/>
    <cellStyle name="Normal 26" xfId="160" xr:uid="{00000000-0005-0000-0000-0000001A0000}"/>
    <cellStyle name="Normal 26 2" xfId="2720" xr:uid="{00000000-0005-0000-0000-0000011A0000}"/>
    <cellStyle name="Normal 26 2 10" xfId="7930" xr:uid="{00000000-0005-0000-0000-0000021A0000}"/>
    <cellStyle name="Normal 26 2 11" xfId="11142" xr:uid="{00000000-0005-0000-0000-0000031A0000}"/>
    <cellStyle name="Normal 26 2 12" xfId="12749" xr:uid="{00000000-0005-0000-0000-0000041A0000}"/>
    <cellStyle name="Normal 26 2 2" xfId="2721" xr:uid="{00000000-0005-0000-0000-0000051A0000}"/>
    <cellStyle name="Normal 26 2 2 2" xfId="2722" xr:uid="{00000000-0005-0000-0000-0000061A0000}"/>
    <cellStyle name="Normal 26 2 2 2 2" xfId="2723" xr:uid="{00000000-0005-0000-0000-0000071A0000}"/>
    <cellStyle name="Normal 26 2 2 2 2 2" xfId="2724" xr:uid="{00000000-0005-0000-0000-0000081A0000}"/>
    <cellStyle name="Normal 26 2 2 2 2 2 2" xfId="9534" xr:uid="{00000000-0005-0000-0000-0000091A0000}"/>
    <cellStyle name="Normal 26 2 2 2 2 2 3" xfId="7932" xr:uid="{00000000-0005-0000-0000-00000A1A0000}"/>
    <cellStyle name="Normal 26 2 2 2 2 2 4" xfId="11144" xr:uid="{00000000-0005-0000-0000-00000B1A0000}"/>
    <cellStyle name="Normal 26 2 2 2 2 2 5" xfId="12751" xr:uid="{00000000-0005-0000-0000-00000C1A0000}"/>
    <cellStyle name="Normal 26 2 2 2 2 3" xfId="2725" xr:uid="{00000000-0005-0000-0000-00000D1A0000}"/>
    <cellStyle name="Normal 26 2 2 2 2 3 2" xfId="9535" xr:uid="{00000000-0005-0000-0000-00000E1A0000}"/>
    <cellStyle name="Normal 26 2 2 2 2 3 3" xfId="7933" xr:uid="{00000000-0005-0000-0000-00000F1A0000}"/>
    <cellStyle name="Normal 26 2 2 2 2 3 4" xfId="11145" xr:uid="{00000000-0005-0000-0000-0000101A0000}"/>
    <cellStyle name="Normal 26 2 2 2 2 3 5" xfId="12752" xr:uid="{00000000-0005-0000-0000-0000111A0000}"/>
    <cellStyle name="Normal 26 2 2 2 2 4" xfId="2726" xr:uid="{00000000-0005-0000-0000-0000121A0000}"/>
    <cellStyle name="Normal 26 2 2 2 2 4 2" xfId="9536" xr:uid="{00000000-0005-0000-0000-0000131A0000}"/>
    <cellStyle name="Normal 26 2 2 2 2 4 3" xfId="7934" xr:uid="{00000000-0005-0000-0000-0000141A0000}"/>
    <cellStyle name="Normal 26 2 2 2 2 4 4" xfId="11146" xr:uid="{00000000-0005-0000-0000-0000151A0000}"/>
    <cellStyle name="Normal 26 2 2 2 2 4 5" xfId="12753" xr:uid="{00000000-0005-0000-0000-0000161A0000}"/>
    <cellStyle name="Normal 26 2 2 2 3" xfId="2727" xr:uid="{00000000-0005-0000-0000-0000171A0000}"/>
    <cellStyle name="Normal 26 2 2 2 4" xfId="2728" xr:uid="{00000000-0005-0000-0000-0000181A0000}"/>
    <cellStyle name="Normal 26 2 2 2 5" xfId="9533" xr:uid="{00000000-0005-0000-0000-0000191A0000}"/>
    <cellStyle name="Normal 26 2 2 2 6" xfId="7931" xr:uid="{00000000-0005-0000-0000-00001A1A0000}"/>
    <cellStyle name="Normal 26 2 2 2 7" xfId="11143" xr:uid="{00000000-0005-0000-0000-00001B1A0000}"/>
    <cellStyle name="Normal 26 2 2 2 8" xfId="12750" xr:uid="{00000000-0005-0000-0000-00001C1A0000}"/>
    <cellStyle name="Normal 26 2 2 3" xfId="2729" xr:uid="{00000000-0005-0000-0000-00001D1A0000}"/>
    <cellStyle name="Normal 26 2 2 3 2" xfId="2730" xr:uid="{00000000-0005-0000-0000-00001E1A0000}"/>
    <cellStyle name="Normal 26 2 2 3 2 2" xfId="9538" xr:uid="{00000000-0005-0000-0000-00001F1A0000}"/>
    <cellStyle name="Normal 26 2 2 3 2 3" xfId="7936" xr:uid="{00000000-0005-0000-0000-0000201A0000}"/>
    <cellStyle name="Normal 26 2 2 3 2 4" xfId="11148" xr:uid="{00000000-0005-0000-0000-0000211A0000}"/>
    <cellStyle name="Normal 26 2 2 3 2 5" xfId="12755" xr:uid="{00000000-0005-0000-0000-0000221A0000}"/>
    <cellStyle name="Normal 26 2 2 3 3" xfId="2731" xr:uid="{00000000-0005-0000-0000-0000231A0000}"/>
    <cellStyle name="Normal 26 2 2 3 3 2" xfId="9539" xr:uid="{00000000-0005-0000-0000-0000241A0000}"/>
    <cellStyle name="Normal 26 2 2 3 3 3" xfId="7937" xr:uid="{00000000-0005-0000-0000-0000251A0000}"/>
    <cellStyle name="Normal 26 2 2 3 3 4" xfId="11149" xr:uid="{00000000-0005-0000-0000-0000261A0000}"/>
    <cellStyle name="Normal 26 2 2 3 3 5" xfId="12756" xr:uid="{00000000-0005-0000-0000-0000271A0000}"/>
    <cellStyle name="Normal 26 2 2 3 4" xfId="2732" xr:uid="{00000000-0005-0000-0000-0000281A0000}"/>
    <cellStyle name="Normal 26 2 2 3 4 2" xfId="9540" xr:uid="{00000000-0005-0000-0000-0000291A0000}"/>
    <cellStyle name="Normal 26 2 2 3 4 3" xfId="7938" xr:uid="{00000000-0005-0000-0000-00002A1A0000}"/>
    <cellStyle name="Normal 26 2 2 3 4 4" xfId="11150" xr:uid="{00000000-0005-0000-0000-00002B1A0000}"/>
    <cellStyle name="Normal 26 2 2 3 4 5" xfId="12757" xr:uid="{00000000-0005-0000-0000-00002C1A0000}"/>
    <cellStyle name="Normal 26 2 2 3 5" xfId="9537" xr:uid="{00000000-0005-0000-0000-00002D1A0000}"/>
    <cellStyle name="Normal 26 2 2 3 6" xfId="7935" xr:uid="{00000000-0005-0000-0000-00002E1A0000}"/>
    <cellStyle name="Normal 26 2 2 3 7" xfId="11147" xr:uid="{00000000-0005-0000-0000-00002F1A0000}"/>
    <cellStyle name="Normal 26 2 2 3 8" xfId="12754" xr:uid="{00000000-0005-0000-0000-0000301A0000}"/>
    <cellStyle name="Normal 26 2 2 4" xfId="2733" xr:uid="{00000000-0005-0000-0000-0000311A0000}"/>
    <cellStyle name="Normal 26 2 2 4 2" xfId="2734" xr:uid="{00000000-0005-0000-0000-0000321A0000}"/>
    <cellStyle name="Normal 26 2 2 4 2 2" xfId="9542" xr:uid="{00000000-0005-0000-0000-0000331A0000}"/>
    <cellStyle name="Normal 26 2 2 4 2 3" xfId="7940" xr:uid="{00000000-0005-0000-0000-0000341A0000}"/>
    <cellStyle name="Normal 26 2 2 4 2 4" xfId="11152" xr:uid="{00000000-0005-0000-0000-0000351A0000}"/>
    <cellStyle name="Normal 26 2 2 4 2 5" xfId="12759" xr:uid="{00000000-0005-0000-0000-0000361A0000}"/>
    <cellStyle name="Normal 26 2 2 4 3" xfId="2735" xr:uid="{00000000-0005-0000-0000-0000371A0000}"/>
    <cellStyle name="Normal 26 2 2 4 3 2" xfId="9543" xr:uid="{00000000-0005-0000-0000-0000381A0000}"/>
    <cellStyle name="Normal 26 2 2 4 3 3" xfId="7941" xr:uid="{00000000-0005-0000-0000-0000391A0000}"/>
    <cellStyle name="Normal 26 2 2 4 3 4" xfId="11153" xr:uid="{00000000-0005-0000-0000-00003A1A0000}"/>
    <cellStyle name="Normal 26 2 2 4 3 5" xfId="12760" xr:uid="{00000000-0005-0000-0000-00003B1A0000}"/>
    <cellStyle name="Normal 26 2 2 4 4" xfId="2736" xr:uid="{00000000-0005-0000-0000-00003C1A0000}"/>
    <cellStyle name="Normal 26 2 2 4 4 2" xfId="9544" xr:uid="{00000000-0005-0000-0000-00003D1A0000}"/>
    <cellStyle name="Normal 26 2 2 4 4 3" xfId="7942" xr:uid="{00000000-0005-0000-0000-00003E1A0000}"/>
    <cellStyle name="Normal 26 2 2 4 4 4" xfId="11154" xr:uid="{00000000-0005-0000-0000-00003F1A0000}"/>
    <cellStyle name="Normal 26 2 2 4 4 5" xfId="12761" xr:uid="{00000000-0005-0000-0000-0000401A0000}"/>
    <cellStyle name="Normal 26 2 2 4 5" xfId="9541" xr:uid="{00000000-0005-0000-0000-0000411A0000}"/>
    <cellStyle name="Normal 26 2 2 4 6" xfId="7939" xr:uid="{00000000-0005-0000-0000-0000421A0000}"/>
    <cellStyle name="Normal 26 2 2 4 7" xfId="11151" xr:uid="{00000000-0005-0000-0000-0000431A0000}"/>
    <cellStyle name="Normal 26 2 2 4 8" xfId="12758" xr:uid="{00000000-0005-0000-0000-0000441A0000}"/>
    <cellStyle name="Normal 26 2 2 5" xfId="2737" xr:uid="{00000000-0005-0000-0000-0000451A0000}"/>
    <cellStyle name="Normal 26 2 2 5 2" xfId="9545" xr:uid="{00000000-0005-0000-0000-0000461A0000}"/>
    <cellStyle name="Normal 26 2 2 5 3" xfId="7943" xr:uid="{00000000-0005-0000-0000-0000471A0000}"/>
    <cellStyle name="Normal 26 2 2 5 4" xfId="11155" xr:uid="{00000000-0005-0000-0000-0000481A0000}"/>
    <cellStyle name="Normal 26 2 2 5 5" xfId="12762" xr:uid="{00000000-0005-0000-0000-0000491A0000}"/>
    <cellStyle name="Normal 26 2 2 6" xfId="2738" xr:uid="{00000000-0005-0000-0000-00004A1A0000}"/>
    <cellStyle name="Normal 26 2 2 6 2" xfId="9546" xr:uid="{00000000-0005-0000-0000-00004B1A0000}"/>
    <cellStyle name="Normal 26 2 2 6 3" xfId="7944" xr:uid="{00000000-0005-0000-0000-00004C1A0000}"/>
    <cellStyle name="Normal 26 2 2 6 4" xfId="11156" xr:uid="{00000000-0005-0000-0000-00004D1A0000}"/>
    <cellStyle name="Normal 26 2 2 6 5" xfId="12763" xr:uid="{00000000-0005-0000-0000-00004E1A0000}"/>
    <cellStyle name="Normal 26 2 2 7" xfId="2739" xr:uid="{00000000-0005-0000-0000-00004F1A0000}"/>
    <cellStyle name="Normal 26 2 2 7 2" xfId="9547" xr:uid="{00000000-0005-0000-0000-0000501A0000}"/>
    <cellStyle name="Normal 26 2 2 7 3" xfId="7945" xr:uid="{00000000-0005-0000-0000-0000511A0000}"/>
    <cellStyle name="Normal 26 2 2 7 4" xfId="11157" xr:uid="{00000000-0005-0000-0000-0000521A0000}"/>
    <cellStyle name="Normal 26 2 2 7 5" xfId="12764" xr:uid="{00000000-0005-0000-0000-0000531A0000}"/>
    <cellStyle name="Normal 26 2 3" xfId="2740" xr:uid="{00000000-0005-0000-0000-0000541A0000}"/>
    <cellStyle name="Normal 26 2 3 2" xfId="2741" xr:uid="{00000000-0005-0000-0000-0000551A0000}"/>
    <cellStyle name="Normal 26 2 3 2 2" xfId="9549" xr:uid="{00000000-0005-0000-0000-0000561A0000}"/>
    <cellStyle name="Normal 26 2 3 2 3" xfId="7947" xr:uid="{00000000-0005-0000-0000-0000571A0000}"/>
    <cellStyle name="Normal 26 2 3 2 4" xfId="11159" xr:uid="{00000000-0005-0000-0000-0000581A0000}"/>
    <cellStyle name="Normal 26 2 3 2 5" xfId="12766" xr:uid="{00000000-0005-0000-0000-0000591A0000}"/>
    <cellStyle name="Normal 26 2 3 3" xfId="2742" xr:uid="{00000000-0005-0000-0000-00005A1A0000}"/>
    <cellStyle name="Normal 26 2 3 3 2" xfId="9550" xr:uid="{00000000-0005-0000-0000-00005B1A0000}"/>
    <cellStyle name="Normal 26 2 3 3 3" xfId="7948" xr:uid="{00000000-0005-0000-0000-00005C1A0000}"/>
    <cellStyle name="Normal 26 2 3 3 4" xfId="11160" xr:uid="{00000000-0005-0000-0000-00005D1A0000}"/>
    <cellStyle name="Normal 26 2 3 3 5" xfId="12767" xr:uid="{00000000-0005-0000-0000-00005E1A0000}"/>
    <cellStyle name="Normal 26 2 3 4" xfId="2743" xr:uid="{00000000-0005-0000-0000-00005F1A0000}"/>
    <cellStyle name="Normal 26 2 3 4 2" xfId="9551" xr:uid="{00000000-0005-0000-0000-0000601A0000}"/>
    <cellStyle name="Normal 26 2 3 4 3" xfId="7949" xr:uid="{00000000-0005-0000-0000-0000611A0000}"/>
    <cellStyle name="Normal 26 2 3 4 4" xfId="11161" xr:uid="{00000000-0005-0000-0000-0000621A0000}"/>
    <cellStyle name="Normal 26 2 3 4 5" xfId="12768" xr:uid="{00000000-0005-0000-0000-0000631A0000}"/>
    <cellStyle name="Normal 26 2 3 5" xfId="9548" xr:uid="{00000000-0005-0000-0000-0000641A0000}"/>
    <cellStyle name="Normal 26 2 3 6" xfId="7946" xr:uid="{00000000-0005-0000-0000-0000651A0000}"/>
    <cellStyle name="Normal 26 2 3 7" xfId="11158" xr:uid="{00000000-0005-0000-0000-0000661A0000}"/>
    <cellStyle name="Normal 26 2 3 8" xfId="12765" xr:uid="{00000000-0005-0000-0000-0000671A0000}"/>
    <cellStyle name="Normal 26 2 4" xfId="2744" xr:uid="{00000000-0005-0000-0000-0000681A0000}"/>
    <cellStyle name="Normal 26 2 5" xfId="2745" xr:uid="{00000000-0005-0000-0000-0000691A0000}"/>
    <cellStyle name="Normal 26 2 6" xfId="2746" xr:uid="{00000000-0005-0000-0000-00006A1A0000}"/>
    <cellStyle name="Normal 26 2 6 2" xfId="9552" xr:uid="{00000000-0005-0000-0000-00006B1A0000}"/>
    <cellStyle name="Normal 26 2 6 3" xfId="7950" xr:uid="{00000000-0005-0000-0000-00006C1A0000}"/>
    <cellStyle name="Normal 26 2 6 4" xfId="11162" xr:uid="{00000000-0005-0000-0000-00006D1A0000}"/>
    <cellStyle name="Normal 26 2 6 5" xfId="12769" xr:uid="{00000000-0005-0000-0000-00006E1A0000}"/>
    <cellStyle name="Normal 26 2 7" xfId="2747" xr:uid="{00000000-0005-0000-0000-00006F1A0000}"/>
    <cellStyle name="Normal 26 2 7 2" xfId="9553" xr:uid="{00000000-0005-0000-0000-0000701A0000}"/>
    <cellStyle name="Normal 26 2 7 3" xfId="7951" xr:uid="{00000000-0005-0000-0000-0000711A0000}"/>
    <cellStyle name="Normal 26 2 7 4" xfId="11163" xr:uid="{00000000-0005-0000-0000-0000721A0000}"/>
    <cellStyle name="Normal 26 2 7 5" xfId="12770" xr:uid="{00000000-0005-0000-0000-0000731A0000}"/>
    <cellStyle name="Normal 26 2 8" xfId="2748" xr:uid="{00000000-0005-0000-0000-0000741A0000}"/>
    <cellStyle name="Normal 26 2 8 2" xfId="9554" xr:uid="{00000000-0005-0000-0000-0000751A0000}"/>
    <cellStyle name="Normal 26 2 8 3" xfId="7952" xr:uid="{00000000-0005-0000-0000-0000761A0000}"/>
    <cellStyle name="Normal 26 2 8 4" xfId="11164" xr:uid="{00000000-0005-0000-0000-0000771A0000}"/>
    <cellStyle name="Normal 26 2 8 5" xfId="12771" xr:uid="{00000000-0005-0000-0000-0000781A0000}"/>
    <cellStyle name="Normal 26 2 9" xfId="9532" xr:uid="{00000000-0005-0000-0000-0000791A0000}"/>
    <cellStyle name="Normal 26 3" xfId="2749" xr:uid="{00000000-0005-0000-0000-00007A1A0000}"/>
    <cellStyle name="Normal 26 4" xfId="2719" xr:uid="{00000000-0005-0000-0000-00007B1A0000}"/>
    <cellStyle name="Normal 26 5" xfId="10640" xr:uid="{00000000-0005-0000-0000-00007C1A0000}"/>
    <cellStyle name="Normal 27" xfId="159" xr:uid="{00000000-0005-0000-0000-00007D1A0000}"/>
    <cellStyle name="Normal 27 2" xfId="2751" xr:uid="{00000000-0005-0000-0000-00007E1A0000}"/>
    <cellStyle name="Normal 27 2 10" xfId="7953" xr:uid="{00000000-0005-0000-0000-00007F1A0000}"/>
    <cellStyle name="Normal 27 2 11" xfId="11165" xr:uid="{00000000-0005-0000-0000-0000801A0000}"/>
    <cellStyle name="Normal 27 2 12" xfId="12772" xr:uid="{00000000-0005-0000-0000-0000811A0000}"/>
    <cellStyle name="Normal 27 2 2" xfId="2752" xr:uid="{00000000-0005-0000-0000-0000821A0000}"/>
    <cellStyle name="Normal 27 2 2 2" xfId="2753" xr:uid="{00000000-0005-0000-0000-0000831A0000}"/>
    <cellStyle name="Normal 27 2 2 2 2" xfId="2754" xr:uid="{00000000-0005-0000-0000-0000841A0000}"/>
    <cellStyle name="Normal 27 2 2 2 2 2" xfId="2755" xr:uid="{00000000-0005-0000-0000-0000851A0000}"/>
    <cellStyle name="Normal 27 2 2 2 2 2 2" xfId="9557" xr:uid="{00000000-0005-0000-0000-0000861A0000}"/>
    <cellStyle name="Normal 27 2 2 2 2 2 3" xfId="7955" xr:uid="{00000000-0005-0000-0000-0000871A0000}"/>
    <cellStyle name="Normal 27 2 2 2 2 2 4" xfId="11167" xr:uid="{00000000-0005-0000-0000-0000881A0000}"/>
    <cellStyle name="Normal 27 2 2 2 2 2 5" xfId="12774" xr:uid="{00000000-0005-0000-0000-0000891A0000}"/>
    <cellStyle name="Normal 27 2 2 2 2 3" xfId="2756" xr:uid="{00000000-0005-0000-0000-00008A1A0000}"/>
    <cellStyle name="Normal 27 2 2 2 2 3 2" xfId="9558" xr:uid="{00000000-0005-0000-0000-00008B1A0000}"/>
    <cellStyle name="Normal 27 2 2 2 2 3 3" xfId="7956" xr:uid="{00000000-0005-0000-0000-00008C1A0000}"/>
    <cellStyle name="Normal 27 2 2 2 2 3 4" xfId="11168" xr:uid="{00000000-0005-0000-0000-00008D1A0000}"/>
    <cellStyle name="Normal 27 2 2 2 2 3 5" xfId="12775" xr:uid="{00000000-0005-0000-0000-00008E1A0000}"/>
    <cellStyle name="Normal 27 2 2 2 2 4" xfId="2757" xr:uid="{00000000-0005-0000-0000-00008F1A0000}"/>
    <cellStyle name="Normal 27 2 2 2 2 4 2" xfId="9559" xr:uid="{00000000-0005-0000-0000-0000901A0000}"/>
    <cellStyle name="Normal 27 2 2 2 2 4 3" xfId="7957" xr:uid="{00000000-0005-0000-0000-0000911A0000}"/>
    <cellStyle name="Normal 27 2 2 2 2 4 4" xfId="11169" xr:uid="{00000000-0005-0000-0000-0000921A0000}"/>
    <cellStyle name="Normal 27 2 2 2 2 4 5" xfId="12776" xr:uid="{00000000-0005-0000-0000-0000931A0000}"/>
    <cellStyle name="Normal 27 2 2 2 3" xfId="2758" xr:uid="{00000000-0005-0000-0000-0000941A0000}"/>
    <cellStyle name="Normal 27 2 2 2 4" xfId="2759" xr:uid="{00000000-0005-0000-0000-0000951A0000}"/>
    <cellStyle name="Normal 27 2 2 2 5" xfId="9556" xr:uid="{00000000-0005-0000-0000-0000961A0000}"/>
    <cellStyle name="Normal 27 2 2 2 6" xfId="7954" xr:uid="{00000000-0005-0000-0000-0000971A0000}"/>
    <cellStyle name="Normal 27 2 2 2 7" xfId="11166" xr:uid="{00000000-0005-0000-0000-0000981A0000}"/>
    <cellStyle name="Normal 27 2 2 2 8" xfId="12773" xr:uid="{00000000-0005-0000-0000-0000991A0000}"/>
    <cellStyle name="Normal 27 2 2 3" xfId="2760" xr:uid="{00000000-0005-0000-0000-00009A1A0000}"/>
    <cellStyle name="Normal 27 2 2 3 2" xfId="2761" xr:uid="{00000000-0005-0000-0000-00009B1A0000}"/>
    <cellStyle name="Normal 27 2 2 3 2 2" xfId="9561" xr:uid="{00000000-0005-0000-0000-00009C1A0000}"/>
    <cellStyle name="Normal 27 2 2 3 2 3" xfId="7959" xr:uid="{00000000-0005-0000-0000-00009D1A0000}"/>
    <cellStyle name="Normal 27 2 2 3 2 4" xfId="11171" xr:uid="{00000000-0005-0000-0000-00009E1A0000}"/>
    <cellStyle name="Normal 27 2 2 3 2 5" xfId="12778" xr:uid="{00000000-0005-0000-0000-00009F1A0000}"/>
    <cellStyle name="Normal 27 2 2 3 3" xfId="2762" xr:uid="{00000000-0005-0000-0000-0000A01A0000}"/>
    <cellStyle name="Normal 27 2 2 3 3 2" xfId="9562" xr:uid="{00000000-0005-0000-0000-0000A11A0000}"/>
    <cellStyle name="Normal 27 2 2 3 3 3" xfId="7960" xr:uid="{00000000-0005-0000-0000-0000A21A0000}"/>
    <cellStyle name="Normal 27 2 2 3 3 4" xfId="11172" xr:uid="{00000000-0005-0000-0000-0000A31A0000}"/>
    <cellStyle name="Normal 27 2 2 3 3 5" xfId="12779" xr:uid="{00000000-0005-0000-0000-0000A41A0000}"/>
    <cellStyle name="Normal 27 2 2 3 4" xfId="2763" xr:uid="{00000000-0005-0000-0000-0000A51A0000}"/>
    <cellStyle name="Normal 27 2 2 3 4 2" xfId="9563" xr:uid="{00000000-0005-0000-0000-0000A61A0000}"/>
    <cellStyle name="Normal 27 2 2 3 4 3" xfId="7961" xr:uid="{00000000-0005-0000-0000-0000A71A0000}"/>
    <cellStyle name="Normal 27 2 2 3 4 4" xfId="11173" xr:uid="{00000000-0005-0000-0000-0000A81A0000}"/>
    <cellStyle name="Normal 27 2 2 3 4 5" xfId="12780" xr:uid="{00000000-0005-0000-0000-0000A91A0000}"/>
    <cellStyle name="Normal 27 2 2 3 5" xfId="9560" xr:uid="{00000000-0005-0000-0000-0000AA1A0000}"/>
    <cellStyle name="Normal 27 2 2 3 6" xfId="7958" xr:uid="{00000000-0005-0000-0000-0000AB1A0000}"/>
    <cellStyle name="Normal 27 2 2 3 7" xfId="11170" xr:uid="{00000000-0005-0000-0000-0000AC1A0000}"/>
    <cellStyle name="Normal 27 2 2 3 8" xfId="12777" xr:uid="{00000000-0005-0000-0000-0000AD1A0000}"/>
    <cellStyle name="Normal 27 2 2 4" xfId="2764" xr:uid="{00000000-0005-0000-0000-0000AE1A0000}"/>
    <cellStyle name="Normal 27 2 2 4 2" xfId="2765" xr:uid="{00000000-0005-0000-0000-0000AF1A0000}"/>
    <cellStyle name="Normal 27 2 2 4 2 2" xfId="9565" xr:uid="{00000000-0005-0000-0000-0000B01A0000}"/>
    <cellStyle name="Normal 27 2 2 4 2 3" xfId="7963" xr:uid="{00000000-0005-0000-0000-0000B11A0000}"/>
    <cellStyle name="Normal 27 2 2 4 2 4" xfId="11175" xr:uid="{00000000-0005-0000-0000-0000B21A0000}"/>
    <cellStyle name="Normal 27 2 2 4 2 5" xfId="12782" xr:uid="{00000000-0005-0000-0000-0000B31A0000}"/>
    <cellStyle name="Normal 27 2 2 4 3" xfId="2766" xr:uid="{00000000-0005-0000-0000-0000B41A0000}"/>
    <cellStyle name="Normal 27 2 2 4 3 2" xfId="9566" xr:uid="{00000000-0005-0000-0000-0000B51A0000}"/>
    <cellStyle name="Normal 27 2 2 4 3 3" xfId="7964" xr:uid="{00000000-0005-0000-0000-0000B61A0000}"/>
    <cellStyle name="Normal 27 2 2 4 3 4" xfId="11176" xr:uid="{00000000-0005-0000-0000-0000B71A0000}"/>
    <cellStyle name="Normal 27 2 2 4 3 5" xfId="12783" xr:uid="{00000000-0005-0000-0000-0000B81A0000}"/>
    <cellStyle name="Normal 27 2 2 4 4" xfId="2767" xr:uid="{00000000-0005-0000-0000-0000B91A0000}"/>
    <cellStyle name="Normal 27 2 2 4 4 2" xfId="9567" xr:uid="{00000000-0005-0000-0000-0000BA1A0000}"/>
    <cellStyle name="Normal 27 2 2 4 4 3" xfId="7965" xr:uid="{00000000-0005-0000-0000-0000BB1A0000}"/>
    <cellStyle name="Normal 27 2 2 4 4 4" xfId="11177" xr:uid="{00000000-0005-0000-0000-0000BC1A0000}"/>
    <cellStyle name="Normal 27 2 2 4 4 5" xfId="12784" xr:uid="{00000000-0005-0000-0000-0000BD1A0000}"/>
    <cellStyle name="Normal 27 2 2 4 5" xfId="9564" xr:uid="{00000000-0005-0000-0000-0000BE1A0000}"/>
    <cellStyle name="Normal 27 2 2 4 6" xfId="7962" xr:uid="{00000000-0005-0000-0000-0000BF1A0000}"/>
    <cellStyle name="Normal 27 2 2 4 7" xfId="11174" xr:uid="{00000000-0005-0000-0000-0000C01A0000}"/>
    <cellStyle name="Normal 27 2 2 4 8" xfId="12781" xr:uid="{00000000-0005-0000-0000-0000C11A0000}"/>
    <cellStyle name="Normal 27 2 2 5" xfId="2768" xr:uid="{00000000-0005-0000-0000-0000C21A0000}"/>
    <cellStyle name="Normal 27 2 2 5 2" xfId="9568" xr:uid="{00000000-0005-0000-0000-0000C31A0000}"/>
    <cellStyle name="Normal 27 2 2 5 3" xfId="7966" xr:uid="{00000000-0005-0000-0000-0000C41A0000}"/>
    <cellStyle name="Normal 27 2 2 5 4" xfId="11178" xr:uid="{00000000-0005-0000-0000-0000C51A0000}"/>
    <cellStyle name="Normal 27 2 2 5 5" xfId="12785" xr:uid="{00000000-0005-0000-0000-0000C61A0000}"/>
    <cellStyle name="Normal 27 2 2 6" xfId="2769" xr:uid="{00000000-0005-0000-0000-0000C71A0000}"/>
    <cellStyle name="Normal 27 2 2 6 2" xfId="9569" xr:uid="{00000000-0005-0000-0000-0000C81A0000}"/>
    <cellStyle name="Normal 27 2 2 6 3" xfId="7967" xr:uid="{00000000-0005-0000-0000-0000C91A0000}"/>
    <cellStyle name="Normal 27 2 2 6 4" xfId="11179" xr:uid="{00000000-0005-0000-0000-0000CA1A0000}"/>
    <cellStyle name="Normal 27 2 2 6 5" xfId="12786" xr:uid="{00000000-0005-0000-0000-0000CB1A0000}"/>
    <cellStyle name="Normal 27 2 2 7" xfId="2770" xr:uid="{00000000-0005-0000-0000-0000CC1A0000}"/>
    <cellStyle name="Normal 27 2 2 7 2" xfId="9570" xr:uid="{00000000-0005-0000-0000-0000CD1A0000}"/>
    <cellStyle name="Normal 27 2 2 7 3" xfId="7968" xr:uid="{00000000-0005-0000-0000-0000CE1A0000}"/>
    <cellStyle name="Normal 27 2 2 7 4" xfId="11180" xr:uid="{00000000-0005-0000-0000-0000CF1A0000}"/>
    <cellStyle name="Normal 27 2 2 7 5" xfId="12787" xr:uid="{00000000-0005-0000-0000-0000D01A0000}"/>
    <cellStyle name="Normal 27 2 3" xfId="2771" xr:uid="{00000000-0005-0000-0000-0000D11A0000}"/>
    <cellStyle name="Normal 27 2 3 2" xfId="2772" xr:uid="{00000000-0005-0000-0000-0000D21A0000}"/>
    <cellStyle name="Normal 27 2 3 2 2" xfId="9572" xr:uid="{00000000-0005-0000-0000-0000D31A0000}"/>
    <cellStyle name="Normal 27 2 3 2 3" xfId="7970" xr:uid="{00000000-0005-0000-0000-0000D41A0000}"/>
    <cellStyle name="Normal 27 2 3 2 4" xfId="11182" xr:uid="{00000000-0005-0000-0000-0000D51A0000}"/>
    <cellStyle name="Normal 27 2 3 2 5" xfId="12789" xr:uid="{00000000-0005-0000-0000-0000D61A0000}"/>
    <cellStyle name="Normal 27 2 3 3" xfId="2773" xr:uid="{00000000-0005-0000-0000-0000D71A0000}"/>
    <cellStyle name="Normal 27 2 3 3 2" xfId="9573" xr:uid="{00000000-0005-0000-0000-0000D81A0000}"/>
    <cellStyle name="Normal 27 2 3 3 3" xfId="7971" xr:uid="{00000000-0005-0000-0000-0000D91A0000}"/>
    <cellStyle name="Normal 27 2 3 3 4" xfId="11183" xr:uid="{00000000-0005-0000-0000-0000DA1A0000}"/>
    <cellStyle name="Normal 27 2 3 3 5" xfId="12790" xr:uid="{00000000-0005-0000-0000-0000DB1A0000}"/>
    <cellStyle name="Normal 27 2 3 4" xfId="2774" xr:uid="{00000000-0005-0000-0000-0000DC1A0000}"/>
    <cellStyle name="Normal 27 2 3 4 2" xfId="9574" xr:uid="{00000000-0005-0000-0000-0000DD1A0000}"/>
    <cellStyle name="Normal 27 2 3 4 3" xfId="7972" xr:uid="{00000000-0005-0000-0000-0000DE1A0000}"/>
    <cellStyle name="Normal 27 2 3 4 4" xfId="11184" xr:uid="{00000000-0005-0000-0000-0000DF1A0000}"/>
    <cellStyle name="Normal 27 2 3 4 5" xfId="12791" xr:uid="{00000000-0005-0000-0000-0000E01A0000}"/>
    <cellStyle name="Normal 27 2 3 5" xfId="9571" xr:uid="{00000000-0005-0000-0000-0000E11A0000}"/>
    <cellStyle name="Normal 27 2 3 6" xfId="7969" xr:uid="{00000000-0005-0000-0000-0000E21A0000}"/>
    <cellStyle name="Normal 27 2 3 7" xfId="11181" xr:uid="{00000000-0005-0000-0000-0000E31A0000}"/>
    <cellStyle name="Normal 27 2 3 8" xfId="12788" xr:uid="{00000000-0005-0000-0000-0000E41A0000}"/>
    <cellStyle name="Normal 27 2 4" xfId="2775" xr:uid="{00000000-0005-0000-0000-0000E51A0000}"/>
    <cellStyle name="Normal 27 2 5" xfId="2776" xr:uid="{00000000-0005-0000-0000-0000E61A0000}"/>
    <cellStyle name="Normal 27 2 6" xfId="2777" xr:uid="{00000000-0005-0000-0000-0000E71A0000}"/>
    <cellStyle name="Normal 27 2 6 2" xfId="9575" xr:uid="{00000000-0005-0000-0000-0000E81A0000}"/>
    <cellStyle name="Normal 27 2 6 3" xfId="7973" xr:uid="{00000000-0005-0000-0000-0000E91A0000}"/>
    <cellStyle name="Normal 27 2 6 4" xfId="11185" xr:uid="{00000000-0005-0000-0000-0000EA1A0000}"/>
    <cellStyle name="Normal 27 2 6 5" xfId="12792" xr:uid="{00000000-0005-0000-0000-0000EB1A0000}"/>
    <cellStyle name="Normal 27 2 7" xfId="2778" xr:uid="{00000000-0005-0000-0000-0000EC1A0000}"/>
    <cellStyle name="Normal 27 2 7 2" xfId="9576" xr:uid="{00000000-0005-0000-0000-0000ED1A0000}"/>
    <cellStyle name="Normal 27 2 7 3" xfId="7974" xr:uid="{00000000-0005-0000-0000-0000EE1A0000}"/>
    <cellStyle name="Normal 27 2 7 4" xfId="11186" xr:uid="{00000000-0005-0000-0000-0000EF1A0000}"/>
    <cellStyle name="Normal 27 2 7 5" xfId="12793" xr:uid="{00000000-0005-0000-0000-0000F01A0000}"/>
    <cellStyle name="Normal 27 2 8" xfId="2779" xr:uid="{00000000-0005-0000-0000-0000F11A0000}"/>
    <cellStyle name="Normal 27 2 8 2" xfId="9577" xr:uid="{00000000-0005-0000-0000-0000F21A0000}"/>
    <cellStyle name="Normal 27 2 8 3" xfId="7975" xr:uid="{00000000-0005-0000-0000-0000F31A0000}"/>
    <cellStyle name="Normal 27 2 8 4" xfId="11187" xr:uid="{00000000-0005-0000-0000-0000F41A0000}"/>
    <cellStyle name="Normal 27 2 8 5" xfId="12794" xr:uid="{00000000-0005-0000-0000-0000F51A0000}"/>
    <cellStyle name="Normal 27 2 9" xfId="9555" xr:uid="{00000000-0005-0000-0000-0000F61A0000}"/>
    <cellStyle name="Normal 27 3" xfId="2780" xr:uid="{00000000-0005-0000-0000-0000F71A0000}"/>
    <cellStyle name="Normal 27 4" xfId="2750" xr:uid="{00000000-0005-0000-0000-0000F81A0000}"/>
    <cellStyle name="Normal 27 5" xfId="10639" xr:uid="{00000000-0005-0000-0000-0000F91A0000}"/>
    <cellStyle name="Normal 28" xfId="2781" xr:uid="{00000000-0005-0000-0000-0000FA1A0000}"/>
    <cellStyle name="Normal 28 2" xfId="2782" xr:uid="{00000000-0005-0000-0000-0000FB1A0000}"/>
    <cellStyle name="Normal 28 2 10" xfId="9578" xr:uid="{00000000-0005-0000-0000-0000FC1A0000}"/>
    <cellStyle name="Normal 28 2 11" xfId="7976" xr:uid="{00000000-0005-0000-0000-0000FD1A0000}"/>
    <cellStyle name="Normal 28 2 12" xfId="11188" xr:uid="{00000000-0005-0000-0000-0000FE1A0000}"/>
    <cellStyle name="Normal 28 2 13" xfId="12795" xr:uid="{00000000-0005-0000-0000-0000FF1A0000}"/>
    <cellStyle name="Normal 28 2 2" xfId="2783" xr:uid="{00000000-0005-0000-0000-0000001B0000}"/>
    <cellStyle name="Normal 28 2 2 2" xfId="2784" xr:uid="{00000000-0005-0000-0000-0000011B0000}"/>
    <cellStyle name="Normal 28 2 2 2 2" xfId="9580" xr:uid="{00000000-0005-0000-0000-0000021B0000}"/>
    <cellStyle name="Normal 28 2 2 2 3" xfId="7978" xr:uid="{00000000-0005-0000-0000-0000031B0000}"/>
    <cellStyle name="Normal 28 2 2 2 4" xfId="11190" xr:uid="{00000000-0005-0000-0000-0000041B0000}"/>
    <cellStyle name="Normal 28 2 2 2 5" xfId="12797" xr:uid="{00000000-0005-0000-0000-0000051B0000}"/>
    <cellStyle name="Normal 28 2 2 3" xfId="2785" xr:uid="{00000000-0005-0000-0000-0000061B0000}"/>
    <cellStyle name="Normal 28 2 2 3 2" xfId="9581" xr:uid="{00000000-0005-0000-0000-0000071B0000}"/>
    <cellStyle name="Normal 28 2 2 3 3" xfId="7979" xr:uid="{00000000-0005-0000-0000-0000081B0000}"/>
    <cellStyle name="Normal 28 2 2 3 4" xfId="11191" xr:uid="{00000000-0005-0000-0000-0000091B0000}"/>
    <cellStyle name="Normal 28 2 2 3 5" xfId="12798" xr:uid="{00000000-0005-0000-0000-00000A1B0000}"/>
    <cellStyle name="Normal 28 2 2 4" xfId="2786" xr:uid="{00000000-0005-0000-0000-00000B1B0000}"/>
    <cellStyle name="Normal 28 2 2 4 2" xfId="9582" xr:uid="{00000000-0005-0000-0000-00000C1B0000}"/>
    <cellStyle name="Normal 28 2 2 4 3" xfId="7980" xr:uid="{00000000-0005-0000-0000-00000D1B0000}"/>
    <cellStyle name="Normal 28 2 2 4 4" xfId="11192" xr:uid="{00000000-0005-0000-0000-00000E1B0000}"/>
    <cellStyle name="Normal 28 2 2 4 5" xfId="12799" xr:uid="{00000000-0005-0000-0000-00000F1B0000}"/>
    <cellStyle name="Normal 28 2 2 5" xfId="9579" xr:uid="{00000000-0005-0000-0000-0000101B0000}"/>
    <cellStyle name="Normal 28 2 2 6" xfId="7977" xr:uid="{00000000-0005-0000-0000-0000111B0000}"/>
    <cellStyle name="Normal 28 2 2 7" xfId="11189" xr:uid="{00000000-0005-0000-0000-0000121B0000}"/>
    <cellStyle name="Normal 28 2 2 8" xfId="12796" xr:uid="{00000000-0005-0000-0000-0000131B0000}"/>
    <cellStyle name="Normal 28 2 3" xfId="2787" xr:uid="{00000000-0005-0000-0000-0000141B0000}"/>
    <cellStyle name="Normal 28 2 3 2" xfId="2788" xr:uid="{00000000-0005-0000-0000-0000151B0000}"/>
    <cellStyle name="Normal 28 2 3 2 2" xfId="9584" xr:uid="{00000000-0005-0000-0000-0000161B0000}"/>
    <cellStyle name="Normal 28 2 3 2 3" xfId="7982" xr:uid="{00000000-0005-0000-0000-0000171B0000}"/>
    <cellStyle name="Normal 28 2 3 2 4" xfId="11194" xr:uid="{00000000-0005-0000-0000-0000181B0000}"/>
    <cellStyle name="Normal 28 2 3 2 5" xfId="12801" xr:uid="{00000000-0005-0000-0000-0000191B0000}"/>
    <cellStyle name="Normal 28 2 3 3" xfId="2789" xr:uid="{00000000-0005-0000-0000-00001A1B0000}"/>
    <cellStyle name="Normal 28 2 3 3 2" xfId="9585" xr:uid="{00000000-0005-0000-0000-00001B1B0000}"/>
    <cellStyle name="Normal 28 2 3 3 3" xfId="7983" xr:uid="{00000000-0005-0000-0000-00001C1B0000}"/>
    <cellStyle name="Normal 28 2 3 3 4" xfId="11195" xr:uid="{00000000-0005-0000-0000-00001D1B0000}"/>
    <cellStyle name="Normal 28 2 3 3 5" xfId="12802" xr:uid="{00000000-0005-0000-0000-00001E1B0000}"/>
    <cellStyle name="Normal 28 2 3 4" xfId="2790" xr:uid="{00000000-0005-0000-0000-00001F1B0000}"/>
    <cellStyle name="Normal 28 2 3 4 2" xfId="9586" xr:uid="{00000000-0005-0000-0000-0000201B0000}"/>
    <cellStyle name="Normal 28 2 3 4 3" xfId="7984" xr:uid="{00000000-0005-0000-0000-0000211B0000}"/>
    <cellStyle name="Normal 28 2 3 4 4" xfId="11196" xr:uid="{00000000-0005-0000-0000-0000221B0000}"/>
    <cellStyle name="Normal 28 2 3 4 5" xfId="12803" xr:uid="{00000000-0005-0000-0000-0000231B0000}"/>
    <cellStyle name="Normal 28 2 3 5" xfId="9583" xr:uid="{00000000-0005-0000-0000-0000241B0000}"/>
    <cellStyle name="Normal 28 2 3 6" xfId="7981" xr:uid="{00000000-0005-0000-0000-0000251B0000}"/>
    <cellStyle name="Normal 28 2 3 7" xfId="11193" xr:uid="{00000000-0005-0000-0000-0000261B0000}"/>
    <cellStyle name="Normal 28 2 3 8" xfId="12800" xr:uid="{00000000-0005-0000-0000-0000271B0000}"/>
    <cellStyle name="Normal 28 2 4" xfId="2791" xr:uid="{00000000-0005-0000-0000-0000281B0000}"/>
    <cellStyle name="Normal 28 2 4 2" xfId="2792" xr:uid="{00000000-0005-0000-0000-0000291B0000}"/>
    <cellStyle name="Normal 28 2 4 2 2" xfId="2793" xr:uid="{00000000-0005-0000-0000-00002A1B0000}"/>
    <cellStyle name="Normal 28 2 4 2 2 2" xfId="2794" xr:uid="{00000000-0005-0000-0000-00002B1B0000}"/>
    <cellStyle name="Normal 28 2 4 2 2 2 2" xfId="9588" xr:uid="{00000000-0005-0000-0000-00002C1B0000}"/>
    <cellStyle name="Normal 28 2 4 2 2 2 3" xfId="7986" xr:uid="{00000000-0005-0000-0000-00002D1B0000}"/>
    <cellStyle name="Normal 28 2 4 2 2 2 4" xfId="11198" xr:uid="{00000000-0005-0000-0000-00002E1B0000}"/>
    <cellStyle name="Normal 28 2 4 2 2 2 5" xfId="12805" xr:uid="{00000000-0005-0000-0000-00002F1B0000}"/>
    <cellStyle name="Normal 28 2 4 2 2 3" xfId="2795" xr:uid="{00000000-0005-0000-0000-0000301B0000}"/>
    <cellStyle name="Normal 28 2 4 2 2 3 2" xfId="9589" xr:uid="{00000000-0005-0000-0000-0000311B0000}"/>
    <cellStyle name="Normal 28 2 4 2 2 3 3" xfId="7987" xr:uid="{00000000-0005-0000-0000-0000321B0000}"/>
    <cellStyle name="Normal 28 2 4 2 2 3 4" xfId="11199" xr:uid="{00000000-0005-0000-0000-0000331B0000}"/>
    <cellStyle name="Normal 28 2 4 2 2 3 5" xfId="12806" xr:uid="{00000000-0005-0000-0000-0000341B0000}"/>
    <cellStyle name="Normal 28 2 4 2 2 4" xfId="2796" xr:uid="{00000000-0005-0000-0000-0000351B0000}"/>
    <cellStyle name="Normal 28 2 4 2 2 4 2" xfId="9590" xr:uid="{00000000-0005-0000-0000-0000361B0000}"/>
    <cellStyle name="Normal 28 2 4 2 2 4 3" xfId="7988" xr:uid="{00000000-0005-0000-0000-0000371B0000}"/>
    <cellStyle name="Normal 28 2 4 2 2 4 4" xfId="11200" xr:uid="{00000000-0005-0000-0000-0000381B0000}"/>
    <cellStyle name="Normal 28 2 4 2 2 4 5" xfId="12807" xr:uid="{00000000-0005-0000-0000-0000391B0000}"/>
    <cellStyle name="Normal 28 2 4 2 3" xfId="2797" xr:uid="{00000000-0005-0000-0000-00003A1B0000}"/>
    <cellStyle name="Normal 28 2 4 2 4" xfId="2798" xr:uid="{00000000-0005-0000-0000-00003B1B0000}"/>
    <cellStyle name="Normal 28 2 4 2 5" xfId="9587" xr:uid="{00000000-0005-0000-0000-00003C1B0000}"/>
    <cellStyle name="Normal 28 2 4 2 6" xfId="7985" xr:uid="{00000000-0005-0000-0000-00003D1B0000}"/>
    <cellStyle name="Normal 28 2 4 2 7" xfId="11197" xr:uid="{00000000-0005-0000-0000-00003E1B0000}"/>
    <cellStyle name="Normal 28 2 4 2 8" xfId="12804" xr:uid="{00000000-0005-0000-0000-00003F1B0000}"/>
    <cellStyle name="Normal 28 2 4 3" xfId="2799" xr:uid="{00000000-0005-0000-0000-0000401B0000}"/>
    <cellStyle name="Normal 28 2 4 3 2" xfId="2800" xr:uid="{00000000-0005-0000-0000-0000411B0000}"/>
    <cellStyle name="Normal 28 2 4 3 2 2" xfId="9592" xr:uid="{00000000-0005-0000-0000-0000421B0000}"/>
    <cellStyle name="Normal 28 2 4 3 2 3" xfId="7990" xr:uid="{00000000-0005-0000-0000-0000431B0000}"/>
    <cellStyle name="Normal 28 2 4 3 2 4" xfId="11202" xr:uid="{00000000-0005-0000-0000-0000441B0000}"/>
    <cellStyle name="Normal 28 2 4 3 2 5" xfId="12809" xr:uid="{00000000-0005-0000-0000-0000451B0000}"/>
    <cellStyle name="Normal 28 2 4 3 3" xfId="2801" xr:uid="{00000000-0005-0000-0000-0000461B0000}"/>
    <cellStyle name="Normal 28 2 4 3 3 2" xfId="9593" xr:uid="{00000000-0005-0000-0000-0000471B0000}"/>
    <cellStyle name="Normal 28 2 4 3 3 3" xfId="7991" xr:uid="{00000000-0005-0000-0000-0000481B0000}"/>
    <cellStyle name="Normal 28 2 4 3 3 4" xfId="11203" xr:uid="{00000000-0005-0000-0000-0000491B0000}"/>
    <cellStyle name="Normal 28 2 4 3 3 5" xfId="12810" xr:uid="{00000000-0005-0000-0000-00004A1B0000}"/>
    <cellStyle name="Normal 28 2 4 3 4" xfId="2802" xr:uid="{00000000-0005-0000-0000-00004B1B0000}"/>
    <cellStyle name="Normal 28 2 4 3 4 2" xfId="9594" xr:uid="{00000000-0005-0000-0000-00004C1B0000}"/>
    <cellStyle name="Normal 28 2 4 3 4 3" xfId="7992" xr:uid="{00000000-0005-0000-0000-00004D1B0000}"/>
    <cellStyle name="Normal 28 2 4 3 4 4" xfId="11204" xr:uid="{00000000-0005-0000-0000-00004E1B0000}"/>
    <cellStyle name="Normal 28 2 4 3 4 5" xfId="12811" xr:uid="{00000000-0005-0000-0000-00004F1B0000}"/>
    <cellStyle name="Normal 28 2 4 3 5" xfId="9591" xr:uid="{00000000-0005-0000-0000-0000501B0000}"/>
    <cellStyle name="Normal 28 2 4 3 6" xfId="7989" xr:uid="{00000000-0005-0000-0000-0000511B0000}"/>
    <cellStyle name="Normal 28 2 4 3 7" xfId="11201" xr:uid="{00000000-0005-0000-0000-0000521B0000}"/>
    <cellStyle name="Normal 28 2 4 3 8" xfId="12808" xr:uid="{00000000-0005-0000-0000-0000531B0000}"/>
    <cellStyle name="Normal 28 2 4 4" xfId="2803" xr:uid="{00000000-0005-0000-0000-0000541B0000}"/>
    <cellStyle name="Normal 28 2 4 4 2" xfId="2804" xr:uid="{00000000-0005-0000-0000-0000551B0000}"/>
    <cellStyle name="Normal 28 2 4 4 2 2" xfId="9596" xr:uid="{00000000-0005-0000-0000-0000561B0000}"/>
    <cellStyle name="Normal 28 2 4 4 2 3" xfId="7994" xr:uid="{00000000-0005-0000-0000-0000571B0000}"/>
    <cellStyle name="Normal 28 2 4 4 2 4" xfId="11206" xr:uid="{00000000-0005-0000-0000-0000581B0000}"/>
    <cellStyle name="Normal 28 2 4 4 2 5" xfId="12813" xr:uid="{00000000-0005-0000-0000-0000591B0000}"/>
    <cellStyle name="Normal 28 2 4 4 3" xfId="2805" xr:uid="{00000000-0005-0000-0000-00005A1B0000}"/>
    <cellStyle name="Normal 28 2 4 4 3 2" xfId="9597" xr:uid="{00000000-0005-0000-0000-00005B1B0000}"/>
    <cellStyle name="Normal 28 2 4 4 3 3" xfId="7995" xr:uid="{00000000-0005-0000-0000-00005C1B0000}"/>
    <cellStyle name="Normal 28 2 4 4 3 4" xfId="11207" xr:uid="{00000000-0005-0000-0000-00005D1B0000}"/>
    <cellStyle name="Normal 28 2 4 4 3 5" xfId="12814" xr:uid="{00000000-0005-0000-0000-00005E1B0000}"/>
    <cellStyle name="Normal 28 2 4 4 4" xfId="2806" xr:uid="{00000000-0005-0000-0000-00005F1B0000}"/>
    <cellStyle name="Normal 28 2 4 4 4 2" xfId="9598" xr:uid="{00000000-0005-0000-0000-0000601B0000}"/>
    <cellStyle name="Normal 28 2 4 4 4 3" xfId="7996" xr:uid="{00000000-0005-0000-0000-0000611B0000}"/>
    <cellStyle name="Normal 28 2 4 4 4 4" xfId="11208" xr:uid="{00000000-0005-0000-0000-0000621B0000}"/>
    <cellStyle name="Normal 28 2 4 4 4 5" xfId="12815" xr:uid="{00000000-0005-0000-0000-0000631B0000}"/>
    <cellStyle name="Normal 28 2 4 4 5" xfId="9595" xr:uid="{00000000-0005-0000-0000-0000641B0000}"/>
    <cellStyle name="Normal 28 2 4 4 6" xfId="7993" xr:uid="{00000000-0005-0000-0000-0000651B0000}"/>
    <cellStyle name="Normal 28 2 4 4 7" xfId="11205" xr:uid="{00000000-0005-0000-0000-0000661B0000}"/>
    <cellStyle name="Normal 28 2 4 4 8" xfId="12812" xr:uid="{00000000-0005-0000-0000-0000671B0000}"/>
    <cellStyle name="Normal 28 2 4 5" xfId="2807" xr:uid="{00000000-0005-0000-0000-0000681B0000}"/>
    <cellStyle name="Normal 28 2 4 5 2" xfId="9599" xr:uid="{00000000-0005-0000-0000-0000691B0000}"/>
    <cellStyle name="Normal 28 2 4 5 3" xfId="7997" xr:uid="{00000000-0005-0000-0000-00006A1B0000}"/>
    <cellStyle name="Normal 28 2 4 5 4" xfId="11209" xr:uid="{00000000-0005-0000-0000-00006B1B0000}"/>
    <cellStyle name="Normal 28 2 4 5 5" xfId="12816" xr:uid="{00000000-0005-0000-0000-00006C1B0000}"/>
    <cellStyle name="Normal 28 2 4 6" xfId="2808" xr:uid="{00000000-0005-0000-0000-00006D1B0000}"/>
    <cellStyle name="Normal 28 2 4 6 2" xfId="9600" xr:uid="{00000000-0005-0000-0000-00006E1B0000}"/>
    <cellStyle name="Normal 28 2 4 6 3" xfId="7998" xr:uid="{00000000-0005-0000-0000-00006F1B0000}"/>
    <cellStyle name="Normal 28 2 4 6 4" xfId="11210" xr:uid="{00000000-0005-0000-0000-0000701B0000}"/>
    <cellStyle name="Normal 28 2 4 6 5" xfId="12817" xr:uid="{00000000-0005-0000-0000-0000711B0000}"/>
    <cellStyle name="Normal 28 2 4 7" xfId="2809" xr:uid="{00000000-0005-0000-0000-0000721B0000}"/>
    <cellStyle name="Normal 28 2 4 7 2" xfId="9601" xr:uid="{00000000-0005-0000-0000-0000731B0000}"/>
    <cellStyle name="Normal 28 2 4 7 3" xfId="7999" xr:uid="{00000000-0005-0000-0000-0000741B0000}"/>
    <cellStyle name="Normal 28 2 4 7 4" xfId="11211" xr:uid="{00000000-0005-0000-0000-0000751B0000}"/>
    <cellStyle name="Normal 28 2 4 7 5" xfId="12818" xr:uid="{00000000-0005-0000-0000-0000761B0000}"/>
    <cellStyle name="Normal 28 2 5" xfId="2810" xr:uid="{00000000-0005-0000-0000-0000771B0000}"/>
    <cellStyle name="Normal 28 2 6" xfId="2811" xr:uid="{00000000-0005-0000-0000-0000781B0000}"/>
    <cellStyle name="Normal 28 2 7" xfId="2812" xr:uid="{00000000-0005-0000-0000-0000791B0000}"/>
    <cellStyle name="Normal 28 2 7 2" xfId="9602" xr:uid="{00000000-0005-0000-0000-00007A1B0000}"/>
    <cellStyle name="Normal 28 2 7 3" xfId="8000" xr:uid="{00000000-0005-0000-0000-00007B1B0000}"/>
    <cellStyle name="Normal 28 2 7 4" xfId="11212" xr:uid="{00000000-0005-0000-0000-00007C1B0000}"/>
    <cellStyle name="Normal 28 2 7 5" xfId="12819" xr:uid="{00000000-0005-0000-0000-00007D1B0000}"/>
    <cellStyle name="Normal 28 2 8" xfId="2813" xr:uid="{00000000-0005-0000-0000-00007E1B0000}"/>
    <cellStyle name="Normal 28 2 8 2" xfId="9603" xr:uid="{00000000-0005-0000-0000-00007F1B0000}"/>
    <cellStyle name="Normal 28 2 8 3" xfId="8001" xr:uid="{00000000-0005-0000-0000-0000801B0000}"/>
    <cellStyle name="Normal 28 2 8 4" xfId="11213" xr:uid="{00000000-0005-0000-0000-0000811B0000}"/>
    <cellStyle name="Normal 28 2 8 5" xfId="12820" xr:uid="{00000000-0005-0000-0000-0000821B0000}"/>
    <cellStyle name="Normal 28 2 9" xfId="2814" xr:uid="{00000000-0005-0000-0000-0000831B0000}"/>
    <cellStyle name="Normal 28 2 9 2" xfId="9604" xr:uid="{00000000-0005-0000-0000-0000841B0000}"/>
    <cellStyle name="Normal 28 2 9 3" xfId="8002" xr:uid="{00000000-0005-0000-0000-0000851B0000}"/>
    <cellStyle name="Normal 28 2 9 4" xfId="11214" xr:uid="{00000000-0005-0000-0000-0000861B0000}"/>
    <cellStyle name="Normal 28 2 9 5" xfId="12821" xr:uid="{00000000-0005-0000-0000-0000871B0000}"/>
    <cellStyle name="Normal 28 3" xfId="2815" xr:uid="{00000000-0005-0000-0000-0000881B0000}"/>
    <cellStyle name="Normal 28 3 2" xfId="2816" xr:uid="{00000000-0005-0000-0000-0000891B0000}"/>
    <cellStyle name="Normal 28 3 2 2" xfId="9606" xr:uid="{00000000-0005-0000-0000-00008A1B0000}"/>
    <cellStyle name="Normal 28 3 2 3" xfId="8004" xr:uid="{00000000-0005-0000-0000-00008B1B0000}"/>
    <cellStyle name="Normal 28 3 2 4" xfId="11216" xr:uid="{00000000-0005-0000-0000-00008C1B0000}"/>
    <cellStyle name="Normal 28 3 2 5" xfId="12823" xr:uid="{00000000-0005-0000-0000-00008D1B0000}"/>
    <cellStyle name="Normal 28 3 3" xfId="2817" xr:uid="{00000000-0005-0000-0000-00008E1B0000}"/>
    <cellStyle name="Normal 28 3 3 2" xfId="9607" xr:uid="{00000000-0005-0000-0000-00008F1B0000}"/>
    <cellStyle name="Normal 28 3 3 3" xfId="8005" xr:uid="{00000000-0005-0000-0000-0000901B0000}"/>
    <cellStyle name="Normal 28 3 3 4" xfId="11217" xr:uid="{00000000-0005-0000-0000-0000911B0000}"/>
    <cellStyle name="Normal 28 3 3 5" xfId="12824" xr:uid="{00000000-0005-0000-0000-0000921B0000}"/>
    <cellStyle name="Normal 28 3 4" xfId="2818" xr:uid="{00000000-0005-0000-0000-0000931B0000}"/>
    <cellStyle name="Normal 28 3 4 2" xfId="9608" xr:uid="{00000000-0005-0000-0000-0000941B0000}"/>
    <cellStyle name="Normal 28 3 4 3" xfId="8006" xr:uid="{00000000-0005-0000-0000-0000951B0000}"/>
    <cellStyle name="Normal 28 3 4 4" xfId="11218" xr:uid="{00000000-0005-0000-0000-0000961B0000}"/>
    <cellStyle name="Normal 28 3 4 5" xfId="12825" xr:uid="{00000000-0005-0000-0000-0000971B0000}"/>
    <cellStyle name="Normal 28 3 5" xfId="9605" xr:uid="{00000000-0005-0000-0000-0000981B0000}"/>
    <cellStyle name="Normal 28 3 6" xfId="8003" xr:uid="{00000000-0005-0000-0000-0000991B0000}"/>
    <cellStyle name="Normal 28 3 7" xfId="11215" xr:uid="{00000000-0005-0000-0000-00009A1B0000}"/>
    <cellStyle name="Normal 28 3 8" xfId="12822" xr:uid="{00000000-0005-0000-0000-00009B1B0000}"/>
    <cellStyle name="Normal 28 4" xfId="2819" xr:uid="{00000000-0005-0000-0000-00009C1B0000}"/>
    <cellStyle name="Normal 29" xfId="2820" xr:uid="{00000000-0005-0000-0000-00009D1B0000}"/>
    <cellStyle name="Normal 29 2" xfId="2821" xr:uid="{00000000-0005-0000-0000-00009E1B0000}"/>
    <cellStyle name="Normal 29 2 10" xfId="8007" xr:uid="{00000000-0005-0000-0000-00009F1B0000}"/>
    <cellStyle name="Normal 29 2 11" xfId="11219" xr:uid="{00000000-0005-0000-0000-0000A01B0000}"/>
    <cellStyle name="Normal 29 2 12" xfId="12826" xr:uid="{00000000-0005-0000-0000-0000A11B0000}"/>
    <cellStyle name="Normal 29 2 2" xfId="2822" xr:uid="{00000000-0005-0000-0000-0000A21B0000}"/>
    <cellStyle name="Normal 29 2 2 2" xfId="2823" xr:uid="{00000000-0005-0000-0000-0000A31B0000}"/>
    <cellStyle name="Normal 29 2 2 2 2" xfId="2824" xr:uid="{00000000-0005-0000-0000-0000A41B0000}"/>
    <cellStyle name="Normal 29 2 2 2 2 2" xfId="2825" xr:uid="{00000000-0005-0000-0000-0000A51B0000}"/>
    <cellStyle name="Normal 29 2 2 2 2 2 2" xfId="9611" xr:uid="{00000000-0005-0000-0000-0000A61B0000}"/>
    <cellStyle name="Normal 29 2 2 2 2 2 3" xfId="8009" xr:uid="{00000000-0005-0000-0000-0000A71B0000}"/>
    <cellStyle name="Normal 29 2 2 2 2 2 4" xfId="11221" xr:uid="{00000000-0005-0000-0000-0000A81B0000}"/>
    <cellStyle name="Normal 29 2 2 2 2 2 5" xfId="12828" xr:uid="{00000000-0005-0000-0000-0000A91B0000}"/>
    <cellStyle name="Normal 29 2 2 2 2 3" xfId="2826" xr:uid="{00000000-0005-0000-0000-0000AA1B0000}"/>
    <cellStyle name="Normal 29 2 2 2 2 3 2" xfId="9612" xr:uid="{00000000-0005-0000-0000-0000AB1B0000}"/>
    <cellStyle name="Normal 29 2 2 2 2 3 3" xfId="8010" xr:uid="{00000000-0005-0000-0000-0000AC1B0000}"/>
    <cellStyle name="Normal 29 2 2 2 2 3 4" xfId="11222" xr:uid="{00000000-0005-0000-0000-0000AD1B0000}"/>
    <cellStyle name="Normal 29 2 2 2 2 3 5" xfId="12829" xr:uid="{00000000-0005-0000-0000-0000AE1B0000}"/>
    <cellStyle name="Normal 29 2 2 2 2 4" xfId="2827" xr:uid="{00000000-0005-0000-0000-0000AF1B0000}"/>
    <cellStyle name="Normal 29 2 2 2 2 4 2" xfId="9613" xr:uid="{00000000-0005-0000-0000-0000B01B0000}"/>
    <cellStyle name="Normal 29 2 2 2 2 4 3" xfId="8011" xr:uid="{00000000-0005-0000-0000-0000B11B0000}"/>
    <cellStyle name="Normal 29 2 2 2 2 4 4" xfId="11223" xr:uid="{00000000-0005-0000-0000-0000B21B0000}"/>
    <cellStyle name="Normal 29 2 2 2 2 4 5" xfId="12830" xr:uid="{00000000-0005-0000-0000-0000B31B0000}"/>
    <cellStyle name="Normal 29 2 2 2 3" xfId="2828" xr:uid="{00000000-0005-0000-0000-0000B41B0000}"/>
    <cellStyle name="Normal 29 2 2 2 4" xfId="2829" xr:uid="{00000000-0005-0000-0000-0000B51B0000}"/>
    <cellStyle name="Normal 29 2 2 2 5" xfId="9610" xr:uid="{00000000-0005-0000-0000-0000B61B0000}"/>
    <cellStyle name="Normal 29 2 2 2 6" xfId="8008" xr:uid="{00000000-0005-0000-0000-0000B71B0000}"/>
    <cellStyle name="Normal 29 2 2 2 7" xfId="11220" xr:uid="{00000000-0005-0000-0000-0000B81B0000}"/>
    <cellStyle name="Normal 29 2 2 2 8" xfId="12827" xr:uid="{00000000-0005-0000-0000-0000B91B0000}"/>
    <cellStyle name="Normal 29 2 2 3" xfId="2830" xr:uid="{00000000-0005-0000-0000-0000BA1B0000}"/>
    <cellStyle name="Normal 29 2 2 3 2" xfId="2831" xr:uid="{00000000-0005-0000-0000-0000BB1B0000}"/>
    <cellStyle name="Normal 29 2 2 3 2 2" xfId="9615" xr:uid="{00000000-0005-0000-0000-0000BC1B0000}"/>
    <cellStyle name="Normal 29 2 2 3 2 3" xfId="8013" xr:uid="{00000000-0005-0000-0000-0000BD1B0000}"/>
    <cellStyle name="Normal 29 2 2 3 2 4" xfId="11225" xr:uid="{00000000-0005-0000-0000-0000BE1B0000}"/>
    <cellStyle name="Normal 29 2 2 3 2 5" xfId="12832" xr:uid="{00000000-0005-0000-0000-0000BF1B0000}"/>
    <cellStyle name="Normal 29 2 2 3 3" xfId="2832" xr:uid="{00000000-0005-0000-0000-0000C01B0000}"/>
    <cellStyle name="Normal 29 2 2 3 3 2" xfId="9616" xr:uid="{00000000-0005-0000-0000-0000C11B0000}"/>
    <cellStyle name="Normal 29 2 2 3 3 3" xfId="8014" xr:uid="{00000000-0005-0000-0000-0000C21B0000}"/>
    <cellStyle name="Normal 29 2 2 3 3 4" xfId="11226" xr:uid="{00000000-0005-0000-0000-0000C31B0000}"/>
    <cellStyle name="Normal 29 2 2 3 3 5" xfId="12833" xr:uid="{00000000-0005-0000-0000-0000C41B0000}"/>
    <cellStyle name="Normal 29 2 2 3 4" xfId="2833" xr:uid="{00000000-0005-0000-0000-0000C51B0000}"/>
    <cellStyle name="Normal 29 2 2 3 4 2" xfId="9617" xr:uid="{00000000-0005-0000-0000-0000C61B0000}"/>
    <cellStyle name="Normal 29 2 2 3 4 3" xfId="8015" xr:uid="{00000000-0005-0000-0000-0000C71B0000}"/>
    <cellStyle name="Normal 29 2 2 3 4 4" xfId="11227" xr:uid="{00000000-0005-0000-0000-0000C81B0000}"/>
    <cellStyle name="Normal 29 2 2 3 4 5" xfId="12834" xr:uid="{00000000-0005-0000-0000-0000C91B0000}"/>
    <cellStyle name="Normal 29 2 2 3 5" xfId="9614" xr:uid="{00000000-0005-0000-0000-0000CA1B0000}"/>
    <cellStyle name="Normal 29 2 2 3 6" xfId="8012" xr:uid="{00000000-0005-0000-0000-0000CB1B0000}"/>
    <cellStyle name="Normal 29 2 2 3 7" xfId="11224" xr:uid="{00000000-0005-0000-0000-0000CC1B0000}"/>
    <cellStyle name="Normal 29 2 2 3 8" xfId="12831" xr:uid="{00000000-0005-0000-0000-0000CD1B0000}"/>
    <cellStyle name="Normal 29 2 2 4" xfId="2834" xr:uid="{00000000-0005-0000-0000-0000CE1B0000}"/>
    <cellStyle name="Normal 29 2 2 4 2" xfId="2835" xr:uid="{00000000-0005-0000-0000-0000CF1B0000}"/>
    <cellStyle name="Normal 29 2 2 4 2 2" xfId="9619" xr:uid="{00000000-0005-0000-0000-0000D01B0000}"/>
    <cellStyle name="Normal 29 2 2 4 2 3" xfId="8017" xr:uid="{00000000-0005-0000-0000-0000D11B0000}"/>
    <cellStyle name="Normal 29 2 2 4 2 4" xfId="11229" xr:uid="{00000000-0005-0000-0000-0000D21B0000}"/>
    <cellStyle name="Normal 29 2 2 4 2 5" xfId="12836" xr:uid="{00000000-0005-0000-0000-0000D31B0000}"/>
    <cellStyle name="Normal 29 2 2 4 3" xfId="2836" xr:uid="{00000000-0005-0000-0000-0000D41B0000}"/>
    <cellStyle name="Normal 29 2 2 4 3 2" xfId="9620" xr:uid="{00000000-0005-0000-0000-0000D51B0000}"/>
    <cellStyle name="Normal 29 2 2 4 3 3" xfId="8018" xr:uid="{00000000-0005-0000-0000-0000D61B0000}"/>
    <cellStyle name="Normal 29 2 2 4 3 4" xfId="11230" xr:uid="{00000000-0005-0000-0000-0000D71B0000}"/>
    <cellStyle name="Normal 29 2 2 4 3 5" xfId="12837" xr:uid="{00000000-0005-0000-0000-0000D81B0000}"/>
    <cellStyle name="Normal 29 2 2 4 4" xfId="2837" xr:uid="{00000000-0005-0000-0000-0000D91B0000}"/>
    <cellStyle name="Normal 29 2 2 4 4 2" xfId="9621" xr:uid="{00000000-0005-0000-0000-0000DA1B0000}"/>
    <cellStyle name="Normal 29 2 2 4 4 3" xfId="8019" xr:uid="{00000000-0005-0000-0000-0000DB1B0000}"/>
    <cellStyle name="Normal 29 2 2 4 4 4" xfId="11231" xr:uid="{00000000-0005-0000-0000-0000DC1B0000}"/>
    <cellStyle name="Normal 29 2 2 4 4 5" xfId="12838" xr:uid="{00000000-0005-0000-0000-0000DD1B0000}"/>
    <cellStyle name="Normal 29 2 2 4 5" xfId="9618" xr:uid="{00000000-0005-0000-0000-0000DE1B0000}"/>
    <cellStyle name="Normal 29 2 2 4 6" xfId="8016" xr:uid="{00000000-0005-0000-0000-0000DF1B0000}"/>
    <cellStyle name="Normal 29 2 2 4 7" xfId="11228" xr:uid="{00000000-0005-0000-0000-0000E01B0000}"/>
    <cellStyle name="Normal 29 2 2 4 8" xfId="12835" xr:uid="{00000000-0005-0000-0000-0000E11B0000}"/>
    <cellStyle name="Normal 29 2 2 5" xfId="2838" xr:uid="{00000000-0005-0000-0000-0000E21B0000}"/>
    <cellStyle name="Normal 29 2 2 5 2" xfId="9622" xr:uid="{00000000-0005-0000-0000-0000E31B0000}"/>
    <cellStyle name="Normal 29 2 2 5 3" xfId="8020" xr:uid="{00000000-0005-0000-0000-0000E41B0000}"/>
    <cellStyle name="Normal 29 2 2 5 4" xfId="11232" xr:uid="{00000000-0005-0000-0000-0000E51B0000}"/>
    <cellStyle name="Normal 29 2 2 5 5" xfId="12839" xr:uid="{00000000-0005-0000-0000-0000E61B0000}"/>
    <cellStyle name="Normal 29 2 2 6" xfId="2839" xr:uid="{00000000-0005-0000-0000-0000E71B0000}"/>
    <cellStyle name="Normal 29 2 2 6 2" xfId="9623" xr:uid="{00000000-0005-0000-0000-0000E81B0000}"/>
    <cellStyle name="Normal 29 2 2 6 3" xfId="8021" xr:uid="{00000000-0005-0000-0000-0000E91B0000}"/>
    <cellStyle name="Normal 29 2 2 6 4" xfId="11233" xr:uid="{00000000-0005-0000-0000-0000EA1B0000}"/>
    <cellStyle name="Normal 29 2 2 6 5" xfId="12840" xr:uid="{00000000-0005-0000-0000-0000EB1B0000}"/>
    <cellStyle name="Normal 29 2 2 7" xfId="2840" xr:uid="{00000000-0005-0000-0000-0000EC1B0000}"/>
    <cellStyle name="Normal 29 2 2 7 2" xfId="9624" xr:uid="{00000000-0005-0000-0000-0000ED1B0000}"/>
    <cellStyle name="Normal 29 2 2 7 3" xfId="8022" xr:uid="{00000000-0005-0000-0000-0000EE1B0000}"/>
    <cellStyle name="Normal 29 2 2 7 4" xfId="11234" xr:uid="{00000000-0005-0000-0000-0000EF1B0000}"/>
    <cellStyle name="Normal 29 2 2 7 5" xfId="12841" xr:uid="{00000000-0005-0000-0000-0000F01B0000}"/>
    <cellStyle name="Normal 29 2 3" xfId="2841" xr:uid="{00000000-0005-0000-0000-0000F11B0000}"/>
    <cellStyle name="Normal 29 2 3 2" xfId="2842" xr:uid="{00000000-0005-0000-0000-0000F21B0000}"/>
    <cellStyle name="Normal 29 2 3 2 2" xfId="9626" xr:uid="{00000000-0005-0000-0000-0000F31B0000}"/>
    <cellStyle name="Normal 29 2 3 2 3" xfId="8024" xr:uid="{00000000-0005-0000-0000-0000F41B0000}"/>
    <cellStyle name="Normal 29 2 3 2 4" xfId="11236" xr:uid="{00000000-0005-0000-0000-0000F51B0000}"/>
    <cellStyle name="Normal 29 2 3 2 5" xfId="12843" xr:uid="{00000000-0005-0000-0000-0000F61B0000}"/>
    <cellStyle name="Normal 29 2 3 3" xfId="2843" xr:uid="{00000000-0005-0000-0000-0000F71B0000}"/>
    <cellStyle name="Normal 29 2 3 3 2" xfId="9627" xr:uid="{00000000-0005-0000-0000-0000F81B0000}"/>
    <cellStyle name="Normal 29 2 3 3 3" xfId="8025" xr:uid="{00000000-0005-0000-0000-0000F91B0000}"/>
    <cellStyle name="Normal 29 2 3 3 4" xfId="11237" xr:uid="{00000000-0005-0000-0000-0000FA1B0000}"/>
    <cellStyle name="Normal 29 2 3 3 5" xfId="12844" xr:uid="{00000000-0005-0000-0000-0000FB1B0000}"/>
    <cellStyle name="Normal 29 2 3 4" xfId="2844" xr:uid="{00000000-0005-0000-0000-0000FC1B0000}"/>
    <cellStyle name="Normal 29 2 3 4 2" xfId="9628" xr:uid="{00000000-0005-0000-0000-0000FD1B0000}"/>
    <cellStyle name="Normal 29 2 3 4 3" xfId="8026" xr:uid="{00000000-0005-0000-0000-0000FE1B0000}"/>
    <cellStyle name="Normal 29 2 3 4 4" xfId="11238" xr:uid="{00000000-0005-0000-0000-0000FF1B0000}"/>
    <cellStyle name="Normal 29 2 3 4 5" xfId="12845" xr:uid="{00000000-0005-0000-0000-0000001C0000}"/>
    <cellStyle name="Normal 29 2 3 5" xfId="9625" xr:uid="{00000000-0005-0000-0000-0000011C0000}"/>
    <cellStyle name="Normal 29 2 3 6" xfId="8023" xr:uid="{00000000-0005-0000-0000-0000021C0000}"/>
    <cellStyle name="Normal 29 2 3 7" xfId="11235" xr:uid="{00000000-0005-0000-0000-0000031C0000}"/>
    <cellStyle name="Normal 29 2 3 8" xfId="12842" xr:uid="{00000000-0005-0000-0000-0000041C0000}"/>
    <cellStyle name="Normal 29 2 4" xfId="2845" xr:uid="{00000000-0005-0000-0000-0000051C0000}"/>
    <cellStyle name="Normal 29 2 5" xfId="2846" xr:uid="{00000000-0005-0000-0000-0000061C0000}"/>
    <cellStyle name="Normal 29 2 6" xfId="2847" xr:uid="{00000000-0005-0000-0000-0000071C0000}"/>
    <cellStyle name="Normal 29 2 6 2" xfId="9629" xr:uid="{00000000-0005-0000-0000-0000081C0000}"/>
    <cellStyle name="Normal 29 2 6 3" xfId="8027" xr:uid="{00000000-0005-0000-0000-0000091C0000}"/>
    <cellStyle name="Normal 29 2 6 4" xfId="11239" xr:uid="{00000000-0005-0000-0000-00000A1C0000}"/>
    <cellStyle name="Normal 29 2 6 5" xfId="12846" xr:uid="{00000000-0005-0000-0000-00000B1C0000}"/>
    <cellStyle name="Normal 29 2 7" xfId="2848" xr:uid="{00000000-0005-0000-0000-00000C1C0000}"/>
    <cellStyle name="Normal 29 2 7 2" xfId="9630" xr:uid="{00000000-0005-0000-0000-00000D1C0000}"/>
    <cellStyle name="Normal 29 2 7 3" xfId="8028" xr:uid="{00000000-0005-0000-0000-00000E1C0000}"/>
    <cellStyle name="Normal 29 2 7 4" xfId="11240" xr:uid="{00000000-0005-0000-0000-00000F1C0000}"/>
    <cellStyle name="Normal 29 2 7 5" xfId="12847" xr:uid="{00000000-0005-0000-0000-0000101C0000}"/>
    <cellStyle name="Normal 29 2 8" xfId="2849" xr:uid="{00000000-0005-0000-0000-0000111C0000}"/>
    <cellStyle name="Normal 29 2 8 2" xfId="9631" xr:uid="{00000000-0005-0000-0000-0000121C0000}"/>
    <cellStyle name="Normal 29 2 8 3" xfId="8029" xr:uid="{00000000-0005-0000-0000-0000131C0000}"/>
    <cellStyle name="Normal 29 2 8 4" xfId="11241" xr:uid="{00000000-0005-0000-0000-0000141C0000}"/>
    <cellStyle name="Normal 29 2 8 5" xfId="12848" xr:uid="{00000000-0005-0000-0000-0000151C0000}"/>
    <cellStyle name="Normal 29 2 9" xfId="9609" xr:uid="{00000000-0005-0000-0000-0000161C0000}"/>
    <cellStyle name="Normal 29 3" xfId="2850" xr:uid="{00000000-0005-0000-0000-0000171C0000}"/>
    <cellStyle name="Normal 3" xfId="91" xr:uid="{00000000-0005-0000-0000-0000181C0000}"/>
    <cellStyle name="Normal 3 10" xfId="5087" xr:uid="{00000000-0005-0000-0000-0000191C0000}"/>
    <cellStyle name="Normal 3 11" xfId="10602" xr:uid="{00000000-0005-0000-0000-00001A1C0000}"/>
    <cellStyle name="Normal 3 2" xfId="121" xr:uid="{00000000-0005-0000-0000-00001B1C0000}"/>
    <cellStyle name="Normal 3 2 10" xfId="2852" xr:uid="{00000000-0005-0000-0000-00001C1C0000}"/>
    <cellStyle name="Normal 3 2 10 2" xfId="9632" xr:uid="{00000000-0005-0000-0000-00001D1C0000}"/>
    <cellStyle name="Normal 3 2 10 3" xfId="8030" xr:uid="{00000000-0005-0000-0000-00001E1C0000}"/>
    <cellStyle name="Normal 3 2 10 4" xfId="11242" xr:uid="{00000000-0005-0000-0000-00001F1C0000}"/>
    <cellStyle name="Normal 3 2 10 5" xfId="12849" xr:uid="{00000000-0005-0000-0000-0000201C0000}"/>
    <cellStyle name="Normal 3 2 11" xfId="7393" xr:uid="{00000000-0005-0000-0000-0000211C0000}"/>
    <cellStyle name="Normal 3 2 2" xfId="2853" xr:uid="{00000000-0005-0000-0000-0000221C0000}"/>
    <cellStyle name="Normal 3 2 2 2" xfId="2854" xr:uid="{00000000-0005-0000-0000-0000231C0000}"/>
    <cellStyle name="Normal 3 2 2 2 2" xfId="9634" xr:uid="{00000000-0005-0000-0000-0000241C0000}"/>
    <cellStyle name="Normal 3 2 2 2 3" xfId="8032" xr:uid="{00000000-0005-0000-0000-0000251C0000}"/>
    <cellStyle name="Normal 3 2 2 2 4" xfId="11244" xr:uid="{00000000-0005-0000-0000-0000261C0000}"/>
    <cellStyle name="Normal 3 2 2 2 5" xfId="12851" xr:uid="{00000000-0005-0000-0000-0000271C0000}"/>
    <cellStyle name="Normal 3 2 2 3" xfId="2855" xr:uid="{00000000-0005-0000-0000-0000281C0000}"/>
    <cellStyle name="Normal 3 2 2 3 2" xfId="9635" xr:uid="{00000000-0005-0000-0000-0000291C0000}"/>
    <cellStyle name="Normal 3 2 2 3 3" xfId="8033" xr:uid="{00000000-0005-0000-0000-00002A1C0000}"/>
    <cellStyle name="Normal 3 2 2 3 4" xfId="11245" xr:uid="{00000000-0005-0000-0000-00002B1C0000}"/>
    <cellStyle name="Normal 3 2 2 3 5" xfId="12852" xr:uid="{00000000-0005-0000-0000-00002C1C0000}"/>
    <cellStyle name="Normal 3 2 2 4" xfId="2856" xr:uid="{00000000-0005-0000-0000-00002D1C0000}"/>
    <cellStyle name="Normal 3 2 2 4 2" xfId="9636" xr:uid="{00000000-0005-0000-0000-00002E1C0000}"/>
    <cellStyle name="Normal 3 2 2 4 3" xfId="8034" xr:uid="{00000000-0005-0000-0000-00002F1C0000}"/>
    <cellStyle name="Normal 3 2 2 4 4" xfId="11246" xr:uid="{00000000-0005-0000-0000-0000301C0000}"/>
    <cellStyle name="Normal 3 2 2 4 5" xfId="12853" xr:uid="{00000000-0005-0000-0000-0000311C0000}"/>
    <cellStyle name="Normal 3 2 2 5" xfId="9633" xr:uid="{00000000-0005-0000-0000-0000321C0000}"/>
    <cellStyle name="Normal 3 2 2 6" xfId="8031" xr:uid="{00000000-0005-0000-0000-0000331C0000}"/>
    <cellStyle name="Normal 3 2 2 7" xfId="11243" xr:uid="{00000000-0005-0000-0000-0000341C0000}"/>
    <cellStyle name="Normal 3 2 2 8" xfId="12850" xr:uid="{00000000-0005-0000-0000-0000351C0000}"/>
    <cellStyle name="Normal 3 2 3" xfId="2857" xr:uid="{00000000-0005-0000-0000-0000361C0000}"/>
    <cellStyle name="Normal 3 2 3 2" xfId="2858" xr:uid="{00000000-0005-0000-0000-0000371C0000}"/>
    <cellStyle name="Normal 3 2 3 2 2" xfId="9638" xr:uid="{00000000-0005-0000-0000-0000381C0000}"/>
    <cellStyle name="Normal 3 2 3 2 3" xfId="8036" xr:uid="{00000000-0005-0000-0000-0000391C0000}"/>
    <cellStyle name="Normal 3 2 3 2 4" xfId="11248" xr:uid="{00000000-0005-0000-0000-00003A1C0000}"/>
    <cellStyle name="Normal 3 2 3 2 5" xfId="12855" xr:uid="{00000000-0005-0000-0000-00003B1C0000}"/>
    <cellStyle name="Normal 3 2 3 3" xfId="2859" xr:uid="{00000000-0005-0000-0000-00003C1C0000}"/>
    <cellStyle name="Normal 3 2 3 3 2" xfId="9639" xr:uid="{00000000-0005-0000-0000-00003D1C0000}"/>
    <cellStyle name="Normal 3 2 3 3 3" xfId="8037" xr:uid="{00000000-0005-0000-0000-00003E1C0000}"/>
    <cellStyle name="Normal 3 2 3 3 4" xfId="11249" xr:uid="{00000000-0005-0000-0000-00003F1C0000}"/>
    <cellStyle name="Normal 3 2 3 3 5" xfId="12856" xr:uid="{00000000-0005-0000-0000-0000401C0000}"/>
    <cellStyle name="Normal 3 2 3 4" xfId="2860" xr:uid="{00000000-0005-0000-0000-0000411C0000}"/>
    <cellStyle name="Normal 3 2 3 4 2" xfId="9640" xr:uid="{00000000-0005-0000-0000-0000421C0000}"/>
    <cellStyle name="Normal 3 2 3 4 3" xfId="8038" xr:uid="{00000000-0005-0000-0000-0000431C0000}"/>
    <cellStyle name="Normal 3 2 3 4 4" xfId="11250" xr:uid="{00000000-0005-0000-0000-0000441C0000}"/>
    <cellStyle name="Normal 3 2 3 4 5" xfId="12857" xr:uid="{00000000-0005-0000-0000-0000451C0000}"/>
    <cellStyle name="Normal 3 2 3 5" xfId="9637" xr:uid="{00000000-0005-0000-0000-0000461C0000}"/>
    <cellStyle name="Normal 3 2 3 6" xfId="8035" xr:uid="{00000000-0005-0000-0000-0000471C0000}"/>
    <cellStyle name="Normal 3 2 3 7" xfId="11247" xr:uid="{00000000-0005-0000-0000-0000481C0000}"/>
    <cellStyle name="Normal 3 2 3 8" xfId="12854" xr:uid="{00000000-0005-0000-0000-0000491C0000}"/>
    <cellStyle name="Normal 3 2 4" xfId="2861" xr:uid="{00000000-0005-0000-0000-00004A1C0000}"/>
    <cellStyle name="Normal 3 2 4 2" xfId="2862" xr:uid="{00000000-0005-0000-0000-00004B1C0000}"/>
    <cellStyle name="Normal 3 2 4 2 2" xfId="2863" xr:uid="{00000000-0005-0000-0000-00004C1C0000}"/>
    <cellStyle name="Normal 3 2 4 2 2 2" xfId="2864" xr:uid="{00000000-0005-0000-0000-00004D1C0000}"/>
    <cellStyle name="Normal 3 2 4 2 2 2 2" xfId="9642" xr:uid="{00000000-0005-0000-0000-00004E1C0000}"/>
    <cellStyle name="Normal 3 2 4 2 2 2 3" xfId="8040" xr:uid="{00000000-0005-0000-0000-00004F1C0000}"/>
    <cellStyle name="Normal 3 2 4 2 2 2 4" xfId="11252" xr:uid="{00000000-0005-0000-0000-0000501C0000}"/>
    <cellStyle name="Normal 3 2 4 2 2 2 5" xfId="12859" xr:uid="{00000000-0005-0000-0000-0000511C0000}"/>
    <cellStyle name="Normal 3 2 4 2 2 3" xfId="2865" xr:uid="{00000000-0005-0000-0000-0000521C0000}"/>
    <cellStyle name="Normal 3 2 4 2 2 3 2" xfId="9643" xr:uid="{00000000-0005-0000-0000-0000531C0000}"/>
    <cellStyle name="Normal 3 2 4 2 2 3 3" xfId="8041" xr:uid="{00000000-0005-0000-0000-0000541C0000}"/>
    <cellStyle name="Normal 3 2 4 2 2 3 4" xfId="11253" xr:uid="{00000000-0005-0000-0000-0000551C0000}"/>
    <cellStyle name="Normal 3 2 4 2 2 3 5" xfId="12860" xr:uid="{00000000-0005-0000-0000-0000561C0000}"/>
    <cellStyle name="Normal 3 2 4 2 2 4" xfId="2866" xr:uid="{00000000-0005-0000-0000-0000571C0000}"/>
    <cellStyle name="Normal 3 2 4 2 2 4 2" xfId="9644" xr:uid="{00000000-0005-0000-0000-0000581C0000}"/>
    <cellStyle name="Normal 3 2 4 2 2 4 3" xfId="8042" xr:uid="{00000000-0005-0000-0000-0000591C0000}"/>
    <cellStyle name="Normal 3 2 4 2 2 4 4" xfId="11254" xr:uid="{00000000-0005-0000-0000-00005A1C0000}"/>
    <cellStyle name="Normal 3 2 4 2 2 4 5" xfId="12861" xr:uid="{00000000-0005-0000-0000-00005B1C0000}"/>
    <cellStyle name="Normal 3 2 4 2 3" xfId="2867" xr:uid="{00000000-0005-0000-0000-00005C1C0000}"/>
    <cellStyle name="Normal 3 2 4 2 4" xfId="2868" xr:uid="{00000000-0005-0000-0000-00005D1C0000}"/>
    <cellStyle name="Normal 3 2 4 2 5" xfId="9641" xr:uid="{00000000-0005-0000-0000-00005E1C0000}"/>
    <cellStyle name="Normal 3 2 4 2 6" xfId="8039" xr:uid="{00000000-0005-0000-0000-00005F1C0000}"/>
    <cellStyle name="Normal 3 2 4 2 7" xfId="11251" xr:uid="{00000000-0005-0000-0000-0000601C0000}"/>
    <cellStyle name="Normal 3 2 4 2 8" xfId="12858" xr:uid="{00000000-0005-0000-0000-0000611C0000}"/>
    <cellStyle name="Normal 3 2 4 3" xfId="2869" xr:uid="{00000000-0005-0000-0000-0000621C0000}"/>
    <cellStyle name="Normal 3 2 4 3 2" xfId="2870" xr:uid="{00000000-0005-0000-0000-0000631C0000}"/>
    <cellStyle name="Normal 3 2 4 3 2 2" xfId="9646" xr:uid="{00000000-0005-0000-0000-0000641C0000}"/>
    <cellStyle name="Normal 3 2 4 3 2 3" xfId="8044" xr:uid="{00000000-0005-0000-0000-0000651C0000}"/>
    <cellStyle name="Normal 3 2 4 3 2 4" xfId="11256" xr:uid="{00000000-0005-0000-0000-0000661C0000}"/>
    <cellStyle name="Normal 3 2 4 3 2 5" xfId="12863" xr:uid="{00000000-0005-0000-0000-0000671C0000}"/>
    <cellStyle name="Normal 3 2 4 3 3" xfId="2871" xr:uid="{00000000-0005-0000-0000-0000681C0000}"/>
    <cellStyle name="Normal 3 2 4 3 3 2" xfId="9647" xr:uid="{00000000-0005-0000-0000-0000691C0000}"/>
    <cellStyle name="Normal 3 2 4 3 3 3" xfId="8045" xr:uid="{00000000-0005-0000-0000-00006A1C0000}"/>
    <cellStyle name="Normal 3 2 4 3 3 4" xfId="11257" xr:uid="{00000000-0005-0000-0000-00006B1C0000}"/>
    <cellStyle name="Normal 3 2 4 3 3 5" xfId="12864" xr:uid="{00000000-0005-0000-0000-00006C1C0000}"/>
    <cellStyle name="Normal 3 2 4 3 4" xfId="2872" xr:uid="{00000000-0005-0000-0000-00006D1C0000}"/>
    <cellStyle name="Normal 3 2 4 3 4 2" xfId="9648" xr:uid="{00000000-0005-0000-0000-00006E1C0000}"/>
    <cellStyle name="Normal 3 2 4 3 4 3" xfId="8046" xr:uid="{00000000-0005-0000-0000-00006F1C0000}"/>
    <cellStyle name="Normal 3 2 4 3 4 4" xfId="11258" xr:uid="{00000000-0005-0000-0000-0000701C0000}"/>
    <cellStyle name="Normal 3 2 4 3 4 5" xfId="12865" xr:uid="{00000000-0005-0000-0000-0000711C0000}"/>
    <cellStyle name="Normal 3 2 4 3 5" xfId="9645" xr:uid="{00000000-0005-0000-0000-0000721C0000}"/>
    <cellStyle name="Normal 3 2 4 3 6" xfId="8043" xr:uid="{00000000-0005-0000-0000-0000731C0000}"/>
    <cellStyle name="Normal 3 2 4 3 7" xfId="11255" xr:uid="{00000000-0005-0000-0000-0000741C0000}"/>
    <cellStyle name="Normal 3 2 4 3 8" xfId="12862" xr:uid="{00000000-0005-0000-0000-0000751C0000}"/>
    <cellStyle name="Normal 3 2 4 4" xfId="2873" xr:uid="{00000000-0005-0000-0000-0000761C0000}"/>
    <cellStyle name="Normal 3 2 4 4 2" xfId="2874" xr:uid="{00000000-0005-0000-0000-0000771C0000}"/>
    <cellStyle name="Normal 3 2 4 4 2 2" xfId="9650" xr:uid="{00000000-0005-0000-0000-0000781C0000}"/>
    <cellStyle name="Normal 3 2 4 4 2 3" xfId="8048" xr:uid="{00000000-0005-0000-0000-0000791C0000}"/>
    <cellStyle name="Normal 3 2 4 4 2 4" xfId="11260" xr:uid="{00000000-0005-0000-0000-00007A1C0000}"/>
    <cellStyle name="Normal 3 2 4 4 2 5" xfId="12867" xr:uid="{00000000-0005-0000-0000-00007B1C0000}"/>
    <cellStyle name="Normal 3 2 4 4 3" xfId="2875" xr:uid="{00000000-0005-0000-0000-00007C1C0000}"/>
    <cellStyle name="Normal 3 2 4 4 3 2" xfId="9651" xr:uid="{00000000-0005-0000-0000-00007D1C0000}"/>
    <cellStyle name="Normal 3 2 4 4 3 3" xfId="8049" xr:uid="{00000000-0005-0000-0000-00007E1C0000}"/>
    <cellStyle name="Normal 3 2 4 4 3 4" xfId="11261" xr:uid="{00000000-0005-0000-0000-00007F1C0000}"/>
    <cellStyle name="Normal 3 2 4 4 3 5" xfId="12868" xr:uid="{00000000-0005-0000-0000-0000801C0000}"/>
    <cellStyle name="Normal 3 2 4 4 4" xfId="2876" xr:uid="{00000000-0005-0000-0000-0000811C0000}"/>
    <cellStyle name="Normal 3 2 4 4 4 2" xfId="9652" xr:uid="{00000000-0005-0000-0000-0000821C0000}"/>
    <cellStyle name="Normal 3 2 4 4 4 3" xfId="8050" xr:uid="{00000000-0005-0000-0000-0000831C0000}"/>
    <cellStyle name="Normal 3 2 4 4 4 4" xfId="11262" xr:uid="{00000000-0005-0000-0000-0000841C0000}"/>
    <cellStyle name="Normal 3 2 4 4 4 5" xfId="12869" xr:uid="{00000000-0005-0000-0000-0000851C0000}"/>
    <cellStyle name="Normal 3 2 4 4 5" xfId="9649" xr:uid="{00000000-0005-0000-0000-0000861C0000}"/>
    <cellStyle name="Normal 3 2 4 4 6" xfId="8047" xr:uid="{00000000-0005-0000-0000-0000871C0000}"/>
    <cellStyle name="Normal 3 2 4 4 7" xfId="11259" xr:uid="{00000000-0005-0000-0000-0000881C0000}"/>
    <cellStyle name="Normal 3 2 4 4 8" xfId="12866" xr:uid="{00000000-0005-0000-0000-0000891C0000}"/>
    <cellStyle name="Normal 3 2 4 5" xfId="2877" xr:uid="{00000000-0005-0000-0000-00008A1C0000}"/>
    <cellStyle name="Normal 3 2 4 5 2" xfId="9653" xr:uid="{00000000-0005-0000-0000-00008B1C0000}"/>
    <cellStyle name="Normal 3 2 4 5 3" xfId="8051" xr:uid="{00000000-0005-0000-0000-00008C1C0000}"/>
    <cellStyle name="Normal 3 2 4 5 4" xfId="11263" xr:uid="{00000000-0005-0000-0000-00008D1C0000}"/>
    <cellStyle name="Normal 3 2 4 5 5" xfId="12870" xr:uid="{00000000-0005-0000-0000-00008E1C0000}"/>
    <cellStyle name="Normal 3 2 4 6" xfId="2878" xr:uid="{00000000-0005-0000-0000-00008F1C0000}"/>
    <cellStyle name="Normal 3 2 4 6 2" xfId="9654" xr:uid="{00000000-0005-0000-0000-0000901C0000}"/>
    <cellStyle name="Normal 3 2 4 6 3" xfId="8052" xr:uid="{00000000-0005-0000-0000-0000911C0000}"/>
    <cellStyle name="Normal 3 2 4 6 4" xfId="11264" xr:uid="{00000000-0005-0000-0000-0000921C0000}"/>
    <cellStyle name="Normal 3 2 4 6 5" xfId="12871" xr:uid="{00000000-0005-0000-0000-0000931C0000}"/>
    <cellStyle name="Normal 3 2 4 7" xfId="2879" xr:uid="{00000000-0005-0000-0000-0000941C0000}"/>
    <cellStyle name="Normal 3 2 4 7 2" xfId="9655" xr:uid="{00000000-0005-0000-0000-0000951C0000}"/>
    <cellStyle name="Normal 3 2 4 7 3" xfId="8053" xr:uid="{00000000-0005-0000-0000-0000961C0000}"/>
    <cellStyle name="Normal 3 2 4 7 4" xfId="11265" xr:uid="{00000000-0005-0000-0000-0000971C0000}"/>
    <cellStyle name="Normal 3 2 4 7 5" xfId="12872" xr:uid="{00000000-0005-0000-0000-0000981C0000}"/>
    <cellStyle name="Normal 3 2 5" xfId="2880" xr:uid="{00000000-0005-0000-0000-0000991C0000}"/>
    <cellStyle name="Normal 3 2 6" xfId="2881" xr:uid="{00000000-0005-0000-0000-00009A1C0000}"/>
    <cellStyle name="Normal 3 2 7" xfId="2882" xr:uid="{00000000-0005-0000-0000-00009B1C0000}"/>
    <cellStyle name="Normal 3 2 7 2" xfId="9656" xr:uid="{00000000-0005-0000-0000-00009C1C0000}"/>
    <cellStyle name="Normal 3 2 7 3" xfId="8054" xr:uid="{00000000-0005-0000-0000-00009D1C0000}"/>
    <cellStyle name="Normal 3 2 7 4" xfId="11266" xr:uid="{00000000-0005-0000-0000-00009E1C0000}"/>
    <cellStyle name="Normal 3 2 7 5" xfId="12873" xr:uid="{00000000-0005-0000-0000-00009F1C0000}"/>
    <cellStyle name="Normal 3 2 8" xfId="2883" xr:uid="{00000000-0005-0000-0000-0000A01C0000}"/>
    <cellStyle name="Normal 3 2 8 2" xfId="9657" xr:uid="{00000000-0005-0000-0000-0000A11C0000}"/>
    <cellStyle name="Normal 3 2 8 3" xfId="8055" xr:uid="{00000000-0005-0000-0000-0000A21C0000}"/>
    <cellStyle name="Normal 3 2 8 4" xfId="11267" xr:uid="{00000000-0005-0000-0000-0000A31C0000}"/>
    <cellStyle name="Normal 3 2 8 5" xfId="12874" xr:uid="{00000000-0005-0000-0000-0000A41C0000}"/>
    <cellStyle name="Normal 3 2 9" xfId="2884" xr:uid="{00000000-0005-0000-0000-0000A51C0000}"/>
    <cellStyle name="Normal 3 2 9 2" xfId="9658" xr:uid="{00000000-0005-0000-0000-0000A61C0000}"/>
    <cellStyle name="Normal 3 2 9 3" xfId="8056" xr:uid="{00000000-0005-0000-0000-0000A71C0000}"/>
    <cellStyle name="Normal 3 2 9 4" xfId="11268" xr:uid="{00000000-0005-0000-0000-0000A81C0000}"/>
    <cellStyle name="Normal 3 2 9 5" xfId="12875" xr:uid="{00000000-0005-0000-0000-0000A91C0000}"/>
    <cellStyle name="Normal 3 3" xfId="124" xr:uid="{00000000-0005-0000-0000-0000AA1C0000}"/>
    <cellStyle name="Normal 3 3 2" xfId="2886" xr:uid="{00000000-0005-0000-0000-0000AB1C0000}"/>
    <cellStyle name="Normal 3 3 2 2" xfId="2887" xr:uid="{00000000-0005-0000-0000-0000AC1C0000}"/>
    <cellStyle name="Normal 3 3 2 2 2" xfId="9660" xr:uid="{00000000-0005-0000-0000-0000AD1C0000}"/>
    <cellStyle name="Normal 3 3 2 2 3" xfId="8058" xr:uid="{00000000-0005-0000-0000-0000AE1C0000}"/>
    <cellStyle name="Normal 3 3 2 2 4" xfId="11270" xr:uid="{00000000-0005-0000-0000-0000AF1C0000}"/>
    <cellStyle name="Normal 3 3 2 2 5" xfId="12877" xr:uid="{00000000-0005-0000-0000-0000B01C0000}"/>
    <cellStyle name="Normal 3 3 2 3" xfId="2888" xr:uid="{00000000-0005-0000-0000-0000B11C0000}"/>
    <cellStyle name="Normal 3 3 2 3 2" xfId="9661" xr:uid="{00000000-0005-0000-0000-0000B21C0000}"/>
    <cellStyle name="Normal 3 3 2 3 3" xfId="8059" xr:uid="{00000000-0005-0000-0000-0000B31C0000}"/>
    <cellStyle name="Normal 3 3 2 3 4" xfId="11271" xr:uid="{00000000-0005-0000-0000-0000B41C0000}"/>
    <cellStyle name="Normal 3 3 2 3 5" xfId="12878" xr:uid="{00000000-0005-0000-0000-0000B51C0000}"/>
    <cellStyle name="Normal 3 3 2 4" xfId="2889" xr:uid="{00000000-0005-0000-0000-0000B61C0000}"/>
    <cellStyle name="Normal 3 3 2 4 2" xfId="9662" xr:uid="{00000000-0005-0000-0000-0000B71C0000}"/>
    <cellStyle name="Normal 3 3 2 4 3" xfId="8060" xr:uid="{00000000-0005-0000-0000-0000B81C0000}"/>
    <cellStyle name="Normal 3 3 2 4 4" xfId="11272" xr:uid="{00000000-0005-0000-0000-0000B91C0000}"/>
    <cellStyle name="Normal 3 3 2 4 5" xfId="12879" xr:uid="{00000000-0005-0000-0000-0000BA1C0000}"/>
    <cellStyle name="Normal 3 3 2 5" xfId="9659" xr:uid="{00000000-0005-0000-0000-0000BB1C0000}"/>
    <cellStyle name="Normal 3 3 2 6" xfId="8057" xr:uid="{00000000-0005-0000-0000-0000BC1C0000}"/>
    <cellStyle name="Normal 3 3 2 7" xfId="11269" xr:uid="{00000000-0005-0000-0000-0000BD1C0000}"/>
    <cellStyle name="Normal 3 3 2 8" xfId="12876" xr:uid="{00000000-0005-0000-0000-0000BE1C0000}"/>
    <cellStyle name="Normal 3 3 3" xfId="2890" xr:uid="{00000000-0005-0000-0000-0000BF1C0000}"/>
    <cellStyle name="Normal 3 3 3 2" xfId="2891" xr:uid="{00000000-0005-0000-0000-0000C01C0000}"/>
    <cellStyle name="Normal 3 3 3 2 2" xfId="9664" xr:uid="{00000000-0005-0000-0000-0000C11C0000}"/>
    <cellStyle name="Normal 3 3 3 2 3" xfId="8062" xr:uid="{00000000-0005-0000-0000-0000C21C0000}"/>
    <cellStyle name="Normal 3 3 3 2 4" xfId="11274" xr:uid="{00000000-0005-0000-0000-0000C31C0000}"/>
    <cellStyle name="Normal 3 3 3 2 5" xfId="12881" xr:uid="{00000000-0005-0000-0000-0000C41C0000}"/>
    <cellStyle name="Normal 3 3 3 3" xfId="2892" xr:uid="{00000000-0005-0000-0000-0000C51C0000}"/>
    <cellStyle name="Normal 3 3 3 3 2" xfId="9665" xr:uid="{00000000-0005-0000-0000-0000C61C0000}"/>
    <cellStyle name="Normal 3 3 3 3 3" xfId="8063" xr:uid="{00000000-0005-0000-0000-0000C71C0000}"/>
    <cellStyle name="Normal 3 3 3 3 4" xfId="11275" xr:uid="{00000000-0005-0000-0000-0000C81C0000}"/>
    <cellStyle name="Normal 3 3 3 3 5" xfId="12882" xr:uid="{00000000-0005-0000-0000-0000C91C0000}"/>
    <cellStyle name="Normal 3 3 3 4" xfId="2893" xr:uid="{00000000-0005-0000-0000-0000CA1C0000}"/>
    <cellStyle name="Normal 3 3 3 4 2" xfId="9666" xr:uid="{00000000-0005-0000-0000-0000CB1C0000}"/>
    <cellStyle name="Normal 3 3 3 4 3" xfId="8064" xr:uid="{00000000-0005-0000-0000-0000CC1C0000}"/>
    <cellStyle name="Normal 3 3 3 4 4" xfId="11276" xr:uid="{00000000-0005-0000-0000-0000CD1C0000}"/>
    <cellStyle name="Normal 3 3 3 4 5" xfId="12883" xr:uid="{00000000-0005-0000-0000-0000CE1C0000}"/>
    <cellStyle name="Normal 3 3 3 5" xfId="9663" xr:uid="{00000000-0005-0000-0000-0000CF1C0000}"/>
    <cellStyle name="Normal 3 3 3 6" xfId="8061" xr:uid="{00000000-0005-0000-0000-0000D01C0000}"/>
    <cellStyle name="Normal 3 3 3 7" xfId="11273" xr:uid="{00000000-0005-0000-0000-0000D11C0000}"/>
    <cellStyle name="Normal 3 3 3 8" xfId="12880" xr:uid="{00000000-0005-0000-0000-0000D21C0000}"/>
    <cellStyle name="Normal 3 3 4" xfId="2894" xr:uid="{00000000-0005-0000-0000-0000D31C0000}"/>
    <cellStyle name="Normal 3 3 4 2" xfId="9667" xr:uid="{00000000-0005-0000-0000-0000D41C0000}"/>
    <cellStyle name="Normal 3 3 4 3" xfId="8065" xr:uid="{00000000-0005-0000-0000-0000D51C0000}"/>
    <cellStyle name="Normal 3 3 4 4" xfId="11277" xr:uid="{00000000-0005-0000-0000-0000D61C0000}"/>
    <cellStyle name="Normal 3 3 4 5" xfId="12884" xr:uid="{00000000-0005-0000-0000-0000D71C0000}"/>
    <cellStyle name="Normal 3 3 5" xfId="2895" xr:uid="{00000000-0005-0000-0000-0000D81C0000}"/>
    <cellStyle name="Normal 3 3 5 2" xfId="9668" xr:uid="{00000000-0005-0000-0000-0000D91C0000}"/>
    <cellStyle name="Normal 3 3 5 3" xfId="8066" xr:uid="{00000000-0005-0000-0000-0000DA1C0000}"/>
    <cellStyle name="Normal 3 3 5 4" xfId="11278" xr:uid="{00000000-0005-0000-0000-0000DB1C0000}"/>
    <cellStyle name="Normal 3 3 5 5" xfId="12885" xr:uid="{00000000-0005-0000-0000-0000DC1C0000}"/>
    <cellStyle name="Normal 3 3 6" xfId="2896" xr:uid="{00000000-0005-0000-0000-0000DD1C0000}"/>
    <cellStyle name="Normal 3 3 6 2" xfId="9669" xr:uid="{00000000-0005-0000-0000-0000DE1C0000}"/>
    <cellStyle name="Normal 3 3 6 3" xfId="8067" xr:uid="{00000000-0005-0000-0000-0000DF1C0000}"/>
    <cellStyle name="Normal 3 3 6 4" xfId="11279" xr:uid="{00000000-0005-0000-0000-0000E01C0000}"/>
    <cellStyle name="Normal 3 3 6 5" xfId="12886" xr:uid="{00000000-0005-0000-0000-0000E11C0000}"/>
    <cellStyle name="Normal 3 3 7" xfId="2897" xr:uid="{00000000-0005-0000-0000-0000E21C0000}"/>
    <cellStyle name="Normal 3 3 7 2" xfId="9670" xr:uid="{00000000-0005-0000-0000-0000E31C0000}"/>
    <cellStyle name="Normal 3 3 7 3" xfId="8068" xr:uid="{00000000-0005-0000-0000-0000E41C0000}"/>
    <cellStyle name="Normal 3 3 7 4" xfId="11280" xr:uid="{00000000-0005-0000-0000-0000E51C0000}"/>
    <cellStyle name="Normal 3 3 7 5" xfId="12887" xr:uid="{00000000-0005-0000-0000-0000E61C0000}"/>
    <cellStyle name="Normal 3 3 8" xfId="2885" xr:uid="{00000000-0005-0000-0000-0000E71C0000}"/>
    <cellStyle name="Normal 3 3 9" xfId="10613" xr:uid="{00000000-0005-0000-0000-0000E81C0000}"/>
    <cellStyle name="Normal 3 4" xfId="2898" xr:uid="{00000000-0005-0000-0000-0000E91C0000}"/>
    <cellStyle name="Normal 3 4 2" xfId="2899" xr:uid="{00000000-0005-0000-0000-0000EA1C0000}"/>
    <cellStyle name="Normal 3 4 3" xfId="2900" xr:uid="{00000000-0005-0000-0000-0000EB1C0000}"/>
    <cellStyle name="Normal 3 5" xfId="2901" xr:uid="{00000000-0005-0000-0000-0000EC1C0000}"/>
    <cellStyle name="Normal 3 5 2" xfId="2902" xr:uid="{00000000-0005-0000-0000-0000ED1C0000}"/>
    <cellStyle name="Normal 3 5 2 2" xfId="9671" xr:uid="{00000000-0005-0000-0000-0000EE1C0000}"/>
    <cellStyle name="Normal 3 5 2 3" xfId="8069" xr:uid="{00000000-0005-0000-0000-0000EF1C0000}"/>
    <cellStyle name="Normal 3 5 2 4" xfId="11281" xr:uid="{00000000-0005-0000-0000-0000F01C0000}"/>
    <cellStyle name="Normal 3 5 2 5" xfId="12888" xr:uid="{00000000-0005-0000-0000-0000F11C0000}"/>
    <cellStyle name="Normal 3 5 3" xfId="2903" xr:uid="{00000000-0005-0000-0000-0000F21C0000}"/>
    <cellStyle name="Normal 3 5 3 2" xfId="9672" xr:uid="{00000000-0005-0000-0000-0000F31C0000}"/>
    <cellStyle name="Normal 3 5 3 3" xfId="8070" xr:uid="{00000000-0005-0000-0000-0000F41C0000}"/>
    <cellStyle name="Normal 3 5 3 4" xfId="11282" xr:uid="{00000000-0005-0000-0000-0000F51C0000}"/>
    <cellStyle name="Normal 3 5 3 5" xfId="12889" xr:uid="{00000000-0005-0000-0000-0000F61C0000}"/>
    <cellStyle name="Normal 3 5 4" xfId="2904" xr:uid="{00000000-0005-0000-0000-0000F71C0000}"/>
    <cellStyle name="Normal 3 5 4 2" xfId="9673" xr:uid="{00000000-0005-0000-0000-0000F81C0000}"/>
    <cellStyle name="Normal 3 5 4 3" xfId="8071" xr:uid="{00000000-0005-0000-0000-0000F91C0000}"/>
    <cellStyle name="Normal 3 5 4 4" xfId="11283" xr:uid="{00000000-0005-0000-0000-0000FA1C0000}"/>
    <cellStyle name="Normal 3 5 4 5" xfId="12890" xr:uid="{00000000-0005-0000-0000-0000FB1C0000}"/>
    <cellStyle name="Normal 3 5 5" xfId="2905" xr:uid="{00000000-0005-0000-0000-0000FC1C0000}"/>
    <cellStyle name="Normal 3 5 5 2" xfId="9674" xr:uid="{00000000-0005-0000-0000-0000FD1C0000}"/>
    <cellStyle name="Normal 3 5 5 3" xfId="8072" xr:uid="{00000000-0005-0000-0000-0000FE1C0000}"/>
    <cellStyle name="Normal 3 5 5 4" xfId="11284" xr:uid="{00000000-0005-0000-0000-0000FF1C0000}"/>
    <cellStyle name="Normal 3 5 5 5" xfId="12891" xr:uid="{00000000-0005-0000-0000-0000001D0000}"/>
    <cellStyle name="Normal 3 6" xfId="2906" xr:uid="{00000000-0005-0000-0000-0000011D0000}"/>
    <cellStyle name="Normal 3 6 2" xfId="2907" xr:uid="{00000000-0005-0000-0000-0000021D0000}"/>
    <cellStyle name="Normal 3 6 2 2" xfId="9675" xr:uid="{00000000-0005-0000-0000-0000031D0000}"/>
    <cellStyle name="Normal 3 6 2 3" xfId="8073" xr:uid="{00000000-0005-0000-0000-0000041D0000}"/>
    <cellStyle name="Normal 3 6 2 4" xfId="11285" xr:uid="{00000000-0005-0000-0000-0000051D0000}"/>
    <cellStyle name="Normal 3 6 2 5" xfId="12892" xr:uid="{00000000-0005-0000-0000-0000061D0000}"/>
    <cellStyle name="Normal 3 6 3" xfId="2908" xr:uid="{00000000-0005-0000-0000-0000071D0000}"/>
    <cellStyle name="Normal 3 6 3 2" xfId="9676" xr:uid="{00000000-0005-0000-0000-0000081D0000}"/>
    <cellStyle name="Normal 3 6 3 3" xfId="8074" xr:uid="{00000000-0005-0000-0000-0000091D0000}"/>
    <cellStyle name="Normal 3 6 3 4" xfId="11286" xr:uid="{00000000-0005-0000-0000-00000A1D0000}"/>
    <cellStyle name="Normal 3 6 3 5" xfId="12893" xr:uid="{00000000-0005-0000-0000-00000B1D0000}"/>
    <cellStyle name="Normal 3 6 4" xfId="2909" xr:uid="{00000000-0005-0000-0000-00000C1D0000}"/>
    <cellStyle name="Normal 3 6 4 2" xfId="9677" xr:uid="{00000000-0005-0000-0000-00000D1D0000}"/>
    <cellStyle name="Normal 3 6 4 3" xfId="8075" xr:uid="{00000000-0005-0000-0000-00000E1D0000}"/>
    <cellStyle name="Normal 3 6 4 4" xfId="11287" xr:uid="{00000000-0005-0000-0000-00000F1D0000}"/>
    <cellStyle name="Normal 3 6 4 5" xfId="12894" xr:uid="{00000000-0005-0000-0000-0000101D0000}"/>
    <cellStyle name="Normal 3 6 5" xfId="2910" xr:uid="{00000000-0005-0000-0000-0000111D0000}"/>
    <cellStyle name="Normal 3 6 5 2" xfId="9678" xr:uid="{00000000-0005-0000-0000-0000121D0000}"/>
    <cellStyle name="Normal 3 6 5 3" xfId="8076" xr:uid="{00000000-0005-0000-0000-0000131D0000}"/>
    <cellStyle name="Normal 3 6 5 4" xfId="11288" xr:uid="{00000000-0005-0000-0000-0000141D0000}"/>
    <cellStyle name="Normal 3 6 5 5" xfId="12895" xr:uid="{00000000-0005-0000-0000-0000151D0000}"/>
    <cellStyle name="Normal 3 7" xfId="2911" xr:uid="{00000000-0005-0000-0000-0000161D0000}"/>
    <cellStyle name="Normal 3 8" xfId="2912" xr:uid="{00000000-0005-0000-0000-0000171D0000}"/>
    <cellStyle name="Normal 3 9" xfId="2851" xr:uid="{00000000-0005-0000-0000-0000181D0000}"/>
    <cellStyle name="Normal 3 9 2" xfId="10452" xr:uid="{00000000-0005-0000-0000-0000191D0000}"/>
    <cellStyle name="Normal 30" xfId="2913" xr:uid="{00000000-0005-0000-0000-00001A1D0000}"/>
    <cellStyle name="Normal 30 2" xfId="2914" xr:uid="{00000000-0005-0000-0000-00001B1D0000}"/>
    <cellStyle name="Normal 30 2 10" xfId="9679" xr:uid="{00000000-0005-0000-0000-00001C1D0000}"/>
    <cellStyle name="Normal 30 2 11" xfId="8077" xr:uid="{00000000-0005-0000-0000-00001D1D0000}"/>
    <cellStyle name="Normal 30 2 12" xfId="11289" xr:uid="{00000000-0005-0000-0000-00001E1D0000}"/>
    <cellStyle name="Normal 30 2 13" xfId="12896" xr:uid="{00000000-0005-0000-0000-00001F1D0000}"/>
    <cellStyle name="Normal 30 2 2" xfId="2915" xr:uid="{00000000-0005-0000-0000-0000201D0000}"/>
    <cellStyle name="Normal 30 2 2 2" xfId="2916" xr:uid="{00000000-0005-0000-0000-0000211D0000}"/>
    <cellStyle name="Normal 30 2 2 2 2" xfId="9681" xr:uid="{00000000-0005-0000-0000-0000221D0000}"/>
    <cellStyle name="Normal 30 2 2 2 3" xfId="8079" xr:uid="{00000000-0005-0000-0000-0000231D0000}"/>
    <cellStyle name="Normal 30 2 2 2 4" xfId="11291" xr:uid="{00000000-0005-0000-0000-0000241D0000}"/>
    <cellStyle name="Normal 30 2 2 2 5" xfId="12898" xr:uid="{00000000-0005-0000-0000-0000251D0000}"/>
    <cellStyle name="Normal 30 2 2 3" xfId="2917" xr:uid="{00000000-0005-0000-0000-0000261D0000}"/>
    <cellStyle name="Normal 30 2 2 3 2" xfId="9682" xr:uid="{00000000-0005-0000-0000-0000271D0000}"/>
    <cellStyle name="Normal 30 2 2 3 3" xfId="8080" xr:uid="{00000000-0005-0000-0000-0000281D0000}"/>
    <cellStyle name="Normal 30 2 2 3 4" xfId="11292" xr:uid="{00000000-0005-0000-0000-0000291D0000}"/>
    <cellStyle name="Normal 30 2 2 3 5" xfId="12899" xr:uid="{00000000-0005-0000-0000-00002A1D0000}"/>
    <cellStyle name="Normal 30 2 2 4" xfId="2918" xr:uid="{00000000-0005-0000-0000-00002B1D0000}"/>
    <cellStyle name="Normal 30 2 2 4 2" xfId="9683" xr:uid="{00000000-0005-0000-0000-00002C1D0000}"/>
    <cellStyle name="Normal 30 2 2 4 3" xfId="8081" xr:uid="{00000000-0005-0000-0000-00002D1D0000}"/>
    <cellStyle name="Normal 30 2 2 4 4" xfId="11293" xr:uid="{00000000-0005-0000-0000-00002E1D0000}"/>
    <cellStyle name="Normal 30 2 2 4 5" xfId="12900" xr:uid="{00000000-0005-0000-0000-00002F1D0000}"/>
    <cellStyle name="Normal 30 2 2 5" xfId="9680" xr:uid="{00000000-0005-0000-0000-0000301D0000}"/>
    <cellStyle name="Normal 30 2 2 6" xfId="8078" xr:uid="{00000000-0005-0000-0000-0000311D0000}"/>
    <cellStyle name="Normal 30 2 2 7" xfId="11290" xr:uid="{00000000-0005-0000-0000-0000321D0000}"/>
    <cellStyle name="Normal 30 2 2 8" xfId="12897" xr:uid="{00000000-0005-0000-0000-0000331D0000}"/>
    <cellStyle name="Normal 30 2 3" xfId="2919" xr:uid="{00000000-0005-0000-0000-0000341D0000}"/>
    <cellStyle name="Normal 30 2 3 2" xfId="2920" xr:uid="{00000000-0005-0000-0000-0000351D0000}"/>
    <cellStyle name="Normal 30 2 3 2 2" xfId="9685" xr:uid="{00000000-0005-0000-0000-0000361D0000}"/>
    <cellStyle name="Normal 30 2 3 2 3" xfId="8083" xr:uid="{00000000-0005-0000-0000-0000371D0000}"/>
    <cellStyle name="Normal 30 2 3 2 4" xfId="11295" xr:uid="{00000000-0005-0000-0000-0000381D0000}"/>
    <cellStyle name="Normal 30 2 3 2 5" xfId="12902" xr:uid="{00000000-0005-0000-0000-0000391D0000}"/>
    <cellStyle name="Normal 30 2 3 3" xfId="2921" xr:uid="{00000000-0005-0000-0000-00003A1D0000}"/>
    <cellStyle name="Normal 30 2 3 3 2" xfId="9686" xr:uid="{00000000-0005-0000-0000-00003B1D0000}"/>
    <cellStyle name="Normal 30 2 3 3 3" xfId="8084" xr:uid="{00000000-0005-0000-0000-00003C1D0000}"/>
    <cellStyle name="Normal 30 2 3 3 4" xfId="11296" xr:uid="{00000000-0005-0000-0000-00003D1D0000}"/>
    <cellStyle name="Normal 30 2 3 3 5" xfId="12903" xr:uid="{00000000-0005-0000-0000-00003E1D0000}"/>
    <cellStyle name="Normal 30 2 3 4" xfId="2922" xr:uid="{00000000-0005-0000-0000-00003F1D0000}"/>
    <cellStyle name="Normal 30 2 3 4 2" xfId="9687" xr:uid="{00000000-0005-0000-0000-0000401D0000}"/>
    <cellStyle name="Normal 30 2 3 4 3" xfId="8085" xr:uid="{00000000-0005-0000-0000-0000411D0000}"/>
    <cellStyle name="Normal 30 2 3 4 4" xfId="11297" xr:uid="{00000000-0005-0000-0000-0000421D0000}"/>
    <cellStyle name="Normal 30 2 3 4 5" xfId="12904" xr:uid="{00000000-0005-0000-0000-0000431D0000}"/>
    <cellStyle name="Normal 30 2 3 5" xfId="9684" xr:uid="{00000000-0005-0000-0000-0000441D0000}"/>
    <cellStyle name="Normal 30 2 3 6" xfId="8082" xr:uid="{00000000-0005-0000-0000-0000451D0000}"/>
    <cellStyle name="Normal 30 2 3 7" xfId="11294" xr:uid="{00000000-0005-0000-0000-0000461D0000}"/>
    <cellStyle name="Normal 30 2 3 8" xfId="12901" xr:uid="{00000000-0005-0000-0000-0000471D0000}"/>
    <cellStyle name="Normal 30 2 4" xfId="2923" xr:uid="{00000000-0005-0000-0000-0000481D0000}"/>
    <cellStyle name="Normal 30 2 4 2" xfId="2924" xr:uid="{00000000-0005-0000-0000-0000491D0000}"/>
    <cellStyle name="Normal 30 2 4 2 2" xfId="2925" xr:uid="{00000000-0005-0000-0000-00004A1D0000}"/>
    <cellStyle name="Normal 30 2 4 2 2 2" xfId="2926" xr:uid="{00000000-0005-0000-0000-00004B1D0000}"/>
    <cellStyle name="Normal 30 2 4 2 2 2 2" xfId="9689" xr:uid="{00000000-0005-0000-0000-00004C1D0000}"/>
    <cellStyle name="Normal 30 2 4 2 2 2 3" xfId="8087" xr:uid="{00000000-0005-0000-0000-00004D1D0000}"/>
    <cellStyle name="Normal 30 2 4 2 2 2 4" xfId="11299" xr:uid="{00000000-0005-0000-0000-00004E1D0000}"/>
    <cellStyle name="Normal 30 2 4 2 2 2 5" xfId="12906" xr:uid="{00000000-0005-0000-0000-00004F1D0000}"/>
    <cellStyle name="Normal 30 2 4 2 2 3" xfId="2927" xr:uid="{00000000-0005-0000-0000-0000501D0000}"/>
    <cellStyle name="Normal 30 2 4 2 2 3 2" xfId="9690" xr:uid="{00000000-0005-0000-0000-0000511D0000}"/>
    <cellStyle name="Normal 30 2 4 2 2 3 3" xfId="8088" xr:uid="{00000000-0005-0000-0000-0000521D0000}"/>
    <cellStyle name="Normal 30 2 4 2 2 3 4" xfId="11300" xr:uid="{00000000-0005-0000-0000-0000531D0000}"/>
    <cellStyle name="Normal 30 2 4 2 2 3 5" xfId="12907" xr:uid="{00000000-0005-0000-0000-0000541D0000}"/>
    <cellStyle name="Normal 30 2 4 2 2 4" xfId="2928" xr:uid="{00000000-0005-0000-0000-0000551D0000}"/>
    <cellStyle name="Normal 30 2 4 2 2 4 2" xfId="9691" xr:uid="{00000000-0005-0000-0000-0000561D0000}"/>
    <cellStyle name="Normal 30 2 4 2 2 4 3" xfId="8089" xr:uid="{00000000-0005-0000-0000-0000571D0000}"/>
    <cellStyle name="Normal 30 2 4 2 2 4 4" xfId="11301" xr:uid="{00000000-0005-0000-0000-0000581D0000}"/>
    <cellStyle name="Normal 30 2 4 2 2 4 5" xfId="12908" xr:uid="{00000000-0005-0000-0000-0000591D0000}"/>
    <cellStyle name="Normal 30 2 4 2 3" xfId="2929" xr:uid="{00000000-0005-0000-0000-00005A1D0000}"/>
    <cellStyle name="Normal 30 2 4 2 4" xfId="2930" xr:uid="{00000000-0005-0000-0000-00005B1D0000}"/>
    <cellStyle name="Normal 30 2 4 2 5" xfId="9688" xr:uid="{00000000-0005-0000-0000-00005C1D0000}"/>
    <cellStyle name="Normal 30 2 4 2 6" xfId="8086" xr:uid="{00000000-0005-0000-0000-00005D1D0000}"/>
    <cellStyle name="Normal 30 2 4 2 7" xfId="11298" xr:uid="{00000000-0005-0000-0000-00005E1D0000}"/>
    <cellStyle name="Normal 30 2 4 2 8" xfId="12905" xr:uid="{00000000-0005-0000-0000-00005F1D0000}"/>
    <cellStyle name="Normal 30 2 4 3" xfId="2931" xr:uid="{00000000-0005-0000-0000-0000601D0000}"/>
    <cellStyle name="Normal 30 2 4 3 2" xfId="2932" xr:uid="{00000000-0005-0000-0000-0000611D0000}"/>
    <cellStyle name="Normal 30 2 4 3 2 2" xfId="9693" xr:uid="{00000000-0005-0000-0000-0000621D0000}"/>
    <cellStyle name="Normal 30 2 4 3 2 3" xfId="8091" xr:uid="{00000000-0005-0000-0000-0000631D0000}"/>
    <cellStyle name="Normal 30 2 4 3 2 4" xfId="11303" xr:uid="{00000000-0005-0000-0000-0000641D0000}"/>
    <cellStyle name="Normal 30 2 4 3 2 5" xfId="12910" xr:uid="{00000000-0005-0000-0000-0000651D0000}"/>
    <cellStyle name="Normal 30 2 4 3 3" xfId="2933" xr:uid="{00000000-0005-0000-0000-0000661D0000}"/>
    <cellStyle name="Normal 30 2 4 3 3 2" xfId="9694" xr:uid="{00000000-0005-0000-0000-0000671D0000}"/>
    <cellStyle name="Normal 30 2 4 3 3 3" xfId="8092" xr:uid="{00000000-0005-0000-0000-0000681D0000}"/>
    <cellStyle name="Normal 30 2 4 3 3 4" xfId="11304" xr:uid="{00000000-0005-0000-0000-0000691D0000}"/>
    <cellStyle name="Normal 30 2 4 3 3 5" xfId="12911" xr:uid="{00000000-0005-0000-0000-00006A1D0000}"/>
    <cellStyle name="Normal 30 2 4 3 4" xfId="2934" xr:uid="{00000000-0005-0000-0000-00006B1D0000}"/>
    <cellStyle name="Normal 30 2 4 3 4 2" xfId="9695" xr:uid="{00000000-0005-0000-0000-00006C1D0000}"/>
    <cellStyle name="Normal 30 2 4 3 4 3" xfId="8093" xr:uid="{00000000-0005-0000-0000-00006D1D0000}"/>
    <cellStyle name="Normal 30 2 4 3 4 4" xfId="11305" xr:uid="{00000000-0005-0000-0000-00006E1D0000}"/>
    <cellStyle name="Normal 30 2 4 3 4 5" xfId="12912" xr:uid="{00000000-0005-0000-0000-00006F1D0000}"/>
    <cellStyle name="Normal 30 2 4 3 5" xfId="9692" xr:uid="{00000000-0005-0000-0000-0000701D0000}"/>
    <cellStyle name="Normal 30 2 4 3 6" xfId="8090" xr:uid="{00000000-0005-0000-0000-0000711D0000}"/>
    <cellStyle name="Normal 30 2 4 3 7" xfId="11302" xr:uid="{00000000-0005-0000-0000-0000721D0000}"/>
    <cellStyle name="Normal 30 2 4 3 8" xfId="12909" xr:uid="{00000000-0005-0000-0000-0000731D0000}"/>
    <cellStyle name="Normal 30 2 4 4" xfId="2935" xr:uid="{00000000-0005-0000-0000-0000741D0000}"/>
    <cellStyle name="Normal 30 2 4 4 2" xfId="2936" xr:uid="{00000000-0005-0000-0000-0000751D0000}"/>
    <cellStyle name="Normal 30 2 4 4 2 2" xfId="9697" xr:uid="{00000000-0005-0000-0000-0000761D0000}"/>
    <cellStyle name="Normal 30 2 4 4 2 3" xfId="8095" xr:uid="{00000000-0005-0000-0000-0000771D0000}"/>
    <cellStyle name="Normal 30 2 4 4 2 4" xfId="11307" xr:uid="{00000000-0005-0000-0000-0000781D0000}"/>
    <cellStyle name="Normal 30 2 4 4 2 5" xfId="12914" xr:uid="{00000000-0005-0000-0000-0000791D0000}"/>
    <cellStyle name="Normal 30 2 4 4 3" xfId="2937" xr:uid="{00000000-0005-0000-0000-00007A1D0000}"/>
    <cellStyle name="Normal 30 2 4 4 3 2" xfId="9698" xr:uid="{00000000-0005-0000-0000-00007B1D0000}"/>
    <cellStyle name="Normal 30 2 4 4 3 3" xfId="8096" xr:uid="{00000000-0005-0000-0000-00007C1D0000}"/>
    <cellStyle name="Normal 30 2 4 4 3 4" xfId="11308" xr:uid="{00000000-0005-0000-0000-00007D1D0000}"/>
    <cellStyle name="Normal 30 2 4 4 3 5" xfId="12915" xr:uid="{00000000-0005-0000-0000-00007E1D0000}"/>
    <cellStyle name="Normal 30 2 4 4 4" xfId="2938" xr:uid="{00000000-0005-0000-0000-00007F1D0000}"/>
    <cellStyle name="Normal 30 2 4 4 4 2" xfId="9699" xr:uid="{00000000-0005-0000-0000-0000801D0000}"/>
    <cellStyle name="Normal 30 2 4 4 4 3" xfId="8097" xr:uid="{00000000-0005-0000-0000-0000811D0000}"/>
    <cellStyle name="Normal 30 2 4 4 4 4" xfId="11309" xr:uid="{00000000-0005-0000-0000-0000821D0000}"/>
    <cellStyle name="Normal 30 2 4 4 4 5" xfId="12916" xr:uid="{00000000-0005-0000-0000-0000831D0000}"/>
    <cellStyle name="Normal 30 2 4 4 5" xfId="9696" xr:uid="{00000000-0005-0000-0000-0000841D0000}"/>
    <cellStyle name="Normal 30 2 4 4 6" xfId="8094" xr:uid="{00000000-0005-0000-0000-0000851D0000}"/>
    <cellStyle name="Normal 30 2 4 4 7" xfId="11306" xr:uid="{00000000-0005-0000-0000-0000861D0000}"/>
    <cellStyle name="Normal 30 2 4 4 8" xfId="12913" xr:uid="{00000000-0005-0000-0000-0000871D0000}"/>
    <cellStyle name="Normal 30 2 4 5" xfId="2939" xr:uid="{00000000-0005-0000-0000-0000881D0000}"/>
    <cellStyle name="Normal 30 2 4 5 2" xfId="9700" xr:uid="{00000000-0005-0000-0000-0000891D0000}"/>
    <cellStyle name="Normal 30 2 4 5 3" xfId="8098" xr:uid="{00000000-0005-0000-0000-00008A1D0000}"/>
    <cellStyle name="Normal 30 2 4 5 4" xfId="11310" xr:uid="{00000000-0005-0000-0000-00008B1D0000}"/>
    <cellStyle name="Normal 30 2 4 5 5" xfId="12917" xr:uid="{00000000-0005-0000-0000-00008C1D0000}"/>
    <cellStyle name="Normal 30 2 4 6" xfId="2940" xr:uid="{00000000-0005-0000-0000-00008D1D0000}"/>
    <cellStyle name="Normal 30 2 4 6 2" xfId="9701" xr:uid="{00000000-0005-0000-0000-00008E1D0000}"/>
    <cellStyle name="Normal 30 2 4 6 3" xfId="8099" xr:uid="{00000000-0005-0000-0000-00008F1D0000}"/>
    <cellStyle name="Normal 30 2 4 6 4" xfId="11311" xr:uid="{00000000-0005-0000-0000-0000901D0000}"/>
    <cellStyle name="Normal 30 2 4 6 5" xfId="12918" xr:uid="{00000000-0005-0000-0000-0000911D0000}"/>
    <cellStyle name="Normal 30 2 4 7" xfId="2941" xr:uid="{00000000-0005-0000-0000-0000921D0000}"/>
    <cellStyle name="Normal 30 2 4 7 2" xfId="9702" xr:uid="{00000000-0005-0000-0000-0000931D0000}"/>
    <cellStyle name="Normal 30 2 4 7 3" xfId="8100" xr:uid="{00000000-0005-0000-0000-0000941D0000}"/>
    <cellStyle name="Normal 30 2 4 7 4" xfId="11312" xr:uid="{00000000-0005-0000-0000-0000951D0000}"/>
    <cellStyle name="Normal 30 2 4 7 5" xfId="12919" xr:uid="{00000000-0005-0000-0000-0000961D0000}"/>
    <cellStyle name="Normal 30 2 5" xfId="2942" xr:uid="{00000000-0005-0000-0000-0000971D0000}"/>
    <cellStyle name="Normal 30 2 6" xfId="2943" xr:uid="{00000000-0005-0000-0000-0000981D0000}"/>
    <cellStyle name="Normal 30 2 7" xfId="2944" xr:uid="{00000000-0005-0000-0000-0000991D0000}"/>
    <cellStyle name="Normal 30 2 7 2" xfId="9703" xr:uid="{00000000-0005-0000-0000-00009A1D0000}"/>
    <cellStyle name="Normal 30 2 7 3" xfId="8101" xr:uid="{00000000-0005-0000-0000-00009B1D0000}"/>
    <cellStyle name="Normal 30 2 7 4" xfId="11313" xr:uid="{00000000-0005-0000-0000-00009C1D0000}"/>
    <cellStyle name="Normal 30 2 7 5" xfId="12920" xr:uid="{00000000-0005-0000-0000-00009D1D0000}"/>
    <cellStyle name="Normal 30 2 8" xfId="2945" xr:uid="{00000000-0005-0000-0000-00009E1D0000}"/>
    <cellStyle name="Normal 30 2 8 2" xfId="9704" xr:uid="{00000000-0005-0000-0000-00009F1D0000}"/>
    <cellStyle name="Normal 30 2 8 3" xfId="8102" xr:uid="{00000000-0005-0000-0000-0000A01D0000}"/>
    <cellStyle name="Normal 30 2 8 4" xfId="11314" xr:uid="{00000000-0005-0000-0000-0000A11D0000}"/>
    <cellStyle name="Normal 30 2 8 5" xfId="12921" xr:uid="{00000000-0005-0000-0000-0000A21D0000}"/>
    <cellStyle name="Normal 30 2 9" xfId="2946" xr:uid="{00000000-0005-0000-0000-0000A31D0000}"/>
    <cellStyle name="Normal 30 2 9 2" xfId="9705" xr:uid="{00000000-0005-0000-0000-0000A41D0000}"/>
    <cellStyle name="Normal 30 2 9 3" xfId="8103" xr:uid="{00000000-0005-0000-0000-0000A51D0000}"/>
    <cellStyle name="Normal 30 2 9 4" xfId="11315" xr:uid="{00000000-0005-0000-0000-0000A61D0000}"/>
    <cellStyle name="Normal 30 2 9 5" xfId="12922" xr:uid="{00000000-0005-0000-0000-0000A71D0000}"/>
    <cellStyle name="Normal 30 3" xfId="2947" xr:uid="{00000000-0005-0000-0000-0000A81D0000}"/>
    <cellStyle name="Normal 30 3 2" xfId="2948" xr:uid="{00000000-0005-0000-0000-0000A91D0000}"/>
    <cellStyle name="Normal 30 3 2 2" xfId="9707" xr:uid="{00000000-0005-0000-0000-0000AA1D0000}"/>
    <cellStyle name="Normal 30 3 2 3" xfId="8105" xr:uid="{00000000-0005-0000-0000-0000AB1D0000}"/>
    <cellStyle name="Normal 30 3 2 4" xfId="11317" xr:uid="{00000000-0005-0000-0000-0000AC1D0000}"/>
    <cellStyle name="Normal 30 3 2 5" xfId="12924" xr:uid="{00000000-0005-0000-0000-0000AD1D0000}"/>
    <cellStyle name="Normal 30 3 3" xfId="2949" xr:uid="{00000000-0005-0000-0000-0000AE1D0000}"/>
    <cellStyle name="Normal 30 3 3 2" xfId="9708" xr:uid="{00000000-0005-0000-0000-0000AF1D0000}"/>
    <cellStyle name="Normal 30 3 3 3" xfId="8106" xr:uid="{00000000-0005-0000-0000-0000B01D0000}"/>
    <cellStyle name="Normal 30 3 3 4" xfId="11318" xr:uid="{00000000-0005-0000-0000-0000B11D0000}"/>
    <cellStyle name="Normal 30 3 3 5" xfId="12925" xr:uid="{00000000-0005-0000-0000-0000B21D0000}"/>
    <cellStyle name="Normal 30 3 4" xfId="2950" xr:uid="{00000000-0005-0000-0000-0000B31D0000}"/>
    <cellStyle name="Normal 30 3 4 2" xfId="9709" xr:uid="{00000000-0005-0000-0000-0000B41D0000}"/>
    <cellStyle name="Normal 30 3 4 3" xfId="8107" xr:uid="{00000000-0005-0000-0000-0000B51D0000}"/>
    <cellStyle name="Normal 30 3 4 4" xfId="11319" xr:uid="{00000000-0005-0000-0000-0000B61D0000}"/>
    <cellStyle name="Normal 30 3 4 5" xfId="12926" xr:uid="{00000000-0005-0000-0000-0000B71D0000}"/>
    <cellStyle name="Normal 30 3 5" xfId="9706" xr:uid="{00000000-0005-0000-0000-0000B81D0000}"/>
    <cellStyle name="Normal 30 3 6" xfId="8104" xr:uid="{00000000-0005-0000-0000-0000B91D0000}"/>
    <cellStyle name="Normal 30 3 7" xfId="11316" xr:uid="{00000000-0005-0000-0000-0000BA1D0000}"/>
    <cellStyle name="Normal 30 3 8" xfId="12923" xr:uid="{00000000-0005-0000-0000-0000BB1D0000}"/>
    <cellStyle name="Normal 30 4" xfId="2951" xr:uid="{00000000-0005-0000-0000-0000BC1D0000}"/>
    <cellStyle name="Normal 31" xfId="2952" xr:uid="{00000000-0005-0000-0000-0000BD1D0000}"/>
    <cellStyle name="Normal 31 2" xfId="2953" xr:uid="{00000000-0005-0000-0000-0000BE1D0000}"/>
    <cellStyle name="Normal 31 2 10" xfId="9710" xr:uid="{00000000-0005-0000-0000-0000BF1D0000}"/>
    <cellStyle name="Normal 31 2 11" xfId="8108" xr:uid="{00000000-0005-0000-0000-0000C01D0000}"/>
    <cellStyle name="Normal 31 2 12" xfId="11320" xr:uid="{00000000-0005-0000-0000-0000C11D0000}"/>
    <cellStyle name="Normal 31 2 13" xfId="12927" xr:uid="{00000000-0005-0000-0000-0000C21D0000}"/>
    <cellStyle name="Normal 31 2 2" xfId="2954" xr:uid="{00000000-0005-0000-0000-0000C31D0000}"/>
    <cellStyle name="Normal 31 2 2 2" xfId="2955" xr:uid="{00000000-0005-0000-0000-0000C41D0000}"/>
    <cellStyle name="Normal 31 2 2 2 2" xfId="9712" xr:uid="{00000000-0005-0000-0000-0000C51D0000}"/>
    <cellStyle name="Normal 31 2 2 2 3" xfId="8110" xr:uid="{00000000-0005-0000-0000-0000C61D0000}"/>
    <cellStyle name="Normal 31 2 2 2 4" xfId="11322" xr:uid="{00000000-0005-0000-0000-0000C71D0000}"/>
    <cellStyle name="Normal 31 2 2 2 5" xfId="12929" xr:uid="{00000000-0005-0000-0000-0000C81D0000}"/>
    <cellStyle name="Normal 31 2 2 3" xfId="2956" xr:uid="{00000000-0005-0000-0000-0000C91D0000}"/>
    <cellStyle name="Normal 31 2 2 3 2" xfId="9713" xr:uid="{00000000-0005-0000-0000-0000CA1D0000}"/>
    <cellStyle name="Normal 31 2 2 3 3" xfId="8111" xr:uid="{00000000-0005-0000-0000-0000CB1D0000}"/>
    <cellStyle name="Normal 31 2 2 3 4" xfId="11323" xr:uid="{00000000-0005-0000-0000-0000CC1D0000}"/>
    <cellStyle name="Normal 31 2 2 3 5" xfId="12930" xr:uid="{00000000-0005-0000-0000-0000CD1D0000}"/>
    <cellStyle name="Normal 31 2 2 4" xfId="2957" xr:uid="{00000000-0005-0000-0000-0000CE1D0000}"/>
    <cellStyle name="Normal 31 2 2 4 2" xfId="9714" xr:uid="{00000000-0005-0000-0000-0000CF1D0000}"/>
    <cellStyle name="Normal 31 2 2 4 3" xfId="8112" xr:uid="{00000000-0005-0000-0000-0000D01D0000}"/>
    <cellStyle name="Normal 31 2 2 4 4" xfId="11324" xr:uid="{00000000-0005-0000-0000-0000D11D0000}"/>
    <cellStyle name="Normal 31 2 2 4 5" xfId="12931" xr:uid="{00000000-0005-0000-0000-0000D21D0000}"/>
    <cellStyle name="Normal 31 2 2 5" xfId="9711" xr:uid="{00000000-0005-0000-0000-0000D31D0000}"/>
    <cellStyle name="Normal 31 2 2 6" xfId="8109" xr:uid="{00000000-0005-0000-0000-0000D41D0000}"/>
    <cellStyle name="Normal 31 2 2 7" xfId="11321" xr:uid="{00000000-0005-0000-0000-0000D51D0000}"/>
    <cellStyle name="Normal 31 2 2 8" xfId="12928" xr:uid="{00000000-0005-0000-0000-0000D61D0000}"/>
    <cellStyle name="Normal 31 2 3" xfId="2958" xr:uid="{00000000-0005-0000-0000-0000D71D0000}"/>
    <cellStyle name="Normal 31 2 3 2" xfId="2959" xr:uid="{00000000-0005-0000-0000-0000D81D0000}"/>
    <cellStyle name="Normal 31 2 3 2 2" xfId="9716" xr:uid="{00000000-0005-0000-0000-0000D91D0000}"/>
    <cellStyle name="Normal 31 2 3 2 3" xfId="8114" xr:uid="{00000000-0005-0000-0000-0000DA1D0000}"/>
    <cellStyle name="Normal 31 2 3 2 4" xfId="11326" xr:uid="{00000000-0005-0000-0000-0000DB1D0000}"/>
    <cellStyle name="Normal 31 2 3 2 5" xfId="12933" xr:uid="{00000000-0005-0000-0000-0000DC1D0000}"/>
    <cellStyle name="Normal 31 2 3 3" xfId="2960" xr:uid="{00000000-0005-0000-0000-0000DD1D0000}"/>
    <cellStyle name="Normal 31 2 3 3 2" xfId="9717" xr:uid="{00000000-0005-0000-0000-0000DE1D0000}"/>
    <cellStyle name="Normal 31 2 3 3 3" xfId="8115" xr:uid="{00000000-0005-0000-0000-0000DF1D0000}"/>
    <cellStyle name="Normal 31 2 3 3 4" xfId="11327" xr:uid="{00000000-0005-0000-0000-0000E01D0000}"/>
    <cellStyle name="Normal 31 2 3 3 5" xfId="12934" xr:uid="{00000000-0005-0000-0000-0000E11D0000}"/>
    <cellStyle name="Normal 31 2 3 4" xfId="2961" xr:uid="{00000000-0005-0000-0000-0000E21D0000}"/>
    <cellStyle name="Normal 31 2 3 4 2" xfId="9718" xr:uid="{00000000-0005-0000-0000-0000E31D0000}"/>
    <cellStyle name="Normal 31 2 3 4 3" xfId="8116" xr:uid="{00000000-0005-0000-0000-0000E41D0000}"/>
    <cellStyle name="Normal 31 2 3 4 4" xfId="11328" xr:uid="{00000000-0005-0000-0000-0000E51D0000}"/>
    <cellStyle name="Normal 31 2 3 4 5" xfId="12935" xr:uid="{00000000-0005-0000-0000-0000E61D0000}"/>
    <cellStyle name="Normal 31 2 3 5" xfId="9715" xr:uid="{00000000-0005-0000-0000-0000E71D0000}"/>
    <cellStyle name="Normal 31 2 3 6" xfId="8113" xr:uid="{00000000-0005-0000-0000-0000E81D0000}"/>
    <cellStyle name="Normal 31 2 3 7" xfId="11325" xr:uid="{00000000-0005-0000-0000-0000E91D0000}"/>
    <cellStyle name="Normal 31 2 3 8" xfId="12932" xr:uid="{00000000-0005-0000-0000-0000EA1D0000}"/>
    <cellStyle name="Normal 31 2 4" xfId="2962" xr:uid="{00000000-0005-0000-0000-0000EB1D0000}"/>
    <cellStyle name="Normal 31 2 4 2" xfId="2963" xr:uid="{00000000-0005-0000-0000-0000EC1D0000}"/>
    <cellStyle name="Normal 31 2 4 2 2" xfId="2964" xr:uid="{00000000-0005-0000-0000-0000ED1D0000}"/>
    <cellStyle name="Normal 31 2 4 2 2 2" xfId="2965" xr:uid="{00000000-0005-0000-0000-0000EE1D0000}"/>
    <cellStyle name="Normal 31 2 4 2 2 2 2" xfId="9720" xr:uid="{00000000-0005-0000-0000-0000EF1D0000}"/>
    <cellStyle name="Normal 31 2 4 2 2 2 3" xfId="8118" xr:uid="{00000000-0005-0000-0000-0000F01D0000}"/>
    <cellStyle name="Normal 31 2 4 2 2 2 4" xfId="11330" xr:uid="{00000000-0005-0000-0000-0000F11D0000}"/>
    <cellStyle name="Normal 31 2 4 2 2 2 5" xfId="12937" xr:uid="{00000000-0005-0000-0000-0000F21D0000}"/>
    <cellStyle name="Normal 31 2 4 2 2 3" xfId="2966" xr:uid="{00000000-0005-0000-0000-0000F31D0000}"/>
    <cellStyle name="Normal 31 2 4 2 2 3 2" xfId="9721" xr:uid="{00000000-0005-0000-0000-0000F41D0000}"/>
    <cellStyle name="Normal 31 2 4 2 2 3 3" xfId="8119" xr:uid="{00000000-0005-0000-0000-0000F51D0000}"/>
    <cellStyle name="Normal 31 2 4 2 2 3 4" xfId="11331" xr:uid="{00000000-0005-0000-0000-0000F61D0000}"/>
    <cellStyle name="Normal 31 2 4 2 2 3 5" xfId="12938" xr:uid="{00000000-0005-0000-0000-0000F71D0000}"/>
    <cellStyle name="Normal 31 2 4 2 2 4" xfId="2967" xr:uid="{00000000-0005-0000-0000-0000F81D0000}"/>
    <cellStyle name="Normal 31 2 4 2 2 4 2" xfId="9722" xr:uid="{00000000-0005-0000-0000-0000F91D0000}"/>
    <cellStyle name="Normal 31 2 4 2 2 4 3" xfId="8120" xr:uid="{00000000-0005-0000-0000-0000FA1D0000}"/>
    <cellStyle name="Normal 31 2 4 2 2 4 4" xfId="11332" xr:uid="{00000000-0005-0000-0000-0000FB1D0000}"/>
    <cellStyle name="Normal 31 2 4 2 2 4 5" xfId="12939" xr:uid="{00000000-0005-0000-0000-0000FC1D0000}"/>
    <cellStyle name="Normal 31 2 4 2 3" xfId="2968" xr:uid="{00000000-0005-0000-0000-0000FD1D0000}"/>
    <cellStyle name="Normal 31 2 4 2 4" xfId="2969" xr:uid="{00000000-0005-0000-0000-0000FE1D0000}"/>
    <cellStyle name="Normal 31 2 4 2 5" xfId="9719" xr:uid="{00000000-0005-0000-0000-0000FF1D0000}"/>
    <cellStyle name="Normal 31 2 4 2 6" xfId="8117" xr:uid="{00000000-0005-0000-0000-0000001E0000}"/>
    <cellStyle name="Normal 31 2 4 2 7" xfId="11329" xr:uid="{00000000-0005-0000-0000-0000011E0000}"/>
    <cellStyle name="Normal 31 2 4 2 8" xfId="12936" xr:uid="{00000000-0005-0000-0000-0000021E0000}"/>
    <cellStyle name="Normal 31 2 4 3" xfId="2970" xr:uid="{00000000-0005-0000-0000-0000031E0000}"/>
    <cellStyle name="Normal 31 2 4 3 2" xfId="2971" xr:uid="{00000000-0005-0000-0000-0000041E0000}"/>
    <cellStyle name="Normal 31 2 4 3 2 2" xfId="9724" xr:uid="{00000000-0005-0000-0000-0000051E0000}"/>
    <cellStyle name="Normal 31 2 4 3 2 3" xfId="8122" xr:uid="{00000000-0005-0000-0000-0000061E0000}"/>
    <cellStyle name="Normal 31 2 4 3 2 4" xfId="11334" xr:uid="{00000000-0005-0000-0000-0000071E0000}"/>
    <cellStyle name="Normal 31 2 4 3 2 5" xfId="12941" xr:uid="{00000000-0005-0000-0000-0000081E0000}"/>
    <cellStyle name="Normal 31 2 4 3 3" xfId="2972" xr:uid="{00000000-0005-0000-0000-0000091E0000}"/>
    <cellStyle name="Normal 31 2 4 3 3 2" xfId="9725" xr:uid="{00000000-0005-0000-0000-00000A1E0000}"/>
    <cellStyle name="Normal 31 2 4 3 3 3" xfId="8123" xr:uid="{00000000-0005-0000-0000-00000B1E0000}"/>
    <cellStyle name="Normal 31 2 4 3 3 4" xfId="11335" xr:uid="{00000000-0005-0000-0000-00000C1E0000}"/>
    <cellStyle name="Normal 31 2 4 3 3 5" xfId="12942" xr:uid="{00000000-0005-0000-0000-00000D1E0000}"/>
    <cellStyle name="Normal 31 2 4 3 4" xfId="2973" xr:uid="{00000000-0005-0000-0000-00000E1E0000}"/>
    <cellStyle name="Normal 31 2 4 3 4 2" xfId="9726" xr:uid="{00000000-0005-0000-0000-00000F1E0000}"/>
    <cellStyle name="Normal 31 2 4 3 4 3" xfId="8124" xr:uid="{00000000-0005-0000-0000-0000101E0000}"/>
    <cellStyle name="Normal 31 2 4 3 4 4" xfId="11336" xr:uid="{00000000-0005-0000-0000-0000111E0000}"/>
    <cellStyle name="Normal 31 2 4 3 4 5" xfId="12943" xr:uid="{00000000-0005-0000-0000-0000121E0000}"/>
    <cellStyle name="Normal 31 2 4 3 5" xfId="9723" xr:uid="{00000000-0005-0000-0000-0000131E0000}"/>
    <cellStyle name="Normal 31 2 4 3 6" xfId="8121" xr:uid="{00000000-0005-0000-0000-0000141E0000}"/>
    <cellStyle name="Normal 31 2 4 3 7" xfId="11333" xr:uid="{00000000-0005-0000-0000-0000151E0000}"/>
    <cellStyle name="Normal 31 2 4 3 8" xfId="12940" xr:uid="{00000000-0005-0000-0000-0000161E0000}"/>
    <cellStyle name="Normal 31 2 4 4" xfId="2974" xr:uid="{00000000-0005-0000-0000-0000171E0000}"/>
    <cellStyle name="Normal 31 2 4 4 2" xfId="2975" xr:uid="{00000000-0005-0000-0000-0000181E0000}"/>
    <cellStyle name="Normal 31 2 4 4 2 2" xfId="9728" xr:uid="{00000000-0005-0000-0000-0000191E0000}"/>
    <cellStyle name="Normal 31 2 4 4 2 3" xfId="8126" xr:uid="{00000000-0005-0000-0000-00001A1E0000}"/>
    <cellStyle name="Normal 31 2 4 4 2 4" xfId="11338" xr:uid="{00000000-0005-0000-0000-00001B1E0000}"/>
    <cellStyle name="Normal 31 2 4 4 2 5" xfId="12945" xr:uid="{00000000-0005-0000-0000-00001C1E0000}"/>
    <cellStyle name="Normal 31 2 4 4 3" xfId="2976" xr:uid="{00000000-0005-0000-0000-00001D1E0000}"/>
    <cellStyle name="Normal 31 2 4 4 3 2" xfId="9729" xr:uid="{00000000-0005-0000-0000-00001E1E0000}"/>
    <cellStyle name="Normal 31 2 4 4 3 3" xfId="8127" xr:uid="{00000000-0005-0000-0000-00001F1E0000}"/>
    <cellStyle name="Normal 31 2 4 4 3 4" xfId="11339" xr:uid="{00000000-0005-0000-0000-0000201E0000}"/>
    <cellStyle name="Normal 31 2 4 4 3 5" xfId="12946" xr:uid="{00000000-0005-0000-0000-0000211E0000}"/>
    <cellStyle name="Normal 31 2 4 4 4" xfId="2977" xr:uid="{00000000-0005-0000-0000-0000221E0000}"/>
    <cellStyle name="Normal 31 2 4 4 4 2" xfId="9730" xr:uid="{00000000-0005-0000-0000-0000231E0000}"/>
    <cellStyle name="Normal 31 2 4 4 4 3" xfId="8128" xr:uid="{00000000-0005-0000-0000-0000241E0000}"/>
    <cellStyle name="Normal 31 2 4 4 4 4" xfId="11340" xr:uid="{00000000-0005-0000-0000-0000251E0000}"/>
    <cellStyle name="Normal 31 2 4 4 4 5" xfId="12947" xr:uid="{00000000-0005-0000-0000-0000261E0000}"/>
    <cellStyle name="Normal 31 2 4 4 5" xfId="9727" xr:uid="{00000000-0005-0000-0000-0000271E0000}"/>
    <cellStyle name="Normal 31 2 4 4 6" xfId="8125" xr:uid="{00000000-0005-0000-0000-0000281E0000}"/>
    <cellStyle name="Normal 31 2 4 4 7" xfId="11337" xr:uid="{00000000-0005-0000-0000-0000291E0000}"/>
    <cellStyle name="Normal 31 2 4 4 8" xfId="12944" xr:uid="{00000000-0005-0000-0000-00002A1E0000}"/>
    <cellStyle name="Normal 31 2 4 5" xfId="2978" xr:uid="{00000000-0005-0000-0000-00002B1E0000}"/>
    <cellStyle name="Normal 31 2 4 5 2" xfId="9731" xr:uid="{00000000-0005-0000-0000-00002C1E0000}"/>
    <cellStyle name="Normal 31 2 4 5 3" xfId="8129" xr:uid="{00000000-0005-0000-0000-00002D1E0000}"/>
    <cellStyle name="Normal 31 2 4 5 4" xfId="11341" xr:uid="{00000000-0005-0000-0000-00002E1E0000}"/>
    <cellStyle name="Normal 31 2 4 5 5" xfId="12948" xr:uid="{00000000-0005-0000-0000-00002F1E0000}"/>
    <cellStyle name="Normal 31 2 4 6" xfId="2979" xr:uid="{00000000-0005-0000-0000-0000301E0000}"/>
    <cellStyle name="Normal 31 2 4 6 2" xfId="9732" xr:uid="{00000000-0005-0000-0000-0000311E0000}"/>
    <cellStyle name="Normal 31 2 4 6 3" xfId="8130" xr:uid="{00000000-0005-0000-0000-0000321E0000}"/>
    <cellStyle name="Normal 31 2 4 6 4" xfId="11342" xr:uid="{00000000-0005-0000-0000-0000331E0000}"/>
    <cellStyle name="Normal 31 2 4 6 5" xfId="12949" xr:uid="{00000000-0005-0000-0000-0000341E0000}"/>
    <cellStyle name="Normal 31 2 4 7" xfId="2980" xr:uid="{00000000-0005-0000-0000-0000351E0000}"/>
    <cellStyle name="Normal 31 2 4 7 2" xfId="9733" xr:uid="{00000000-0005-0000-0000-0000361E0000}"/>
    <cellStyle name="Normal 31 2 4 7 3" xfId="8131" xr:uid="{00000000-0005-0000-0000-0000371E0000}"/>
    <cellStyle name="Normal 31 2 4 7 4" xfId="11343" xr:uid="{00000000-0005-0000-0000-0000381E0000}"/>
    <cellStyle name="Normal 31 2 4 7 5" xfId="12950" xr:uid="{00000000-0005-0000-0000-0000391E0000}"/>
    <cellStyle name="Normal 31 2 5" xfId="2981" xr:uid="{00000000-0005-0000-0000-00003A1E0000}"/>
    <cellStyle name="Normal 31 2 6" xfId="2982" xr:uid="{00000000-0005-0000-0000-00003B1E0000}"/>
    <cellStyle name="Normal 31 2 7" xfId="2983" xr:uid="{00000000-0005-0000-0000-00003C1E0000}"/>
    <cellStyle name="Normal 31 2 7 2" xfId="9734" xr:uid="{00000000-0005-0000-0000-00003D1E0000}"/>
    <cellStyle name="Normal 31 2 7 3" xfId="8132" xr:uid="{00000000-0005-0000-0000-00003E1E0000}"/>
    <cellStyle name="Normal 31 2 7 4" xfId="11344" xr:uid="{00000000-0005-0000-0000-00003F1E0000}"/>
    <cellStyle name="Normal 31 2 7 5" xfId="12951" xr:uid="{00000000-0005-0000-0000-0000401E0000}"/>
    <cellStyle name="Normal 31 2 8" xfId="2984" xr:uid="{00000000-0005-0000-0000-0000411E0000}"/>
    <cellStyle name="Normal 31 2 8 2" xfId="9735" xr:uid="{00000000-0005-0000-0000-0000421E0000}"/>
    <cellStyle name="Normal 31 2 8 3" xfId="8133" xr:uid="{00000000-0005-0000-0000-0000431E0000}"/>
    <cellStyle name="Normal 31 2 8 4" xfId="11345" xr:uid="{00000000-0005-0000-0000-0000441E0000}"/>
    <cellStyle name="Normal 31 2 8 5" xfId="12952" xr:uid="{00000000-0005-0000-0000-0000451E0000}"/>
    <cellStyle name="Normal 31 2 9" xfId="2985" xr:uid="{00000000-0005-0000-0000-0000461E0000}"/>
    <cellStyle name="Normal 31 2 9 2" xfId="9736" xr:uid="{00000000-0005-0000-0000-0000471E0000}"/>
    <cellStyle name="Normal 31 2 9 3" xfId="8134" xr:uid="{00000000-0005-0000-0000-0000481E0000}"/>
    <cellStyle name="Normal 31 2 9 4" xfId="11346" xr:uid="{00000000-0005-0000-0000-0000491E0000}"/>
    <cellStyle name="Normal 31 2 9 5" xfId="12953" xr:uid="{00000000-0005-0000-0000-00004A1E0000}"/>
    <cellStyle name="Normal 31 3" xfId="2986" xr:uid="{00000000-0005-0000-0000-00004B1E0000}"/>
    <cellStyle name="Normal 31 3 2" xfId="2987" xr:uid="{00000000-0005-0000-0000-00004C1E0000}"/>
    <cellStyle name="Normal 31 3 2 2" xfId="9738" xr:uid="{00000000-0005-0000-0000-00004D1E0000}"/>
    <cellStyle name="Normal 31 3 2 3" xfId="8136" xr:uid="{00000000-0005-0000-0000-00004E1E0000}"/>
    <cellStyle name="Normal 31 3 2 4" xfId="11348" xr:uid="{00000000-0005-0000-0000-00004F1E0000}"/>
    <cellStyle name="Normal 31 3 2 5" xfId="12955" xr:uid="{00000000-0005-0000-0000-0000501E0000}"/>
    <cellStyle name="Normal 31 3 3" xfId="2988" xr:uid="{00000000-0005-0000-0000-0000511E0000}"/>
    <cellStyle name="Normal 31 3 3 2" xfId="9739" xr:uid="{00000000-0005-0000-0000-0000521E0000}"/>
    <cellStyle name="Normal 31 3 3 3" xfId="8137" xr:uid="{00000000-0005-0000-0000-0000531E0000}"/>
    <cellStyle name="Normal 31 3 3 4" xfId="11349" xr:uid="{00000000-0005-0000-0000-0000541E0000}"/>
    <cellStyle name="Normal 31 3 3 5" xfId="12956" xr:uid="{00000000-0005-0000-0000-0000551E0000}"/>
    <cellStyle name="Normal 31 3 4" xfId="2989" xr:uid="{00000000-0005-0000-0000-0000561E0000}"/>
    <cellStyle name="Normal 31 3 4 2" xfId="9740" xr:uid="{00000000-0005-0000-0000-0000571E0000}"/>
    <cellStyle name="Normal 31 3 4 3" xfId="8138" xr:uid="{00000000-0005-0000-0000-0000581E0000}"/>
    <cellStyle name="Normal 31 3 4 4" xfId="11350" xr:uid="{00000000-0005-0000-0000-0000591E0000}"/>
    <cellStyle name="Normal 31 3 4 5" xfId="12957" xr:uid="{00000000-0005-0000-0000-00005A1E0000}"/>
    <cellStyle name="Normal 31 3 5" xfId="9737" xr:uid="{00000000-0005-0000-0000-00005B1E0000}"/>
    <cellStyle name="Normal 31 3 6" xfId="8135" xr:uid="{00000000-0005-0000-0000-00005C1E0000}"/>
    <cellStyle name="Normal 31 3 7" xfId="11347" xr:uid="{00000000-0005-0000-0000-00005D1E0000}"/>
    <cellStyle name="Normal 31 3 8" xfId="12954" xr:uid="{00000000-0005-0000-0000-00005E1E0000}"/>
    <cellStyle name="Normal 31 4" xfId="2990" xr:uid="{00000000-0005-0000-0000-00005F1E0000}"/>
    <cellStyle name="Normal 32" xfId="2991" xr:uid="{00000000-0005-0000-0000-0000601E0000}"/>
    <cellStyle name="Normal 32 2" xfId="2992" xr:uid="{00000000-0005-0000-0000-0000611E0000}"/>
    <cellStyle name="Normal 32 2 10" xfId="9741" xr:uid="{00000000-0005-0000-0000-0000621E0000}"/>
    <cellStyle name="Normal 32 2 11" xfId="8139" xr:uid="{00000000-0005-0000-0000-0000631E0000}"/>
    <cellStyle name="Normal 32 2 12" xfId="11351" xr:uid="{00000000-0005-0000-0000-0000641E0000}"/>
    <cellStyle name="Normal 32 2 13" xfId="12958" xr:uid="{00000000-0005-0000-0000-0000651E0000}"/>
    <cellStyle name="Normal 32 2 2" xfId="2993" xr:uid="{00000000-0005-0000-0000-0000661E0000}"/>
    <cellStyle name="Normal 32 2 2 2" xfId="2994" xr:uid="{00000000-0005-0000-0000-0000671E0000}"/>
    <cellStyle name="Normal 32 2 2 2 2" xfId="9743" xr:uid="{00000000-0005-0000-0000-0000681E0000}"/>
    <cellStyle name="Normal 32 2 2 2 3" xfId="8141" xr:uid="{00000000-0005-0000-0000-0000691E0000}"/>
    <cellStyle name="Normal 32 2 2 2 4" xfId="11353" xr:uid="{00000000-0005-0000-0000-00006A1E0000}"/>
    <cellStyle name="Normal 32 2 2 2 5" xfId="12960" xr:uid="{00000000-0005-0000-0000-00006B1E0000}"/>
    <cellStyle name="Normal 32 2 2 3" xfId="2995" xr:uid="{00000000-0005-0000-0000-00006C1E0000}"/>
    <cellStyle name="Normal 32 2 2 3 2" xfId="9744" xr:uid="{00000000-0005-0000-0000-00006D1E0000}"/>
    <cellStyle name="Normal 32 2 2 3 3" xfId="8142" xr:uid="{00000000-0005-0000-0000-00006E1E0000}"/>
    <cellStyle name="Normal 32 2 2 3 4" xfId="11354" xr:uid="{00000000-0005-0000-0000-00006F1E0000}"/>
    <cellStyle name="Normal 32 2 2 3 5" xfId="12961" xr:uid="{00000000-0005-0000-0000-0000701E0000}"/>
    <cellStyle name="Normal 32 2 2 4" xfId="2996" xr:uid="{00000000-0005-0000-0000-0000711E0000}"/>
    <cellStyle name="Normal 32 2 2 4 2" xfId="9745" xr:uid="{00000000-0005-0000-0000-0000721E0000}"/>
    <cellStyle name="Normal 32 2 2 4 3" xfId="8143" xr:uid="{00000000-0005-0000-0000-0000731E0000}"/>
    <cellStyle name="Normal 32 2 2 4 4" xfId="11355" xr:uid="{00000000-0005-0000-0000-0000741E0000}"/>
    <cellStyle name="Normal 32 2 2 4 5" xfId="12962" xr:uid="{00000000-0005-0000-0000-0000751E0000}"/>
    <cellStyle name="Normal 32 2 2 5" xfId="9742" xr:uid="{00000000-0005-0000-0000-0000761E0000}"/>
    <cellStyle name="Normal 32 2 2 6" xfId="8140" xr:uid="{00000000-0005-0000-0000-0000771E0000}"/>
    <cellStyle name="Normal 32 2 2 7" xfId="11352" xr:uid="{00000000-0005-0000-0000-0000781E0000}"/>
    <cellStyle name="Normal 32 2 2 8" xfId="12959" xr:uid="{00000000-0005-0000-0000-0000791E0000}"/>
    <cellStyle name="Normal 32 2 3" xfId="2997" xr:uid="{00000000-0005-0000-0000-00007A1E0000}"/>
    <cellStyle name="Normal 32 2 3 2" xfId="2998" xr:uid="{00000000-0005-0000-0000-00007B1E0000}"/>
    <cellStyle name="Normal 32 2 3 2 2" xfId="9747" xr:uid="{00000000-0005-0000-0000-00007C1E0000}"/>
    <cellStyle name="Normal 32 2 3 2 3" xfId="8145" xr:uid="{00000000-0005-0000-0000-00007D1E0000}"/>
    <cellStyle name="Normal 32 2 3 2 4" xfId="11357" xr:uid="{00000000-0005-0000-0000-00007E1E0000}"/>
    <cellStyle name="Normal 32 2 3 2 5" xfId="12964" xr:uid="{00000000-0005-0000-0000-00007F1E0000}"/>
    <cellStyle name="Normal 32 2 3 3" xfId="2999" xr:uid="{00000000-0005-0000-0000-0000801E0000}"/>
    <cellStyle name="Normal 32 2 3 3 2" xfId="9748" xr:uid="{00000000-0005-0000-0000-0000811E0000}"/>
    <cellStyle name="Normal 32 2 3 3 3" xfId="8146" xr:uid="{00000000-0005-0000-0000-0000821E0000}"/>
    <cellStyle name="Normal 32 2 3 3 4" xfId="11358" xr:uid="{00000000-0005-0000-0000-0000831E0000}"/>
    <cellStyle name="Normal 32 2 3 3 5" xfId="12965" xr:uid="{00000000-0005-0000-0000-0000841E0000}"/>
    <cellStyle name="Normal 32 2 3 4" xfId="3000" xr:uid="{00000000-0005-0000-0000-0000851E0000}"/>
    <cellStyle name="Normal 32 2 3 4 2" xfId="9749" xr:uid="{00000000-0005-0000-0000-0000861E0000}"/>
    <cellStyle name="Normal 32 2 3 4 3" xfId="8147" xr:uid="{00000000-0005-0000-0000-0000871E0000}"/>
    <cellStyle name="Normal 32 2 3 4 4" xfId="11359" xr:uid="{00000000-0005-0000-0000-0000881E0000}"/>
    <cellStyle name="Normal 32 2 3 4 5" xfId="12966" xr:uid="{00000000-0005-0000-0000-0000891E0000}"/>
    <cellStyle name="Normal 32 2 3 5" xfId="9746" xr:uid="{00000000-0005-0000-0000-00008A1E0000}"/>
    <cellStyle name="Normal 32 2 3 6" xfId="8144" xr:uid="{00000000-0005-0000-0000-00008B1E0000}"/>
    <cellStyle name="Normal 32 2 3 7" xfId="11356" xr:uid="{00000000-0005-0000-0000-00008C1E0000}"/>
    <cellStyle name="Normal 32 2 3 8" xfId="12963" xr:uid="{00000000-0005-0000-0000-00008D1E0000}"/>
    <cellStyle name="Normal 32 2 4" xfId="3001" xr:uid="{00000000-0005-0000-0000-00008E1E0000}"/>
    <cellStyle name="Normal 32 2 4 2" xfId="3002" xr:uid="{00000000-0005-0000-0000-00008F1E0000}"/>
    <cellStyle name="Normal 32 2 4 2 2" xfId="3003" xr:uid="{00000000-0005-0000-0000-0000901E0000}"/>
    <cellStyle name="Normal 32 2 4 2 2 2" xfId="3004" xr:uid="{00000000-0005-0000-0000-0000911E0000}"/>
    <cellStyle name="Normal 32 2 4 2 2 2 2" xfId="9751" xr:uid="{00000000-0005-0000-0000-0000921E0000}"/>
    <cellStyle name="Normal 32 2 4 2 2 2 3" xfId="8149" xr:uid="{00000000-0005-0000-0000-0000931E0000}"/>
    <cellStyle name="Normal 32 2 4 2 2 2 4" xfId="11361" xr:uid="{00000000-0005-0000-0000-0000941E0000}"/>
    <cellStyle name="Normal 32 2 4 2 2 2 5" xfId="12968" xr:uid="{00000000-0005-0000-0000-0000951E0000}"/>
    <cellStyle name="Normal 32 2 4 2 2 3" xfId="3005" xr:uid="{00000000-0005-0000-0000-0000961E0000}"/>
    <cellStyle name="Normal 32 2 4 2 2 3 2" xfId="9752" xr:uid="{00000000-0005-0000-0000-0000971E0000}"/>
    <cellStyle name="Normal 32 2 4 2 2 3 3" xfId="8150" xr:uid="{00000000-0005-0000-0000-0000981E0000}"/>
    <cellStyle name="Normal 32 2 4 2 2 3 4" xfId="11362" xr:uid="{00000000-0005-0000-0000-0000991E0000}"/>
    <cellStyle name="Normal 32 2 4 2 2 3 5" xfId="12969" xr:uid="{00000000-0005-0000-0000-00009A1E0000}"/>
    <cellStyle name="Normal 32 2 4 2 2 4" xfId="3006" xr:uid="{00000000-0005-0000-0000-00009B1E0000}"/>
    <cellStyle name="Normal 32 2 4 2 2 4 2" xfId="9753" xr:uid="{00000000-0005-0000-0000-00009C1E0000}"/>
    <cellStyle name="Normal 32 2 4 2 2 4 3" xfId="8151" xr:uid="{00000000-0005-0000-0000-00009D1E0000}"/>
    <cellStyle name="Normal 32 2 4 2 2 4 4" xfId="11363" xr:uid="{00000000-0005-0000-0000-00009E1E0000}"/>
    <cellStyle name="Normal 32 2 4 2 2 4 5" xfId="12970" xr:uid="{00000000-0005-0000-0000-00009F1E0000}"/>
    <cellStyle name="Normal 32 2 4 2 3" xfId="3007" xr:uid="{00000000-0005-0000-0000-0000A01E0000}"/>
    <cellStyle name="Normal 32 2 4 2 4" xfId="3008" xr:uid="{00000000-0005-0000-0000-0000A11E0000}"/>
    <cellStyle name="Normal 32 2 4 2 5" xfId="9750" xr:uid="{00000000-0005-0000-0000-0000A21E0000}"/>
    <cellStyle name="Normal 32 2 4 2 6" xfId="8148" xr:uid="{00000000-0005-0000-0000-0000A31E0000}"/>
    <cellStyle name="Normal 32 2 4 2 7" xfId="11360" xr:uid="{00000000-0005-0000-0000-0000A41E0000}"/>
    <cellStyle name="Normal 32 2 4 2 8" xfId="12967" xr:uid="{00000000-0005-0000-0000-0000A51E0000}"/>
    <cellStyle name="Normal 32 2 4 3" xfId="3009" xr:uid="{00000000-0005-0000-0000-0000A61E0000}"/>
    <cellStyle name="Normal 32 2 4 3 2" xfId="3010" xr:uid="{00000000-0005-0000-0000-0000A71E0000}"/>
    <cellStyle name="Normal 32 2 4 3 2 2" xfId="9755" xr:uid="{00000000-0005-0000-0000-0000A81E0000}"/>
    <cellStyle name="Normal 32 2 4 3 2 3" xfId="8153" xr:uid="{00000000-0005-0000-0000-0000A91E0000}"/>
    <cellStyle name="Normal 32 2 4 3 2 4" xfId="11365" xr:uid="{00000000-0005-0000-0000-0000AA1E0000}"/>
    <cellStyle name="Normal 32 2 4 3 2 5" xfId="12972" xr:uid="{00000000-0005-0000-0000-0000AB1E0000}"/>
    <cellStyle name="Normal 32 2 4 3 3" xfId="3011" xr:uid="{00000000-0005-0000-0000-0000AC1E0000}"/>
    <cellStyle name="Normal 32 2 4 3 3 2" xfId="9756" xr:uid="{00000000-0005-0000-0000-0000AD1E0000}"/>
    <cellStyle name="Normal 32 2 4 3 3 3" xfId="8154" xr:uid="{00000000-0005-0000-0000-0000AE1E0000}"/>
    <cellStyle name="Normal 32 2 4 3 3 4" xfId="11366" xr:uid="{00000000-0005-0000-0000-0000AF1E0000}"/>
    <cellStyle name="Normal 32 2 4 3 3 5" xfId="12973" xr:uid="{00000000-0005-0000-0000-0000B01E0000}"/>
    <cellStyle name="Normal 32 2 4 3 4" xfId="3012" xr:uid="{00000000-0005-0000-0000-0000B11E0000}"/>
    <cellStyle name="Normal 32 2 4 3 4 2" xfId="9757" xr:uid="{00000000-0005-0000-0000-0000B21E0000}"/>
    <cellStyle name="Normal 32 2 4 3 4 3" xfId="8155" xr:uid="{00000000-0005-0000-0000-0000B31E0000}"/>
    <cellStyle name="Normal 32 2 4 3 4 4" xfId="11367" xr:uid="{00000000-0005-0000-0000-0000B41E0000}"/>
    <cellStyle name="Normal 32 2 4 3 4 5" xfId="12974" xr:uid="{00000000-0005-0000-0000-0000B51E0000}"/>
    <cellStyle name="Normal 32 2 4 3 5" xfId="9754" xr:uid="{00000000-0005-0000-0000-0000B61E0000}"/>
    <cellStyle name="Normal 32 2 4 3 6" xfId="8152" xr:uid="{00000000-0005-0000-0000-0000B71E0000}"/>
    <cellStyle name="Normal 32 2 4 3 7" xfId="11364" xr:uid="{00000000-0005-0000-0000-0000B81E0000}"/>
    <cellStyle name="Normal 32 2 4 3 8" xfId="12971" xr:uid="{00000000-0005-0000-0000-0000B91E0000}"/>
    <cellStyle name="Normal 32 2 4 4" xfId="3013" xr:uid="{00000000-0005-0000-0000-0000BA1E0000}"/>
    <cellStyle name="Normal 32 2 4 4 2" xfId="3014" xr:uid="{00000000-0005-0000-0000-0000BB1E0000}"/>
    <cellStyle name="Normal 32 2 4 4 2 2" xfId="9759" xr:uid="{00000000-0005-0000-0000-0000BC1E0000}"/>
    <cellStyle name="Normal 32 2 4 4 2 3" xfId="8157" xr:uid="{00000000-0005-0000-0000-0000BD1E0000}"/>
    <cellStyle name="Normal 32 2 4 4 2 4" xfId="11369" xr:uid="{00000000-0005-0000-0000-0000BE1E0000}"/>
    <cellStyle name="Normal 32 2 4 4 2 5" xfId="12976" xr:uid="{00000000-0005-0000-0000-0000BF1E0000}"/>
    <cellStyle name="Normal 32 2 4 4 3" xfId="3015" xr:uid="{00000000-0005-0000-0000-0000C01E0000}"/>
    <cellStyle name="Normal 32 2 4 4 3 2" xfId="9760" xr:uid="{00000000-0005-0000-0000-0000C11E0000}"/>
    <cellStyle name="Normal 32 2 4 4 3 3" xfId="8158" xr:uid="{00000000-0005-0000-0000-0000C21E0000}"/>
    <cellStyle name="Normal 32 2 4 4 3 4" xfId="11370" xr:uid="{00000000-0005-0000-0000-0000C31E0000}"/>
    <cellStyle name="Normal 32 2 4 4 3 5" xfId="12977" xr:uid="{00000000-0005-0000-0000-0000C41E0000}"/>
    <cellStyle name="Normal 32 2 4 4 4" xfId="3016" xr:uid="{00000000-0005-0000-0000-0000C51E0000}"/>
    <cellStyle name="Normal 32 2 4 4 4 2" xfId="9761" xr:uid="{00000000-0005-0000-0000-0000C61E0000}"/>
    <cellStyle name="Normal 32 2 4 4 4 3" xfId="8159" xr:uid="{00000000-0005-0000-0000-0000C71E0000}"/>
    <cellStyle name="Normal 32 2 4 4 4 4" xfId="11371" xr:uid="{00000000-0005-0000-0000-0000C81E0000}"/>
    <cellStyle name="Normal 32 2 4 4 4 5" xfId="12978" xr:uid="{00000000-0005-0000-0000-0000C91E0000}"/>
    <cellStyle name="Normal 32 2 4 4 5" xfId="9758" xr:uid="{00000000-0005-0000-0000-0000CA1E0000}"/>
    <cellStyle name="Normal 32 2 4 4 6" xfId="8156" xr:uid="{00000000-0005-0000-0000-0000CB1E0000}"/>
    <cellStyle name="Normal 32 2 4 4 7" xfId="11368" xr:uid="{00000000-0005-0000-0000-0000CC1E0000}"/>
    <cellStyle name="Normal 32 2 4 4 8" xfId="12975" xr:uid="{00000000-0005-0000-0000-0000CD1E0000}"/>
    <cellStyle name="Normal 32 2 4 5" xfId="3017" xr:uid="{00000000-0005-0000-0000-0000CE1E0000}"/>
    <cellStyle name="Normal 32 2 4 5 2" xfId="9762" xr:uid="{00000000-0005-0000-0000-0000CF1E0000}"/>
    <cellStyle name="Normal 32 2 4 5 3" xfId="8160" xr:uid="{00000000-0005-0000-0000-0000D01E0000}"/>
    <cellStyle name="Normal 32 2 4 5 4" xfId="11372" xr:uid="{00000000-0005-0000-0000-0000D11E0000}"/>
    <cellStyle name="Normal 32 2 4 5 5" xfId="12979" xr:uid="{00000000-0005-0000-0000-0000D21E0000}"/>
    <cellStyle name="Normal 32 2 4 6" xfId="3018" xr:uid="{00000000-0005-0000-0000-0000D31E0000}"/>
    <cellStyle name="Normal 32 2 4 6 2" xfId="9763" xr:uid="{00000000-0005-0000-0000-0000D41E0000}"/>
    <cellStyle name="Normal 32 2 4 6 3" xfId="8161" xr:uid="{00000000-0005-0000-0000-0000D51E0000}"/>
    <cellStyle name="Normal 32 2 4 6 4" xfId="11373" xr:uid="{00000000-0005-0000-0000-0000D61E0000}"/>
    <cellStyle name="Normal 32 2 4 6 5" xfId="12980" xr:uid="{00000000-0005-0000-0000-0000D71E0000}"/>
    <cellStyle name="Normal 32 2 4 7" xfId="3019" xr:uid="{00000000-0005-0000-0000-0000D81E0000}"/>
    <cellStyle name="Normal 32 2 4 7 2" xfId="9764" xr:uid="{00000000-0005-0000-0000-0000D91E0000}"/>
    <cellStyle name="Normal 32 2 4 7 3" xfId="8162" xr:uid="{00000000-0005-0000-0000-0000DA1E0000}"/>
    <cellStyle name="Normal 32 2 4 7 4" xfId="11374" xr:uid="{00000000-0005-0000-0000-0000DB1E0000}"/>
    <cellStyle name="Normal 32 2 4 7 5" xfId="12981" xr:uid="{00000000-0005-0000-0000-0000DC1E0000}"/>
    <cellStyle name="Normal 32 2 5" xfId="3020" xr:uid="{00000000-0005-0000-0000-0000DD1E0000}"/>
    <cellStyle name="Normal 32 2 6" xfId="3021" xr:uid="{00000000-0005-0000-0000-0000DE1E0000}"/>
    <cellStyle name="Normal 32 2 7" xfId="3022" xr:uid="{00000000-0005-0000-0000-0000DF1E0000}"/>
    <cellStyle name="Normal 32 2 7 2" xfId="9765" xr:uid="{00000000-0005-0000-0000-0000E01E0000}"/>
    <cellStyle name="Normal 32 2 7 3" xfId="8163" xr:uid="{00000000-0005-0000-0000-0000E11E0000}"/>
    <cellStyle name="Normal 32 2 7 4" xfId="11375" xr:uid="{00000000-0005-0000-0000-0000E21E0000}"/>
    <cellStyle name="Normal 32 2 7 5" xfId="12982" xr:uid="{00000000-0005-0000-0000-0000E31E0000}"/>
    <cellStyle name="Normal 32 2 8" xfId="3023" xr:uid="{00000000-0005-0000-0000-0000E41E0000}"/>
    <cellStyle name="Normal 32 2 8 2" xfId="9766" xr:uid="{00000000-0005-0000-0000-0000E51E0000}"/>
    <cellStyle name="Normal 32 2 8 3" xfId="8164" xr:uid="{00000000-0005-0000-0000-0000E61E0000}"/>
    <cellStyle name="Normal 32 2 8 4" xfId="11376" xr:uid="{00000000-0005-0000-0000-0000E71E0000}"/>
    <cellStyle name="Normal 32 2 8 5" xfId="12983" xr:uid="{00000000-0005-0000-0000-0000E81E0000}"/>
    <cellStyle name="Normal 32 2 9" xfId="3024" xr:uid="{00000000-0005-0000-0000-0000E91E0000}"/>
    <cellStyle name="Normal 32 2 9 2" xfId="9767" xr:uid="{00000000-0005-0000-0000-0000EA1E0000}"/>
    <cellStyle name="Normal 32 2 9 3" xfId="8165" xr:uid="{00000000-0005-0000-0000-0000EB1E0000}"/>
    <cellStyle name="Normal 32 2 9 4" xfId="11377" xr:uid="{00000000-0005-0000-0000-0000EC1E0000}"/>
    <cellStyle name="Normal 32 2 9 5" xfId="12984" xr:uid="{00000000-0005-0000-0000-0000ED1E0000}"/>
    <cellStyle name="Normal 32 3" xfId="3025" xr:uid="{00000000-0005-0000-0000-0000EE1E0000}"/>
    <cellStyle name="Normal 32 3 2" xfId="3026" xr:uid="{00000000-0005-0000-0000-0000EF1E0000}"/>
    <cellStyle name="Normal 32 3 2 2" xfId="9769" xr:uid="{00000000-0005-0000-0000-0000F01E0000}"/>
    <cellStyle name="Normal 32 3 2 3" xfId="8167" xr:uid="{00000000-0005-0000-0000-0000F11E0000}"/>
    <cellStyle name="Normal 32 3 2 4" xfId="11379" xr:uid="{00000000-0005-0000-0000-0000F21E0000}"/>
    <cellStyle name="Normal 32 3 2 5" xfId="12986" xr:uid="{00000000-0005-0000-0000-0000F31E0000}"/>
    <cellStyle name="Normal 32 3 3" xfId="3027" xr:uid="{00000000-0005-0000-0000-0000F41E0000}"/>
    <cellStyle name="Normal 32 3 3 2" xfId="9770" xr:uid="{00000000-0005-0000-0000-0000F51E0000}"/>
    <cellStyle name="Normal 32 3 3 3" xfId="8168" xr:uid="{00000000-0005-0000-0000-0000F61E0000}"/>
    <cellStyle name="Normal 32 3 3 4" xfId="11380" xr:uid="{00000000-0005-0000-0000-0000F71E0000}"/>
    <cellStyle name="Normal 32 3 3 5" xfId="12987" xr:uid="{00000000-0005-0000-0000-0000F81E0000}"/>
    <cellStyle name="Normal 32 3 4" xfId="3028" xr:uid="{00000000-0005-0000-0000-0000F91E0000}"/>
    <cellStyle name="Normal 32 3 4 2" xfId="9771" xr:uid="{00000000-0005-0000-0000-0000FA1E0000}"/>
    <cellStyle name="Normal 32 3 4 3" xfId="8169" xr:uid="{00000000-0005-0000-0000-0000FB1E0000}"/>
    <cellStyle name="Normal 32 3 4 4" xfId="11381" xr:uid="{00000000-0005-0000-0000-0000FC1E0000}"/>
    <cellStyle name="Normal 32 3 4 5" xfId="12988" xr:uid="{00000000-0005-0000-0000-0000FD1E0000}"/>
    <cellStyle name="Normal 32 3 5" xfId="9768" xr:uid="{00000000-0005-0000-0000-0000FE1E0000}"/>
    <cellStyle name="Normal 32 3 6" xfId="8166" xr:uid="{00000000-0005-0000-0000-0000FF1E0000}"/>
    <cellStyle name="Normal 32 3 7" xfId="11378" xr:uid="{00000000-0005-0000-0000-0000001F0000}"/>
    <cellStyle name="Normal 32 3 8" xfId="12985" xr:uid="{00000000-0005-0000-0000-0000011F0000}"/>
    <cellStyle name="Normal 32 4" xfId="3029" xr:uid="{00000000-0005-0000-0000-0000021F0000}"/>
    <cellStyle name="Normal 33" xfId="3030" xr:uid="{00000000-0005-0000-0000-0000031F0000}"/>
    <cellStyle name="Normal 33 2" xfId="3031" xr:uid="{00000000-0005-0000-0000-0000041F0000}"/>
    <cellStyle name="Normal 33 2 2" xfId="3032" xr:uid="{00000000-0005-0000-0000-0000051F0000}"/>
    <cellStyle name="Normal 33 2 2 2" xfId="9773" xr:uid="{00000000-0005-0000-0000-0000061F0000}"/>
    <cellStyle name="Normal 33 2 2 3" xfId="8171" xr:uid="{00000000-0005-0000-0000-0000071F0000}"/>
    <cellStyle name="Normal 33 2 2 4" xfId="11383" xr:uid="{00000000-0005-0000-0000-0000081F0000}"/>
    <cellStyle name="Normal 33 2 2 5" xfId="12990" xr:uid="{00000000-0005-0000-0000-0000091F0000}"/>
    <cellStyle name="Normal 33 2 3" xfId="3033" xr:uid="{00000000-0005-0000-0000-00000A1F0000}"/>
    <cellStyle name="Normal 33 2 3 2" xfId="9774" xr:uid="{00000000-0005-0000-0000-00000B1F0000}"/>
    <cellStyle name="Normal 33 2 3 3" xfId="8172" xr:uid="{00000000-0005-0000-0000-00000C1F0000}"/>
    <cellStyle name="Normal 33 2 3 4" xfId="11384" xr:uid="{00000000-0005-0000-0000-00000D1F0000}"/>
    <cellStyle name="Normal 33 2 3 5" xfId="12991" xr:uid="{00000000-0005-0000-0000-00000E1F0000}"/>
    <cellStyle name="Normal 33 2 4" xfId="3034" xr:uid="{00000000-0005-0000-0000-00000F1F0000}"/>
    <cellStyle name="Normal 33 2 4 2" xfId="9775" xr:uid="{00000000-0005-0000-0000-0000101F0000}"/>
    <cellStyle name="Normal 33 2 4 3" xfId="8173" xr:uid="{00000000-0005-0000-0000-0000111F0000}"/>
    <cellStyle name="Normal 33 2 4 4" xfId="11385" xr:uid="{00000000-0005-0000-0000-0000121F0000}"/>
    <cellStyle name="Normal 33 2 4 5" xfId="12992" xr:uid="{00000000-0005-0000-0000-0000131F0000}"/>
    <cellStyle name="Normal 33 2 5" xfId="9772" xr:uid="{00000000-0005-0000-0000-0000141F0000}"/>
    <cellStyle name="Normal 33 2 6" xfId="8170" xr:uid="{00000000-0005-0000-0000-0000151F0000}"/>
    <cellStyle name="Normal 33 2 7" xfId="11382" xr:uid="{00000000-0005-0000-0000-0000161F0000}"/>
    <cellStyle name="Normal 33 2 8" xfId="12989" xr:uid="{00000000-0005-0000-0000-0000171F0000}"/>
    <cellStyle name="Normal 33 3" xfId="3035" xr:uid="{00000000-0005-0000-0000-0000181F0000}"/>
    <cellStyle name="Normal 34" xfId="3036" xr:uid="{00000000-0005-0000-0000-0000191F0000}"/>
    <cellStyle name="Normal 34 2" xfId="3037" xr:uid="{00000000-0005-0000-0000-00001A1F0000}"/>
    <cellStyle name="Normal 34 2 2" xfId="3038" xr:uid="{00000000-0005-0000-0000-00001B1F0000}"/>
    <cellStyle name="Normal 34 2 2 2" xfId="9777" xr:uid="{00000000-0005-0000-0000-00001C1F0000}"/>
    <cellStyle name="Normal 34 2 2 3" xfId="8175" xr:uid="{00000000-0005-0000-0000-00001D1F0000}"/>
    <cellStyle name="Normal 34 2 2 4" xfId="11387" xr:uid="{00000000-0005-0000-0000-00001E1F0000}"/>
    <cellStyle name="Normal 34 2 2 5" xfId="12994" xr:uid="{00000000-0005-0000-0000-00001F1F0000}"/>
    <cellStyle name="Normal 34 2 3" xfId="3039" xr:uid="{00000000-0005-0000-0000-0000201F0000}"/>
    <cellStyle name="Normal 34 2 3 2" xfId="9778" xr:uid="{00000000-0005-0000-0000-0000211F0000}"/>
    <cellStyle name="Normal 34 2 3 3" xfId="8176" xr:uid="{00000000-0005-0000-0000-0000221F0000}"/>
    <cellStyle name="Normal 34 2 3 4" xfId="11388" xr:uid="{00000000-0005-0000-0000-0000231F0000}"/>
    <cellStyle name="Normal 34 2 3 5" xfId="12995" xr:uid="{00000000-0005-0000-0000-0000241F0000}"/>
    <cellStyle name="Normal 34 2 4" xfId="3040" xr:uid="{00000000-0005-0000-0000-0000251F0000}"/>
    <cellStyle name="Normal 34 2 4 2" xfId="9779" xr:uid="{00000000-0005-0000-0000-0000261F0000}"/>
    <cellStyle name="Normal 34 2 4 3" xfId="8177" xr:uid="{00000000-0005-0000-0000-0000271F0000}"/>
    <cellStyle name="Normal 34 2 4 4" xfId="11389" xr:uid="{00000000-0005-0000-0000-0000281F0000}"/>
    <cellStyle name="Normal 34 2 4 5" xfId="12996" xr:uid="{00000000-0005-0000-0000-0000291F0000}"/>
    <cellStyle name="Normal 34 2 5" xfId="9776" xr:uid="{00000000-0005-0000-0000-00002A1F0000}"/>
    <cellStyle name="Normal 34 2 6" xfId="8174" xr:uid="{00000000-0005-0000-0000-00002B1F0000}"/>
    <cellStyle name="Normal 34 2 7" xfId="11386" xr:uid="{00000000-0005-0000-0000-00002C1F0000}"/>
    <cellStyle name="Normal 34 2 8" xfId="12993" xr:uid="{00000000-0005-0000-0000-00002D1F0000}"/>
    <cellStyle name="Normal 34 3" xfId="3041" xr:uid="{00000000-0005-0000-0000-00002E1F0000}"/>
    <cellStyle name="Normal 35" xfId="3042" xr:uid="{00000000-0005-0000-0000-00002F1F0000}"/>
    <cellStyle name="Normal 35 2" xfId="3043" xr:uid="{00000000-0005-0000-0000-0000301F0000}"/>
    <cellStyle name="Normal 35 2 10" xfId="12997" xr:uid="{00000000-0005-0000-0000-0000311F0000}"/>
    <cellStyle name="Normal 35 2 2" xfId="3044" xr:uid="{00000000-0005-0000-0000-0000321F0000}"/>
    <cellStyle name="Normal 35 2 2 2" xfId="3045" xr:uid="{00000000-0005-0000-0000-0000331F0000}"/>
    <cellStyle name="Normal 35 2 2 2 2" xfId="9782" xr:uid="{00000000-0005-0000-0000-0000341F0000}"/>
    <cellStyle name="Normal 35 2 2 2 3" xfId="8180" xr:uid="{00000000-0005-0000-0000-0000351F0000}"/>
    <cellStyle name="Normal 35 2 2 2 4" xfId="11392" xr:uid="{00000000-0005-0000-0000-0000361F0000}"/>
    <cellStyle name="Normal 35 2 2 2 5" xfId="12999" xr:uid="{00000000-0005-0000-0000-0000371F0000}"/>
    <cellStyle name="Normal 35 2 2 3" xfId="3046" xr:uid="{00000000-0005-0000-0000-0000381F0000}"/>
    <cellStyle name="Normal 35 2 2 3 2" xfId="9783" xr:uid="{00000000-0005-0000-0000-0000391F0000}"/>
    <cellStyle name="Normal 35 2 2 3 3" xfId="8181" xr:uid="{00000000-0005-0000-0000-00003A1F0000}"/>
    <cellStyle name="Normal 35 2 2 3 4" xfId="11393" xr:uid="{00000000-0005-0000-0000-00003B1F0000}"/>
    <cellStyle name="Normal 35 2 2 3 5" xfId="13000" xr:uid="{00000000-0005-0000-0000-00003C1F0000}"/>
    <cellStyle name="Normal 35 2 2 4" xfId="3047" xr:uid="{00000000-0005-0000-0000-00003D1F0000}"/>
    <cellStyle name="Normal 35 2 2 4 2" xfId="9784" xr:uid="{00000000-0005-0000-0000-00003E1F0000}"/>
    <cellStyle name="Normal 35 2 2 4 3" xfId="8182" xr:uid="{00000000-0005-0000-0000-00003F1F0000}"/>
    <cellStyle name="Normal 35 2 2 4 4" xfId="11394" xr:uid="{00000000-0005-0000-0000-0000401F0000}"/>
    <cellStyle name="Normal 35 2 2 4 5" xfId="13001" xr:uid="{00000000-0005-0000-0000-0000411F0000}"/>
    <cellStyle name="Normal 35 2 2 5" xfId="9781" xr:uid="{00000000-0005-0000-0000-0000421F0000}"/>
    <cellStyle name="Normal 35 2 2 6" xfId="8179" xr:uid="{00000000-0005-0000-0000-0000431F0000}"/>
    <cellStyle name="Normal 35 2 2 7" xfId="11391" xr:uid="{00000000-0005-0000-0000-0000441F0000}"/>
    <cellStyle name="Normal 35 2 2 8" xfId="12998" xr:uid="{00000000-0005-0000-0000-0000451F0000}"/>
    <cellStyle name="Normal 35 2 3" xfId="3048" xr:uid="{00000000-0005-0000-0000-0000461F0000}"/>
    <cellStyle name="Normal 35 2 3 2" xfId="3049" xr:uid="{00000000-0005-0000-0000-0000471F0000}"/>
    <cellStyle name="Normal 35 2 3 2 2" xfId="9786" xr:uid="{00000000-0005-0000-0000-0000481F0000}"/>
    <cellStyle name="Normal 35 2 3 2 3" xfId="8184" xr:uid="{00000000-0005-0000-0000-0000491F0000}"/>
    <cellStyle name="Normal 35 2 3 2 4" xfId="11396" xr:uid="{00000000-0005-0000-0000-00004A1F0000}"/>
    <cellStyle name="Normal 35 2 3 2 5" xfId="13003" xr:uid="{00000000-0005-0000-0000-00004B1F0000}"/>
    <cellStyle name="Normal 35 2 3 3" xfId="3050" xr:uid="{00000000-0005-0000-0000-00004C1F0000}"/>
    <cellStyle name="Normal 35 2 3 3 2" xfId="9787" xr:uid="{00000000-0005-0000-0000-00004D1F0000}"/>
    <cellStyle name="Normal 35 2 3 3 3" xfId="8185" xr:uid="{00000000-0005-0000-0000-00004E1F0000}"/>
    <cellStyle name="Normal 35 2 3 3 4" xfId="11397" xr:uid="{00000000-0005-0000-0000-00004F1F0000}"/>
    <cellStyle name="Normal 35 2 3 3 5" xfId="13004" xr:uid="{00000000-0005-0000-0000-0000501F0000}"/>
    <cellStyle name="Normal 35 2 3 4" xfId="3051" xr:uid="{00000000-0005-0000-0000-0000511F0000}"/>
    <cellStyle name="Normal 35 2 3 4 2" xfId="9788" xr:uid="{00000000-0005-0000-0000-0000521F0000}"/>
    <cellStyle name="Normal 35 2 3 4 3" xfId="8186" xr:uid="{00000000-0005-0000-0000-0000531F0000}"/>
    <cellStyle name="Normal 35 2 3 4 4" xfId="11398" xr:uid="{00000000-0005-0000-0000-0000541F0000}"/>
    <cellStyle name="Normal 35 2 3 4 5" xfId="13005" xr:uid="{00000000-0005-0000-0000-0000551F0000}"/>
    <cellStyle name="Normal 35 2 3 5" xfId="9785" xr:uid="{00000000-0005-0000-0000-0000561F0000}"/>
    <cellStyle name="Normal 35 2 3 6" xfId="8183" xr:uid="{00000000-0005-0000-0000-0000571F0000}"/>
    <cellStyle name="Normal 35 2 3 7" xfId="11395" xr:uid="{00000000-0005-0000-0000-0000581F0000}"/>
    <cellStyle name="Normal 35 2 3 8" xfId="13002" xr:uid="{00000000-0005-0000-0000-0000591F0000}"/>
    <cellStyle name="Normal 35 2 4" xfId="3052" xr:uid="{00000000-0005-0000-0000-00005A1F0000}"/>
    <cellStyle name="Normal 35 2 4 2" xfId="9789" xr:uid="{00000000-0005-0000-0000-00005B1F0000}"/>
    <cellStyle name="Normal 35 2 4 3" xfId="8187" xr:uid="{00000000-0005-0000-0000-00005C1F0000}"/>
    <cellStyle name="Normal 35 2 4 4" xfId="11399" xr:uid="{00000000-0005-0000-0000-00005D1F0000}"/>
    <cellStyle name="Normal 35 2 4 5" xfId="13006" xr:uid="{00000000-0005-0000-0000-00005E1F0000}"/>
    <cellStyle name="Normal 35 2 5" xfId="3053" xr:uid="{00000000-0005-0000-0000-00005F1F0000}"/>
    <cellStyle name="Normal 35 2 5 2" xfId="9790" xr:uid="{00000000-0005-0000-0000-0000601F0000}"/>
    <cellStyle name="Normal 35 2 5 3" xfId="8188" xr:uid="{00000000-0005-0000-0000-0000611F0000}"/>
    <cellStyle name="Normal 35 2 5 4" xfId="11400" xr:uid="{00000000-0005-0000-0000-0000621F0000}"/>
    <cellStyle name="Normal 35 2 5 5" xfId="13007" xr:uid="{00000000-0005-0000-0000-0000631F0000}"/>
    <cellStyle name="Normal 35 2 6" xfId="3054" xr:uid="{00000000-0005-0000-0000-0000641F0000}"/>
    <cellStyle name="Normal 35 2 6 2" xfId="9791" xr:uid="{00000000-0005-0000-0000-0000651F0000}"/>
    <cellStyle name="Normal 35 2 6 3" xfId="8189" xr:uid="{00000000-0005-0000-0000-0000661F0000}"/>
    <cellStyle name="Normal 35 2 6 4" xfId="11401" xr:uid="{00000000-0005-0000-0000-0000671F0000}"/>
    <cellStyle name="Normal 35 2 6 5" xfId="13008" xr:uid="{00000000-0005-0000-0000-0000681F0000}"/>
    <cellStyle name="Normal 35 2 7" xfId="9780" xr:uid="{00000000-0005-0000-0000-0000691F0000}"/>
    <cellStyle name="Normal 35 2 8" xfId="8178" xr:uid="{00000000-0005-0000-0000-00006A1F0000}"/>
    <cellStyle name="Normal 35 2 9" xfId="11390" xr:uid="{00000000-0005-0000-0000-00006B1F0000}"/>
    <cellStyle name="Normal 35 3" xfId="3055" xr:uid="{00000000-0005-0000-0000-00006C1F0000}"/>
    <cellStyle name="Normal 35 3 2" xfId="3056" xr:uid="{00000000-0005-0000-0000-00006D1F0000}"/>
    <cellStyle name="Normal 35 3 2 2" xfId="9793" xr:uid="{00000000-0005-0000-0000-00006E1F0000}"/>
    <cellStyle name="Normal 35 3 2 3" xfId="8191" xr:uid="{00000000-0005-0000-0000-00006F1F0000}"/>
    <cellStyle name="Normal 35 3 2 4" xfId="11403" xr:uid="{00000000-0005-0000-0000-0000701F0000}"/>
    <cellStyle name="Normal 35 3 2 5" xfId="13010" xr:uid="{00000000-0005-0000-0000-0000711F0000}"/>
    <cellStyle name="Normal 35 3 3" xfId="3057" xr:uid="{00000000-0005-0000-0000-0000721F0000}"/>
    <cellStyle name="Normal 35 3 3 2" xfId="9794" xr:uid="{00000000-0005-0000-0000-0000731F0000}"/>
    <cellStyle name="Normal 35 3 3 3" xfId="8192" xr:uid="{00000000-0005-0000-0000-0000741F0000}"/>
    <cellStyle name="Normal 35 3 3 4" xfId="11404" xr:uid="{00000000-0005-0000-0000-0000751F0000}"/>
    <cellStyle name="Normal 35 3 3 5" xfId="13011" xr:uid="{00000000-0005-0000-0000-0000761F0000}"/>
    <cellStyle name="Normal 35 3 4" xfId="3058" xr:uid="{00000000-0005-0000-0000-0000771F0000}"/>
    <cellStyle name="Normal 35 3 4 2" xfId="9795" xr:uid="{00000000-0005-0000-0000-0000781F0000}"/>
    <cellStyle name="Normal 35 3 4 3" xfId="8193" xr:uid="{00000000-0005-0000-0000-0000791F0000}"/>
    <cellStyle name="Normal 35 3 4 4" xfId="11405" xr:uid="{00000000-0005-0000-0000-00007A1F0000}"/>
    <cellStyle name="Normal 35 3 4 5" xfId="13012" xr:uid="{00000000-0005-0000-0000-00007B1F0000}"/>
    <cellStyle name="Normal 35 3 5" xfId="9792" xr:uid="{00000000-0005-0000-0000-00007C1F0000}"/>
    <cellStyle name="Normal 35 3 6" xfId="8190" xr:uid="{00000000-0005-0000-0000-00007D1F0000}"/>
    <cellStyle name="Normal 35 3 7" xfId="11402" xr:uid="{00000000-0005-0000-0000-00007E1F0000}"/>
    <cellStyle name="Normal 35 3 8" xfId="13009" xr:uid="{00000000-0005-0000-0000-00007F1F0000}"/>
    <cellStyle name="Normal 35 4" xfId="3059" xr:uid="{00000000-0005-0000-0000-0000801F0000}"/>
    <cellStyle name="Normal 36" xfId="3060" xr:uid="{00000000-0005-0000-0000-0000811F0000}"/>
    <cellStyle name="Normal 36 2" xfId="3061" xr:uid="{00000000-0005-0000-0000-0000821F0000}"/>
    <cellStyle name="Normal 36 2 10" xfId="13013" xr:uid="{00000000-0005-0000-0000-0000831F0000}"/>
    <cellStyle name="Normal 36 2 2" xfId="3062" xr:uid="{00000000-0005-0000-0000-0000841F0000}"/>
    <cellStyle name="Normal 36 2 2 2" xfId="3063" xr:uid="{00000000-0005-0000-0000-0000851F0000}"/>
    <cellStyle name="Normal 36 2 2 2 2" xfId="9798" xr:uid="{00000000-0005-0000-0000-0000861F0000}"/>
    <cellStyle name="Normal 36 2 2 2 3" xfId="8196" xr:uid="{00000000-0005-0000-0000-0000871F0000}"/>
    <cellStyle name="Normal 36 2 2 2 4" xfId="11408" xr:uid="{00000000-0005-0000-0000-0000881F0000}"/>
    <cellStyle name="Normal 36 2 2 2 5" xfId="13015" xr:uid="{00000000-0005-0000-0000-0000891F0000}"/>
    <cellStyle name="Normal 36 2 2 3" xfId="3064" xr:uid="{00000000-0005-0000-0000-00008A1F0000}"/>
    <cellStyle name="Normal 36 2 2 3 2" xfId="9799" xr:uid="{00000000-0005-0000-0000-00008B1F0000}"/>
    <cellStyle name="Normal 36 2 2 3 3" xfId="8197" xr:uid="{00000000-0005-0000-0000-00008C1F0000}"/>
    <cellStyle name="Normal 36 2 2 3 4" xfId="11409" xr:uid="{00000000-0005-0000-0000-00008D1F0000}"/>
    <cellStyle name="Normal 36 2 2 3 5" xfId="13016" xr:uid="{00000000-0005-0000-0000-00008E1F0000}"/>
    <cellStyle name="Normal 36 2 2 4" xfId="3065" xr:uid="{00000000-0005-0000-0000-00008F1F0000}"/>
    <cellStyle name="Normal 36 2 2 4 2" xfId="9800" xr:uid="{00000000-0005-0000-0000-0000901F0000}"/>
    <cellStyle name="Normal 36 2 2 4 3" xfId="8198" xr:uid="{00000000-0005-0000-0000-0000911F0000}"/>
    <cellStyle name="Normal 36 2 2 4 4" xfId="11410" xr:uid="{00000000-0005-0000-0000-0000921F0000}"/>
    <cellStyle name="Normal 36 2 2 4 5" xfId="13017" xr:uid="{00000000-0005-0000-0000-0000931F0000}"/>
    <cellStyle name="Normal 36 2 2 5" xfId="9797" xr:uid="{00000000-0005-0000-0000-0000941F0000}"/>
    <cellStyle name="Normal 36 2 2 6" xfId="8195" xr:uid="{00000000-0005-0000-0000-0000951F0000}"/>
    <cellStyle name="Normal 36 2 2 7" xfId="11407" xr:uid="{00000000-0005-0000-0000-0000961F0000}"/>
    <cellStyle name="Normal 36 2 2 8" xfId="13014" xr:uid="{00000000-0005-0000-0000-0000971F0000}"/>
    <cellStyle name="Normal 36 2 3" xfId="3066" xr:uid="{00000000-0005-0000-0000-0000981F0000}"/>
    <cellStyle name="Normal 36 2 3 2" xfId="3067" xr:uid="{00000000-0005-0000-0000-0000991F0000}"/>
    <cellStyle name="Normal 36 2 3 2 2" xfId="9802" xr:uid="{00000000-0005-0000-0000-00009A1F0000}"/>
    <cellStyle name="Normal 36 2 3 2 3" xfId="8200" xr:uid="{00000000-0005-0000-0000-00009B1F0000}"/>
    <cellStyle name="Normal 36 2 3 2 4" xfId="11412" xr:uid="{00000000-0005-0000-0000-00009C1F0000}"/>
    <cellStyle name="Normal 36 2 3 2 5" xfId="13019" xr:uid="{00000000-0005-0000-0000-00009D1F0000}"/>
    <cellStyle name="Normal 36 2 3 3" xfId="3068" xr:uid="{00000000-0005-0000-0000-00009E1F0000}"/>
    <cellStyle name="Normal 36 2 3 3 2" xfId="9803" xr:uid="{00000000-0005-0000-0000-00009F1F0000}"/>
    <cellStyle name="Normal 36 2 3 3 3" xfId="8201" xr:uid="{00000000-0005-0000-0000-0000A01F0000}"/>
    <cellStyle name="Normal 36 2 3 3 4" xfId="11413" xr:uid="{00000000-0005-0000-0000-0000A11F0000}"/>
    <cellStyle name="Normal 36 2 3 3 5" xfId="13020" xr:uid="{00000000-0005-0000-0000-0000A21F0000}"/>
    <cellStyle name="Normal 36 2 3 4" xfId="3069" xr:uid="{00000000-0005-0000-0000-0000A31F0000}"/>
    <cellStyle name="Normal 36 2 3 4 2" xfId="9804" xr:uid="{00000000-0005-0000-0000-0000A41F0000}"/>
    <cellStyle name="Normal 36 2 3 4 3" xfId="8202" xr:uid="{00000000-0005-0000-0000-0000A51F0000}"/>
    <cellStyle name="Normal 36 2 3 4 4" xfId="11414" xr:uid="{00000000-0005-0000-0000-0000A61F0000}"/>
    <cellStyle name="Normal 36 2 3 4 5" xfId="13021" xr:uid="{00000000-0005-0000-0000-0000A71F0000}"/>
    <cellStyle name="Normal 36 2 3 5" xfId="9801" xr:uid="{00000000-0005-0000-0000-0000A81F0000}"/>
    <cellStyle name="Normal 36 2 3 6" xfId="8199" xr:uid="{00000000-0005-0000-0000-0000A91F0000}"/>
    <cellStyle name="Normal 36 2 3 7" xfId="11411" xr:uid="{00000000-0005-0000-0000-0000AA1F0000}"/>
    <cellStyle name="Normal 36 2 3 8" xfId="13018" xr:uid="{00000000-0005-0000-0000-0000AB1F0000}"/>
    <cellStyle name="Normal 36 2 4" xfId="3070" xr:uid="{00000000-0005-0000-0000-0000AC1F0000}"/>
    <cellStyle name="Normal 36 2 4 2" xfId="9805" xr:uid="{00000000-0005-0000-0000-0000AD1F0000}"/>
    <cellStyle name="Normal 36 2 4 3" xfId="8203" xr:uid="{00000000-0005-0000-0000-0000AE1F0000}"/>
    <cellStyle name="Normal 36 2 4 4" xfId="11415" xr:uid="{00000000-0005-0000-0000-0000AF1F0000}"/>
    <cellStyle name="Normal 36 2 4 5" xfId="13022" xr:uid="{00000000-0005-0000-0000-0000B01F0000}"/>
    <cellStyle name="Normal 36 2 5" xfId="3071" xr:uid="{00000000-0005-0000-0000-0000B11F0000}"/>
    <cellStyle name="Normal 36 2 5 2" xfId="9806" xr:uid="{00000000-0005-0000-0000-0000B21F0000}"/>
    <cellStyle name="Normal 36 2 5 3" xfId="8204" xr:uid="{00000000-0005-0000-0000-0000B31F0000}"/>
    <cellStyle name="Normal 36 2 5 4" xfId="11416" xr:uid="{00000000-0005-0000-0000-0000B41F0000}"/>
    <cellStyle name="Normal 36 2 5 5" xfId="13023" xr:uid="{00000000-0005-0000-0000-0000B51F0000}"/>
    <cellStyle name="Normal 36 2 6" xfId="3072" xr:uid="{00000000-0005-0000-0000-0000B61F0000}"/>
    <cellStyle name="Normal 36 2 6 2" xfId="9807" xr:uid="{00000000-0005-0000-0000-0000B71F0000}"/>
    <cellStyle name="Normal 36 2 6 3" xfId="8205" xr:uid="{00000000-0005-0000-0000-0000B81F0000}"/>
    <cellStyle name="Normal 36 2 6 4" xfId="11417" xr:uid="{00000000-0005-0000-0000-0000B91F0000}"/>
    <cellStyle name="Normal 36 2 6 5" xfId="13024" xr:uid="{00000000-0005-0000-0000-0000BA1F0000}"/>
    <cellStyle name="Normal 36 2 7" xfId="9796" xr:uid="{00000000-0005-0000-0000-0000BB1F0000}"/>
    <cellStyle name="Normal 36 2 8" xfId="8194" xr:uid="{00000000-0005-0000-0000-0000BC1F0000}"/>
    <cellStyle name="Normal 36 2 9" xfId="11406" xr:uid="{00000000-0005-0000-0000-0000BD1F0000}"/>
    <cellStyle name="Normal 36 3" xfId="3073" xr:uid="{00000000-0005-0000-0000-0000BE1F0000}"/>
    <cellStyle name="Normal 36 3 2" xfId="3074" xr:uid="{00000000-0005-0000-0000-0000BF1F0000}"/>
    <cellStyle name="Normal 36 3 2 2" xfId="9809" xr:uid="{00000000-0005-0000-0000-0000C01F0000}"/>
    <cellStyle name="Normal 36 3 2 3" xfId="8207" xr:uid="{00000000-0005-0000-0000-0000C11F0000}"/>
    <cellStyle name="Normal 36 3 2 4" xfId="11419" xr:uid="{00000000-0005-0000-0000-0000C21F0000}"/>
    <cellStyle name="Normal 36 3 2 5" xfId="13026" xr:uid="{00000000-0005-0000-0000-0000C31F0000}"/>
    <cellStyle name="Normal 36 3 3" xfId="3075" xr:uid="{00000000-0005-0000-0000-0000C41F0000}"/>
    <cellStyle name="Normal 36 3 3 2" xfId="9810" xr:uid="{00000000-0005-0000-0000-0000C51F0000}"/>
    <cellStyle name="Normal 36 3 3 3" xfId="8208" xr:uid="{00000000-0005-0000-0000-0000C61F0000}"/>
    <cellStyle name="Normal 36 3 3 4" xfId="11420" xr:uid="{00000000-0005-0000-0000-0000C71F0000}"/>
    <cellStyle name="Normal 36 3 3 5" xfId="13027" xr:uid="{00000000-0005-0000-0000-0000C81F0000}"/>
    <cellStyle name="Normal 36 3 4" xfId="3076" xr:uid="{00000000-0005-0000-0000-0000C91F0000}"/>
    <cellStyle name="Normal 36 3 4 2" xfId="9811" xr:uid="{00000000-0005-0000-0000-0000CA1F0000}"/>
    <cellStyle name="Normal 36 3 4 3" xfId="8209" xr:uid="{00000000-0005-0000-0000-0000CB1F0000}"/>
    <cellStyle name="Normal 36 3 4 4" xfId="11421" xr:uid="{00000000-0005-0000-0000-0000CC1F0000}"/>
    <cellStyle name="Normal 36 3 4 5" xfId="13028" xr:uid="{00000000-0005-0000-0000-0000CD1F0000}"/>
    <cellStyle name="Normal 36 3 5" xfId="9808" xr:uid="{00000000-0005-0000-0000-0000CE1F0000}"/>
    <cellStyle name="Normal 36 3 6" xfId="8206" xr:uid="{00000000-0005-0000-0000-0000CF1F0000}"/>
    <cellStyle name="Normal 36 3 7" xfId="11418" xr:uid="{00000000-0005-0000-0000-0000D01F0000}"/>
    <cellStyle name="Normal 36 3 8" xfId="13025" xr:uid="{00000000-0005-0000-0000-0000D11F0000}"/>
    <cellStyle name="Normal 36 4" xfId="3077" xr:uid="{00000000-0005-0000-0000-0000D21F0000}"/>
    <cellStyle name="Normal 366" xfId="141" xr:uid="{00000000-0005-0000-0000-0000D31F0000}"/>
    <cellStyle name="Normal 366 2" xfId="144" xr:uid="{00000000-0005-0000-0000-0000D41F0000}"/>
    <cellStyle name="Normal 366 2 2" xfId="10467" xr:uid="{00000000-0005-0000-0000-0000D51F0000}"/>
    <cellStyle name="Normal 366 2 3" xfId="10625" xr:uid="{00000000-0005-0000-0000-0000D61F0000}"/>
    <cellStyle name="Normal 366 3" xfId="10464" xr:uid="{00000000-0005-0000-0000-0000D71F0000}"/>
    <cellStyle name="Normal 366 4" xfId="10622" xr:uid="{00000000-0005-0000-0000-0000D81F0000}"/>
    <cellStyle name="Normal 367" xfId="140" xr:uid="{00000000-0005-0000-0000-0000D91F0000}"/>
    <cellStyle name="Normal 367 2" xfId="143" xr:uid="{00000000-0005-0000-0000-0000DA1F0000}"/>
    <cellStyle name="Normal 367 2 2" xfId="10466" xr:uid="{00000000-0005-0000-0000-0000DB1F0000}"/>
    <cellStyle name="Normal 367 2 3" xfId="10624" xr:uid="{00000000-0005-0000-0000-0000DC1F0000}"/>
    <cellStyle name="Normal 367 3" xfId="10463" xr:uid="{00000000-0005-0000-0000-0000DD1F0000}"/>
    <cellStyle name="Normal 367 4" xfId="10621" xr:uid="{00000000-0005-0000-0000-0000DE1F0000}"/>
    <cellStyle name="Normal 37" xfId="3078" xr:uid="{00000000-0005-0000-0000-0000DF1F0000}"/>
    <cellStyle name="Normal 37 2" xfId="3079" xr:uid="{00000000-0005-0000-0000-0000E01F0000}"/>
    <cellStyle name="Normal 37 2 10" xfId="13029" xr:uid="{00000000-0005-0000-0000-0000E11F0000}"/>
    <cellStyle name="Normal 37 2 2" xfId="3080" xr:uid="{00000000-0005-0000-0000-0000E21F0000}"/>
    <cellStyle name="Normal 37 2 2 2" xfId="3081" xr:uid="{00000000-0005-0000-0000-0000E31F0000}"/>
    <cellStyle name="Normal 37 2 2 2 2" xfId="9814" xr:uid="{00000000-0005-0000-0000-0000E41F0000}"/>
    <cellStyle name="Normal 37 2 2 2 3" xfId="8212" xr:uid="{00000000-0005-0000-0000-0000E51F0000}"/>
    <cellStyle name="Normal 37 2 2 2 4" xfId="11424" xr:uid="{00000000-0005-0000-0000-0000E61F0000}"/>
    <cellStyle name="Normal 37 2 2 2 5" xfId="13031" xr:uid="{00000000-0005-0000-0000-0000E71F0000}"/>
    <cellStyle name="Normal 37 2 2 3" xfId="3082" xr:uid="{00000000-0005-0000-0000-0000E81F0000}"/>
    <cellStyle name="Normal 37 2 2 3 2" xfId="9815" xr:uid="{00000000-0005-0000-0000-0000E91F0000}"/>
    <cellStyle name="Normal 37 2 2 3 3" xfId="8213" xr:uid="{00000000-0005-0000-0000-0000EA1F0000}"/>
    <cellStyle name="Normal 37 2 2 3 4" xfId="11425" xr:uid="{00000000-0005-0000-0000-0000EB1F0000}"/>
    <cellStyle name="Normal 37 2 2 3 5" xfId="13032" xr:uid="{00000000-0005-0000-0000-0000EC1F0000}"/>
    <cellStyle name="Normal 37 2 2 4" xfId="3083" xr:uid="{00000000-0005-0000-0000-0000ED1F0000}"/>
    <cellStyle name="Normal 37 2 2 4 2" xfId="9816" xr:uid="{00000000-0005-0000-0000-0000EE1F0000}"/>
    <cellStyle name="Normal 37 2 2 4 3" xfId="8214" xr:uid="{00000000-0005-0000-0000-0000EF1F0000}"/>
    <cellStyle name="Normal 37 2 2 4 4" xfId="11426" xr:uid="{00000000-0005-0000-0000-0000F01F0000}"/>
    <cellStyle name="Normal 37 2 2 4 5" xfId="13033" xr:uid="{00000000-0005-0000-0000-0000F11F0000}"/>
    <cellStyle name="Normal 37 2 2 5" xfId="9813" xr:uid="{00000000-0005-0000-0000-0000F21F0000}"/>
    <cellStyle name="Normal 37 2 2 6" xfId="8211" xr:uid="{00000000-0005-0000-0000-0000F31F0000}"/>
    <cellStyle name="Normal 37 2 2 7" xfId="11423" xr:uid="{00000000-0005-0000-0000-0000F41F0000}"/>
    <cellStyle name="Normal 37 2 2 8" xfId="13030" xr:uid="{00000000-0005-0000-0000-0000F51F0000}"/>
    <cellStyle name="Normal 37 2 3" xfId="3084" xr:uid="{00000000-0005-0000-0000-0000F61F0000}"/>
    <cellStyle name="Normal 37 2 3 2" xfId="3085" xr:uid="{00000000-0005-0000-0000-0000F71F0000}"/>
    <cellStyle name="Normal 37 2 3 2 2" xfId="9818" xr:uid="{00000000-0005-0000-0000-0000F81F0000}"/>
    <cellStyle name="Normal 37 2 3 2 3" xfId="8216" xr:uid="{00000000-0005-0000-0000-0000F91F0000}"/>
    <cellStyle name="Normal 37 2 3 2 4" xfId="11428" xr:uid="{00000000-0005-0000-0000-0000FA1F0000}"/>
    <cellStyle name="Normal 37 2 3 2 5" xfId="13035" xr:uid="{00000000-0005-0000-0000-0000FB1F0000}"/>
    <cellStyle name="Normal 37 2 3 3" xfId="3086" xr:uid="{00000000-0005-0000-0000-0000FC1F0000}"/>
    <cellStyle name="Normal 37 2 3 3 2" xfId="9819" xr:uid="{00000000-0005-0000-0000-0000FD1F0000}"/>
    <cellStyle name="Normal 37 2 3 3 3" xfId="8217" xr:uid="{00000000-0005-0000-0000-0000FE1F0000}"/>
    <cellStyle name="Normal 37 2 3 3 4" xfId="11429" xr:uid="{00000000-0005-0000-0000-0000FF1F0000}"/>
    <cellStyle name="Normal 37 2 3 3 5" xfId="13036" xr:uid="{00000000-0005-0000-0000-000000200000}"/>
    <cellStyle name="Normal 37 2 3 4" xfId="3087" xr:uid="{00000000-0005-0000-0000-000001200000}"/>
    <cellStyle name="Normal 37 2 3 4 2" xfId="9820" xr:uid="{00000000-0005-0000-0000-000002200000}"/>
    <cellStyle name="Normal 37 2 3 4 3" xfId="8218" xr:uid="{00000000-0005-0000-0000-000003200000}"/>
    <cellStyle name="Normal 37 2 3 4 4" xfId="11430" xr:uid="{00000000-0005-0000-0000-000004200000}"/>
    <cellStyle name="Normal 37 2 3 4 5" xfId="13037" xr:uid="{00000000-0005-0000-0000-000005200000}"/>
    <cellStyle name="Normal 37 2 3 5" xfId="9817" xr:uid="{00000000-0005-0000-0000-000006200000}"/>
    <cellStyle name="Normal 37 2 3 6" xfId="8215" xr:uid="{00000000-0005-0000-0000-000007200000}"/>
    <cellStyle name="Normal 37 2 3 7" xfId="11427" xr:uid="{00000000-0005-0000-0000-000008200000}"/>
    <cellStyle name="Normal 37 2 3 8" xfId="13034" xr:uid="{00000000-0005-0000-0000-000009200000}"/>
    <cellStyle name="Normal 37 2 4" xfId="3088" xr:uid="{00000000-0005-0000-0000-00000A200000}"/>
    <cellStyle name="Normal 37 2 4 2" xfId="9821" xr:uid="{00000000-0005-0000-0000-00000B200000}"/>
    <cellStyle name="Normal 37 2 4 3" xfId="8219" xr:uid="{00000000-0005-0000-0000-00000C200000}"/>
    <cellStyle name="Normal 37 2 4 4" xfId="11431" xr:uid="{00000000-0005-0000-0000-00000D200000}"/>
    <cellStyle name="Normal 37 2 4 5" xfId="13038" xr:uid="{00000000-0005-0000-0000-00000E200000}"/>
    <cellStyle name="Normal 37 2 5" xfId="3089" xr:uid="{00000000-0005-0000-0000-00000F200000}"/>
    <cellStyle name="Normal 37 2 5 2" xfId="9822" xr:uid="{00000000-0005-0000-0000-000010200000}"/>
    <cellStyle name="Normal 37 2 5 3" xfId="8220" xr:uid="{00000000-0005-0000-0000-000011200000}"/>
    <cellStyle name="Normal 37 2 5 4" xfId="11432" xr:uid="{00000000-0005-0000-0000-000012200000}"/>
    <cellStyle name="Normal 37 2 5 5" xfId="13039" xr:uid="{00000000-0005-0000-0000-000013200000}"/>
    <cellStyle name="Normal 37 2 6" xfId="3090" xr:uid="{00000000-0005-0000-0000-000014200000}"/>
    <cellStyle name="Normal 37 2 6 2" xfId="9823" xr:uid="{00000000-0005-0000-0000-000015200000}"/>
    <cellStyle name="Normal 37 2 6 3" xfId="8221" xr:uid="{00000000-0005-0000-0000-000016200000}"/>
    <cellStyle name="Normal 37 2 6 4" xfId="11433" xr:uid="{00000000-0005-0000-0000-000017200000}"/>
    <cellStyle name="Normal 37 2 6 5" xfId="13040" xr:uid="{00000000-0005-0000-0000-000018200000}"/>
    <cellStyle name="Normal 37 2 7" xfId="9812" xr:uid="{00000000-0005-0000-0000-000019200000}"/>
    <cellStyle name="Normal 37 2 8" xfId="8210" xr:uid="{00000000-0005-0000-0000-00001A200000}"/>
    <cellStyle name="Normal 37 2 9" xfId="11422" xr:uid="{00000000-0005-0000-0000-00001B200000}"/>
    <cellStyle name="Normal 37 3" xfId="3091" xr:uid="{00000000-0005-0000-0000-00001C200000}"/>
    <cellStyle name="Normal 37 3 2" xfId="3092" xr:uid="{00000000-0005-0000-0000-00001D200000}"/>
    <cellStyle name="Normal 37 3 2 2" xfId="9825" xr:uid="{00000000-0005-0000-0000-00001E200000}"/>
    <cellStyle name="Normal 37 3 2 3" xfId="8223" xr:uid="{00000000-0005-0000-0000-00001F200000}"/>
    <cellStyle name="Normal 37 3 2 4" xfId="11435" xr:uid="{00000000-0005-0000-0000-000020200000}"/>
    <cellStyle name="Normal 37 3 2 5" xfId="13042" xr:uid="{00000000-0005-0000-0000-000021200000}"/>
    <cellStyle name="Normal 37 3 3" xfId="3093" xr:uid="{00000000-0005-0000-0000-000022200000}"/>
    <cellStyle name="Normal 37 3 3 2" xfId="9826" xr:uid="{00000000-0005-0000-0000-000023200000}"/>
    <cellStyle name="Normal 37 3 3 3" xfId="8224" xr:uid="{00000000-0005-0000-0000-000024200000}"/>
    <cellStyle name="Normal 37 3 3 4" xfId="11436" xr:uid="{00000000-0005-0000-0000-000025200000}"/>
    <cellStyle name="Normal 37 3 3 5" xfId="13043" xr:uid="{00000000-0005-0000-0000-000026200000}"/>
    <cellStyle name="Normal 37 3 4" xfId="3094" xr:uid="{00000000-0005-0000-0000-000027200000}"/>
    <cellStyle name="Normal 37 3 4 2" xfId="9827" xr:uid="{00000000-0005-0000-0000-000028200000}"/>
    <cellStyle name="Normal 37 3 4 3" xfId="8225" xr:uid="{00000000-0005-0000-0000-000029200000}"/>
    <cellStyle name="Normal 37 3 4 4" xfId="11437" xr:uid="{00000000-0005-0000-0000-00002A200000}"/>
    <cellStyle name="Normal 37 3 4 5" xfId="13044" xr:uid="{00000000-0005-0000-0000-00002B200000}"/>
    <cellStyle name="Normal 37 3 5" xfId="9824" xr:uid="{00000000-0005-0000-0000-00002C200000}"/>
    <cellStyle name="Normal 37 3 6" xfId="8222" xr:uid="{00000000-0005-0000-0000-00002D200000}"/>
    <cellStyle name="Normal 37 3 7" xfId="11434" xr:uid="{00000000-0005-0000-0000-00002E200000}"/>
    <cellStyle name="Normal 37 3 8" xfId="13041" xr:uid="{00000000-0005-0000-0000-00002F200000}"/>
    <cellStyle name="Normal 37 4" xfId="3095" xr:uid="{00000000-0005-0000-0000-000030200000}"/>
    <cellStyle name="Normal 38" xfId="3096" xr:uid="{00000000-0005-0000-0000-000031200000}"/>
    <cellStyle name="Normal 38 2" xfId="3097" xr:uid="{00000000-0005-0000-0000-000032200000}"/>
    <cellStyle name="Normal 38 2 10" xfId="13045" xr:uid="{00000000-0005-0000-0000-000033200000}"/>
    <cellStyle name="Normal 38 2 2" xfId="3098" xr:uid="{00000000-0005-0000-0000-000034200000}"/>
    <cellStyle name="Normal 38 2 2 2" xfId="3099" xr:uid="{00000000-0005-0000-0000-000035200000}"/>
    <cellStyle name="Normal 38 2 2 2 2" xfId="9830" xr:uid="{00000000-0005-0000-0000-000036200000}"/>
    <cellStyle name="Normal 38 2 2 2 3" xfId="8228" xr:uid="{00000000-0005-0000-0000-000037200000}"/>
    <cellStyle name="Normal 38 2 2 2 4" xfId="11440" xr:uid="{00000000-0005-0000-0000-000038200000}"/>
    <cellStyle name="Normal 38 2 2 2 5" xfId="13047" xr:uid="{00000000-0005-0000-0000-000039200000}"/>
    <cellStyle name="Normal 38 2 2 3" xfId="3100" xr:uid="{00000000-0005-0000-0000-00003A200000}"/>
    <cellStyle name="Normal 38 2 2 3 2" xfId="9831" xr:uid="{00000000-0005-0000-0000-00003B200000}"/>
    <cellStyle name="Normal 38 2 2 3 3" xfId="8229" xr:uid="{00000000-0005-0000-0000-00003C200000}"/>
    <cellStyle name="Normal 38 2 2 3 4" xfId="11441" xr:uid="{00000000-0005-0000-0000-00003D200000}"/>
    <cellStyle name="Normal 38 2 2 3 5" xfId="13048" xr:uid="{00000000-0005-0000-0000-00003E200000}"/>
    <cellStyle name="Normal 38 2 2 4" xfId="3101" xr:uid="{00000000-0005-0000-0000-00003F200000}"/>
    <cellStyle name="Normal 38 2 2 4 2" xfId="9832" xr:uid="{00000000-0005-0000-0000-000040200000}"/>
    <cellStyle name="Normal 38 2 2 4 3" xfId="8230" xr:uid="{00000000-0005-0000-0000-000041200000}"/>
    <cellStyle name="Normal 38 2 2 4 4" xfId="11442" xr:uid="{00000000-0005-0000-0000-000042200000}"/>
    <cellStyle name="Normal 38 2 2 4 5" xfId="13049" xr:uid="{00000000-0005-0000-0000-000043200000}"/>
    <cellStyle name="Normal 38 2 2 5" xfId="9829" xr:uid="{00000000-0005-0000-0000-000044200000}"/>
    <cellStyle name="Normal 38 2 2 6" xfId="8227" xr:uid="{00000000-0005-0000-0000-000045200000}"/>
    <cellStyle name="Normal 38 2 2 7" xfId="11439" xr:uid="{00000000-0005-0000-0000-000046200000}"/>
    <cellStyle name="Normal 38 2 2 8" xfId="13046" xr:uid="{00000000-0005-0000-0000-000047200000}"/>
    <cellStyle name="Normal 38 2 3" xfId="3102" xr:uid="{00000000-0005-0000-0000-000048200000}"/>
    <cellStyle name="Normal 38 2 3 2" xfId="3103" xr:uid="{00000000-0005-0000-0000-000049200000}"/>
    <cellStyle name="Normal 38 2 3 2 2" xfId="9834" xr:uid="{00000000-0005-0000-0000-00004A200000}"/>
    <cellStyle name="Normal 38 2 3 2 3" xfId="8232" xr:uid="{00000000-0005-0000-0000-00004B200000}"/>
    <cellStyle name="Normal 38 2 3 2 4" xfId="11444" xr:uid="{00000000-0005-0000-0000-00004C200000}"/>
    <cellStyle name="Normal 38 2 3 2 5" xfId="13051" xr:uid="{00000000-0005-0000-0000-00004D200000}"/>
    <cellStyle name="Normal 38 2 3 3" xfId="3104" xr:uid="{00000000-0005-0000-0000-00004E200000}"/>
    <cellStyle name="Normal 38 2 3 3 2" xfId="9835" xr:uid="{00000000-0005-0000-0000-00004F200000}"/>
    <cellStyle name="Normal 38 2 3 3 3" xfId="8233" xr:uid="{00000000-0005-0000-0000-000050200000}"/>
    <cellStyle name="Normal 38 2 3 3 4" xfId="11445" xr:uid="{00000000-0005-0000-0000-000051200000}"/>
    <cellStyle name="Normal 38 2 3 3 5" xfId="13052" xr:uid="{00000000-0005-0000-0000-000052200000}"/>
    <cellStyle name="Normal 38 2 3 4" xfId="3105" xr:uid="{00000000-0005-0000-0000-000053200000}"/>
    <cellStyle name="Normal 38 2 3 4 2" xfId="9836" xr:uid="{00000000-0005-0000-0000-000054200000}"/>
    <cellStyle name="Normal 38 2 3 4 3" xfId="8234" xr:uid="{00000000-0005-0000-0000-000055200000}"/>
    <cellStyle name="Normal 38 2 3 4 4" xfId="11446" xr:uid="{00000000-0005-0000-0000-000056200000}"/>
    <cellStyle name="Normal 38 2 3 4 5" xfId="13053" xr:uid="{00000000-0005-0000-0000-000057200000}"/>
    <cellStyle name="Normal 38 2 3 5" xfId="9833" xr:uid="{00000000-0005-0000-0000-000058200000}"/>
    <cellStyle name="Normal 38 2 3 6" xfId="8231" xr:uid="{00000000-0005-0000-0000-000059200000}"/>
    <cellStyle name="Normal 38 2 3 7" xfId="11443" xr:uid="{00000000-0005-0000-0000-00005A200000}"/>
    <cellStyle name="Normal 38 2 3 8" xfId="13050" xr:uid="{00000000-0005-0000-0000-00005B200000}"/>
    <cellStyle name="Normal 38 2 4" xfId="3106" xr:uid="{00000000-0005-0000-0000-00005C200000}"/>
    <cellStyle name="Normal 38 2 4 2" xfId="9837" xr:uid="{00000000-0005-0000-0000-00005D200000}"/>
    <cellStyle name="Normal 38 2 4 3" xfId="8235" xr:uid="{00000000-0005-0000-0000-00005E200000}"/>
    <cellStyle name="Normal 38 2 4 4" xfId="11447" xr:uid="{00000000-0005-0000-0000-00005F200000}"/>
    <cellStyle name="Normal 38 2 4 5" xfId="13054" xr:uid="{00000000-0005-0000-0000-000060200000}"/>
    <cellStyle name="Normal 38 2 5" xfId="3107" xr:uid="{00000000-0005-0000-0000-000061200000}"/>
    <cellStyle name="Normal 38 2 5 2" xfId="9838" xr:uid="{00000000-0005-0000-0000-000062200000}"/>
    <cellStyle name="Normal 38 2 5 3" xfId="8236" xr:uid="{00000000-0005-0000-0000-000063200000}"/>
    <cellStyle name="Normal 38 2 5 4" xfId="11448" xr:uid="{00000000-0005-0000-0000-000064200000}"/>
    <cellStyle name="Normal 38 2 5 5" xfId="13055" xr:uid="{00000000-0005-0000-0000-000065200000}"/>
    <cellStyle name="Normal 38 2 6" xfId="3108" xr:uid="{00000000-0005-0000-0000-000066200000}"/>
    <cellStyle name="Normal 38 2 6 2" xfId="9839" xr:uid="{00000000-0005-0000-0000-000067200000}"/>
    <cellStyle name="Normal 38 2 6 3" xfId="8237" xr:uid="{00000000-0005-0000-0000-000068200000}"/>
    <cellStyle name="Normal 38 2 6 4" xfId="11449" xr:uid="{00000000-0005-0000-0000-000069200000}"/>
    <cellStyle name="Normal 38 2 6 5" xfId="13056" xr:uid="{00000000-0005-0000-0000-00006A200000}"/>
    <cellStyle name="Normal 38 2 7" xfId="9828" xr:uid="{00000000-0005-0000-0000-00006B200000}"/>
    <cellStyle name="Normal 38 2 8" xfId="8226" xr:uid="{00000000-0005-0000-0000-00006C200000}"/>
    <cellStyle name="Normal 38 2 9" xfId="11438" xr:uid="{00000000-0005-0000-0000-00006D200000}"/>
    <cellStyle name="Normal 38 3" xfId="3109" xr:uid="{00000000-0005-0000-0000-00006E200000}"/>
    <cellStyle name="Normal 38 3 2" xfId="3110" xr:uid="{00000000-0005-0000-0000-00006F200000}"/>
    <cellStyle name="Normal 38 3 2 2" xfId="9841" xr:uid="{00000000-0005-0000-0000-000070200000}"/>
    <cellStyle name="Normal 38 3 2 3" xfId="8239" xr:uid="{00000000-0005-0000-0000-000071200000}"/>
    <cellStyle name="Normal 38 3 2 4" xfId="11451" xr:uid="{00000000-0005-0000-0000-000072200000}"/>
    <cellStyle name="Normal 38 3 2 5" xfId="13058" xr:uid="{00000000-0005-0000-0000-000073200000}"/>
    <cellStyle name="Normal 38 3 3" xfId="3111" xr:uid="{00000000-0005-0000-0000-000074200000}"/>
    <cellStyle name="Normal 38 3 3 2" xfId="9842" xr:uid="{00000000-0005-0000-0000-000075200000}"/>
    <cellStyle name="Normal 38 3 3 3" xfId="8240" xr:uid="{00000000-0005-0000-0000-000076200000}"/>
    <cellStyle name="Normal 38 3 3 4" xfId="11452" xr:uid="{00000000-0005-0000-0000-000077200000}"/>
    <cellStyle name="Normal 38 3 3 5" xfId="13059" xr:uid="{00000000-0005-0000-0000-000078200000}"/>
    <cellStyle name="Normal 38 3 4" xfId="3112" xr:uid="{00000000-0005-0000-0000-000079200000}"/>
    <cellStyle name="Normal 38 3 4 2" xfId="9843" xr:uid="{00000000-0005-0000-0000-00007A200000}"/>
    <cellStyle name="Normal 38 3 4 3" xfId="8241" xr:uid="{00000000-0005-0000-0000-00007B200000}"/>
    <cellStyle name="Normal 38 3 4 4" xfId="11453" xr:uid="{00000000-0005-0000-0000-00007C200000}"/>
    <cellStyle name="Normal 38 3 4 5" xfId="13060" xr:uid="{00000000-0005-0000-0000-00007D200000}"/>
    <cellStyle name="Normal 38 3 5" xfId="9840" xr:uid="{00000000-0005-0000-0000-00007E200000}"/>
    <cellStyle name="Normal 38 3 6" xfId="8238" xr:uid="{00000000-0005-0000-0000-00007F200000}"/>
    <cellStyle name="Normal 38 3 7" xfId="11450" xr:uid="{00000000-0005-0000-0000-000080200000}"/>
    <cellStyle name="Normal 38 3 8" xfId="13057" xr:uid="{00000000-0005-0000-0000-000081200000}"/>
    <cellStyle name="Normal 38 4" xfId="3113" xr:uid="{00000000-0005-0000-0000-000082200000}"/>
    <cellStyle name="Normal 39" xfId="3114" xr:uid="{00000000-0005-0000-0000-000083200000}"/>
    <cellStyle name="Normal 39 2" xfId="3115" xr:uid="{00000000-0005-0000-0000-000084200000}"/>
    <cellStyle name="Normal 39 2 10" xfId="13061" xr:uid="{00000000-0005-0000-0000-000085200000}"/>
    <cellStyle name="Normal 39 2 2" xfId="3116" xr:uid="{00000000-0005-0000-0000-000086200000}"/>
    <cellStyle name="Normal 39 2 2 2" xfId="3117" xr:uid="{00000000-0005-0000-0000-000087200000}"/>
    <cellStyle name="Normal 39 2 2 2 2" xfId="9846" xr:uid="{00000000-0005-0000-0000-000088200000}"/>
    <cellStyle name="Normal 39 2 2 2 3" xfId="8244" xr:uid="{00000000-0005-0000-0000-000089200000}"/>
    <cellStyle name="Normal 39 2 2 2 4" xfId="11456" xr:uid="{00000000-0005-0000-0000-00008A200000}"/>
    <cellStyle name="Normal 39 2 2 2 5" xfId="13063" xr:uid="{00000000-0005-0000-0000-00008B200000}"/>
    <cellStyle name="Normal 39 2 2 3" xfId="3118" xr:uid="{00000000-0005-0000-0000-00008C200000}"/>
    <cellStyle name="Normal 39 2 2 3 2" xfId="9847" xr:uid="{00000000-0005-0000-0000-00008D200000}"/>
    <cellStyle name="Normal 39 2 2 3 3" xfId="8245" xr:uid="{00000000-0005-0000-0000-00008E200000}"/>
    <cellStyle name="Normal 39 2 2 3 4" xfId="11457" xr:uid="{00000000-0005-0000-0000-00008F200000}"/>
    <cellStyle name="Normal 39 2 2 3 5" xfId="13064" xr:uid="{00000000-0005-0000-0000-000090200000}"/>
    <cellStyle name="Normal 39 2 2 4" xfId="3119" xr:uid="{00000000-0005-0000-0000-000091200000}"/>
    <cellStyle name="Normal 39 2 2 4 2" xfId="9848" xr:uid="{00000000-0005-0000-0000-000092200000}"/>
    <cellStyle name="Normal 39 2 2 4 3" xfId="8246" xr:uid="{00000000-0005-0000-0000-000093200000}"/>
    <cellStyle name="Normal 39 2 2 4 4" xfId="11458" xr:uid="{00000000-0005-0000-0000-000094200000}"/>
    <cellStyle name="Normal 39 2 2 4 5" xfId="13065" xr:uid="{00000000-0005-0000-0000-000095200000}"/>
    <cellStyle name="Normal 39 2 2 5" xfId="9845" xr:uid="{00000000-0005-0000-0000-000096200000}"/>
    <cellStyle name="Normal 39 2 2 6" xfId="8243" xr:uid="{00000000-0005-0000-0000-000097200000}"/>
    <cellStyle name="Normal 39 2 2 7" xfId="11455" xr:uid="{00000000-0005-0000-0000-000098200000}"/>
    <cellStyle name="Normal 39 2 2 8" xfId="13062" xr:uid="{00000000-0005-0000-0000-000099200000}"/>
    <cellStyle name="Normal 39 2 3" xfId="3120" xr:uid="{00000000-0005-0000-0000-00009A200000}"/>
    <cellStyle name="Normal 39 2 3 2" xfId="3121" xr:uid="{00000000-0005-0000-0000-00009B200000}"/>
    <cellStyle name="Normal 39 2 3 2 2" xfId="9850" xr:uid="{00000000-0005-0000-0000-00009C200000}"/>
    <cellStyle name="Normal 39 2 3 2 3" xfId="8248" xr:uid="{00000000-0005-0000-0000-00009D200000}"/>
    <cellStyle name="Normal 39 2 3 2 4" xfId="11460" xr:uid="{00000000-0005-0000-0000-00009E200000}"/>
    <cellStyle name="Normal 39 2 3 2 5" xfId="13067" xr:uid="{00000000-0005-0000-0000-00009F200000}"/>
    <cellStyle name="Normal 39 2 3 3" xfId="3122" xr:uid="{00000000-0005-0000-0000-0000A0200000}"/>
    <cellStyle name="Normal 39 2 3 3 2" xfId="9851" xr:uid="{00000000-0005-0000-0000-0000A1200000}"/>
    <cellStyle name="Normal 39 2 3 3 3" xfId="8249" xr:uid="{00000000-0005-0000-0000-0000A2200000}"/>
    <cellStyle name="Normal 39 2 3 3 4" xfId="11461" xr:uid="{00000000-0005-0000-0000-0000A3200000}"/>
    <cellStyle name="Normal 39 2 3 3 5" xfId="13068" xr:uid="{00000000-0005-0000-0000-0000A4200000}"/>
    <cellStyle name="Normal 39 2 3 4" xfId="3123" xr:uid="{00000000-0005-0000-0000-0000A5200000}"/>
    <cellStyle name="Normal 39 2 3 4 2" xfId="9852" xr:uid="{00000000-0005-0000-0000-0000A6200000}"/>
    <cellStyle name="Normal 39 2 3 4 3" xfId="8250" xr:uid="{00000000-0005-0000-0000-0000A7200000}"/>
    <cellStyle name="Normal 39 2 3 4 4" xfId="11462" xr:uid="{00000000-0005-0000-0000-0000A8200000}"/>
    <cellStyle name="Normal 39 2 3 4 5" xfId="13069" xr:uid="{00000000-0005-0000-0000-0000A9200000}"/>
    <cellStyle name="Normal 39 2 3 5" xfId="9849" xr:uid="{00000000-0005-0000-0000-0000AA200000}"/>
    <cellStyle name="Normal 39 2 3 6" xfId="8247" xr:uid="{00000000-0005-0000-0000-0000AB200000}"/>
    <cellStyle name="Normal 39 2 3 7" xfId="11459" xr:uid="{00000000-0005-0000-0000-0000AC200000}"/>
    <cellStyle name="Normal 39 2 3 8" xfId="13066" xr:uid="{00000000-0005-0000-0000-0000AD200000}"/>
    <cellStyle name="Normal 39 2 4" xfId="3124" xr:uid="{00000000-0005-0000-0000-0000AE200000}"/>
    <cellStyle name="Normal 39 2 4 2" xfId="9853" xr:uid="{00000000-0005-0000-0000-0000AF200000}"/>
    <cellStyle name="Normal 39 2 4 3" xfId="8251" xr:uid="{00000000-0005-0000-0000-0000B0200000}"/>
    <cellStyle name="Normal 39 2 4 4" xfId="11463" xr:uid="{00000000-0005-0000-0000-0000B1200000}"/>
    <cellStyle name="Normal 39 2 4 5" xfId="13070" xr:uid="{00000000-0005-0000-0000-0000B2200000}"/>
    <cellStyle name="Normal 39 2 5" xfId="3125" xr:uid="{00000000-0005-0000-0000-0000B3200000}"/>
    <cellStyle name="Normal 39 2 5 2" xfId="9854" xr:uid="{00000000-0005-0000-0000-0000B4200000}"/>
    <cellStyle name="Normal 39 2 5 3" xfId="8252" xr:uid="{00000000-0005-0000-0000-0000B5200000}"/>
    <cellStyle name="Normal 39 2 5 4" xfId="11464" xr:uid="{00000000-0005-0000-0000-0000B6200000}"/>
    <cellStyle name="Normal 39 2 5 5" xfId="13071" xr:uid="{00000000-0005-0000-0000-0000B7200000}"/>
    <cellStyle name="Normal 39 2 6" xfId="3126" xr:uid="{00000000-0005-0000-0000-0000B8200000}"/>
    <cellStyle name="Normal 39 2 6 2" xfId="9855" xr:uid="{00000000-0005-0000-0000-0000B9200000}"/>
    <cellStyle name="Normal 39 2 6 3" xfId="8253" xr:uid="{00000000-0005-0000-0000-0000BA200000}"/>
    <cellStyle name="Normal 39 2 6 4" xfId="11465" xr:uid="{00000000-0005-0000-0000-0000BB200000}"/>
    <cellStyle name="Normal 39 2 6 5" xfId="13072" xr:uid="{00000000-0005-0000-0000-0000BC200000}"/>
    <cellStyle name="Normal 39 2 7" xfId="9844" xr:uid="{00000000-0005-0000-0000-0000BD200000}"/>
    <cellStyle name="Normal 39 2 8" xfId="8242" xr:uid="{00000000-0005-0000-0000-0000BE200000}"/>
    <cellStyle name="Normal 39 2 9" xfId="11454" xr:uid="{00000000-0005-0000-0000-0000BF200000}"/>
    <cellStyle name="Normal 39 3" xfId="3127" xr:uid="{00000000-0005-0000-0000-0000C0200000}"/>
    <cellStyle name="Normal 39 3 2" xfId="3128" xr:uid="{00000000-0005-0000-0000-0000C1200000}"/>
    <cellStyle name="Normal 39 3 2 2" xfId="9857" xr:uid="{00000000-0005-0000-0000-0000C2200000}"/>
    <cellStyle name="Normal 39 3 2 3" xfId="8255" xr:uid="{00000000-0005-0000-0000-0000C3200000}"/>
    <cellStyle name="Normal 39 3 2 4" xfId="11467" xr:uid="{00000000-0005-0000-0000-0000C4200000}"/>
    <cellStyle name="Normal 39 3 2 5" xfId="13074" xr:uid="{00000000-0005-0000-0000-0000C5200000}"/>
    <cellStyle name="Normal 39 3 3" xfId="3129" xr:uid="{00000000-0005-0000-0000-0000C6200000}"/>
    <cellStyle name="Normal 39 3 3 2" xfId="9858" xr:uid="{00000000-0005-0000-0000-0000C7200000}"/>
    <cellStyle name="Normal 39 3 3 3" xfId="8256" xr:uid="{00000000-0005-0000-0000-0000C8200000}"/>
    <cellStyle name="Normal 39 3 3 4" xfId="11468" xr:uid="{00000000-0005-0000-0000-0000C9200000}"/>
    <cellStyle name="Normal 39 3 3 5" xfId="13075" xr:uid="{00000000-0005-0000-0000-0000CA200000}"/>
    <cellStyle name="Normal 39 3 4" xfId="3130" xr:uid="{00000000-0005-0000-0000-0000CB200000}"/>
    <cellStyle name="Normal 39 3 4 2" xfId="9859" xr:uid="{00000000-0005-0000-0000-0000CC200000}"/>
    <cellStyle name="Normal 39 3 4 3" xfId="8257" xr:uid="{00000000-0005-0000-0000-0000CD200000}"/>
    <cellStyle name="Normal 39 3 4 4" xfId="11469" xr:uid="{00000000-0005-0000-0000-0000CE200000}"/>
    <cellStyle name="Normal 39 3 4 5" xfId="13076" xr:uid="{00000000-0005-0000-0000-0000CF200000}"/>
    <cellStyle name="Normal 39 3 5" xfId="9856" xr:uid="{00000000-0005-0000-0000-0000D0200000}"/>
    <cellStyle name="Normal 39 3 6" xfId="8254" xr:uid="{00000000-0005-0000-0000-0000D1200000}"/>
    <cellStyle name="Normal 39 3 7" xfId="11466" xr:uid="{00000000-0005-0000-0000-0000D2200000}"/>
    <cellStyle name="Normal 39 3 8" xfId="13073" xr:uid="{00000000-0005-0000-0000-0000D3200000}"/>
    <cellStyle name="Normal 39 4" xfId="3131" xr:uid="{00000000-0005-0000-0000-0000D4200000}"/>
    <cellStyle name="Normal 4" xfId="97" xr:uid="{00000000-0005-0000-0000-0000D5200000}"/>
    <cellStyle name="Normal 4 10" xfId="3132" xr:uid="{00000000-0005-0000-0000-0000D6200000}"/>
    <cellStyle name="Normal 4 11" xfId="5767" xr:uid="{00000000-0005-0000-0000-0000D7200000}"/>
    <cellStyle name="Normal 4 2" xfId="131" xr:uid="{00000000-0005-0000-0000-0000D8200000}"/>
    <cellStyle name="Normal 4 2 2" xfId="3133" xr:uid="{00000000-0005-0000-0000-0000D9200000}"/>
    <cellStyle name="Normal 4 2 2 2" xfId="3134" xr:uid="{00000000-0005-0000-0000-0000DA200000}"/>
    <cellStyle name="Normal 4 2 3" xfId="3135" xr:uid="{00000000-0005-0000-0000-0000DB200000}"/>
    <cellStyle name="Normal 4 2 3 2" xfId="3136" xr:uid="{00000000-0005-0000-0000-0000DC200000}"/>
    <cellStyle name="Normal 4 2 3 2 2" xfId="3137" xr:uid="{00000000-0005-0000-0000-0000DD200000}"/>
    <cellStyle name="Normal 4 2 3 2 2 2" xfId="3138" xr:uid="{00000000-0005-0000-0000-0000DE200000}"/>
    <cellStyle name="Normal 4 2 3 2 2 3" xfId="3139" xr:uid="{00000000-0005-0000-0000-0000DF200000}"/>
    <cellStyle name="Normal 4 2 3 2 2 4" xfId="3140" xr:uid="{00000000-0005-0000-0000-0000E0200000}"/>
    <cellStyle name="Normal 4 2 3 2 3" xfId="3141" xr:uid="{00000000-0005-0000-0000-0000E1200000}"/>
    <cellStyle name="Normal 4 2 3 2 4" xfId="3142" xr:uid="{00000000-0005-0000-0000-0000E2200000}"/>
    <cellStyle name="Normal 4 2 3 3" xfId="3143" xr:uid="{00000000-0005-0000-0000-0000E3200000}"/>
    <cellStyle name="Normal 4 2 3 4" xfId="3144" xr:uid="{00000000-0005-0000-0000-0000E4200000}"/>
    <cellStyle name="Normal 4 2 3 5" xfId="3145" xr:uid="{00000000-0005-0000-0000-0000E5200000}"/>
    <cellStyle name="Normal 4 2 3 6" xfId="3146" xr:uid="{00000000-0005-0000-0000-0000E6200000}"/>
    <cellStyle name="Normal 4 2 3 7" xfId="3147" xr:uid="{00000000-0005-0000-0000-0000E7200000}"/>
    <cellStyle name="Normal 4 2 4" xfId="3148" xr:uid="{00000000-0005-0000-0000-0000E8200000}"/>
    <cellStyle name="Normal 4 2 4 2" xfId="3149" xr:uid="{00000000-0005-0000-0000-0000E9200000}"/>
    <cellStyle name="Normal 4 2 4 3" xfId="3150" xr:uid="{00000000-0005-0000-0000-0000EA200000}"/>
    <cellStyle name="Normal 4 2 4 4" xfId="3151" xr:uid="{00000000-0005-0000-0000-0000EB200000}"/>
    <cellStyle name="Normal 4 2 5" xfId="3152" xr:uid="{00000000-0005-0000-0000-0000EC200000}"/>
    <cellStyle name="Normal 4 2 5 2" xfId="3153" xr:uid="{00000000-0005-0000-0000-0000ED200000}"/>
    <cellStyle name="Normal 4 2 5 3" xfId="3154" xr:uid="{00000000-0005-0000-0000-0000EE200000}"/>
    <cellStyle name="Normal 4 2 5 4" xfId="3155" xr:uid="{00000000-0005-0000-0000-0000EF200000}"/>
    <cellStyle name="Normal 4 3" xfId="3156" xr:uid="{00000000-0005-0000-0000-0000F0200000}"/>
    <cellStyle name="Normal 4 3 10" xfId="13077" xr:uid="{00000000-0005-0000-0000-0000F1200000}"/>
    <cellStyle name="Normal 4 3 2" xfId="3157" xr:uid="{00000000-0005-0000-0000-0000F2200000}"/>
    <cellStyle name="Normal 4 3 2 2" xfId="3158" xr:uid="{00000000-0005-0000-0000-0000F3200000}"/>
    <cellStyle name="Normal 4 3 2 2 2" xfId="9862" xr:uid="{00000000-0005-0000-0000-0000F4200000}"/>
    <cellStyle name="Normal 4 3 2 2 3" xfId="8260" xr:uid="{00000000-0005-0000-0000-0000F5200000}"/>
    <cellStyle name="Normal 4 3 2 2 4" xfId="11472" xr:uid="{00000000-0005-0000-0000-0000F6200000}"/>
    <cellStyle name="Normal 4 3 2 2 5" xfId="13079" xr:uid="{00000000-0005-0000-0000-0000F7200000}"/>
    <cellStyle name="Normal 4 3 2 3" xfId="3159" xr:uid="{00000000-0005-0000-0000-0000F8200000}"/>
    <cellStyle name="Normal 4 3 2 3 2" xfId="9863" xr:uid="{00000000-0005-0000-0000-0000F9200000}"/>
    <cellStyle name="Normal 4 3 2 3 3" xfId="8261" xr:uid="{00000000-0005-0000-0000-0000FA200000}"/>
    <cellStyle name="Normal 4 3 2 3 4" xfId="11473" xr:uid="{00000000-0005-0000-0000-0000FB200000}"/>
    <cellStyle name="Normal 4 3 2 3 5" xfId="13080" xr:uid="{00000000-0005-0000-0000-0000FC200000}"/>
    <cellStyle name="Normal 4 3 2 4" xfId="3160" xr:uid="{00000000-0005-0000-0000-0000FD200000}"/>
    <cellStyle name="Normal 4 3 2 4 2" xfId="9864" xr:uid="{00000000-0005-0000-0000-0000FE200000}"/>
    <cellStyle name="Normal 4 3 2 4 3" xfId="8262" xr:uid="{00000000-0005-0000-0000-0000FF200000}"/>
    <cellStyle name="Normal 4 3 2 4 4" xfId="11474" xr:uid="{00000000-0005-0000-0000-000000210000}"/>
    <cellStyle name="Normal 4 3 2 4 5" xfId="13081" xr:uid="{00000000-0005-0000-0000-000001210000}"/>
    <cellStyle name="Normal 4 3 2 5" xfId="9861" xr:uid="{00000000-0005-0000-0000-000002210000}"/>
    <cellStyle name="Normal 4 3 2 6" xfId="8259" xr:uid="{00000000-0005-0000-0000-000003210000}"/>
    <cellStyle name="Normal 4 3 2 7" xfId="11471" xr:uid="{00000000-0005-0000-0000-000004210000}"/>
    <cellStyle name="Normal 4 3 2 8" xfId="13078" xr:uid="{00000000-0005-0000-0000-000005210000}"/>
    <cellStyle name="Normal 4 3 3" xfId="3161" xr:uid="{00000000-0005-0000-0000-000006210000}"/>
    <cellStyle name="Normal 4 3 3 2" xfId="3162" xr:uid="{00000000-0005-0000-0000-000007210000}"/>
    <cellStyle name="Normal 4 3 3 2 2" xfId="9866" xr:uid="{00000000-0005-0000-0000-000008210000}"/>
    <cellStyle name="Normal 4 3 3 2 3" xfId="8264" xr:uid="{00000000-0005-0000-0000-000009210000}"/>
    <cellStyle name="Normal 4 3 3 2 4" xfId="11476" xr:uid="{00000000-0005-0000-0000-00000A210000}"/>
    <cellStyle name="Normal 4 3 3 2 5" xfId="13083" xr:uid="{00000000-0005-0000-0000-00000B210000}"/>
    <cellStyle name="Normal 4 3 3 3" xfId="3163" xr:uid="{00000000-0005-0000-0000-00000C210000}"/>
    <cellStyle name="Normal 4 3 3 3 2" xfId="9867" xr:uid="{00000000-0005-0000-0000-00000D210000}"/>
    <cellStyle name="Normal 4 3 3 3 3" xfId="8265" xr:uid="{00000000-0005-0000-0000-00000E210000}"/>
    <cellStyle name="Normal 4 3 3 3 4" xfId="11477" xr:uid="{00000000-0005-0000-0000-00000F210000}"/>
    <cellStyle name="Normal 4 3 3 3 5" xfId="13084" xr:uid="{00000000-0005-0000-0000-000010210000}"/>
    <cellStyle name="Normal 4 3 3 4" xfId="3164" xr:uid="{00000000-0005-0000-0000-000011210000}"/>
    <cellStyle name="Normal 4 3 3 4 2" xfId="9868" xr:uid="{00000000-0005-0000-0000-000012210000}"/>
    <cellStyle name="Normal 4 3 3 4 3" xfId="8266" xr:uid="{00000000-0005-0000-0000-000013210000}"/>
    <cellStyle name="Normal 4 3 3 4 4" xfId="11478" xr:uid="{00000000-0005-0000-0000-000014210000}"/>
    <cellStyle name="Normal 4 3 3 4 5" xfId="13085" xr:uid="{00000000-0005-0000-0000-000015210000}"/>
    <cellStyle name="Normal 4 3 3 5" xfId="9865" xr:uid="{00000000-0005-0000-0000-000016210000}"/>
    <cellStyle name="Normal 4 3 3 6" xfId="8263" xr:uid="{00000000-0005-0000-0000-000017210000}"/>
    <cellStyle name="Normal 4 3 3 7" xfId="11475" xr:uid="{00000000-0005-0000-0000-000018210000}"/>
    <cellStyle name="Normal 4 3 3 8" xfId="13082" xr:uid="{00000000-0005-0000-0000-000019210000}"/>
    <cellStyle name="Normal 4 3 4" xfId="3165" xr:uid="{00000000-0005-0000-0000-00001A210000}"/>
    <cellStyle name="Normal 4 3 4 2" xfId="9869" xr:uid="{00000000-0005-0000-0000-00001B210000}"/>
    <cellStyle name="Normal 4 3 4 3" xfId="8267" xr:uid="{00000000-0005-0000-0000-00001C210000}"/>
    <cellStyle name="Normal 4 3 4 4" xfId="11479" xr:uid="{00000000-0005-0000-0000-00001D210000}"/>
    <cellStyle name="Normal 4 3 4 5" xfId="13086" xr:uid="{00000000-0005-0000-0000-00001E210000}"/>
    <cellStyle name="Normal 4 3 5" xfId="3166" xr:uid="{00000000-0005-0000-0000-00001F210000}"/>
    <cellStyle name="Normal 4 3 5 2" xfId="9870" xr:uid="{00000000-0005-0000-0000-000020210000}"/>
    <cellStyle name="Normal 4 3 5 3" xfId="8268" xr:uid="{00000000-0005-0000-0000-000021210000}"/>
    <cellStyle name="Normal 4 3 5 4" xfId="11480" xr:uid="{00000000-0005-0000-0000-000022210000}"/>
    <cellStyle name="Normal 4 3 5 5" xfId="13087" xr:uid="{00000000-0005-0000-0000-000023210000}"/>
    <cellStyle name="Normal 4 3 6" xfId="3167" xr:uid="{00000000-0005-0000-0000-000024210000}"/>
    <cellStyle name="Normal 4 3 6 2" xfId="9871" xr:uid="{00000000-0005-0000-0000-000025210000}"/>
    <cellStyle name="Normal 4 3 6 3" xfId="8269" xr:uid="{00000000-0005-0000-0000-000026210000}"/>
    <cellStyle name="Normal 4 3 6 4" xfId="11481" xr:uid="{00000000-0005-0000-0000-000027210000}"/>
    <cellStyle name="Normal 4 3 6 5" xfId="13088" xr:uid="{00000000-0005-0000-0000-000028210000}"/>
    <cellStyle name="Normal 4 3 7" xfId="9860" xr:uid="{00000000-0005-0000-0000-000029210000}"/>
    <cellStyle name="Normal 4 3 8" xfId="8258" xr:uid="{00000000-0005-0000-0000-00002A210000}"/>
    <cellStyle name="Normal 4 3 9" xfId="11470" xr:uid="{00000000-0005-0000-0000-00002B210000}"/>
    <cellStyle name="Normal 4 4" xfId="3168" xr:uid="{00000000-0005-0000-0000-00002C210000}"/>
    <cellStyle name="Normal 4 4 2" xfId="3169" xr:uid="{00000000-0005-0000-0000-00002D210000}"/>
    <cellStyle name="Normal 4 5" xfId="3170" xr:uid="{00000000-0005-0000-0000-00002E210000}"/>
    <cellStyle name="Normal 4 5 2" xfId="3171" xr:uid="{00000000-0005-0000-0000-00002F210000}"/>
    <cellStyle name="Normal 4 5 3" xfId="3172" xr:uid="{00000000-0005-0000-0000-000030210000}"/>
    <cellStyle name="Normal 4 5 4" xfId="3173" xr:uid="{00000000-0005-0000-0000-000031210000}"/>
    <cellStyle name="Normal 4 6" xfId="3174" xr:uid="{00000000-0005-0000-0000-000032210000}"/>
    <cellStyle name="Normal 4 7" xfId="3175" xr:uid="{00000000-0005-0000-0000-000033210000}"/>
    <cellStyle name="Normal 4 8" xfId="3176" xr:uid="{00000000-0005-0000-0000-000034210000}"/>
    <cellStyle name="Normal 4 9" xfId="3177" xr:uid="{00000000-0005-0000-0000-000035210000}"/>
    <cellStyle name="Normal 40" xfId="3178" xr:uid="{00000000-0005-0000-0000-000036210000}"/>
    <cellStyle name="Normal 40 2" xfId="3179" xr:uid="{00000000-0005-0000-0000-000037210000}"/>
    <cellStyle name="Normal 40 2 10" xfId="13089" xr:uid="{00000000-0005-0000-0000-000038210000}"/>
    <cellStyle name="Normal 40 2 2" xfId="3180" xr:uid="{00000000-0005-0000-0000-000039210000}"/>
    <cellStyle name="Normal 40 2 2 2" xfId="3181" xr:uid="{00000000-0005-0000-0000-00003A210000}"/>
    <cellStyle name="Normal 40 2 2 2 2" xfId="9874" xr:uid="{00000000-0005-0000-0000-00003B210000}"/>
    <cellStyle name="Normal 40 2 2 2 3" xfId="8272" xr:uid="{00000000-0005-0000-0000-00003C210000}"/>
    <cellStyle name="Normal 40 2 2 2 4" xfId="11484" xr:uid="{00000000-0005-0000-0000-00003D210000}"/>
    <cellStyle name="Normal 40 2 2 2 5" xfId="13091" xr:uid="{00000000-0005-0000-0000-00003E210000}"/>
    <cellStyle name="Normal 40 2 2 3" xfId="3182" xr:uid="{00000000-0005-0000-0000-00003F210000}"/>
    <cellStyle name="Normal 40 2 2 3 2" xfId="9875" xr:uid="{00000000-0005-0000-0000-000040210000}"/>
    <cellStyle name="Normal 40 2 2 3 3" xfId="8273" xr:uid="{00000000-0005-0000-0000-000041210000}"/>
    <cellStyle name="Normal 40 2 2 3 4" xfId="11485" xr:uid="{00000000-0005-0000-0000-000042210000}"/>
    <cellStyle name="Normal 40 2 2 3 5" xfId="13092" xr:uid="{00000000-0005-0000-0000-000043210000}"/>
    <cellStyle name="Normal 40 2 2 4" xfId="3183" xr:uid="{00000000-0005-0000-0000-000044210000}"/>
    <cellStyle name="Normal 40 2 2 4 2" xfId="9876" xr:uid="{00000000-0005-0000-0000-000045210000}"/>
    <cellStyle name="Normal 40 2 2 4 3" xfId="8274" xr:uid="{00000000-0005-0000-0000-000046210000}"/>
    <cellStyle name="Normal 40 2 2 4 4" xfId="11486" xr:uid="{00000000-0005-0000-0000-000047210000}"/>
    <cellStyle name="Normal 40 2 2 4 5" xfId="13093" xr:uid="{00000000-0005-0000-0000-000048210000}"/>
    <cellStyle name="Normal 40 2 2 5" xfId="9873" xr:uid="{00000000-0005-0000-0000-000049210000}"/>
    <cellStyle name="Normal 40 2 2 6" xfId="8271" xr:uid="{00000000-0005-0000-0000-00004A210000}"/>
    <cellStyle name="Normal 40 2 2 7" xfId="11483" xr:uid="{00000000-0005-0000-0000-00004B210000}"/>
    <cellStyle name="Normal 40 2 2 8" xfId="13090" xr:uid="{00000000-0005-0000-0000-00004C210000}"/>
    <cellStyle name="Normal 40 2 3" xfId="3184" xr:uid="{00000000-0005-0000-0000-00004D210000}"/>
    <cellStyle name="Normal 40 2 3 2" xfId="3185" xr:uid="{00000000-0005-0000-0000-00004E210000}"/>
    <cellStyle name="Normal 40 2 3 2 2" xfId="9878" xr:uid="{00000000-0005-0000-0000-00004F210000}"/>
    <cellStyle name="Normal 40 2 3 2 3" xfId="8276" xr:uid="{00000000-0005-0000-0000-000050210000}"/>
    <cellStyle name="Normal 40 2 3 2 4" xfId="11488" xr:uid="{00000000-0005-0000-0000-000051210000}"/>
    <cellStyle name="Normal 40 2 3 2 5" xfId="13095" xr:uid="{00000000-0005-0000-0000-000052210000}"/>
    <cellStyle name="Normal 40 2 3 3" xfId="3186" xr:uid="{00000000-0005-0000-0000-000053210000}"/>
    <cellStyle name="Normal 40 2 3 3 2" xfId="9879" xr:uid="{00000000-0005-0000-0000-000054210000}"/>
    <cellStyle name="Normal 40 2 3 3 3" xfId="8277" xr:uid="{00000000-0005-0000-0000-000055210000}"/>
    <cellStyle name="Normal 40 2 3 3 4" xfId="11489" xr:uid="{00000000-0005-0000-0000-000056210000}"/>
    <cellStyle name="Normal 40 2 3 3 5" xfId="13096" xr:uid="{00000000-0005-0000-0000-000057210000}"/>
    <cellStyle name="Normal 40 2 3 4" xfId="3187" xr:uid="{00000000-0005-0000-0000-000058210000}"/>
    <cellStyle name="Normal 40 2 3 4 2" xfId="9880" xr:uid="{00000000-0005-0000-0000-000059210000}"/>
    <cellStyle name="Normal 40 2 3 4 3" xfId="8278" xr:uid="{00000000-0005-0000-0000-00005A210000}"/>
    <cellStyle name="Normal 40 2 3 4 4" xfId="11490" xr:uid="{00000000-0005-0000-0000-00005B210000}"/>
    <cellStyle name="Normal 40 2 3 4 5" xfId="13097" xr:uid="{00000000-0005-0000-0000-00005C210000}"/>
    <cellStyle name="Normal 40 2 3 5" xfId="9877" xr:uid="{00000000-0005-0000-0000-00005D210000}"/>
    <cellStyle name="Normal 40 2 3 6" xfId="8275" xr:uid="{00000000-0005-0000-0000-00005E210000}"/>
    <cellStyle name="Normal 40 2 3 7" xfId="11487" xr:uid="{00000000-0005-0000-0000-00005F210000}"/>
    <cellStyle name="Normal 40 2 3 8" xfId="13094" xr:uid="{00000000-0005-0000-0000-000060210000}"/>
    <cellStyle name="Normal 40 2 4" xfId="3188" xr:uid="{00000000-0005-0000-0000-000061210000}"/>
    <cellStyle name="Normal 40 2 4 2" xfId="9881" xr:uid="{00000000-0005-0000-0000-000062210000}"/>
    <cellStyle name="Normal 40 2 4 3" xfId="8279" xr:uid="{00000000-0005-0000-0000-000063210000}"/>
    <cellStyle name="Normal 40 2 4 4" xfId="11491" xr:uid="{00000000-0005-0000-0000-000064210000}"/>
    <cellStyle name="Normal 40 2 4 5" xfId="13098" xr:uid="{00000000-0005-0000-0000-000065210000}"/>
    <cellStyle name="Normal 40 2 5" xfId="3189" xr:uid="{00000000-0005-0000-0000-000066210000}"/>
    <cellStyle name="Normal 40 2 5 2" xfId="9882" xr:uid="{00000000-0005-0000-0000-000067210000}"/>
    <cellStyle name="Normal 40 2 5 3" xfId="8280" xr:uid="{00000000-0005-0000-0000-000068210000}"/>
    <cellStyle name="Normal 40 2 5 4" xfId="11492" xr:uid="{00000000-0005-0000-0000-000069210000}"/>
    <cellStyle name="Normal 40 2 5 5" xfId="13099" xr:uid="{00000000-0005-0000-0000-00006A210000}"/>
    <cellStyle name="Normal 40 2 6" xfId="3190" xr:uid="{00000000-0005-0000-0000-00006B210000}"/>
    <cellStyle name="Normal 40 2 6 2" xfId="9883" xr:uid="{00000000-0005-0000-0000-00006C210000}"/>
    <cellStyle name="Normal 40 2 6 3" xfId="8281" xr:uid="{00000000-0005-0000-0000-00006D210000}"/>
    <cellStyle name="Normal 40 2 6 4" xfId="11493" xr:uid="{00000000-0005-0000-0000-00006E210000}"/>
    <cellStyle name="Normal 40 2 6 5" xfId="13100" xr:uid="{00000000-0005-0000-0000-00006F210000}"/>
    <cellStyle name="Normal 40 2 7" xfId="9872" xr:uid="{00000000-0005-0000-0000-000070210000}"/>
    <cellStyle name="Normal 40 2 8" xfId="8270" xr:uid="{00000000-0005-0000-0000-000071210000}"/>
    <cellStyle name="Normal 40 2 9" xfId="11482" xr:uid="{00000000-0005-0000-0000-000072210000}"/>
    <cellStyle name="Normal 40 3" xfId="3191" xr:uid="{00000000-0005-0000-0000-000073210000}"/>
    <cellStyle name="Normal 40 3 2" xfId="3192" xr:uid="{00000000-0005-0000-0000-000074210000}"/>
    <cellStyle name="Normal 40 3 2 2" xfId="9885" xr:uid="{00000000-0005-0000-0000-000075210000}"/>
    <cellStyle name="Normal 40 3 2 3" xfId="8283" xr:uid="{00000000-0005-0000-0000-000076210000}"/>
    <cellStyle name="Normal 40 3 2 4" xfId="11495" xr:uid="{00000000-0005-0000-0000-000077210000}"/>
    <cellStyle name="Normal 40 3 2 5" xfId="13102" xr:uid="{00000000-0005-0000-0000-000078210000}"/>
    <cellStyle name="Normal 40 3 3" xfId="3193" xr:uid="{00000000-0005-0000-0000-000079210000}"/>
    <cellStyle name="Normal 40 3 3 2" xfId="9886" xr:uid="{00000000-0005-0000-0000-00007A210000}"/>
    <cellStyle name="Normal 40 3 3 3" xfId="8284" xr:uid="{00000000-0005-0000-0000-00007B210000}"/>
    <cellStyle name="Normal 40 3 3 4" xfId="11496" xr:uid="{00000000-0005-0000-0000-00007C210000}"/>
    <cellStyle name="Normal 40 3 3 5" xfId="13103" xr:uid="{00000000-0005-0000-0000-00007D210000}"/>
    <cellStyle name="Normal 40 3 4" xfId="3194" xr:uid="{00000000-0005-0000-0000-00007E210000}"/>
    <cellStyle name="Normal 40 3 4 2" xfId="9887" xr:uid="{00000000-0005-0000-0000-00007F210000}"/>
    <cellStyle name="Normal 40 3 4 3" xfId="8285" xr:uid="{00000000-0005-0000-0000-000080210000}"/>
    <cellStyle name="Normal 40 3 4 4" xfId="11497" xr:uid="{00000000-0005-0000-0000-000081210000}"/>
    <cellStyle name="Normal 40 3 4 5" xfId="13104" xr:uid="{00000000-0005-0000-0000-000082210000}"/>
    <cellStyle name="Normal 40 3 5" xfId="9884" xr:uid="{00000000-0005-0000-0000-000083210000}"/>
    <cellStyle name="Normal 40 3 6" xfId="8282" xr:uid="{00000000-0005-0000-0000-000084210000}"/>
    <cellStyle name="Normal 40 3 7" xfId="11494" xr:uid="{00000000-0005-0000-0000-000085210000}"/>
    <cellStyle name="Normal 40 3 8" xfId="13101" xr:uid="{00000000-0005-0000-0000-000086210000}"/>
    <cellStyle name="Normal 40 4" xfId="3195" xr:uid="{00000000-0005-0000-0000-000087210000}"/>
    <cellStyle name="Normal 41" xfId="3196" xr:uid="{00000000-0005-0000-0000-000088210000}"/>
    <cellStyle name="Normal 41 2" xfId="3197" xr:uid="{00000000-0005-0000-0000-000089210000}"/>
    <cellStyle name="Normal 41 2 10" xfId="13105" xr:uid="{00000000-0005-0000-0000-00008A210000}"/>
    <cellStyle name="Normal 41 2 2" xfId="3198" xr:uid="{00000000-0005-0000-0000-00008B210000}"/>
    <cellStyle name="Normal 41 2 2 2" xfId="3199" xr:uid="{00000000-0005-0000-0000-00008C210000}"/>
    <cellStyle name="Normal 41 2 2 2 2" xfId="9890" xr:uid="{00000000-0005-0000-0000-00008D210000}"/>
    <cellStyle name="Normal 41 2 2 2 3" xfId="8288" xr:uid="{00000000-0005-0000-0000-00008E210000}"/>
    <cellStyle name="Normal 41 2 2 2 4" xfId="11500" xr:uid="{00000000-0005-0000-0000-00008F210000}"/>
    <cellStyle name="Normal 41 2 2 2 5" xfId="13107" xr:uid="{00000000-0005-0000-0000-000090210000}"/>
    <cellStyle name="Normal 41 2 2 3" xfId="3200" xr:uid="{00000000-0005-0000-0000-000091210000}"/>
    <cellStyle name="Normal 41 2 2 3 2" xfId="9891" xr:uid="{00000000-0005-0000-0000-000092210000}"/>
    <cellStyle name="Normal 41 2 2 3 3" xfId="8289" xr:uid="{00000000-0005-0000-0000-000093210000}"/>
    <cellStyle name="Normal 41 2 2 3 4" xfId="11501" xr:uid="{00000000-0005-0000-0000-000094210000}"/>
    <cellStyle name="Normal 41 2 2 3 5" xfId="13108" xr:uid="{00000000-0005-0000-0000-000095210000}"/>
    <cellStyle name="Normal 41 2 2 4" xfId="3201" xr:uid="{00000000-0005-0000-0000-000096210000}"/>
    <cellStyle name="Normal 41 2 2 4 2" xfId="9892" xr:uid="{00000000-0005-0000-0000-000097210000}"/>
    <cellStyle name="Normal 41 2 2 4 3" xfId="8290" xr:uid="{00000000-0005-0000-0000-000098210000}"/>
    <cellStyle name="Normal 41 2 2 4 4" xfId="11502" xr:uid="{00000000-0005-0000-0000-000099210000}"/>
    <cellStyle name="Normal 41 2 2 4 5" xfId="13109" xr:uid="{00000000-0005-0000-0000-00009A210000}"/>
    <cellStyle name="Normal 41 2 2 5" xfId="9889" xr:uid="{00000000-0005-0000-0000-00009B210000}"/>
    <cellStyle name="Normal 41 2 2 6" xfId="8287" xr:uid="{00000000-0005-0000-0000-00009C210000}"/>
    <cellStyle name="Normal 41 2 2 7" xfId="11499" xr:uid="{00000000-0005-0000-0000-00009D210000}"/>
    <cellStyle name="Normal 41 2 2 8" xfId="13106" xr:uid="{00000000-0005-0000-0000-00009E210000}"/>
    <cellStyle name="Normal 41 2 3" xfId="3202" xr:uid="{00000000-0005-0000-0000-00009F210000}"/>
    <cellStyle name="Normal 41 2 3 2" xfId="3203" xr:uid="{00000000-0005-0000-0000-0000A0210000}"/>
    <cellStyle name="Normal 41 2 3 2 2" xfId="9894" xr:uid="{00000000-0005-0000-0000-0000A1210000}"/>
    <cellStyle name="Normal 41 2 3 2 3" xfId="8292" xr:uid="{00000000-0005-0000-0000-0000A2210000}"/>
    <cellStyle name="Normal 41 2 3 2 4" xfId="11504" xr:uid="{00000000-0005-0000-0000-0000A3210000}"/>
    <cellStyle name="Normal 41 2 3 2 5" xfId="13111" xr:uid="{00000000-0005-0000-0000-0000A4210000}"/>
    <cellStyle name="Normal 41 2 3 3" xfId="3204" xr:uid="{00000000-0005-0000-0000-0000A5210000}"/>
    <cellStyle name="Normal 41 2 3 3 2" xfId="9895" xr:uid="{00000000-0005-0000-0000-0000A6210000}"/>
    <cellStyle name="Normal 41 2 3 3 3" xfId="8293" xr:uid="{00000000-0005-0000-0000-0000A7210000}"/>
    <cellStyle name="Normal 41 2 3 3 4" xfId="11505" xr:uid="{00000000-0005-0000-0000-0000A8210000}"/>
    <cellStyle name="Normal 41 2 3 3 5" xfId="13112" xr:uid="{00000000-0005-0000-0000-0000A9210000}"/>
    <cellStyle name="Normal 41 2 3 4" xfId="3205" xr:uid="{00000000-0005-0000-0000-0000AA210000}"/>
    <cellStyle name="Normal 41 2 3 4 2" xfId="9896" xr:uid="{00000000-0005-0000-0000-0000AB210000}"/>
    <cellStyle name="Normal 41 2 3 4 3" xfId="8294" xr:uid="{00000000-0005-0000-0000-0000AC210000}"/>
    <cellStyle name="Normal 41 2 3 4 4" xfId="11506" xr:uid="{00000000-0005-0000-0000-0000AD210000}"/>
    <cellStyle name="Normal 41 2 3 4 5" xfId="13113" xr:uid="{00000000-0005-0000-0000-0000AE210000}"/>
    <cellStyle name="Normal 41 2 3 5" xfId="9893" xr:uid="{00000000-0005-0000-0000-0000AF210000}"/>
    <cellStyle name="Normal 41 2 3 6" xfId="8291" xr:uid="{00000000-0005-0000-0000-0000B0210000}"/>
    <cellStyle name="Normal 41 2 3 7" xfId="11503" xr:uid="{00000000-0005-0000-0000-0000B1210000}"/>
    <cellStyle name="Normal 41 2 3 8" xfId="13110" xr:uid="{00000000-0005-0000-0000-0000B2210000}"/>
    <cellStyle name="Normal 41 2 4" xfId="3206" xr:uid="{00000000-0005-0000-0000-0000B3210000}"/>
    <cellStyle name="Normal 41 2 4 2" xfId="9897" xr:uid="{00000000-0005-0000-0000-0000B4210000}"/>
    <cellStyle name="Normal 41 2 4 3" xfId="8295" xr:uid="{00000000-0005-0000-0000-0000B5210000}"/>
    <cellStyle name="Normal 41 2 4 4" xfId="11507" xr:uid="{00000000-0005-0000-0000-0000B6210000}"/>
    <cellStyle name="Normal 41 2 4 5" xfId="13114" xr:uid="{00000000-0005-0000-0000-0000B7210000}"/>
    <cellStyle name="Normal 41 2 5" xfId="3207" xr:uid="{00000000-0005-0000-0000-0000B8210000}"/>
    <cellStyle name="Normal 41 2 5 2" xfId="9898" xr:uid="{00000000-0005-0000-0000-0000B9210000}"/>
    <cellStyle name="Normal 41 2 5 3" xfId="8296" xr:uid="{00000000-0005-0000-0000-0000BA210000}"/>
    <cellStyle name="Normal 41 2 5 4" xfId="11508" xr:uid="{00000000-0005-0000-0000-0000BB210000}"/>
    <cellStyle name="Normal 41 2 5 5" xfId="13115" xr:uid="{00000000-0005-0000-0000-0000BC210000}"/>
    <cellStyle name="Normal 41 2 6" xfId="3208" xr:uid="{00000000-0005-0000-0000-0000BD210000}"/>
    <cellStyle name="Normal 41 2 6 2" xfId="9899" xr:uid="{00000000-0005-0000-0000-0000BE210000}"/>
    <cellStyle name="Normal 41 2 6 3" xfId="8297" xr:uid="{00000000-0005-0000-0000-0000BF210000}"/>
    <cellStyle name="Normal 41 2 6 4" xfId="11509" xr:uid="{00000000-0005-0000-0000-0000C0210000}"/>
    <cellStyle name="Normal 41 2 6 5" xfId="13116" xr:uid="{00000000-0005-0000-0000-0000C1210000}"/>
    <cellStyle name="Normal 41 2 7" xfId="9888" xr:uid="{00000000-0005-0000-0000-0000C2210000}"/>
    <cellStyle name="Normal 41 2 8" xfId="8286" xr:uid="{00000000-0005-0000-0000-0000C3210000}"/>
    <cellStyle name="Normal 41 2 9" xfId="11498" xr:uid="{00000000-0005-0000-0000-0000C4210000}"/>
    <cellStyle name="Normal 41 3" xfId="3209" xr:uid="{00000000-0005-0000-0000-0000C5210000}"/>
    <cellStyle name="Normal 41 3 2" xfId="3210" xr:uid="{00000000-0005-0000-0000-0000C6210000}"/>
    <cellStyle name="Normal 41 3 2 2" xfId="9901" xr:uid="{00000000-0005-0000-0000-0000C7210000}"/>
    <cellStyle name="Normal 41 3 2 3" xfId="8299" xr:uid="{00000000-0005-0000-0000-0000C8210000}"/>
    <cellStyle name="Normal 41 3 2 4" xfId="11511" xr:uid="{00000000-0005-0000-0000-0000C9210000}"/>
    <cellStyle name="Normal 41 3 2 5" xfId="13118" xr:uid="{00000000-0005-0000-0000-0000CA210000}"/>
    <cellStyle name="Normal 41 3 3" xfId="3211" xr:uid="{00000000-0005-0000-0000-0000CB210000}"/>
    <cellStyle name="Normal 41 3 3 2" xfId="9902" xr:uid="{00000000-0005-0000-0000-0000CC210000}"/>
    <cellStyle name="Normal 41 3 3 3" xfId="8300" xr:uid="{00000000-0005-0000-0000-0000CD210000}"/>
    <cellStyle name="Normal 41 3 3 4" xfId="11512" xr:uid="{00000000-0005-0000-0000-0000CE210000}"/>
    <cellStyle name="Normal 41 3 3 5" xfId="13119" xr:uid="{00000000-0005-0000-0000-0000CF210000}"/>
    <cellStyle name="Normal 41 3 4" xfId="3212" xr:uid="{00000000-0005-0000-0000-0000D0210000}"/>
    <cellStyle name="Normal 41 3 4 2" xfId="9903" xr:uid="{00000000-0005-0000-0000-0000D1210000}"/>
    <cellStyle name="Normal 41 3 4 3" xfId="8301" xr:uid="{00000000-0005-0000-0000-0000D2210000}"/>
    <cellStyle name="Normal 41 3 4 4" xfId="11513" xr:uid="{00000000-0005-0000-0000-0000D3210000}"/>
    <cellStyle name="Normal 41 3 4 5" xfId="13120" xr:uid="{00000000-0005-0000-0000-0000D4210000}"/>
    <cellStyle name="Normal 41 3 5" xfId="9900" xr:uid="{00000000-0005-0000-0000-0000D5210000}"/>
    <cellStyle name="Normal 41 3 6" xfId="8298" xr:uid="{00000000-0005-0000-0000-0000D6210000}"/>
    <cellStyle name="Normal 41 3 7" xfId="11510" xr:uid="{00000000-0005-0000-0000-0000D7210000}"/>
    <cellStyle name="Normal 41 3 8" xfId="13117" xr:uid="{00000000-0005-0000-0000-0000D8210000}"/>
    <cellStyle name="Normal 41 4" xfId="3213" xr:uid="{00000000-0005-0000-0000-0000D9210000}"/>
    <cellStyle name="Normal 42" xfId="3214" xr:uid="{00000000-0005-0000-0000-0000DA210000}"/>
    <cellStyle name="Normal 42 2" xfId="3215" xr:uid="{00000000-0005-0000-0000-0000DB210000}"/>
    <cellStyle name="Normal 42 2 10" xfId="13121" xr:uid="{00000000-0005-0000-0000-0000DC210000}"/>
    <cellStyle name="Normal 42 2 2" xfId="3216" xr:uid="{00000000-0005-0000-0000-0000DD210000}"/>
    <cellStyle name="Normal 42 2 2 2" xfId="3217" xr:uid="{00000000-0005-0000-0000-0000DE210000}"/>
    <cellStyle name="Normal 42 2 2 2 2" xfId="9906" xr:uid="{00000000-0005-0000-0000-0000DF210000}"/>
    <cellStyle name="Normal 42 2 2 2 3" xfId="8304" xr:uid="{00000000-0005-0000-0000-0000E0210000}"/>
    <cellStyle name="Normal 42 2 2 2 4" xfId="11516" xr:uid="{00000000-0005-0000-0000-0000E1210000}"/>
    <cellStyle name="Normal 42 2 2 2 5" xfId="13123" xr:uid="{00000000-0005-0000-0000-0000E2210000}"/>
    <cellStyle name="Normal 42 2 2 3" xfId="3218" xr:uid="{00000000-0005-0000-0000-0000E3210000}"/>
    <cellStyle name="Normal 42 2 2 3 2" xfId="9907" xr:uid="{00000000-0005-0000-0000-0000E4210000}"/>
    <cellStyle name="Normal 42 2 2 3 3" xfId="8305" xr:uid="{00000000-0005-0000-0000-0000E5210000}"/>
    <cellStyle name="Normal 42 2 2 3 4" xfId="11517" xr:uid="{00000000-0005-0000-0000-0000E6210000}"/>
    <cellStyle name="Normal 42 2 2 3 5" xfId="13124" xr:uid="{00000000-0005-0000-0000-0000E7210000}"/>
    <cellStyle name="Normal 42 2 2 4" xfId="3219" xr:uid="{00000000-0005-0000-0000-0000E8210000}"/>
    <cellStyle name="Normal 42 2 2 4 2" xfId="9908" xr:uid="{00000000-0005-0000-0000-0000E9210000}"/>
    <cellStyle name="Normal 42 2 2 4 3" xfId="8306" xr:uid="{00000000-0005-0000-0000-0000EA210000}"/>
    <cellStyle name="Normal 42 2 2 4 4" xfId="11518" xr:uid="{00000000-0005-0000-0000-0000EB210000}"/>
    <cellStyle name="Normal 42 2 2 4 5" xfId="13125" xr:uid="{00000000-0005-0000-0000-0000EC210000}"/>
    <cellStyle name="Normal 42 2 2 5" xfId="9905" xr:uid="{00000000-0005-0000-0000-0000ED210000}"/>
    <cellStyle name="Normal 42 2 2 6" xfId="8303" xr:uid="{00000000-0005-0000-0000-0000EE210000}"/>
    <cellStyle name="Normal 42 2 2 7" xfId="11515" xr:uid="{00000000-0005-0000-0000-0000EF210000}"/>
    <cellStyle name="Normal 42 2 2 8" xfId="13122" xr:uid="{00000000-0005-0000-0000-0000F0210000}"/>
    <cellStyle name="Normal 42 2 3" xfId="3220" xr:uid="{00000000-0005-0000-0000-0000F1210000}"/>
    <cellStyle name="Normal 42 2 3 2" xfId="3221" xr:uid="{00000000-0005-0000-0000-0000F2210000}"/>
    <cellStyle name="Normal 42 2 3 2 2" xfId="9910" xr:uid="{00000000-0005-0000-0000-0000F3210000}"/>
    <cellStyle name="Normal 42 2 3 2 3" xfId="8308" xr:uid="{00000000-0005-0000-0000-0000F4210000}"/>
    <cellStyle name="Normal 42 2 3 2 4" xfId="11520" xr:uid="{00000000-0005-0000-0000-0000F5210000}"/>
    <cellStyle name="Normal 42 2 3 2 5" xfId="13127" xr:uid="{00000000-0005-0000-0000-0000F6210000}"/>
    <cellStyle name="Normal 42 2 3 3" xfId="3222" xr:uid="{00000000-0005-0000-0000-0000F7210000}"/>
    <cellStyle name="Normal 42 2 3 3 2" xfId="9911" xr:uid="{00000000-0005-0000-0000-0000F8210000}"/>
    <cellStyle name="Normal 42 2 3 3 3" xfId="8309" xr:uid="{00000000-0005-0000-0000-0000F9210000}"/>
    <cellStyle name="Normal 42 2 3 3 4" xfId="11521" xr:uid="{00000000-0005-0000-0000-0000FA210000}"/>
    <cellStyle name="Normal 42 2 3 3 5" xfId="13128" xr:uid="{00000000-0005-0000-0000-0000FB210000}"/>
    <cellStyle name="Normal 42 2 3 4" xfId="3223" xr:uid="{00000000-0005-0000-0000-0000FC210000}"/>
    <cellStyle name="Normal 42 2 3 4 2" xfId="9912" xr:uid="{00000000-0005-0000-0000-0000FD210000}"/>
    <cellStyle name="Normal 42 2 3 4 3" xfId="8310" xr:uid="{00000000-0005-0000-0000-0000FE210000}"/>
    <cellStyle name="Normal 42 2 3 4 4" xfId="11522" xr:uid="{00000000-0005-0000-0000-0000FF210000}"/>
    <cellStyle name="Normal 42 2 3 4 5" xfId="13129" xr:uid="{00000000-0005-0000-0000-000000220000}"/>
    <cellStyle name="Normal 42 2 3 5" xfId="9909" xr:uid="{00000000-0005-0000-0000-000001220000}"/>
    <cellStyle name="Normal 42 2 3 6" xfId="8307" xr:uid="{00000000-0005-0000-0000-000002220000}"/>
    <cellStyle name="Normal 42 2 3 7" xfId="11519" xr:uid="{00000000-0005-0000-0000-000003220000}"/>
    <cellStyle name="Normal 42 2 3 8" xfId="13126" xr:uid="{00000000-0005-0000-0000-000004220000}"/>
    <cellStyle name="Normal 42 2 4" xfId="3224" xr:uid="{00000000-0005-0000-0000-000005220000}"/>
    <cellStyle name="Normal 42 2 4 2" xfId="9913" xr:uid="{00000000-0005-0000-0000-000006220000}"/>
    <cellStyle name="Normal 42 2 4 3" xfId="8311" xr:uid="{00000000-0005-0000-0000-000007220000}"/>
    <cellStyle name="Normal 42 2 4 4" xfId="11523" xr:uid="{00000000-0005-0000-0000-000008220000}"/>
    <cellStyle name="Normal 42 2 4 5" xfId="13130" xr:uid="{00000000-0005-0000-0000-000009220000}"/>
    <cellStyle name="Normal 42 2 5" xfId="3225" xr:uid="{00000000-0005-0000-0000-00000A220000}"/>
    <cellStyle name="Normal 42 2 5 2" xfId="9914" xr:uid="{00000000-0005-0000-0000-00000B220000}"/>
    <cellStyle name="Normal 42 2 5 3" xfId="8312" xr:uid="{00000000-0005-0000-0000-00000C220000}"/>
    <cellStyle name="Normal 42 2 5 4" xfId="11524" xr:uid="{00000000-0005-0000-0000-00000D220000}"/>
    <cellStyle name="Normal 42 2 5 5" xfId="13131" xr:uid="{00000000-0005-0000-0000-00000E220000}"/>
    <cellStyle name="Normal 42 2 6" xfId="3226" xr:uid="{00000000-0005-0000-0000-00000F220000}"/>
    <cellStyle name="Normal 42 2 6 2" xfId="9915" xr:uid="{00000000-0005-0000-0000-000010220000}"/>
    <cellStyle name="Normal 42 2 6 3" xfId="8313" xr:uid="{00000000-0005-0000-0000-000011220000}"/>
    <cellStyle name="Normal 42 2 6 4" xfId="11525" xr:uid="{00000000-0005-0000-0000-000012220000}"/>
    <cellStyle name="Normal 42 2 6 5" xfId="13132" xr:uid="{00000000-0005-0000-0000-000013220000}"/>
    <cellStyle name="Normal 42 2 7" xfId="9904" xr:uid="{00000000-0005-0000-0000-000014220000}"/>
    <cellStyle name="Normal 42 2 8" xfId="8302" xr:uid="{00000000-0005-0000-0000-000015220000}"/>
    <cellStyle name="Normal 42 2 9" xfId="11514" xr:uid="{00000000-0005-0000-0000-000016220000}"/>
    <cellStyle name="Normal 42 3" xfId="3227" xr:uid="{00000000-0005-0000-0000-000017220000}"/>
    <cellStyle name="Normal 42 3 2" xfId="3228" xr:uid="{00000000-0005-0000-0000-000018220000}"/>
    <cellStyle name="Normal 42 3 2 2" xfId="9917" xr:uid="{00000000-0005-0000-0000-000019220000}"/>
    <cellStyle name="Normal 42 3 2 3" xfId="8315" xr:uid="{00000000-0005-0000-0000-00001A220000}"/>
    <cellStyle name="Normal 42 3 2 4" xfId="11527" xr:uid="{00000000-0005-0000-0000-00001B220000}"/>
    <cellStyle name="Normal 42 3 2 5" xfId="13134" xr:uid="{00000000-0005-0000-0000-00001C220000}"/>
    <cellStyle name="Normal 42 3 3" xfId="3229" xr:uid="{00000000-0005-0000-0000-00001D220000}"/>
    <cellStyle name="Normal 42 3 3 2" xfId="9918" xr:uid="{00000000-0005-0000-0000-00001E220000}"/>
    <cellStyle name="Normal 42 3 3 3" xfId="8316" xr:uid="{00000000-0005-0000-0000-00001F220000}"/>
    <cellStyle name="Normal 42 3 3 4" xfId="11528" xr:uid="{00000000-0005-0000-0000-000020220000}"/>
    <cellStyle name="Normal 42 3 3 5" xfId="13135" xr:uid="{00000000-0005-0000-0000-000021220000}"/>
    <cellStyle name="Normal 42 3 4" xfId="3230" xr:uid="{00000000-0005-0000-0000-000022220000}"/>
    <cellStyle name="Normal 42 3 4 2" xfId="9919" xr:uid="{00000000-0005-0000-0000-000023220000}"/>
    <cellStyle name="Normal 42 3 4 3" xfId="8317" xr:uid="{00000000-0005-0000-0000-000024220000}"/>
    <cellStyle name="Normal 42 3 4 4" xfId="11529" xr:uid="{00000000-0005-0000-0000-000025220000}"/>
    <cellStyle name="Normal 42 3 4 5" xfId="13136" xr:uid="{00000000-0005-0000-0000-000026220000}"/>
    <cellStyle name="Normal 42 3 5" xfId="9916" xr:uid="{00000000-0005-0000-0000-000027220000}"/>
    <cellStyle name="Normal 42 3 6" xfId="8314" xr:uid="{00000000-0005-0000-0000-000028220000}"/>
    <cellStyle name="Normal 42 3 7" xfId="11526" xr:uid="{00000000-0005-0000-0000-000029220000}"/>
    <cellStyle name="Normal 42 3 8" xfId="13133" xr:uid="{00000000-0005-0000-0000-00002A220000}"/>
    <cellStyle name="Normal 42 4" xfId="3231" xr:uid="{00000000-0005-0000-0000-00002B220000}"/>
    <cellStyle name="Normal 43" xfId="3232" xr:uid="{00000000-0005-0000-0000-00002C220000}"/>
    <cellStyle name="Normal 43 2" xfId="3233" xr:uid="{00000000-0005-0000-0000-00002D220000}"/>
    <cellStyle name="Normal 44" xfId="3234" xr:uid="{00000000-0005-0000-0000-00002E220000}"/>
    <cellStyle name="Normal 44 2" xfId="3235" xr:uid="{00000000-0005-0000-0000-00002F220000}"/>
    <cellStyle name="Normal 45" xfId="3236" xr:uid="{00000000-0005-0000-0000-000030220000}"/>
    <cellStyle name="Normal 45 2" xfId="3237" xr:uid="{00000000-0005-0000-0000-000031220000}"/>
    <cellStyle name="Normal 45 2 2" xfId="3238" xr:uid="{00000000-0005-0000-0000-000032220000}"/>
    <cellStyle name="Normal 45 2 2 2" xfId="9921" xr:uid="{00000000-0005-0000-0000-000033220000}"/>
    <cellStyle name="Normal 45 2 2 3" xfId="8319" xr:uid="{00000000-0005-0000-0000-000034220000}"/>
    <cellStyle name="Normal 45 2 2 4" xfId="11531" xr:uid="{00000000-0005-0000-0000-000035220000}"/>
    <cellStyle name="Normal 45 2 2 5" xfId="13138" xr:uid="{00000000-0005-0000-0000-000036220000}"/>
    <cellStyle name="Normal 45 2 3" xfId="3239" xr:uid="{00000000-0005-0000-0000-000037220000}"/>
    <cellStyle name="Normal 45 2 3 2" xfId="9922" xr:uid="{00000000-0005-0000-0000-000038220000}"/>
    <cellStyle name="Normal 45 2 3 3" xfId="8320" xr:uid="{00000000-0005-0000-0000-000039220000}"/>
    <cellStyle name="Normal 45 2 3 4" xfId="11532" xr:uid="{00000000-0005-0000-0000-00003A220000}"/>
    <cellStyle name="Normal 45 2 3 5" xfId="13139" xr:uid="{00000000-0005-0000-0000-00003B220000}"/>
    <cellStyle name="Normal 45 2 4" xfId="3240" xr:uid="{00000000-0005-0000-0000-00003C220000}"/>
    <cellStyle name="Normal 45 2 4 2" xfId="9923" xr:uid="{00000000-0005-0000-0000-00003D220000}"/>
    <cellStyle name="Normal 45 2 4 3" xfId="8321" xr:uid="{00000000-0005-0000-0000-00003E220000}"/>
    <cellStyle name="Normal 45 2 4 4" xfId="11533" xr:uid="{00000000-0005-0000-0000-00003F220000}"/>
    <cellStyle name="Normal 45 2 4 5" xfId="13140" xr:uid="{00000000-0005-0000-0000-000040220000}"/>
    <cellStyle name="Normal 45 2 5" xfId="9920" xr:uid="{00000000-0005-0000-0000-000041220000}"/>
    <cellStyle name="Normal 45 2 6" xfId="8318" xr:uid="{00000000-0005-0000-0000-000042220000}"/>
    <cellStyle name="Normal 45 2 7" xfId="11530" xr:uid="{00000000-0005-0000-0000-000043220000}"/>
    <cellStyle name="Normal 45 2 8" xfId="13137" xr:uid="{00000000-0005-0000-0000-000044220000}"/>
    <cellStyle name="Normal 45 3" xfId="3241" xr:uid="{00000000-0005-0000-0000-000045220000}"/>
    <cellStyle name="Normal 46" xfId="3242" xr:uid="{00000000-0005-0000-0000-000046220000}"/>
    <cellStyle name="Normal 46 10" xfId="13141" xr:uid="{00000000-0005-0000-0000-000047220000}"/>
    <cellStyle name="Normal 46 2" xfId="3243" xr:uid="{00000000-0005-0000-0000-000048220000}"/>
    <cellStyle name="Normal 46 2 2" xfId="3244" xr:uid="{00000000-0005-0000-0000-000049220000}"/>
    <cellStyle name="Normal 46 2 2 2" xfId="9926" xr:uid="{00000000-0005-0000-0000-00004A220000}"/>
    <cellStyle name="Normal 46 2 2 3" xfId="8324" xr:uid="{00000000-0005-0000-0000-00004B220000}"/>
    <cellStyle name="Normal 46 2 2 4" xfId="11536" xr:uid="{00000000-0005-0000-0000-00004C220000}"/>
    <cellStyle name="Normal 46 2 2 5" xfId="13143" xr:uid="{00000000-0005-0000-0000-00004D220000}"/>
    <cellStyle name="Normal 46 2 3" xfId="3245" xr:uid="{00000000-0005-0000-0000-00004E220000}"/>
    <cellStyle name="Normal 46 2 3 2" xfId="9927" xr:uid="{00000000-0005-0000-0000-00004F220000}"/>
    <cellStyle name="Normal 46 2 3 3" xfId="8325" xr:uid="{00000000-0005-0000-0000-000050220000}"/>
    <cellStyle name="Normal 46 2 3 4" xfId="11537" xr:uid="{00000000-0005-0000-0000-000051220000}"/>
    <cellStyle name="Normal 46 2 3 5" xfId="13144" xr:uid="{00000000-0005-0000-0000-000052220000}"/>
    <cellStyle name="Normal 46 2 4" xfId="3246" xr:uid="{00000000-0005-0000-0000-000053220000}"/>
    <cellStyle name="Normal 46 2 4 2" xfId="9928" xr:uid="{00000000-0005-0000-0000-000054220000}"/>
    <cellStyle name="Normal 46 2 4 3" xfId="8326" xr:uid="{00000000-0005-0000-0000-000055220000}"/>
    <cellStyle name="Normal 46 2 4 4" xfId="11538" xr:uid="{00000000-0005-0000-0000-000056220000}"/>
    <cellStyle name="Normal 46 2 4 5" xfId="13145" xr:uid="{00000000-0005-0000-0000-000057220000}"/>
    <cellStyle name="Normal 46 2 5" xfId="9925" xr:uid="{00000000-0005-0000-0000-000058220000}"/>
    <cellStyle name="Normal 46 2 6" xfId="8323" xr:uid="{00000000-0005-0000-0000-000059220000}"/>
    <cellStyle name="Normal 46 2 7" xfId="11535" xr:uid="{00000000-0005-0000-0000-00005A220000}"/>
    <cellStyle name="Normal 46 2 8" xfId="13142" xr:uid="{00000000-0005-0000-0000-00005B220000}"/>
    <cellStyle name="Normal 46 3" xfId="3247" xr:uid="{00000000-0005-0000-0000-00005C220000}"/>
    <cellStyle name="Normal 46 3 2" xfId="3248" xr:uid="{00000000-0005-0000-0000-00005D220000}"/>
    <cellStyle name="Normal 46 3 2 2" xfId="9930" xr:uid="{00000000-0005-0000-0000-00005E220000}"/>
    <cellStyle name="Normal 46 3 2 3" xfId="8328" xr:uid="{00000000-0005-0000-0000-00005F220000}"/>
    <cellStyle name="Normal 46 3 2 4" xfId="11540" xr:uid="{00000000-0005-0000-0000-000060220000}"/>
    <cellStyle name="Normal 46 3 2 5" xfId="13147" xr:uid="{00000000-0005-0000-0000-000061220000}"/>
    <cellStyle name="Normal 46 3 3" xfId="3249" xr:uid="{00000000-0005-0000-0000-000062220000}"/>
    <cellStyle name="Normal 46 3 3 2" xfId="9931" xr:uid="{00000000-0005-0000-0000-000063220000}"/>
    <cellStyle name="Normal 46 3 3 3" xfId="8329" xr:uid="{00000000-0005-0000-0000-000064220000}"/>
    <cellStyle name="Normal 46 3 3 4" xfId="11541" xr:uid="{00000000-0005-0000-0000-000065220000}"/>
    <cellStyle name="Normal 46 3 3 5" xfId="13148" xr:uid="{00000000-0005-0000-0000-000066220000}"/>
    <cellStyle name="Normal 46 3 4" xfId="3250" xr:uid="{00000000-0005-0000-0000-000067220000}"/>
    <cellStyle name="Normal 46 3 4 2" xfId="9932" xr:uid="{00000000-0005-0000-0000-000068220000}"/>
    <cellStyle name="Normal 46 3 4 3" xfId="8330" xr:uid="{00000000-0005-0000-0000-000069220000}"/>
    <cellStyle name="Normal 46 3 4 4" xfId="11542" xr:uid="{00000000-0005-0000-0000-00006A220000}"/>
    <cellStyle name="Normal 46 3 4 5" xfId="13149" xr:uid="{00000000-0005-0000-0000-00006B220000}"/>
    <cellStyle name="Normal 46 3 5" xfId="9929" xr:uid="{00000000-0005-0000-0000-00006C220000}"/>
    <cellStyle name="Normal 46 3 6" xfId="8327" xr:uid="{00000000-0005-0000-0000-00006D220000}"/>
    <cellStyle name="Normal 46 3 7" xfId="11539" xr:uid="{00000000-0005-0000-0000-00006E220000}"/>
    <cellStyle name="Normal 46 3 8" xfId="13146" xr:uid="{00000000-0005-0000-0000-00006F220000}"/>
    <cellStyle name="Normal 46 4" xfId="3251" xr:uid="{00000000-0005-0000-0000-000070220000}"/>
    <cellStyle name="Normal 46 4 2" xfId="9933" xr:uid="{00000000-0005-0000-0000-000071220000}"/>
    <cellStyle name="Normal 46 4 3" xfId="8331" xr:uid="{00000000-0005-0000-0000-000072220000}"/>
    <cellStyle name="Normal 46 4 4" xfId="11543" xr:uid="{00000000-0005-0000-0000-000073220000}"/>
    <cellStyle name="Normal 46 4 5" xfId="13150" xr:uid="{00000000-0005-0000-0000-000074220000}"/>
    <cellStyle name="Normal 46 5" xfId="3252" xr:uid="{00000000-0005-0000-0000-000075220000}"/>
    <cellStyle name="Normal 46 5 2" xfId="9934" xr:uid="{00000000-0005-0000-0000-000076220000}"/>
    <cellStyle name="Normal 46 5 3" xfId="8332" xr:uid="{00000000-0005-0000-0000-000077220000}"/>
    <cellStyle name="Normal 46 5 4" xfId="11544" xr:uid="{00000000-0005-0000-0000-000078220000}"/>
    <cellStyle name="Normal 46 5 5" xfId="13151" xr:uid="{00000000-0005-0000-0000-000079220000}"/>
    <cellStyle name="Normal 46 6" xfId="3253" xr:uid="{00000000-0005-0000-0000-00007A220000}"/>
    <cellStyle name="Normal 46 6 2" xfId="9935" xr:uid="{00000000-0005-0000-0000-00007B220000}"/>
    <cellStyle name="Normal 46 6 3" xfId="8333" xr:uid="{00000000-0005-0000-0000-00007C220000}"/>
    <cellStyle name="Normal 46 6 4" xfId="11545" xr:uid="{00000000-0005-0000-0000-00007D220000}"/>
    <cellStyle name="Normal 46 6 5" xfId="13152" xr:uid="{00000000-0005-0000-0000-00007E220000}"/>
    <cellStyle name="Normal 46 7" xfId="9924" xr:uid="{00000000-0005-0000-0000-00007F220000}"/>
    <cellStyle name="Normal 46 8" xfId="8322" xr:uid="{00000000-0005-0000-0000-000080220000}"/>
    <cellStyle name="Normal 46 9" xfId="11534" xr:uid="{00000000-0005-0000-0000-000081220000}"/>
    <cellStyle name="Normal 47" xfId="3254" xr:uid="{00000000-0005-0000-0000-000082220000}"/>
    <cellStyle name="Normal 47 10" xfId="13153" xr:uid="{00000000-0005-0000-0000-000083220000}"/>
    <cellStyle name="Normal 47 2" xfId="3255" xr:uid="{00000000-0005-0000-0000-000084220000}"/>
    <cellStyle name="Normal 47 2 2" xfId="3256" xr:uid="{00000000-0005-0000-0000-000085220000}"/>
    <cellStyle name="Normal 47 2 2 2" xfId="9938" xr:uid="{00000000-0005-0000-0000-000086220000}"/>
    <cellStyle name="Normal 47 2 2 3" xfId="8336" xr:uid="{00000000-0005-0000-0000-000087220000}"/>
    <cellStyle name="Normal 47 2 2 4" xfId="11548" xr:uid="{00000000-0005-0000-0000-000088220000}"/>
    <cellStyle name="Normal 47 2 2 5" xfId="13155" xr:uid="{00000000-0005-0000-0000-000089220000}"/>
    <cellStyle name="Normal 47 2 3" xfId="3257" xr:uid="{00000000-0005-0000-0000-00008A220000}"/>
    <cellStyle name="Normal 47 2 3 2" xfId="9939" xr:uid="{00000000-0005-0000-0000-00008B220000}"/>
    <cellStyle name="Normal 47 2 3 3" xfId="8337" xr:uid="{00000000-0005-0000-0000-00008C220000}"/>
    <cellStyle name="Normal 47 2 3 4" xfId="11549" xr:uid="{00000000-0005-0000-0000-00008D220000}"/>
    <cellStyle name="Normal 47 2 3 5" xfId="13156" xr:uid="{00000000-0005-0000-0000-00008E220000}"/>
    <cellStyle name="Normal 47 2 4" xfId="3258" xr:uid="{00000000-0005-0000-0000-00008F220000}"/>
    <cellStyle name="Normal 47 2 4 2" xfId="9940" xr:uid="{00000000-0005-0000-0000-000090220000}"/>
    <cellStyle name="Normal 47 2 4 3" xfId="8338" xr:uid="{00000000-0005-0000-0000-000091220000}"/>
    <cellStyle name="Normal 47 2 4 4" xfId="11550" xr:uid="{00000000-0005-0000-0000-000092220000}"/>
    <cellStyle name="Normal 47 2 4 5" xfId="13157" xr:uid="{00000000-0005-0000-0000-000093220000}"/>
    <cellStyle name="Normal 47 2 5" xfId="9937" xr:uid="{00000000-0005-0000-0000-000094220000}"/>
    <cellStyle name="Normal 47 2 6" xfId="8335" xr:uid="{00000000-0005-0000-0000-000095220000}"/>
    <cellStyle name="Normal 47 2 7" xfId="11547" xr:uid="{00000000-0005-0000-0000-000096220000}"/>
    <cellStyle name="Normal 47 2 8" xfId="13154" xr:uid="{00000000-0005-0000-0000-000097220000}"/>
    <cellStyle name="Normal 47 3" xfId="3259" xr:uid="{00000000-0005-0000-0000-000098220000}"/>
    <cellStyle name="Normal 47 3 2" xfId="3260" xr:uid="{00000000-0005-0000-0000-000099220000}"/>
    <cellStyle name="Normal 47 3 2 2" xfId="9942" xr:uid="{00000000-0005-0000-0000-00009A220000}"/>
    <cellStyle name="Normal 47 3 2 3" xfId="8340" xr:uid="{00000000-0005-0000-0000-00009B220000}"/>
    <cellStyle name="Normal 47 3 2 4" xfId="11552" xr:uid="{00000000-0005-0000-0000-00009C220000}"/>
    <cellStyle name="Normal 47 3 2 5" xfId="13159" xr:uid="{00000000-0005-0000-0000-00009D220000}"/>
    <cellStyle name="Normal 47 3 3" xfId="3261" xr:uid="{00000000-0005-0000-0000-00009E220000}"/>
    <cellStyle name="Normal 47 3 3 2" xfId="9943" xr:uid="{00000000-0005-0000-0000-00009F220000}"/>
    <cellStyle name="Normal 47 3 3 3" xfId="8341" xr:uid="{00000000-0005-0000-0000-0000A0220000}"/>
    <cellStyle name="Normal 47 3 3 4" xfId="11553" xr:uid="{00000000-0005-0000-0000-0000A1220000}"/>
    <cellStyle name="Normal 47 3 3 5" xfId="13160" xr:uid="{00000000-0005-0000-0000-0000A2220000}"/>
    <cellStyle name="Normal 47 3 4" xfId="3262" xr:uid="{00000000-0005-0000-0000-0000A3220000}"/>
    <cellStyle name="Normal 47 3 4 2" xfId="9944" xr:uid="{00000000-0005-0000-0000-0000A4220000}"/>
    <cellStyle name="Normal 47 3 4 3" xfId="8342" xr:uid="{00000000-0005-0000-0000-0000A5220000}"/>
    <cellStyle name="Normal 47 3 4 4" xfId="11554" xr:uid="{00000000-0005-0000-0000-0000A6220000}"/>
    <cellStyle name="Normal 47 3 4 5" xfId="13161" xr:uid="{00000000-0005-0000-0000-0000A7220000}"/>
    <cellStyle name="Normal 47 3 5" xfId="9941" xr:uid="{00000000-0005-0000-0000-0000A8220000}"/>
    <cellStyle name="Normal 47 3 6" xfId="8339" xr:uid="{00000000-0005-0000-0000-0000A9220000}"/>
    <cellStyle name="Normal 47 3 7" xfId="11551" xr:uid="{00000000-0005-0000-0000-0000AA220000}"/>
    <cellStyle name="Normal 47 3 8" xfId="13158" xr:uid="{00000000-0005-0000-0000-0000AB220000}"/>
    <cellStyle name="Normal 47 4" xfId="3263" xr:uid="{00000000-0005-0000-0000-0000AC220000}"/>
    <cellStyle name="Normal 47 4 2" xfId="9945" xr:uid="{00000000-0005-0000-0000-0000AD220000}"/>
    <cellStyle name="Normal 47 4 3" xfId="8343" xr:uid="{00000000-0005-0000-0000-0000AE220000}"/>
    <cellStyle name="Normal 47 4 4" xfId="11555" xr:uid="{00000000-0005-0000-0000-0000AF220000}"/>
    <cellStyle name="Normal 47 4 5" xfId="13162" xr:uid="{00000000-0005-0000-0000-0000B0220000}"/>
    <cellStyle name="Normal 47 5" xfId="3264" xr:uid="{00000000-0005-0000-0000-0000B1220000}"/>
    <cellStyle name="Normal 47 5 2" xfId="9946" xr:uid="{00000000-0005-0000-0000-0000B2220000}"/>
    <cellStyle name="Normal 47 5 3" xfId="8344" xr:uid="{00000000-0005-0000-0000-0000B3220000}"/>
    <cellStyle name="Normal 47 5 4" xfId="11556" xr:uid="{00000000-0005-0000-0000-0000B4220000}"/>
    <cellStyle name="Normal 47 5 5" xfId="13163" xr:uid="{00000000-0005-0000-0000-0000B5220000}"/>
    <cellStyle name="Normal 47 6" xfId="3265" xr:uid="{00000000-0005-0000-0000-0000B6220000}"/>
    <cellStyle name="Normal 47 6 2" xfId="9947" xr:uid="{00000000-0005-0000-0000-0000B7220000}"/>
    <cellStyle name="Normal 47 6 3" xfId="8345" xr:uid="{00000000-0005-0000-0000-0000B8220000}"/>
    <cellStyle name="Normal 47 6 4" xfId="11557" xr:uid="{00000000-0005-0000-0000-0000B9220000}"/>
    <cellStyle name="Normal 47 6 5" xfId="13164" xr:uid="{00000000-0005-0000-0000-0000BA220000}"/>
    <cellStyle name="Normal 47 7" xfId="9936" xr:uid="{00000000-0005-0000-0000-0000BB220000}"/>
    <cellStyle name="Normal 47 8" xfId="8334" xr:uid="{00000000-0005-0000-0000-0000BC220000}"/>
    <cellStyle name="Normal 47 9" xfId="11546" xr:uid="{00000000-0005-0000-0000-0000BD220000}"/>
    <cellStyle name="Normal 471 2" xfId="4898" xr:uid="{00000000-0005-0000-0000-0000BE220000}"/>
    <cellStyle name="Normal 471 2 2" xfId="10446" xr:uid="{00000000-0005-0000-0000-0000BF220000}"/>
    <cellStyle name="Normal 471 2 3" xfId="9032" xr:uid="{00000000-0005-0000-0000-0000C0220000}"/>
    <cellStyle name="Normal 471 2 4" xfId="12237" xr:uid="{00000000-0005-0000-0000-0000C1220000}"/>
    <cellStyle name="Normal 471 2 5" xfId="13846" xr:uid="{00000000-0005-0000-0000-0000C2220000}"/>
    <cellStyle name="Normal 48" xfId="3266" xr:uid="{00000000-0005-0000-0000-0000C3220000}"/>
    <cellStyle name="Normal 48 10" xfId="13165" xr:uid="{00000000-0005-0000-0000-0000C4220000}"/>
    <cellStyle name="Normal 48 2" xfId="3267" xr:uid="{00000000-0005-0000-0000-0000C5220000}"/>
    <cellStyle name="Normal 48 2 2" xfId="3268" xr:uid="{00000000-0005-0000-0000-0000C6220000}"/>
    <cellStyle name="Normal 48 2 2 2" xfId="9950" xr:uid="{00000000-0005-0000-0000-0000C7220000}"/>
    <cellStyle name="Normal 48 2 2 3" xfId="8348" xr:uid="{00000000-0005-0000-0000-0000C8220000}"/>
    <cellStyle name="Normal 48 2 2 4" xfId="11560" xr:uid="{00000000-0005-0000-0000-0000C9220000}"/>
    <cellStyle name="Normal 48 2 2 5" xfId="13167" xr:uid="{00000000-0005-0000-0000-0000CA220000}"/>
    <cellStyle name="Normal 48 2 3" xfId="3269" xr:uid="{00000000-0005-0000-0000-0000CB220000}"/>
    <cellStyle name="Normal 48 2 3 2" xfId="9951" xr:uid="{00000000-0005-0000-0000-0000CC220000}"/>
    <cellStyle name="Normal 48 2 3 3" xfId="8349" xr:uid="{00000000-0005-0000-0000-0000CD220000}"/>
    <cellStyle name="Normal 48 2 3 4" xfId="11561" xr:uid="{00000000-0005-0000-0000-0000CE220000}"/>
    <cellStyle name="Normal 48 2 3 5" xfId="13168" xr:uid="{00000000-0005-0000-0000-0000CF220000}"/>
    <cellStyle name="Normal 48 2 4" xfId="3270" xr:uid="{00000000-0005-0000-0000-0000D0220000}"/>
    <cellStyle name="Normal 48 2 4 2" xfId="9952" xr:uid="{00000000-0005-0000-0000-0000D1220000}"/>
    <cellStyle name="Normal 48 2 4 3" xfId="8350" xr:uid="{00000000-0005-0000-0000-0000D2220000}"/>
    <cellStyle name="Normal 48 2 4 4" xfId="11562" xr:uid="{00000000-0005-0000-0000-0000D3220000}"/>
    <cellStyle name="Normal 48 2 4 5" xfId="13169" xr:uid="{00000000-0005-0000-0000-0000D4220000}"/>
    <cellStyle name="Normal 48 2 5" xfId="9949" xr:uid="{00000000-0005-0000-0000-0000D5220000}"/>
    <cellStyle name="Normal 48 2 6" xfId="8347" xr:uid="{00000000-0005-0000-0000-0000D6220000}"/>
    <cellStyle name="Normal 48 2 7" xfId="11559" xr:uid="{00000000-0005-0000-0000-0000D7220000}"/>
    <cellStyle name="Normal 48 2 8" xfId="13166" xr:uid="{00000000-0005-0000-0000-0000D8220000}"/>
    <cellStyle name="Normal 48 3" xfId="3271" xr:uid="{00000000-0005-0000-0000-0000D9220000}"/>
    <cellStyle name="Normal 48 3 2" xfId="3272" xr:uid="{00000000-0005-0000-0000-0000DA220000}"/>
    <cellStyle name="Normal 48 3 2 2" xfId="9954" xr:uid="{00000000-0005-0000-0000-0000DB220000}"/>
    <cellStyle name="Normal 48 3 2 3" xfId="8352" xr:uid="{00000000-0005-0000-0000-0000DC220000}"/>
    <cellStyle name="Normal 48 3 2 4" xfId="11564" xr:uid="{00000000-0005-0000-0000-0000DD220000}"/>
    <cellStyle name="Normal 48 3 2 5" xfId="13171" xr:uid="{00000000-0005-0000-0000-0000DE220000}"/>
    <cellStyle name="Normal 48 3 3" xfId="3273" xr:uid="{00000000-0005-0000-0000-0000DF220000}"/>
    <cellStyle name="Normal 48 3 3 2" xfId="9955" xr:uid="{00000000-0005-0000-0000-0000E0220000}"/>
    <cellStyle name="Normal 48 3 3 3" xfId="8353" xr:uid="{00000000-0005-0000-0000-0000E1220000}"/>
    <cellStyle name="Normal 48 3 3 4" xfId="11565" xr:uid="{00000000-0005-0000-0000-0000E2220000}"/>
    <cellStyle name="Normal 48 3 3 5" xfId="13172" xr:uid="{00000000-0005-0000-0000-0000E3220000}"/>
    <cellStyle name="Normal 48 3 4" xfId="3274" xr:uid="{00000000-0005-0000-0000-0000E4220000}"/>
    <cellStyle name="Normal 48 3 4 2" xfId="9956" xr:uid="{00000000-0005-0000-0000-0000E5220000}"/>
    <cellStyle name="Normal 48 3 4 3" xfId="8354" xr:uid="{00000000-0005-0000-0000-0000E6220000}"/>
    <cellStyle name="Normal 48 3 4 4" xfId="11566" xr:uid="{00000000-0005-0000-0000-0000E7220000}"/>
    <cellStyle name="Normal 48 3 4 5" xfId="13173" xr:uid="{00000000-0005-0000-0000-0000E8220000}"/>
    <cellStyle name="Normal 48 3 5" xfId="9953" xr:uid="{00000000-0005-0000-0000-0000E9220000}"/>
    <cellStyle name="Normal 48 3 6" xfId="8351" xr:uid="{00000000-0005-0000-0000-0000EA220000}"/>
    <cellStyle name="Normal 48 3 7" xfId="11563" xr:uid="{00000000-0005-0000-0000-0000EB220000}"/>
    <cellStyle name="Normal 48 3 8" xfId="13170" xr:uid="{00000000-0005-0000-0000-0000EC220000}"/>
    <cellStyle name="Normal 48 4" xfId="3275" xr:uid="{00000000-0005-0000-0000-0000ED220000}"/>
    <cellStyle name="Normal 48 4 2" xfId="9957" xr:uid="{00000000-0005-0000-0000-0000EE220000}"/>
    <cellStyle name="Normal 48 4 3" xfId="8355" xr:uid="{00000000-0005-0000-0000-0000EF220000}"/>
    <cellStyle name="Normal 48 4 4" xfId="11567" xr:uid="{00000000-0005-0000-0000-0000F0220000}"/>
    <cellStyle name="Normal 48 4 5" xfId="13174" xr:uid="{00000000-0005-0000-0000-0000F1220000}"/>
    <cellStyle name="Normal 48 5" xfId="3276" xr:uid="{00000000-0005-0000-0000-0000F2220000}"/>
    <cellStyle name="Normal 48 5 2" xfId="9958" xr:uid="{00000000-0005-0000-0000-0000F3220000}"/>
    <cellStyle name="Normal 48 5 3" xfId="8356" xr:uid="{00000000-0005-0000-0000-0000F4220000}"/>
    <cellStyle name="Normal 48 5 4" xfId="11568" xr:uid="{00000000-0005-0000-0000-0000F5220000}"/>
    <cellStyle name="Normal 48 5 5" xfId="13175" xr:uid="{00000000-0005-0000-0000-0000F6220000}"/>
    <cellStyle name="Normal 48 6" xfId="3277" xr:uid="{00000000-0005-0000-0000-0000F7220000}"/>
    <cellStyle name="Normal 48 6 2" xfId="9959" xr:uid="{00000000-0005-0000-0000-0000F8220000}"/>
    <cellStyle name="Normal 48 6 3" xfId="8357" xr:uid="{00000000-0005-0000-0000-0000F9220000}"/>
    <cellStyle name="Normal 48 6 4" xfId="11569" xr:uid="{00000000-0005-0000-0000-0000FA220000}"/>
    <cellStyle name="Normal 48 6 5" xfId="13176" xr:uid="{00000000-0005-0000-0000-0000FB220000}"/>
    <cellStyle name="Normal 48 7" xfId="9948" xr:uid="{00000000-0005-0000-0000-0000FC220000}"/>
    <cellStyle name="Normal 48 8" xfId="8346" xr:uid="{00000000-0005-0000-0000-0000FD220000}"/>
    <cellStyle name="Normal 48 9" xfId="11558" xr:uid="{00000000-0005-0000-0000-0000FE220000}"/>
    <cellStyle name="Normal 49" xfId="3278" xr:uid="{00000000-0005-0000-0000-0000FF220000}"/>
    <cellStyle name="Normal 49 10" xfId="13177" xr:uid="{00000000-0005-0000-0000-000000230000}"/>
    <cellStyle name="Normal 49 2" xfId="3279" xr:uid="{00000000-0005-0000-0000-000001230000}"/>
    <cellStyle name="Normal 49 2 2" xfId="3280" xr:uid="{00000000-0005-0000-0000-000002230000}"/>
    <cellStyle name="Normal 49 2 2 2" xfId="9962" xr:uid="{00000000-0005-0000-0000-000003230000}"/>
    <cellStyle name="Normal 49 2 2 3" xfId="8360" xr:uid="{00000000-0005-0000-0000-000004230000}"/>
    <cellStyle name="Normal 49 2 2 4" xfId="11572" xr:uid="{00000000-0005-0000-0000-000005230000}"/>
    <cellStyle name="Normal 49 2 2 5" xfId="13179" xr:uid="{00000000-0005-0000-0000-000006230000}"/>
    <cellStyle name="Normal 49 2 3" xfId="3281" xr:uid="{00000000-0005-0000-0000-000007230000}"/>
    <cellStyle name="Normal 49 2 3 2" xfId="9963" xr:uid="{00000000-0005-0000-0000-000008230000}"/>
    <cellStyle name="Normal 49 2 3 3" xfId="8361" xr:uid="{00000000-0005-0000-0000-000009230000}"/>
    <cellStyle name="Normal 49 2 3 4" xfId="11573" xr:uid="{00000000-0005-0000-0000-00000A230000}"/>
    <cellStyle name="Normal 49 2 3 5" xfId="13180" xr:uid="{00000000-0005-0000-0000-00000B230000}"/>
    <cellStyle name="Normal 49 2 4" xfId="3282" xr:uid="{00000000-0005-0000-0000-00000C230000}"/>
    <cellStyle name="Normal 49 2 4 2" xfId="9964" xr:uid="{00000000-0005-0000-0000-00000D230000}"/>
    <cellStyle name="Normal 49 2 4 3" xfId="8362" xr:uid="{00000000-0005-0000-0000-00000E230000}"/>
    <cellStyle name="Normal 49 2 4 4" xfId="11574" xr:uid="{00000000-0005-0000-0000-00000F230000}"/>
    <cellStyle name="Normal 49 2 4 5" xfId="13181" xr:uid="{00000000-0005-0000-0000-000010230000}"/>
    <cellStyle name="Normal 49 2 5" xfId="9961" xr:uid="{00000000-0005-0000-0000-000011230000}"/>
    <cellStyle name="Normal 49 2 6" xfId="8359" xr:uid="{00000000-0005-0000-0000-000012230000}"/>
    <cellStyle name="Normal 49 2 7" xfId="11571" xr:uid="{00000000-0005-0000-0000-000013230000}"/>
    <cellStyle name="Normal 49 2 8" xfId="13178" xr:uid="{00000000-0005-0000-0000-000014230000}"/>
    <cellStyle name="Normal 49 3" xfId="3283" xr:uid="{00000000-0005-0000-0000-000015230000}"/>
    <cellStyle name="Normal 49 3 2" xfId="3284" xr:uid="{00000000-0005-0000-0000-000016230000}"/>
    <cellStyle name="Normal 49 3 2 2" xfId="9966" xr:uid="{00000000-0005-0000-0000-000017230000}"/>
    <cellStyle name="Normal 49 3 2 3" xfId="8364" xr:uid="{00000000-0005-0000-0000-000018230000}"/>
    <cellStyle name="Normal 49 3 2 4" xfId="11576" xr:uid="{00000000-0005-0000-0000-000019230000}"/>
    <cellStyle name="Normal 49 3 2 5" xfId="13183" xr:uid="{00000000-0005-0000-0000-00001A230000}"/>
    <cellStyle name="Normal 49 3 3" xfId="3285" xr:uid="{00000000-0005-0000-0000-00001B230000}"/>
    <cellStyle name="Normal 49 3 3 2" xfId="9967" xr:uid="{00000000-0005-0000-0000-00001C230000}"/>
    <cellStyle name="Normal 49 3 3 3" xfId="8365" xr:uid="{00000000-0005-0000-0000-00001D230000}"/>
    <cellStyle name="Normal 49 3 3 4" xfId="11577" xr:uid="{00000000-0005-0000-0000-00001E230000}"/>
    <cellStyle name="Normal 49 3 3 5" xfId="13184" xr:uid="{00000000-0005-0000-0000-00001F230000}"/>
    <cellStyle name="Normal 49 3 4" xfId="3286" xr:uid="{00000000-0005-0000-0000-000020230000}"/>
    <cellStyle name="Normal 49 3 4 2" xfId="9968" xr:uid="{00000000-0005-0000-0000-000021230000}"/>
    <cellStyle name="Normal 49 3 4 3" xfId="8366" xr:uid="{00000000-0005-0000-0000-000022230000}"/>
    <cellStyle name="Normal 49 3 4 4" xfId="11578" xr:uid="{00000000-0005-0000-0000-000023230000}"/>
    <cellStyle name="Normal 49 3 4 5" xfId="13185" xr:uid="{00000000-0005-0000-0000-000024230000}"/>
    <cellStyle name="Normal 49 3 5" xfId="9965" xr:uid="{00000000-0005-0000-0000-000025230000}"/>
    <cellStyle name="Normal 49 3 6" xfId="8363" xr:uid="{00000000-0005-0000-0000-000026230000}"/>
    <cellStyle name="Normal 49 3 7" xfId="11575" xr:uid="{00000000-0005-0000-0000-000027230000}"/>
    <cellStyle name="Normal 49 3 8" xfId="13182" xr:uid="{00000000-0005-0000-0000-000028230000}"/>
    <cellStyle name="Normal 49 4" xfId="3287" xr:uid="{00000000-0005-0000-0000-000029230000}"/>
    <cellStyle name="Normal 49 4 2" xfId="9969" xr:uid="{00000000-0005-0000-0000-00002A230000}"/>
    <cellStyle name="Normal 49 4 3" xfId="8367" xr:uid="{00000000-0005-0000-0000-00002B230000}"/>
    <cellStyle name="Normal 49 4 4" xfId="11579" xr:uid="{00000000-0005-0000-0000-00002C230000}"/>
    <cellStyle name="Normal 49 4 5" xfId="13186" xr:uid="{00000000-0005-0000-0000-00002D230000}"/>
    <cellStyle name="Normal 49 5" xfId="3288" xr:uid="{00000000-0005-0000-0000-00002E230000}"/>
    <cellStyle name="Normal 49 5 2" xfId="9970" xr:uid="{00000000-0005-0000-0000-00002F230000}"/>
    <cellStyle name="Normal 49 5 3" xfId="8368" xr:uid="{00000000-0005-0000-0000-000030230000}"/>
    <cellStyle name="Normal 49 5 4" xfId="11580" xr:uid="{00000000-0005-0000-0000-000031230000}"/>
    <cellStyle name="Normal 49 5 5" xfId="13187" xr:uid="{00000000-0005-0000-0000-000032230000}"/>
    <cellStyle name="Normal 49 6" xfId="3289" xr:uid="{00000000-0005-0000-0000-000033230000}"/>
    <cellStyle name="Normal 49 6 2" xfId="9971" xr:uid="{00000000-0005-0000-0000-000034230000}"/>
    <cellStyle name="Normal 49 6 3" xfId="8369" xr:uid="{00000000-0005-0000-0000-000035230000}"/>
    <cellStyle name="Normal 49 6 4" xfId="11581" xr:uid="{00000000-0005-0000-0000-000036230000}"/>
    <cellStyle name="Normal 49 6 5" xfId="13188" xr:uid="{00000000-0005-0000-0000-000037230000}"/>
    <cellStyle name="Normal 49 7" xfId="9960" xr:uid="{00000000-0005-0000-0000-000038230000}"/>
    <cellStyle name="Normal 49 8" xfId="8358" xr:uid="{00000000-0005-0000-0000-000039230000}"/>
    <cellStyle name="Normal 49 9" xfId="11570" xr:uid="{00000000-0005-0000-0000-00003A230000}"/>
    <cellStyle name="Normal 5" xfId="117" xr:uid="{00000000-0005-0000-0000-00003B230000}"/>
    <cellStyle name="Normal 5 2" xfId="133" xr:uid="{00000000-0005-0000-0000-00003C230000}"/>
    <cellStyle name="Normal 5 2 10" xfId="3291" xr:uid="{00000000-0005-0000-0000-00003D230000}"/>
    <cellStyle name="Normal 5 2 10 2" xfId="9972" xr:uid="{00000000-0005-0000-0000-00003E230000}"/>
    <cellStyle name="Normal 5 2 10 3" xfId="11582" xr:uid="{00000000-0005-0000-0000-00003F230000}"/>
    <cellStyle name="Normal 5 2 11" xfId="8370" xr:uid="{00000000-0005-0000-0000-000040230000}"/>
    <cellStyle name="Normal 5 2 12" xfId="13189" xr:uid="{00000000-0005-0000-0000-000041230000}"/>
    <cellStyle name="Normal 5 2 2" xfId="3292" xr:uid="{00000000-0005-0000-0000-000042230000}"/>
    <cellStyle name="Normal 5 2 2 2" xfId="3293" xr:uid="{00000000-0005-0000-0000-000043230000}"/>
    <cellStyle name="Normal 5 2 2 2 2" xfId="9974" xr:uid="{00000000-0005-0000-0000-000044230000}"/>
    <cellStyle name="Normal 5 2 2 2 3" xfId="8372" xr:uid="{00000000-0005-0000-0000-000045230000}"/>
    <cellStyle name="Normal 5 2 2 2 4" xfId="11584" xr:uid="{00000000-0005-0000-0000-000046230000}"/>
    <cellStyle name="Normal 5 2 2 2 5" xfId="13191" xr:uid="{00000000-0005-0000-0000-000047230000}"/>
    <cellStyle name="Normal 5 2 2 3" xfId="3294" xr:uid="{00000000-0005-0000-0000-000048230000}"/>
    <cellStyle name="Normal 5 2 2 3 2" xfId="9975" xr:uid="{00000000-0005-0000-0000-000049230000}"/>
    <cellStyle name="Normal 5 2 2 3 3" xfId="8373" xr:uid="{00000000-0005-0000-0000-00004A230000}"/>
    <cellStyle name="Normal 5 2 2 3 4" xfId="11585" xr:uid="{00000000-0005-0000-0000-00004B230000}"/>
    <cellStyle name="Normal 5 2 2 3 5" xfId="13192" xr:uid="{00000000-0005-0000-0000-00004C230000}"/>
    <cellStyle name="Normal 5 2 2 4" xfId="3295" xr:uid="{00000000-0005-0000-0000-00004D230000}"/>
    <cellStyle name="Normal 5 2 2 4 2" xfId="9976" xr:uid="{00000000-0005-0000-0000-00004E230000}"/>
    <cellStyle name="Normal 5 2 2 4 3" xfId="8374" xr:uid="{00000000-0005-0000-0000-00004F230000}"/>
    <cellStyle name="Normal 5 2 2 4 4" xfId="11586" xr:uid="{00000000-0005-0000-0000-000050230000}"/>
    <cellStyle name="Normal 5 2 2 4 5" xfId="13193" xr:uid="{00000000-0005-0000-0000-000051230000}"/>
    <cellStyle name="Normal 5 2 2 5" xfId="9973" xr:uid="{00000000-0005-0000-0000-000052230000}"/>
    <cellStyle name="Normal 5 2 2 6" xfId="8371" xr:uid="{00000000-0005-0000-0000-000053230000}"/>
    <cellStyle name="Normal 5 2 2 7" xfId="11583" xr:uid="{00000000-0005-0000-0000-000054230000}"/>
    <cellStyle name="Normal 5 2 2 8" xfId="13190" xr:uid="{00000000-0005-0000-0000-000055230000}"/>
    <cellStyle name="Normal 5 2 3" xfId="3296" xr:uid="{00000000-0005-0000-0000-000056230000}"/>
    <cellStyle name="Normal 5 2 3 2" xfId="3297" xr:uid="{00000000-0005-0000-0000-000057230000}"/>
    <cellStyle name="Normal 5 2 3 2 2" xfId="9978" xr:uid="{00000000-0005-0000-0000-000058230000}"/>
    <cellStyle name="Normal 5 2 3 2 3" xfId="8376" xr:uid="{00000000-0005-0000-0000-000059230000}"/>
    <cellStyle name="Normal 5 2 3 2 4" xfId="11588" xr:uid="{00000000-0005-0000-0000-00005A230000}"/>
    <cellStyle name="Normal 5 2 3 2 5" xfId="13195" xr:uid="{00000000-0005-0000-0000-00005B230000}"/>
    <cellStyle name="Normal 5 2 3 3" xfId="3298" xr:uid="{00000000-0005-0000-0000-00005C230000}"/>
    <cellStyle name="Normal 5 2 3 3 2" xfId="9979" xr:uid="{00000000-0005-0000-0000-00005D230000}"/>
    <cellStyle name="Normal 5 2 3 3 3" xfId="8377" xr:uid="{00000000-0005-0000-0000-00005E230000}"/>
    <cellStyle name="Normal 5 2 3 3 4" xfId="11589" xr:uid="{00000000-0005-0000-0000-00005F230000}"/>
    <cellStyle name="Normal 5 2 3 3 5" xfId="13196" xr:uid="{00000000-0005-0000-0000-000060230000}"/>
    <cellStyle name="Normal 5 2 3 4" xfId="3299" xr:uid="{00000000-0005-0000-0000-000061230000}"/>
    <cellStyle name="Normal 5 2 3 4 2" xfId="9980" xr:uid="{00000000-0005-0000-0000-000062230000}"/>
    <cellStyle name="Normal 5 2 3 4 3" xfId="8378" xr:uid="{00000000-0005-0000-0000-000063230000}"/>
    <cellStyle name="Normal 5 2 3 4 4" xfId="11590" xr:uid="{00000000-0005-0000-0000-000064230000}"/>
    <cellStyle name="Normal 5 2 3 4 5" xfId="13197" xr:uid="{00000000-0005-0000-0000-000065230000}"/>
    <cellStyle name="Normal 5 2 3 5" xfId="9977" xr:uid="{00000000-0005-0000-0000-000066230000}"/>
    <cellStyle name="Normal 5 2 3 6" xfId="8375" xr:uid="{00000000-0005-0000-0000-000067230000}"/>
    <cellStyle name="Normal 5 2 3 7" xfId="11587" xr:uid="{00000000-0005-0000-0000-000068230000}"/>
    <cellStyle name="Normal 5 2 3 8" xfId="13194" xr:uid="{00000000-0005-0000-0000-000069230000}"/>
    <cellStyle name="Normal 5 2 4" xfId="3300" xr:uid="{00000000-0005-0000-0000-00006A230000}"/>
    <cellStyle name="Normal 5 2 4 2" xfId="3301" xr:uid="{00000000-0005-0000-0000-00006B230000}"/>
    <cellStyle name="Normal 5 2 4 2 2" xfId="3302" xr:uid="{00000000-0005-0000-0000-00006C230000}"/>
    <cellStyle name="Normal 5 2 4 2 2 2" xfId="3303" xr:uid="{00000000-0005-0000-0000-00006D230000}"/>
    <cellStyle name="Normal 5 2 4 2 2 2 2" xfId="9982" xr:uid="{00000000-0005-0000-0000-00006E230000}"/>
    <cellStyle name="Normal 5 2 4 2 2 2 3" xfId="8380" xr:uid="{00000000-0005-0000-0000-00006F230000}"/>
    <cellStyle name="Normal 5 2 4 2 2 2 4" xfId="11592" xr:uid="{00000000-0005-0000-0000-000070230000}"/>
    <cellStyle name="Normal 5 2 4 2 2 2 5" xfId="13199" xr:uid="{00000000-0005-0000-0000-000071230000}"/>
    <cellStyle name="Normal 5 2 4 2 2 3" xfId="3304" xr:uid="{00000000-0005-0000-0000-000072230000}"/>
    <cellStyle name="Normal 5 2 4 2 2 3 2" xfId="9983" xr:uid="{00000000-0005-0000-0000-000073230000}"/>
    <cellStyle name="Normal 5 2 4 2 2 3 3" xfId="8381" xr:uid="{00000000-0005-0000-0000-000074230000}"/>
    <cellStyle name="Normal 5 2 4 2 2 3 4" xfId="11593" xr:uid="{00000000-0005-0000-0000-000075230000}"/>
    <cellStyle name="Normal 5 2 4 2 2 3 5" xfId="13200" xr:uid="{00000000-0005-0000-0000-000076230000}"/>
    <cellStyle name="Normal 5 2 4 2 2 4" xfId="3305" xr:uid="{00000000-0005-0000-0000-000077230000}"/>
    <cellStyle name="Normal 5 2 4 2 2 4 2" xfId="9984" xr:uid="{00000000-0005-0000-0000-000078230000}"/>
    <cellStyle name="Normal 5 2 4 2 2 4 3" xfId="8382" xr:uid="{00000000-0005-0000-0000-000079230000}"/>
    <cellStyle name="Normal 5 2 4 2 2 4 4" xfId="11594" xr:uid="{00000000-0005-0000-0000-00007A230000}"/>
    <cellStyle name="Normal 5 2 4 2 2 4 5" xfId="13201" xr:uid="{00000000-0005-0000-0000-00007B230000}"/>
    <cellStyle name="Normal 5 2 4 2 3" xfId="3306" xr:uid="{00000000-0005-0000-0000-00007C230000}"/>
    <cellStyle name="Normal 5 2 4 2 4" xfId="3307" xr:uid="{00000000-0005-0000-0000-00007D230000}"/>
    <cellStyle name="Normal 5 2 4 2 5" xfId="9981" xr:uid="{00000000-0005-0000-0000-00007E230000}"/>
    <cellStyle name="Normal 5 2 4 2 6" xfId="8379" xr:uid="{00000000-0005-0000-0000-00007F230000}"/>
    <cellStyle name="Normal 5 2 4 2 7" xfId="11591" xr:uid="{00000000-0005-0000-0000-000080230000}"/>
    <cellStyle name="Normal 5 2 4 2 8" xfId="13198" xr:uid="{00000000-0005-0000-0000-000081230000}"/>
    <cellStyle name="Normal 5 2 4 3" xfId="3308" xr:uid="{00000000-0005-0000-0000-000082230000}"/>
    <cellStyle name="Normal 5 2 4 3 2" xfId="3309" xr:uid="{00000000-0005-0000-0000-000083230000}"/>
    <cellStyle name="Normal 5 2 4 3 2 2" xfId="9986" xr:uid="{00000000-0005-0000-0000-000084230000}"/>
    <cellStyle name="Normal 5 2 4 3 2 3" xfId="8384" xr:uid="{00000000-0005-0000-0000-000085230000}"/>
    <cellStyle name="Normal 5 2 4 3 2 4" xfId="11596" xr:uid="{00000000-0005-0000-0000-000086230000}"/>
    <cellStyle name="Normal 5 2 4 3 2 5" xfId="13203" xr:uid="{00000000-0005-0000-0000-000087230000}"/>
    <cellStyle name="Normal 5 2 4 3 3" xfId="3310" xr:uid="{00000000-0005-0000-0000-000088230000}"/>
    <cellStyle name="Normal 5 2 4 3 3 2" xfId="9987" xr:uid="{00000000-0005-0000-0000-000089230000}"/>
    <cellStyle name="Normal 5 2 4 3 3 3" xfId="8385" xr:uid="{00000000-0005-0000-0000-00008A230000}"/>
    <cellStyle name="Normal 5 2 4 3 3 4" xfId="11597" xr:uid="{00000000-0005-0000-0000-00008B230000}"/>
    <cellStyle name="Normal 5 2 4 3 3 5" xfId="13204" xr:uid="{00000000-0005-0000-0000-00008C230000}"/>
    <cellStyle name="Normal 5 2 4 3 4" xfId="3311" xr:uid="{00000000-0005-0000-0000-00008D230000}"/>
    <cellStyle name="Normal 5 2 4 3 4 2" xfId="9988" xr:uid="{00000000-0005-0000-0000-00008E230000}"/>
    <cellStyle name="Normal 5 2 4 3 4 3" xfId="8386" xr:uid="{00000000-0005-0000-0000-00008F230000}"/>
    <cellStyle name="Normal 5 2 4 3 4 4" xfId="11598" xr:uid="{00000000-0005-0000-0000-000090230000}"/>
    <cellStyle name="Normal 5 2 4 3 4 5" xfId="13205" xr:uid="{00000000-0005-0000-0000-000091230000}"/>
    <cellStyle name="Normal 5 2 4 3 5" xfId="9985" xr:uid="{00000000-0005-0000-0000-000092230000}"/>
    <cellStyle name="Normal 5 2 4 3 6" xfId="8383" xr:uid="{00000000-0005-0000-0000-000093230000}"/>
    <cellStyle name="Normal 5 2 4 3 7" xfId="11595" xr:uid="{00000000-0005-0000-0000-000094230000}"/>
    <cellStyle name="Normal 5 2 4 3 8" xfId="13202" xr:uid="{00000000-0005-0000-0000-000095230000}"/>
    <cellStyle name="Normal 5 2 4 4" xfId="3312" xr:uid="{00000000-0005-0000-0000-000096230000}"/>
    <cellStyle name="Normal 5 2 4 4 2" xfId="3313" xr:uid="{00000000-0005-0000-0000-000097230000}"/>
    <cellStyle name="Normal 5 2 4 4 2 2" xfId="9990" xr:uid="{00000000-0005-0000-0000-000098230000}"/>
    <cellStyle name="Normal 5 2 4 4 2 3" xfId="8388" xr:uid="{00000000-0005-0000-0000-000099230000}"/>
    <cellStyle name="Normal 5 2 4 4 2 4" xfId="11600" xr:uid="{00000000-0005-0000-0000-00009A230000}"/>
    <cellStyle name="Normal 5 2 4 4 2 5" xfId="13207" xr:uid="{00000000-0005-0000-0000-00009B230000}"/>
    <cellStyle name="Normal 5 2 4 4 3" xfId="3314" xr:uid="{00000000-0005-0000-0000-00009C230000}"/>
    <cellStyle name="Normal 5 2 4 4 3 2" xfId="9991" xr:uid="{00000000-0005-0000-0000-00009D230000}"/>
    <cellStyle name="Normal 5 2 4 4 3 3" xfId="8389" xr:uid="{00000000-0005-0000-0000-00009E230000}"/>
    <cellStyle name="Normal 5 2 4 4 3 4" xfId="11601" xr:uid="{00000000-0005-0000-0000-00009F230000}"/>
    <cellStyle name="Normal 5 2 4 4 3 5" xfId="13208" xr:uid="{00000000-0005-0000-0000-0000A0230000}"/>
    <cellStyle name="Normal 5 2 4 4 4" xfId="3315" xr:uid="{00000000-0005-0000-0000-0000A1230000}"/>
    <cellStyle name="Normal 5 2 4 4 4 2" xfId="9992" xr:uid="{00000000-0005-0000-0000-0000A2230000}"/>
    <cellStyle name="Normal 5 2 4 4 4 3" xfId="8390" xr:uid="{00000000-0005-0000-0000-0000A3230000}"/>
    <cellStyle name="Normal 5 2 4 4 4 4" xfId="11602" xr:uid="{00000000-0005-0000-0000-0000A4230000}"/>
    <cellStyle name="Normal 5 2 4 4 4 5" xfId="13209" xr:uid="{00000000-0005-0000-0000-0000A5230000}"/>
    <cellStyle name="Normal 5 2 4 4 5" xfId="9989" xr:uid="{00000000-0005-0000-0000-0000A6230000}"/>
    <cellStyle name="Normal 5 2 4 4 6" xfId="8387" xr:uid="{00000000-0005-0000-0000-0000A7230000}"/>
    <cellStyle name="Normal 5 2 4 4 7" xfId="11599" xr:uid="{00000000-0005-0000-0000-0000A8230000}"/>
    <cellStyle name="Normal 5 2 4 4 8" xfId="13206" xr:uid="{00000000-0005-0000-0000-0000A9230000}"/>
    <cellStyle name="Normal 5 2 4 5" xfId="3316" xr:uid="{00000000-0005-0000-0000-0000AA230000}"/>
    <cellStyle name="Normal 5 2 4 5 2" xfId="9993" xr:uid="{00000000-0005-0000-0000-0000AB230000}"/>
    <cellStyle name="Normal 5 2 4 5 3" xfId="8391" xr:uid="{00000000-0005-0000-0000-0000AC230000}"/>
    <cellStyle name="Normal 5 2 4 5 4" xfId="11603" xr:uid="{00000000-0005-0000-0000-0000AD230000}"/>
    <cellStyle name="Normal 5 2 4 5 5" xfId="13210" xr:uid="{00000000-0005-0000-0000-0000AE230000}"/>
    <cellStyle name="Normal 5 2 4 6" xfId="3317" xr:uid="{00000000-0005-0000-0000-0000AF230000}"/>
    <cellStyle name="Normal 5 2 4 6 2" xfId="9994" xr:uid="{00000000-0005-0000-0000-0000B0230000}"/>
    <cellStyle name="Normal 5 2 4 6 3" xfId="8392" xr:uid="{00000000-0005-0000-0000-0000B1230000}"/>
    <cellStyle name="Normal 5 2 4 6 4" xfId="11604" xr:uid="{00000000-0005-0000-0000-0000B2230000}"/>
    <cellStyle name="Normal 5 2 4 6 5" xfId="13211" xr:uid="{00000000-0005-0000-0000-0000B3230000}"/>
    <cellStyle name="Normal 5 2 4 7" xfId="3318" xr:uid="{00000000-0005-0000-0000-0000B4230000}"/>
    <cellStyle name="Normal 5 2 4 7 2" xfId="9995" xr:uid="{00000000-0005-0000-0000-0000B5230000}"/>
    <cellStyle name="Normal 5 2 4 7 3" xfId="8393" xr:uid="{00000000-0005-0000-0000-0000B6230000}"/>
    <cellStyle name="Normal 5 2 4 7 4" xfId="11605" xr:uid="{00000000-0005-0000-0000-0000B7230000}"/>
    <cellStyle name="Normal 5 2 4 7 5" xfId="13212" xr:uid="{00000000-0005-0000-0000-0000B8230000}"/>
    <cellStyle name="Normal 5 2 5" xfId="3319" xr:uid="{00000000-0005-0000-0000-0000B9230000}"/>
    <cellStyle name="Normal 5 2 6" xfId="3320" xr:uid="{00000000-0005-0000-0000-0000BA230000}"/>
    <cellStyle name="Normal 5 2 7" xfId="3321" xr:uid="{00000000-0005-0000-0000-0000BB230000}"/>
    <cellStyle name="Normal 5 2 7 2" xfId="9996" xr:uid="{00000000-0005-0000-0000-0000BC230000}"/>
    <cellStyle name="Normal 5 2 7 3" xfId="8394" xr:uid="{00000000-0005-0000-0000-0000BD230000}"/>
    <cellStyle name="Normal 5 2 7 4" xfId="11606" xr:uid="{00000000-0005-0000-0000-0000BE230000}"/>
    <cellStyle name="Normal 5 2 7 5" xfId="13213" xr:uid="{00000000-0005-0000-0000-0000BF230000}"/>
    <cellStyle name="Normal 5 2 8" xfId="3322" xr:uid="{00000000-0005-0000-0000-0000C0230000}"/>
    <cellStyle name="Normal 5 2 8 2" xfId="9997" xr:uid="{00000000-0005-0000-0000-0000C1230000}"/>
    <cellStyle name="Normal 5 2 8 3" xfId="8395" xr:uid="{00000000-0005-0000-0000-0000C2230000}"/>
    <cellStyle name="Normal 5 2 8 4" xfId="11607" xr:uid="{00000000-0005-0000-0000-0000C3230000}"/>
    <cellStyle name="Normal 5 2 8 5" xfId="13214" xr:uid="{00000000-0005-0000-0000-0000C4230000}"/>
    <cellStyle name="Normal 5 2 9" xfId="3323" xr:uid="{00000000-0005-0000-0000-0000C5230000}"/>
    <cellStyle name="Normal 5 2 9 2" xfId="9998" xr:uid="{00000000-0005-0000-0000-0000C6230000}"/>
    <cellStyle name="Normal 5 2 9 3" xfId="8396" xr:uid="{00000000-0005-0000-0000-0000C7230000}"/>
    <cellStyle name="Normal 5 2 9 4" xfId="11608" xr:uid="{00000000-0005-0000-0000-0000C8230000}"/>
    <cellStyle name="Normal 5 2 9 5" xfId="13215" xr:uid="{00000000-0005-0000-0000-0000C9230000}"/>
    <cellStyle name="Normal 5 3" xfId="3324" xr:uid="{00000000-0005-0000-0000-0000CA230000}"/>
    <cellStyle name="Normal 5 3 2" xfId="3325" xr:uid="{00000000-0005-0000-0000-0000CB230000}"/>
    <cellStyle name="Normal 5 3 2 2" xfId="10000" xr:uid="{00000000-0005-0000-0000-0000CC230000}"/>
    <cellStyle name="Normal 5 3 2 3" xfId="8398" xr:uid="{00000000-0005-0000-0000-0000CD230000}"/>
    <cellStyle name="Normal 5 3 2 4" xfId="11610" xr:uid="{00000000-0005-0000-0000-0000CE230000}"/>
    <cellStyle name="Normal 5 3 2 5" xfId="13217" xr:uid="{00000000-0005-0000-0000-0000CF230000}"/>
    <cellStyle name="Normal 5 3 3" xfId="3326" xr:uid="{00000000-0005-0000-0000-0000D0230000}"/>
    <cellStyle name="Normal 5 3 3 2" xfId="10001" xr:uid="{00000000-0005-0000-0000-0000D1230000}"/>
    <cellStyle name="Normal 5 3 3 3" xfId="8399" xr:uid="{00000000-0005-0000-0000-0000D2230000}"/>
    <cellStyle name="Normal 5 3 3 4" xfId="11611" xr:uid="{00000000-0005-0000-0000-0000D3230000}"/>
    <cellStyle name="Normal 5 3 3 5" xfId="13218" xr:uid="{00000000-0005-0000-0000-0000D4230000}"/>
    <cellStyle name="Normal 5 3 4" xfId="3327" xr:uid="{00000000-0005-0000-0000-0000D5230000}"/>
    <cellStyle name="Normal 5 3 4 2" xfId="10002" xr:uid="{00000000-0005-0000-0000-0000D6230000}"/>
    <cellStyle name="Normal 5 3 4 3" xfId="8400" xr:uid="{00000000-0005-0000-0000-0000D7230000}"/>
    <cellStyle name="Normal 5 3 4 4" xfId="11612" xr:uid="{00000000-0005-0000-0000-0000D8230000}"/>
    <cellStyle name="Normal 5 3 4 5" xfId="13219" xr:uid="{00000000-0005-0000-0000-0000D9230000}"/>
    <cellStyle name="Normal 5 3 5" xfId="9999" xr:uid="{00000000-0005-0000-0000-0000DA230000}"/>
    <cellStyle name="Normal 5 3 6" xfId="8397" xr:uid="{00000000-0005-0000-0000-0000DB230000}"/>
    <cellStyle name="Normal 5 3 7" xfId="11609" xr:uid="{00000000-0005-0000-0000-0000DC230000}"/>
    <cellStyle name="Normal 5 3 8" xfId="13216" xr:uid="{00000000-0005-0000-0000-0000DD230000}"/>
    <cellStyle name="Normal 5 4" xfId="3328" xr:uid="{00000000-0005-0000-0000-0000DE230000}"/>
    <cellStyle name="Normal 5 4 2" xfId="3329" xr:uid="{00000000-0005-0000-0000-0000DF230000}"/>
    <cellStyle name="Normal 5 4 2 2" xfId="10004" xr:uid="{00000000-0005-0000-0000-0000E0230000}"/>
    <cellStyle name="Normal 5 4 2 3" xfId="8402" xr:uid="{00000000-0005-0000-0000-0000E1230000}"/>
    <cellStyle name="Normal 5 4 2 4" xfId="11614" xr:uid="{00000000-0005-0000-0000-0000E2230000}"/>
    <cellStyle name="Normal 5 4 2 5" xfId="13221" xr:uid="{00000000-0005-0000-0000-0000E3230000}"/>
    <cellStyle name="Normal 5 4 3" xfId="3330" xr:uid="{00000000-0005-0000-0000-0000E4230000}"/>
    <cellStyle name="Normal 5 4 3 2" xfId="10005" xr:uid="{00000000-0005-0000-0000-0000E5230000}"/>
    <cellStyle name="Normal 5 4 3 3" xfId="8403" xr:uid="{00000000-0005-0000-0000-0000E6230000}"/>
    <cellStyle name="Normal 5 4 3 4" xfId="11615" xr:uid="{00000000-0005-0000-0000-0000E7230000}"/>
    <cellStyle name="Normal 5 4 3 5" xfId="13222" xr:uid="{00000000-0005-0000-0000-0000E8230000}"/>
    <cellStyle name="Normal 5 4 4" xfId="3331" xr:uid="{00000000-0005-0000-0000-0000E9230000}"/>
    <cellStyle name="Normal 5 4 4 2" xfId="10006" xr:uid="{00000000-0005-0000-0000-0000EA230000}"/>
    <cellStyle name="Normal 5 4 4 3" xfId="8404" xr:uid="{00000000-0005-0000-0000-0000EB230000}"/>
    <cellStyle name="Normal 5 4 4 4" xfId="11616" xr:uid="{00000000-0005-0000-0000-0000EC230000}"/>
    <cellStyle name="Normal 5 4 4 5" xfId="13223" xr:uid="{00000000-0005-0000-0000-0000ED230000}"/>
    <cellStyle name="Normal 5 4 5" xfId="10003" xr:uid="{00000000-0005-0000-0000-0000EE230000}"/>
    <cellStyle name="Normal 5 4 6" xfId="8401" xr:uid="{00000000-0005-0000-0000-0000EF230000}"/>
    <cellStyle name="Normal 5 4 7" xfId="11613" xr:uid="{00000000-0005-0000-0000-0000F0230000}"/>
    <cellStyle name="Normal 5 4 8" xfId="13220" xr:uid="{00000000-0005-0000-0000-0000F1230000}"/>
    <cellStyle name="Normal 5 5" xfId="3332" xr:uid="{00000000-0005-0000-0000-0000F2230000}"/>
    <cellStyle name="Normal 5 6" xfId="3290" xr:uid="{00000000-0005-0000-0000-0000F3230000}"/>
    <cellStyle name="Normal 5 6 2" xfId="10458" xr:uid="{00000000-0005-0000-0000-0000F4230000}"/>
    <cellStyle name="Normal 5 7" xfId="5807" xr:uid="{00000000-0005-0000-0000-0000F5230000}"/>
    <cellStyle name="Normal 5 8" xfId="10611" xr:uid="{00000000-0005-0000-0000-0000F6230000}"/>
    <cellStyle name="Normal 50" xfId="3333" xr:uid="{00000000-0005-0000-0000-0000F7230000}"/>
    <cellStyle name="Normal 50 10" xfId="13224" xr:uid="{00000000-0005-0000-0000-0000F8230000}"/>
    <cellStyle name="Normal 50 2" xfId="3334" xr:uid="{00000000-0005-0000-0000-0000F9230000}"/>
    <cellStyle name="Normal 50 2 2" xfId="3335" xr:uid="{00000000-0005-0000-0000-0000FA230000}"/>
    <cellStyle name="Normal 50 2 2 2" xfId="10009" xr:uid="{00000000-0005-0000-0000-0000FB230000}"/>
    <cellStyle name="Normal 50 2 2 3" xfId="8407" xr:uid="{00000000-0005-0000-0000-0000FC230000}"/>
    <cellStyle name="Normal 50 2 2 4" xfId="11619" xr:uid="{00000000-0005-0000-0000-0000FD230000}"/>
    <cellStyle name="Normal 50 2 2 5" xfId="13226" xr:uid="{00000000-0005-0000-0000-0000FE230000}"/>
    <cellStyle name="Normal 50 2 3" xfId="3336" xr:uid="{00000000-0005-0000-0000-0000FF230000}"/>
    <cellStyle name="Normal 50 2 3 2" xfId="10010" xr:uid="{00000000-0005-0000-0000-000000240000}"/>
    <cellStyle name="Normal 50 2 3 3" xfId="8408" xr:uid="{00000000-0005-0000-0000-000001240000}"/>
    <cellStyle name="Normal 50 2 3 4" xfId="11620" xr:uid="{00000000-0005-0000-0000-000002240000}"/>
    <cellStyle name="Normal 50 2 3 5" xfId="13227" xr:uid="{00000000-0005-0000-0000-000003240000}"/>
    <cellStyle name="Normal 50 2 4" xfId="3337" xr:uid="{00000000-0005-0000-0000-000004240000}"/>
    <cellStyle name="Normal 50 2 4 2" xfId="10011" xr:uid="{00000000-0005-0000-0000-000005240000}"/>
    <cellStyle name="Normal 50 2 4 3" xfId="8409" xr:uid="{00000000-0005-0000-0000-000006240000}"/>
    <cellStyle name="Normal 50 2 4 4" xfId="11621" xr:uid="{00000000-0005-0000-0000-000007240000}"/>
    <cellStyle name="Normal 50 2 4 5" xfId="13228" xr:uid="{00000000-0005-0000-0000-000008240000}"/>
    <cellStyle name="Normal 50 2 5" xfId="10008" xr:uid="{00000000-0005-0000-0000-000009240000}"/>
    <cellStyle name="Normal 50 2 6" xfId="8406" xr:uid="{00000000-0005-0000-0000-00000A240000}"/>
    <cellStyle name="Normal 50 2 7" xfId="11618" xr:uid="{00000000-0005-0000-0000-00000B240000}"/>
    <cellStyle name="Normal 50 2 8" xfId="13225" xr:uid="{00000000-0005-0000-0000-00000C240000}"/>
    <cellStyle name="Normal 50 3" xfId="3338" xr:uid="{00000000-0005-0000-0000-00000D240000}"/>
    <cellStyle name="Normal 50 3 2" xfId="3339" xr:uid="{00000000-0005-0000-0000-00000E240000}"/>
    <cellStyle name="Normal 50 3 2 2" xfId="10013" xr:uid="{00000000-0005-0000-0000-00000F240000}"/>
    <cellStyle name="Normal 50 3 2 3" xfId="8411" xr:uid="{00000000-0005-0000-0000-000010240000}"/>
    <cellStyle name="Normal 50 3 2 4" xfId="11623" xr:uid="{00000000-0005-0000-0000-000011240000}"/>
    <cellStyle name="Normal 50 3 2 5" xfId="13230" xr:uid="{00000000-0005-0000-0000-000012240000}"/>
    <cellStyle name="Normal 50 3 3" xfId="3340" xr:uid="{00000000-0005-0000-0000-000013240000}"/>
    <cellStyle name="Normal 50 3 3 2" xfId="10014" xr:uid="{00000000-0005-0000-0000-000014240000}"/>
    <cellStyle name="Normal 50 3 3 3" xfId="8412" xr:uid="{00000000-0005-0000-0000-000015240000}"/>
    <cellStyle name="Normal 50 3 3 4" xfId="11624" xr:uid="{00000000-0005-0000-0000-000016240000}"/>
    <cellStyle name="Normal 50 3 3 5" xfId="13231" xr:uid="{00000000-0005-0000-0000-000017240000}"/>
    <cellStyle name="Normal 50 3 4" xfId="3341" xr:uid="{00000000-0005-0000-0000-000018240000}"/>
    <cellStyle name="Normal 50 3 4 2" xfId="10015" xr:uid="{00000000-0005-0000-0000-000019240000}"/>
    <cellStyle name="Normal 50 3 4 3" xfId="8413" xr:uid="{00000000-0005-0000-0000-00001A240000}"/>
    <cellStyle name="Normal 50 3 4 4" xfId="11625" xr:uid="{00000000-0005-0000-0000-00001B240000}"/>
    <cellStyle name="Normal 50 3 4 5" xfId="13232" xr:uid="{00000000-0005-0000-0000-00001C240000}"/>
    <cellStyle name="Normal 50 3 5" xfId="10012" xr:uid="{00000000-0005-0000-0000-00001D240000}"/>
    <cellStyle name="Normal 50 3 6" xfId="8410" xr:uid="{00000000-0005-0000-0000-00001E240000}"/>
    <cellStyle name="Normal 50 3 7" xfId="11622" xr:uid="{00000000-0005-0000-0000-00001F240000}"/>
    <cellStyle name="Normal 50 3 8" xfId="13229" xr:uid="{00000000-0005-0000-0000-000020240000}"/>
    <cellStyle name="Normal 50 4" xfId="3342" xr:uid="{00000000-0005-0000-0000-000021240000}"/>
    <cellStyle name="Normal 50 4 2" xfId="10016" xr:uid="{00000000-0005-0000-0000-000022240000}"/>
    <cellStyle name="Normal 50 4 3" xfId="8414" xr:uid="{00000000-0005-0000-0000-000023240000}"/>
    <cellStyle name="Normal 50 4 4" xfId="11626" xr:uid="{00000000-0005-0000-0000-000024240000}"/>
    <cellStyle name="Normal 50 4 5" xfId="13233" xr:uid="{00000000-0005-0000-0000-000025240000}"/>
    <cellStyle name="Normal 50 5" xfId="3343" xr:uid="{00000000-0005-0000-0000-000026240000}"/>
    <cellStyle name="Normal 50 5 2" xfId="10017" xr:uid="{00000000-0005-0000-0000-000027240000}"/>
    <cellStyle name="Normal 50 5 3" xfId="8415" xr:uid="{00000000-0005-0000-0000-000028240000}"/>
    <cellStyle name="Normal 50 5 4" xfId="11627" xr:uid="{00000000-0005-0000-0000-000029240000}"/>
    <cellStyle name="Normal 50 5 5" xfId="13234" xr:uid="{00000000-0005-0000-0000-00002A240000}"/>
    <cellStyle name="Normal 50 6" xfId="3344" xr:uid="{00000000-0005-0000-0000-00002B240000}"/>
    <cellStyle name="Normal 50 6 2" xfId="10018" xr:uid="{00000000-0005-0000-0000-00002C240000}"/>
    <cellStyle name="Normal 50 6 3" xfId="8416" xr:uid="{00000000-0005-0000-0000-00002D240000}"/>
    <cellStyle name="Normal 50 6 4" xfId="11628" xr:uid="{00000000-0005-0000-0000-00002E240000}"/>
    <cellStyle name="Normal 50 6 5" xfId="13235" xr:uid="{00000000-0005-0000-0000-00002F240000}"/>
    <cellStyle name="Normal 50 7" xfId="10007" xr:uid="{00000000-0005-0000-0000-000030240000}"/>
    <cellStyle name="Normal 50 8" xfId="8405" xr:uid="{00000000-0005-0000-0000-000031240000}"/>
    <cellStyle name="Normal 50 9" xfId="11617" xr:uid="{00000000-0005-0000-0000-000032240000}"/>
    <cellStyle name="Normal 51" xfId="3345" xr:uid="{00000000-0005-0000-0000-000033240000}"/>
    <cellStyle name="Normal 51 10" xfId="13236" xr:uid="{00000000-0005-0000-0000-000034240000}"/>
    <cellStyle name="Normal 51 2" xfId="3346" xr:uid="{00000000-0005-0000-0000-000035240000}"/>
    <cellStyle name="Normal 51 2 2" xfId="3347" xr:uid="{00000000-0005-0000-0000-000036240000}"/>
    <cellStyle name="Normal 51 2 2 2" xfId="10021" xr:uid="{00000000-0005-0000-0000-000037240000}"/>
    <cellStyle name="Normal 51 2 2 3" xfId="8419" xr:uid="{00000000-0005-0000-0000-000038240000}"/>
    <cellStyle name="Normal 51 2 2 4" xfId="11631" xr:uid="{00000000-0005-0000-0000-000039240000}"/>
    <cellStyle name="Normal 51 2 2 5" xfId="13238" xr:uid="{00000000-0005-0000-0000-00003A240000}"/>
    <cellStyle name="Normal 51 2 3" xfId="3348" xr:uid="{00000000-0005-0000-0000-00003B240000}"/>
    <cellStyle name="Normal 51 2 3 2" xfId="10022" xr:uid="{00000000-0005-0000-0000-00003C240000}"/>
    <cellStyle name="Normal 51 2 3 3" xfId="8420" xr:uid="{00000000-0005-0000-0000-00003D240000}"/>
    <cellStyle name="Normal 51 2 3 4" xfId="11632" xr:uid="{00000000-0005-0000-0000-00003E240000}"/>
    <cellStyle name="Normal 51 2 3 5" xfId="13239" xr:uid="{00000000-0005-0000-0000-00003F240000}"/>
    <cellStyle name="Normal 51 2 4" xfId="3349" xr:uid="{00000000-0005-0000-0000-000040240000}"/>
    <cellStyle name="Normal 51 2 4 2" xfId="10023" xr:uid="{00000000-0005-0000-0000-000041240000}"/>
    <cellStyle name="Normal 51 2 4 3" xfId="8421" xr:uid="{00000000-0005-0000-0000-000042240000}"/>
    <cellStyle name="Normal 51 2 4 4" xfId="11633" xr:uid="{00000000-0005-0000-0000-000043240000}"/>
    <cellStyle name="Normal 51 2 4 5" xfId="13240" xr:uid="{00000000-0005-0000-0000-000044240000}"/>
    <cellStyle name="Normal 51 2 5" xfId="10020" xr:uid="{00000000-0005-0000-0000-000045240000}"/>
    <cellStyle name="Normal 51 2 6" xfId="8418" xr:uid="{00000000-0005-0000-0000-000046240000}"/>
    <cellStyle name="Normal 51 2 7" xfId="11630" xr:uid="{00000000-0005-0000-0000-000047240000}"/>
    <cellStyle name="Normal 51 2 8" xfId="13237" xr:uid="{00000000-0005-0000-0000-000048240000}"/>
    <cellStyle name="Normal 51 3" xfId="3350" xr:uid="{00000000-0005-0000-0000-000049240000}"/>
    <cellStyle name="Normal 51 3 2" xfId="3351" xr:uid="{00000000-0005-0000-0000-00004A240000}"/>
    <cellStyle name="Normal 51 3 2 2" xfId="10025" xr:uid="{00000000-0005-0000-0000-00004B240000}"/>
    <cellStyle name="Normal 51 3 2 3" xfId="8423" xr:uid="{00000000-0005-0000-0000-00004C240000}"/>
    <cellStyle name="Normal 51 3 2 4" xfId="11635" xr:uid="{00000000-0005-0000-0000-00004D240000}"/>
    <cellStyle name="Normal 51 3 2 5" xfId="13242" xr:uid="{00000000-0005-0000-0000-00004E240000}"/>
    <cellStyle name="Normal 51 3 3" xfId="3352" xr:uid="{00000000-0005-0000-0000-00004F240000}"/>
    <cellStyle name="Normal 51 3 3 2" xfId="10026" xr:uid="{00000000-0005-0000-0000-000050240000}"/>
    <cellStyle name="Normal 51 3 3 3" xfId="8424" xr:uid="{00000000-0005-0000-0000-000051240000}"/>
    <cellStyle name="Normal 51 3 3 4" xfId="11636" xr:uid="{00000000-0005-0000-0000-000052240000}"/>
    <cellStyle name="Normal 51 3 3 5" xfId="13243" xr:uid="{00000000-0005-0000-0000-000053240000}"/>
    <cellStyle name="Normal 51 3 4" xfId="3353" xr:uid="{00000000-0005-0000-0000-000054240000}"/>
    <cellStyle name="Normal 51 3 4 2" xfId="10027" xr:uid="{00000000-0005-0000-0000-000055240000}"/>
    <cellStyle name="Normal 51 3 4 3" xfId="8425" xr:uid="{00000000-0005-0000-0000-000056240000}"/>
    <cellStyle name="Normal 51 3 4 4" xfId="11637" xr:uid="{00000000-0005-0000-0000-000057240000}"/>
    <cellStyle name="Normal 51 3 4 5" xfId="13244" xr:uid="{00000000-0005-0000-0000-000058240000}"/>
    <cellStyle name="Normal 51 3 5" xfId="10024" xr:uid="{00000000-0005-0000-0000-000059240000}"/>
    <cellStyle name="Normal 51 3 6" xfId="8422" xr:uid="{00000000-0005-0000-0000-00005A240000}"/>
    <cellStyle name="Normal 51 3 7" xfId="11634" xr:uid="{00000000-0005-0000-0000-00005B240000}"/>
    <cellStyle name="Normal 51 3 8" xfId="13241" xr:uid="{00000000-0005-0000-0000-00005C240000}"/>
    <cellStyle name="Normal 51 4" xfId="3354" xr:uid="{00000000-0005-0000-0000-00005D240000}"/>
    <cellStyle name="Normal 51 4 2" xfId="10028" xr:uid="{00000000-0005-0000-0000-00005E240000}"/>
    <cellStyle name="Normal 51 4 3" xfId="8426" xr:uid="{00000000-0005-0000-0000-00005F240000}"/>
    <cellStyle name="Normal 51 4 4" xfId="11638" xr:uid="{00000000-0005-0000-0000-000060240000}"/>
    <cellStyle name="Normal 51 4 5" xfId="13245" xr:uid="{00000000-0005-0000-0000-000061240000}"/>
    <cellStyle name="Normal 51 5" xfId="3355" xr:uid="{00000000-0005-0000-0000-000062240000}"/>
    <cellStyle name="Normal 51 5 2" xfId="10029" xr:uid="{00000000-0005-0000-0000-000063240000}"/>
    <cellStyle name="Normal 51 5 3" xfId="8427" xr:uid="{00000000-0005-0000-0000-000064240000}"/>
    <cellStyle name="Normal 51 5 4" xfId="11639" xr:uid="{00000000-0005-0000-0000-000065240000}"/>
    <cellStyle name="Normal 51 5 5" xfId="13246" xr:uid="{00000000-0005-0000-0000-000066240000}"/>
    <cellStyle name="Normal 51 6" xfId="3356" xr:uid="{00000000-0005-0000-0000-000067240000}"/>
    <cellStyle name="Normal 51 6 2" xfId="10030" xr:uid="{00000000-0005-0000-0000-000068240000}"/>
    <cellStyle name="Normal 51 6 3" xfId="8428" xr:uid="{00000000-0005-0000-0000-000069240000}"/>
    <cellStyle name="Normal 51 6 4" xfId="11640" xr:uid="{00000000-0005-0000-0000-00006A240000}"/>
    <cellStyle name="Normal 51 6 5" xfId="13247" xr:uid="{00000000-0005-0000-0000-00006B240000}"/>
    <cellStyle name="Normal 51 7" xfId="10019" xr:uid="{00000000-0005-0000-0000-00006C240000}"/>
    <cellStyle name="Normal 51 8" xfId="8417" xr:uid="{00000000-0005-0000-0000-00006D240000}"/>
    <cellStyle name="Normal 51 9" xfId="11629" xr:uid="{00000000-0005-0000-0000-00006E240000}"/>
    <cellStyle name="Normal 52" xfId="3357" xr:uid="{00000000-0005-0000-0000-00006F240000}"/>
    <cellStyle name="Normal 52 10" xfId="13248" xr:uid="{00000000-0005-0000-0000-000070240000}"/>
    <cellStyle name="Normal 52 2" xfId="3358" xr:uid="{00000000-0005-0000-0000-000071240000}"/>
    <cellStyle name="Normal 52 2 2" xfId="3359" xr:uid="{00000000-0005-0000-0000-000072240000}"/>
    <cellStyle name="Normal 52 2 2 2" xfId="10033" xr:uid="{00000000-0005-0000-0000-000073240000}"/>
    <cellStyle name="Normal 52 2 2 3" xfId="8431" xr:uid="{00000000-0005-0000-0000-000074240000}"/>
    <cellStyle name="Normal 52 2 2 4" xfId="11643" xr:uid="{00000000-0005-0000-0000-000075240000}"/>
    <cellStyle name="Normal 52 2 2 5" xfId="13250" xr:uid="{00000000-0005-0000-0000-000076240000}"/>
    <cellStyle name="Normal 52 2 3" xfId="3360" xr:uid="{00000000-0005-0000-0000-000077240000}"/>
    <cellStyle name="Normal 52 2 3 2" xfId="10034" xr:uid="{00000000-0005-0000-0000-000078240000}"/>
    <cellStyle name="Normal 52 2 3 3" xfId="8432" xr:uid="{00000000-0005-0000-0000-000079240000}"/>
    <cellStyle name="Normal 52 2 3 4" xfId="11644" xr:uid="{00000000-0005-0000-0000-00007A240000}"/>
    <cellStyle name="Normal 52 2 3 5" xfId="13251" xr:uid="{00000000-0005-0000-0000-00007B240000}"/>
    <cellStyle name="Normal 52 2 4" xfId="3361" xr:uid="{00000000-0005-0000-0000-00007C240000}"/>
    <cellStyle name="Normal 52 2 4 2" xfId="10035" xr:uid="{00000000-0005-0000-0000-00007D240000}"/>
    <cellStyle name="Normal 52 2 4 3" xfId="8433" xr:uid="{00000000-0005-0000-0000-00007E240000}"/>
    <cellStyle name="Normal 52 2 4 4" xfId="11645" xr:uid="{00000000-0005-0000-0000-00007F240000}"/>
    <cellStyle name="Normal 52 2 4 5" xfId="13252" xr:uid="{00000000-0005-0000-0000-000080240000}"/>
    <cellStyle name="Normal 52 2 5" xfId="10032" xr:uid="{00000000-0005-0000-0000-000081240000}"/>
    <cellStyle name="Normal 52 2 6" xfId="8430" xr:uid="{00000000-0005-0000-0000-000082240000}"/>
    <cellStyle name="Normal 52 2 7" xfId="11642" xr:uid="{00000000-0005-0000-0000-000083240000}"/>
    <cellStyle name="Normal 52 2 8" xfId="13249" xr:uid="{00000000-0005-0000-0000-000084240000}"/>
    <cellStyle name="Normal 52 3" xfId="3362" xr:uid="{00000000-0005-0000-0000-000085240000}"/>
    <cellStyle name="Normal 52 3 2" xfId="3363" xr:uid="{00000000-0005-0000-0000-000086240000}"/>
    <cellStyle name="Normal 52 3 2 2" xfId="10037" xr:uid="{00000000-0005-0000-0000-000087240000}"/>
    <cellStyle name="Normal 52 3 2 3" xfId="8435" xr:uid="{00000000-0005-0000-0000-000088240000}"/>
    <cellStyle name="Normal 52 3 2 4" xfId="11647" xr:uid="{00000000-0005-0000-0000-000089240000}"/>
    <cellStyle name="Normal 52 3 2 5" xfId="13254" xr:uid="{00000000-0005-0000-0000-00008A240000}"/>
    <cellStyle name="Normal 52 3 3" xfId="3364" xr:uid="{00000000-0005-0000-0000-00008B240000}"/>
    <cellStyle name="Normal 52 3 3 2" xfId="10038" xr:uid="{00000000-0005-0000-0000-00008C240000}"/>
    <cellStyle name="Normal 52 3 3 3" xfId="8436" xr:uid="{00000000-0005-0000-0000-00008D240000}"/>
    <cellStyle name="Normal 52 3 3 4" xfId="11648" xr:uid="{00000000-0005-0000-0000-00008E240000}"/>
    <cellStyle name="Normal 52 3 3 5" xfId="13255" xr:uid="{00000000-0005-0000-0000-00008F240000}"/>
    <cellStyle name="Normal 52 3 4" xfId="3365" xr:uid="{00000000-0005-0000-0000-000090240000}"/>
    <cellStyle name="Normal 52 3 4 2" xfId="10039" xr:uid="{00000000-0005-0000-0000-000091240000}"/>
    <cellStyle name="Normal 52 3 4 3" xfId="8437" xr:uid="{00000000-0005-0000-0000-000092240000}"/>
    <cellStyle name="Normal 52 3 4 4" xfId="11649" xr:uid="{00000000-0005-0000-0000-000093240000}"/>
    <cellStyle name="Normal 52 3 4 5" xfId="13256" xr:uid="{00000000-0005-0000-0000-000094240000}"/>
    <cellStyle name="Normal 52 3 5" xfId="10036" xr:uid="{00000000-0005-0000-0000-000095240000}"/>
    <cellStyle name="Normal 52 3 6" xfId="8434" xr:uid="{00000000-0005-0000-0000-000096240000}"/>
    <cellStyle name="Normal 52 3 7" xfId="11646" xr:uid="{00000000-0005-0000-0000-000097240000}"/>
    <cellStyle name="Normal 52 3 8" xfId="13253" xr:uid="{00000000-0005-0000-0000-000098240000}"/>
    <cellStyle name="Normal 52 4" xfId="3366" xr:uid="{00000000-0005-0000-0000-000099240000}"/>
    <cellStyle name="Normal 52 4 2" xfId="10040" xr:uid="{00000000-0005-0000-0000-00009A240000}"/>
    <cellStyle name="Normal 52 4 3" xfId="8438" xr:uid="{00000000-0005-0000-0000-00009B240000}"/>
    <cellStyle name="Normal 52 4 4" xfId="11650" xr:uid="{00000000-0005-0000-0000-00009C240000}"/>
    <cellStyle name="Normal 52 4 5" xfId="13257" xr:uid="{00000000-0005-0000-0000-00009D240000}"/>
    <cellStyle name="Normal 52 5" xfId="3367" xr:uid="{00000000-0005-0000-0000-00009E240000}"/>
    <cellStyle name="Normal 52 5 2" xfId="10041" xr:uid="{00000000-0005-0000-0000-00009F240000}"/>
    <cellStyle name="Normal 52 5 3" xfId="8439" xr:uid="{00000000-0005-0000-0000-0000A0240000}"/>
    <cellStyle name="Normal 52 5 4" xfId="11651" xr:uid="{00000000-0005-0000-0000-0000A1240000}"/>
    <cellStyle name="Normal 52 5 5" xfId="13258" xr:uid="{00000000-0005-0000-0000-0000A2240000}"/>
    <cellStyle name="Normal 52 6" xfId="3368" xr:uid="{00000000-0005-0000-0000-0000A3240000}"/>
    <cellStyle name="Normal 52 6 2" xfId="10042" xr:uid="{00000000-0005-0000-0000-0000A4240000}"/>
    <cellStyle name="Normal 52 6 3" xfId="8440" xr:uid="{00000000-0005-0000-0000-0000A5240000}"/>
    <cellStyle name="Normal 52 6 4" xfId="11652" xr:uid="{00000000-0005-0000-0000-0000A6240000}"/>
    <cellStyle name="Normal 52 6 5" xfId="13259" xr:uid="{00000000-0005-0000-0000-0000A7240000}"/>
    <cellStyle name="Normal 52 7" xfId="10031" xr:uid="{00000000-0005-0000-0000-0000A8240000}"/>
    <cellStyle name="Normal 52 8" xfId="8429" xr:uid="{00000000-0005-0000-0000-0000A9240000}"/>
    <cellStyle name="Normal 52 9" xfId="11641" xr:uid="{00000000-0005-0000-0000-0000AA240000}"/>
    <cellStyle name="Normal 53" xfId="3369" xr:uid="{00000000-0005-0000-0000-0000AB240000}"/>
    <cellStyle name="Normal 53 10" xfId="13260" xr:uid="{00000000-0005-0000-0000-0000AC240000}"/>
    <cellStyle name="Normal 53 2" xfId="3370" xr:uid="{00000000-0005-0000-0000-0000AD240000}"/>
    <cellStyle name="Normal 53 2 2" xfId="3371" xr:uid="{00000000-0005-0000-0000-0000AE240000}"/>
    <cellStyle name="Normal 53 2 2 2" xfId="10045" xr:uid="{00000000-0005-0000-0000-0000AF240000}"/>
    <cellStyle name="Normal 53 2 2 3" xfId="8443" xr:uid="{00000000-0005-0000-0000-0000B0240000}"/>
    <cellStyle name="Normal 53 2 2 4" xfId="11655" xr:uid="{00000000-0005-0000-0000-0000B1240000}"/>
    <cellStyle name="Normal 53 2 2 5" xfId="13262" xr:uid="{00000000-0005-0000-0000-0000B2240000}"/>
    <cellStyle name="Normal 53 2 3" xfId="3372" xr:uid="{00000000-0005-0000-0000-0000B3240000}"/>
    <cellStyle name="Normal 53 2 3 2" xfId="10046" xr:uid="{00000000-0005-0000-0000-0000B4240000}"/>
    <cellStyle name="Normal 53 2 3 3" xfId="8444" xr:uid="{00000000-0005-0000-0000-0000B5240000}"/>
    <cellStyle name="Normal 53 2 3 4" xfId="11656" xr:uid="{00000000-0005-0000-0000-0000B6240000}"/>
    <cellStyle name="Normal 53 2 3 5" xfId="13263" xr:uid="{00000000-0005-0000-0000-0000B7240000}"/>
    <cellStyle name="Normal 53 2 4" xfId="3373" xr:uid="{00000000-0005-0000-0000-0000B8240000}"/>
    <cellStyle name="Normal 53 2 4 2" xfId="10047" xr:uid="{00000000-0005-0000-0000-0000B9240000}"/>
    <cellStyle name="Normal 53 2 4 3" xfId="8445" xr:uid="{00000000-0005-0000-0000-0000BA240000}"/>
    <cellStyle name="Normal 53 2 4 4" xfId="11657" xr:uid="{00000000-0005-0000-0000-0000BB240000}"/>
    <cellStyle name="Normal 53 2 4 5" xfId="13264" xr:uid="{00000000-0005-0000-0000-0000BC240000}"/>
    <cellStyle name="Normal 53 2 5" xfId="10044" xr:uid="{00000000-0005-0000-0000-0000BD240000}"/>
    <cellStyle name="Normal 53 2 6" xfId="8442" xr:uid="{00000000-0005-0000-0000-0000BE240000}"/>
    <cellStyle name="Normal 53 2 7" xfId="11654" xr:uid="{00000000-0005-0000-0000-0000BF240000}"/>
    <cellStyle name="Normal 53 2 8" xfId="13261" xr:uid="{00000000-0005-0000-0000-0000C0240000}"/>
    <cellStyle name="Normal 53 3" xfId="3374" xr:uid="{00000000-0005-0000-0000-0000C1240000}"/>
    <cellStyle name="Normal 53 3 2" xfId="3375" xr:uid="{00000000-0005-0000-0000-0000C2240000}"/>
    <cellStyle name="Normal 53 3 2 2" xfId="10049" xr:uid="{00000000-0005-0000-0000-0000C3240000}"/>
    <cellStyle name="Normal 53 3 2 3" xfId="8447" xr:uid="{00000000-0005-0000-0000-0000C4240000}"/>
    <cellStyle name="Normal 53 3 2 4" xfId="11659" xr:uid="{00000000-0005-0000-0000-0000C5240000}"/>
    <cellStyle name="Normal 53 3 2 5" xfId="13266" xr:uid="{00000000-0005-0000-0000-0000C6240000}"/>
    <cellStyle name="Normal 53 3 3" xfId="3376" xr:uid="{00000000-0005-0000-0000-0000C7240000}"/>
    <cellStyle name="Normal 53 3 3 2" xfId="10050" xr:uid="{00000000-0005-0000-0000-0000C8240000}"/>
    <cellStyle name="Normal 53 3 3 3" xfId="8448" xr:uid="{00000000-0005-0000-0000-0000C9240000}"/>
    <cellStyle name="Normal 53 3 3 4" xfId="11660" xr:uid="{00000000-0005-0000-0000-0000CA240000}"/>
    <cellStyle name="Normal 53 3 3 5" xfId="13267" xr:uid="{00000000-0005-0000-0000-0000CB240000}"/>
    <cellStyle name="Normal 53 3 4" xfId="3377" xr:uid="{00000000-0005-0000-0000-0000CC240000}"/>
    <cellStyle name="Normal 53 3 4 2" xfId="10051" xr:uid="{00000000-0005-0000-0000-0000CD240000}"/>
    <cellStyle name="Normal 53 3 4 3" xfId="8449" xr:uid="{00000000-0005-0000-0000-0000CE240000}"/>
    <cellStyle name="Normal 53 3 4 4" xfId="11661" xr:uid="{00000000-0005-0000-0000-0000CF240000}"/>
    <cellStyle name="Normal 53 3 4 5" xfId="13268" xr:uid="{00000000-0005-0000-0000-0000D0240000}"/>
    <cellStyle name="Normal 53 3 5" xfId="10048" xr:uid="{00000000-0005-0000-0000-0000D1240000}"/>
    <cellStyle name="Normal 53 3 6" xfId="8446" xr:uid="{00000000-0005-0000-0000-0000D2240000}"/>
    <cellStyle name="Normal 53 3 7" xfId="11658" xr:uid="{00000000-0005-0000-0000-0000D3240000}"/>
    <cellStyle name="Normal 53 3 8" xfId="13265" xr:uid="{00000000-0005-0000-0000-0000D4240000}"/>
    <cellStyle name="Normal 53 4" xfId="3378" xr:uid="{00000000-0005-0000-0000-0000D5240000}"/>
    <cellStyle name="Normal 53 4 2" xfId="10052" xr:uid="{00000000-0005-0000-0000-0000D6240000}"/>
    <cellStyle name="Normal 53 4 3" xfId="8450" xr:uid="{00000000-0005-0000-0000-0000D7240000}"/>
    <cellStyle name="Normal 53 4 4" xfId="11662" xr:uid="{00000000-0005-0000-0000-0000D8240000}"/>
    <cellStyle name="Normal 53 4 5" xfId="13269" xr:uid="{00000000-0005-0000-0000-0000D9240000}"/>
    <cellStyle name="Normal 53 5" xfId="3379" xr:uid="{00000000-0005-0000-0000-0000DA240000}"/>
    <cellStyle name="Normal 53 5 2" xfId="10053" xr:uid="{00000000-0005-0000-0000-0000DB240000}"/>
    <cellStyle name="Normal 53 5 3" xfId="8451" xr:uid="{00000000-0005-0000-0000-0000DC240000}"/>
    <cellStyle name="Normal 53 5 4" xfId="11663" xr:uid="{00000000-0005-0000-0000-0000DD240000}"/>
    <cellStyle name="Normal 53 5 5" xfId="13270" xr:uid="{00000000-0005-0000-0000-0000DE240000}"/>
    <cellStyle name="Normal 53 6" xfId="3380" xr:uid="{00000000-0005-0000-0000-0000DF240000}"/>
    <cellStyle name="Normal 53 6 2" xfId="10054" xr:uid="{00000000-0005-0000-0000-0000E0240000}"/>
    <cellStyle name="Normal 53 6 3" xfId="8452" xr:uid="{00000000-0005-0000-0000-0000E1240000}"/>
    <cellStyle name="Normal 53 6 4" xfId="11664" xr:uid="{00000000-0005-0000-0000-0000E2240000}"/>
    <cellStyle name="Normal 53 6 5" xfId="13271" xr:uid="{00000000-0005-0000-0000-0000E3240000}"/>
    <cellStyle name="Normal 53 7" xfId="10043" xr:uid="{00000000-0005-0000-0000-0000E4240000}"/>
    <cellStyle name="Normal 53 8" xfId="8441" xr:uid="{00000000-0005-0000-0000-0000E5240000}"/>
    <cellStyle name="Normal 53 9" xfId="11653" xr:uid="{00000000-0005-0000-0000-0000E6240000}"/>
    <cellStyle name="Normal 54" xfId="3381" xr:uid="{00000000-0005-0000-0000-0000E7240000}"/>
    <cellStyle name="Normal 54 10" xfId="13272" xr:uid="{00000000-0005-0000-0000-0000E8240000}"/>
    <cellStyle name="Normal 54 2" xfId="3382" xr:uid="{00000000-0005-0000-0000-0000E9240000}"/>
    <cellStyle name="Normal 54 2 2" xfId="3383" xr:uid="{00000000-0005-0000-0000-0000EA240000}"/>
    <cellStyle name="Normal 54 2 2 2" xfId="10057" xr:uid="{00000000-0005-0000-0000-0000EB240000}"/>
    <cellStyle name="Normal 54 2 2 3" xfId="8455" xr:uid="{00000000-0005-0000-0000-0000EC240000}"/>
    <cellStyle name="Normal 54 2 2 4" xfId="11667" xr:uid="{00000000-0005-0000-0000-0000ED240000}"/>
    <cellStyle name="Normal 54 2 2 5" xfId="13274" xr:uid="{00000000-0005-0000-0000-0000EE240000}"/>
    <cellStyle name="Normal 54 2 3" xfId="3384" xr:uid="{00000000-0005-0000-0000-0000EF240000}"/>
    <cellStyle name="Normal 54 2 3 2" xfId="10058" xr:uid="{00000000-0005-0000-0000-0000F0240000}"/>
    <cellStyle name="Normal 54 2 3 3" xfId="8456" xr:uid="{00000000-0005-0000-0000-0000F1240000}"/>
    <cellStyle name="Normal 54 2 3 4" xfId="11668" xr:uid="{00000000-0005-0000-0000-0000F2240000}"/>
    <cellStyle name="Normal 54 2 3 5" xfId="13275" xr:uid="{00000000-0005-0000-0000-0000F3240000}"/>
    <cellStyle name="Normal 54 2 4" xfId="3385" xr:uid="{00000000-0005-0000-0000-0000F4240000}"/>
    <cellStyle name="Normal 54 2 4 2" xfId="10059" xr:uid="{00000000-0005-0000-0000-0000F5240000}"/>
    <cellStyle name="Normal 54 2 4 3" xfId="8457" xr:uid="{00000000-0005-0000-0000-0000F6240000}"/>
    <cellStyle name="Normal 54 2 4 4" xfId="11669" xr:uid="{00000000-0005-0000-0000-0000F7240000}"/>
    <cellStyle name="Normal 54 2 4 5" xfId="13276" xr:uid="{00000000-0005-0000-0000-0000F8240000}"/>
    <cellStyle name="Normal 54 2 5" xfId="10056" xr:uid="{00000000-0005-0000-0000-0000F9240000}"/>
    <cellStyle name="Normal 54 2 6" xfId="8454" xr:uid="{00000000-0005-0000-0000-0000FA240000}"/>
    <cellStyle name="Normal 54 2 7" xfId="11666" xr:uid="{00000000-0005-0000-0000-0000FB240000}"/>
    <cellStyle name="Normal 54 2 8" xfId="13273" xr:uid="{00000000-0005-0000-0000-0000FC240000}"/>
    <cellStyle name="Normal 54 3" xfId="3386" xr:uid="{00000000-0005-0000-0000-0000FD240000}"/>
    <cellStyle name="Normal 54 3 2" xfId="3387" xr:uid="{00000000-0005-0000-0000-0000FE240000}"/>
    <cellStyle name="Normal 54 3 2 2" xfId="10061" xr:uid="{00000000-0005-0000-0000-0000FF240000}"/>
    <cellStyle name="Normal 54 3 2 3" xfId="8459" xr:uid="{00000000-0005-0000-0000-000000250000}"/>
    <cellStyle name="Normal 54 3 2 4" xfId="11671" xr:uid="{00000000-0005-0000-0000-000001250000}"/>
    <cellStyle name="Normal 54 3 2 5" xfId="13278" xr:uid="{00000000-0005-0000-0000-000002250000}"/>
    <cellStyle name="Normal 54 3 3" xfId="3388" xr:uid="{00000000-0005-0000-0000-000003250000}"/>
    <cellStyle name="Normal 54 3 3 2" xfId="10062" xr:uid="{00000000-0005-0000-0000-000004250000}"/>
    <cellStyle name="Normal 54 3 3 3" xfId="8460" xr:uid="{00000000-0005-0000-0000-000005250000}"/>
    <cellStyle name="Normal 54 3 3 4" xfId="11672" xr:uid="{00000000-0005-0000-0000-000006250000}"/>
    <cellStyle name="Normal 54 3 3 5" xfId="13279" xr:uid="{00000000-0005-0000-0000-000007250000}"/>
    <cellStyle name="Normal 54 3 4" xfId="3389" xr:uid="{00000000-0005-0000-0000-000008250000}"/>
    <cellStyle name="Normal 54 3 4 2" xfId="10063" xr:uid="{00000000-0005-0000-0000-000009250000}"/>
    <cellStyle name="Normal 54 3 4 3" xfId="8461" xr:uid="{00000000-0005-0000-0000-00000A250000}"/>
    <cellStyle name="Normal 54 3 4 4" xfId="11673" xr:uid="{00000000-0005-0000-0000-00000B250000}"/>
    <cellStyle name="Normal 54 3 4 5" xfId="13280" xr:uid="{00000000-0005-0000-0000-00000C250000}"/>
    <cellStyle name="Normal 54 3 5" xfId="10060" xr:uid="{00000000-0005-0000-0000-00000D250000}"/>
    <cellStyle name="Normal 54 3 6" xfId="8458" xr:uid="{00000000-0005-0000-0000-00000E250000}"/>
    <cellStyle name="Normal 54 3 7" xfId="11670" xr:uid="{00000000-0005-0000-0000-00000F250000}"/>
    <cellStyle name="Normal 54 3 8" xfId="13277" xr:uid="{00000000-0005-0000-0000-000010250000}"/>
    <cellStyle name="Normal 54 4" xfId="3390" xr:uid="{00000000-0005-0000-0000-000011250000}"/>
    <cellStyle name="Normal 54 4 2" xfId="10064" xr:uid="{00000000-0005-0000-0000-000012250000}"/>
    <cellStyle name="Normal 54 4 3" xfId="8462" xr:uid="{00000000-0005-0000-0000-000013250000}"/>
    <cellStyle name="Normal 54 4 4" xfId="11674" xr:uid="{00000000-0005-0000-0000-000014250000}"/>
    <cellStyle name="Normal 54 4 5" xfId="13281" xr:uid="{00000000-0005-0000-0000-000015250000}"/>
    <cellStyle name="Normal 54 5" xfId="3391" xr:uid="{00000000-0005-0000-0000-000016250000}"/>
    <cellStyle name="Normal 54 5 2" xfId="10065" xr:uid="{00000000-0005-0000-0000-000017250000}"/>
    <cellStyle name="Normal 54 5 3" xfId="8463" xr:uid="{00000000-0005-0000-0000-000018250000}"/>
    <cellStyle name="Normal 54 5 4" xfId="11675" xr:uid="{00000000-0005-0000-0000-000019250000}"/>
    <cellStyle name="Normal 54 5 5" xfId="13282" xr:uid="{00000000-0005-0000-0000-00001A250000}"/>
    <cellStyle name="Normal 54 6" xfId="3392" xr:uid="{00000000-0005-0000-0000-00001B250000}"/>
    <cellStyle name="Normal 54 6 2" xfId="10066" xr:uid="{00000000-0005-0000-0000-00001C250000}"/>
    <cellStyle name="Normal 54 6 3" xfId="8464" xr:uid="{00000000-0005-0000-0000-00001D250000}"/>
    <cellStyle name="Normal 54 6 4" xfId="11676" xr:uid="{00000000-0005-0000-0000-00001E250000}"/>
    <cellStyle name="Normal 54 6 5" xfId="13283" xr:uid="{00000000-0005-0000-0000-00001F250000}"/>
    <cellStyle name="Normal 54 7" xfId="10055" xr:uid="{00000000-0005-0000-0000-000020250000}"/>
    <cellStyle name="Normal 54 8" xfId="8453" xr:uid="{00000000-0005-0000-0000-000021250000}"/>
    <cellStyle name="Normal 54 9" xfId="11665" xr:uid="{00000000-0005-0000-0000-000022250000}"/>
    <cellStyle name="Normal 55" xfId="3393" xr:uid="{00000000-0005-0000-0000-000023250000}"/>
    <cellStyle name="Normal 55 10" xfId="13284" xr:uid="{00000000-0005-0000-0000-000024250000}"/>
    <cellStyle name="Normal 55 2" xfId="3394" xr:uid="{00000000-0005-0000-0000-000025250000}"/>
    <cellStyle name="Normal 55 2 2" xfId="3395" xr:uid="{00000000-0005-0000-0000-000026250000}"/>
    <cellStyle name="Normal 55 2 2 2" xfId="10069" xr:uid="{00000000-0005-0000-0000-000027250000}"/>
    <cellStyle name="Normal 55 2 2 3" xfId="8467" xr:uid="{00000000-0005-0000-0000-000028250000}"/>
    <cellStyle name="Normal 55 2 2 4" xfId="11679" xr:uid="{00000000-0005-0000-0000-000029250000}"/>
    <cellStyle name="Normal 55 2 2 5" xfId="13286" xr:uid="{00000000-0005-0000-0000-00002A250000}"/>
    <cellStyle name="Normal 55 2 3" xfId="3396" xr:uid="{00000000-0005-0000-0000-00002B250000}"/>
    <cellStyle name="Normal 55 2 3 2" xfId="10070" xr:uid="{00000000-0005-0000-0000-00002C250000}"/>
    <cellStyle name="Normal 55 2 3 3" xfId="8468" xr:uid="{00000000-0005-0000-0000-00002D250000}"/>
    <cellStyle name="Normal 55 2 3 4" xfId="11680" xr:uid="{00000000-0005-0000-0000-00002E250000}"/>
    <cellStyle name="Normal 55 2 3 5" xfId="13287" xr:uid="{00000000-0005-0000-0000-00002F250000}"/>
    <cellStyle name="Normal 55 2 4" xfId="3397" xr:uid="{00000000-0005-0000-0000-000030250000}"/>
    <cellStyle name="Normal 55 2 4 2" xfId="10071" xr:uid="{00000000-0005-0000-0000-000031250000}"/>
    <cellStyle name="Normal 55 2 4 3" xfId="8469" xr:uid="{00000000-0005-0000-0000-000032250000}"/>
    <cellStyle name="Normal 55 2 4 4" xfId="11681" xr:uid="{00000000-0005-0000-0000-000033250000}"/>
    <cellStyle name="Normal 55 2 4 5" xfId="13288" xr:uid="{00000000-0005-0000-0000-000034250000}"/>
    <cellStyle name="Normal 55 2 5" xfId="10068" xr:uid="{00000000-0005-0000-0000-000035250000}"/>
    <cellStyle name="Normal 55 2 6" xfId="8466" xr:uid="{00000000-0005-0000-0000-000036250000}"/>
    <cellStyle name="Normal 55 2 7" xfId="11678" xr:uid="{00000000-0005-0000-0000-000037250000}"/>
    <cellStyle name="Normal 55 2 8" xfId="13285" xr:uid="{00000000-0005-0000-0000-000038250000}"/>
    <cellStyle name="Normal 55 3" xfId="3398" xr:uid="{00000000-0005-0000-0000-000039250000}"/>
    <cellStyle name="Normal 55 3 2" xfId="3399" xr:uid="{00000000-0005-0000-0000-00003A250000}"/>
    <cellStyle name="Normal 55 3 2 2" xfId="10073" xr:uid="{00000000-0005-0000-0000-00003B250000}"/>
    <cellStyle name="Normal 55 3 2 3" xfId="8471" xr:uid="{00000000-0005-0000-0000-00003C250000}"/>
    <cellStyle name="Normal 55 3 2 4" xfId="11683" xr:uid="{00000000-0005-0000-0000-00003D250000}"/>
    <cellStyle name="Normal 55 3 2 5" xfId="13290" xr:uid="{00000000-0005-0000-0000-00003E250000}"/>
    <cellStyle name="Normal 55 3 3" xfId="3400" xr:uid="{00000000-0005-0000-0000-00003F250000}"/>
    <cellStyle name="Normal 55 3 3 2" xfId="10074" xr:uid="{00000000-0005-0000-0000-000040250000}"/>
    <cellStyle name="Normal 55 3 3 3" xfId="8472" xr:uid="{00000000-0005-0000-0000-000041250000}"/>
    <cellStyle name="Normal 55 3 3 4" xfId="11684" xr:uid="{00000000-0005-0000-0000-000042250000}"/>
    <cellStyle name="Normal 55 3 3 5" xfId="13291" xr:uid="{00000000-0005-0000-0000-000043250000}"/>
    <cellStyle name="Normal 55 3 4" xfId="3401" xr:uid="{00000000-0005-0000-0000-000044250000}"/>
    <cellStyle name="Normal 55 3 4 2" xfId="10075" xr:uid="{00000000-0005-0000-0000-000045250000}"/>
    <cellStyle name="Normal 55 3 4 3" xfId="8473" xr:uid="{00000000-0005-0000-0000-000046250000}"/>
    <cellStyle name="Normal 55 3 4 4" xfId="11685" xr:uid="{00000000-0005-0000-0000-000047250000}"/>
    <cellStyle name="Normal 55 3 4 5" xfId="13292" xr:uid="{00000000-0005-0000-0000-000048250000}"/>
    <cellStyle name="Normal 55 3 5" xfId="10072" xr:uid="{00000000-0005-0000-0000-000049250000}"/>
    <cellStyle name="Normal 55 3 6" xfId="8470" xr:uid="{00000000-0005-0000-0000-00004A250000}"/>
    <cellStyle name="Normal 55 3 7" xfId="11682" xr:uid="{00000000-0005-0000-0000-00004B250000}"/>
    <cellStyle name="Normal 55 3 8" xfId="13289" xr:uid="{00000000-0005-0000-0000-00004C250000}"/>
    <cellStyle name="Normal 55 4" xfId="3402" xr:uid="{00000000-0005-0000-0000-00004D250000}"/>
    <cellStyle name="Normal 55 4 2" xfId="10076" xr:uid="{00000000-0005-0000-0000-00004E250000}"/>
    <cellStyle name="Normal 55 4 3" xfId="8474" xr:uid="{00000000-0005-0000-0000-00004F250000}"/>
    <cellStyle name="Normal 55 4 4" xfId="11686" xr:uid="{00000000-0005-0000-0000-000050250000}"/>
    <cellStyle name="Normal 55 4 5" xfId="13293" xr:uid="{00000000-0005-0000-0000-000051250000}"/>
    <cellStyle name="Normal 55 5" xfId="3403" xr:uid="{00000000-0005-0000-0000-000052250000}"/>
    <cellStyle name="Normal 55 5 2" xfId="10077" xr:uid="{00000000-0005-0000-0000-000053250000}"/>
    <cellStyle name="Normal 55 5 3" xfId="8475" xr:uid="{00000000-0005-0000-0000-000054250000}"/>
    <cellStyle name="Normal 55 5 4" xfId="11687" xr:uid="{00000000-0005-0000-0000-000055250000}"/>
    <cellStyle name="Normal 55 5 5" xfId="13294" xr:uid="{00000000-0005-0000-0000-000056250000}"/>
    <cellStyle name="Normal 55 6" xfId="3404" xr:uid="{00000000-0005-0000-0000-000057250000}"/>
    <cellStyle name="Normal 55 6 2" xfId="10078" xr:uid="{00000000-0005-0000-0000-000058250000}"/>
    <cellStyle name="Normal 55 6 3" xfId="8476" xr:uid="{00000000-0005-0000-0000-000059250000}"/>
    <cellStyle name="Normal 55 6 4" xfId="11688" xr:uid="{00000000-0005-0000-0000-00005A250000}"/>
    <cellStyle name="Normal 55 6 5" xfId="13295" xr:uid="{00000000-0005-0000-0000-00005B250000}"/>
    <cellStyle name="Normal 55 7" xfId="10067" xr:uid="{00000000-0005-0000-0000-00005C250000}"/>
    <cellStyle name="Normal 55 8" xfId="8465" xr:uid="{00000000-0005-0000-0000-00005D250000}"/>
    <cellStyle name="Normal 55 9" xfId="11677" xr:uid="{00000000-0005-0000-0000-00005E250000}"/>
    <cellStyle name="Normal 56" xfId="3405" xr:uid="{00000000-0005-0000-0000-00005F250000}"/>
    <cellStyle name="Normal 56 10" xfId="13296" xr:uid="{00000000-0005-0000-0000-000060250000}"/>
    <cellStyle name="Normal 56 2" xfId="3406" xr:uid="{00000000-0005-0000-0000-000061250000}"/>
    <cellStyle name="Normal 56 2 2" xfId="3407" xr:uid="{00000000-0005-0000-0000-000062250000}"/>
    <cellStyle name="Normal 56 2 2 2" xfId="10081" xr:uid="{00000000-0005-0000-0000-000063250000}"/>
    <cellStyle name="Normal 56 2 2 3" xfId="8479" xr:uid="{00000000-0005-0000-0000-000064250000}"/>
    <cellStyle name="Normal 56 2 2 4" xfId="11691" xr:uid="{00000000-0005-0000-0000-000065250000}"/>
    <cellStyle name="Normal 56 2 2 5" xfId="13298" xr:uid="{00000000-0005-0000-0000-000066250000}"/>
    <cellStyle name="Normal 56 2 3" xfId="3408" xr:uid="{00000000-0005-0000-0000-000067250000}"/>
    <cellStyle name="Normal 56 2 3 2" xfId="10082" xr:uid="{00000000-0005-0000-0000-000068250000}"/>
    <cellStyle name="Normal 56 2 3 3" xfId="8480" xr:uid="{00000000-0005-0000-0000-000069250000}"/>
    <cellStyle name="Normal 56 2 3 4" xfId="11692" xr:uid="{00000000-0005-0000-0000-00006A250000}"/>
    <cellStyle name="Normal 56 2 3 5" xfId="13299" xr:uid="{00000000-0005-0000-0000-00006B250000}"/>
    <cellStyle name="Normal 56 2 4" xfId="3409" xr:uid="{00000000-0005-0000-0000-00006C250000}"/>
    <cellStyle name="Normal 56 2 4 2" xfId="10083" xr:uid="{00000000-0005-0000-0000-00006D250000}"/>
    <cellStyle name="Normal 56 2 4 3" xfId="8481" xr:uid="{00000000-0005-0000-0000-00006E250000}"/>
    <cellStyle name="Normal 56 2 4 4" xfId="11693" xr:uid="{00000000-0005-0000-0000-00006F250000}"/>
    <cellStyle name="Normal 56 2 4 5" xfId="13300" xr:uid="{00000000-0005-0000-0000-000070250000}"/>
    <cellStyle name="Normal 56 2 5" xfId="10080" xr:uid="{00000000-0005-0000-0000-000071250000}"/>
    <cellStyle name="Normal 56 2 6" xfId="8478" xr:uid="{00000000-0005-0000-0000-000072250000}"/>
    <cellStyle name="Normal 56 2 7" xfId="11690" xr:uid="{00000000-0005-0000-0000-000073250000}"/>
    <cellStyle name="Normal 56 2 8" xfId="13297" xr:uid="{00000000-0005-0000-0000-000074250000}"/>
    <cellStyle name="Normal 56 3" xfId="3410" xr:uid="{00000000-0005-0000-0000-000075250000}"/>
    <cellStyle name="Normal 56 3 2" xfId="3411" xr:uid="{00000000-0005-0000-0000-000076250000}"/>
    <cellStyle name="Normal 56 3 2 2" xfId="10085" xr:uid="{00000000-0005-0000-0000-000077250000}"/>
    <cellStyle name="Normal 56 3 2 3" xfId="8483" xr:uid="{00000000-0005-0000-0000-000078250000}"/>
    <cellStyle name="Normal 56 3 2 4" xfId="11695" xr:uid="{00000000-0005-0000-0000-000079250000}"/>
    <cellStyle name="Normal 56 3 2 5" xfId="13302" xr:uid="{00000000-0005-0000-0000-00007A250000}"/>
    <cellStyle name="Normal 56 3 3" xfId="3412" xr:uid="{00000000-0005-0000-0000-00007B250000}"/>
    <cellStyle name="Normal 56 3 3 2" xfId="10086" xr:uid="{00000000-0005-0000-0000-00007C250000}"/>
    <cellStyle name="Normal 56 3 3 3" xfId="8484" xr:uid="{00000000-0005-0000-0000-00007D250000}"/>
    <cellStyle name="Normal 56 3 3 4" xfId="11696" xr:uid="{00000000-0005-0000-0000-00007E250000}"/>
    <cellStyle name="Normal 56 3 3 5" xfId="13303" xr:uid="{00000000-0005-0000-0000-00007F250000}"/>
    <cellStyle name="Normal 56 3 4" xfId="3413" xr:uid="{00000000-0005-0000-0000-000080250000}"/>
    <cellStyle name="Normal 56 3 4 2" xfId="10087" xr:uid="{00000000-0005-0000-0000-000081250000}"/>
    <cellStyle name="Normal 56 3 4 3" xfId="8485" xr:uid="{00000000-0005-0000-0000-000082250000}"/>
    <cellStyle name="Normal 56 3 4 4" xfId="11697" xr:uid="{00000000-0005-0000-0000-000083250000}"/>
    <cellStyle name="Normal 56 3 4 5" xfId="13304" xr:uid="{00000000-0005-0000-0000-000084250000}"/>
    <cellStyle name="Normal 56 3 5" xfId="10084" xr:uid="{00000000-0005-0000-0000-000085250000}"/>
    <cellStyle name="Normal 56 3 6" xfId="8482" xr:uid="{00000000-0005-0000-0000-000086250000}"/>
    <cellStyle name="Normal 56 3 7" xfId="11694" xr:uid="{00000000-0005-0000-0000-000087250000}"/>
    <cellStyle name="Normal 56 3 8" xfId="13301" xr:uid="{00000000-0005-0000-0000-000088250000}"/>
    <cellStyle name="Normal 56 4" xfId="3414" xr:uid="{00000000-0005-0000-0000-000089250000}"/>
    <cellStyle name="Normal 56 4 2" xfId="10088" xr:uid="{00000000-0005-0000-0000-00008A250000}"/>
    <cellStyle name="Normal 56 4 3" xfId="8486" xr:uid="{00000000-0005-0000-0000-00008B250000}"/>
    <cellStyle name="Normal 56 4 4" xfId="11698" xr:uid="{00000000-0005-0000-0000-00008C250000}"/>
    <cellStyle name="Normal 56 4 5" xfId="13305" xr:uid="{00000000-0005-0000-0000-00008D250000}"/>
    <cellStyle name="Normal 56 5" xfId="3415" xr:uid="{00000000-0005-0000-0000-00008E250000}"/>
    <cellStyle name="Normal 56 5 2" xfId="10089" xr:uid="{00000000-0005-0000-0000-00008F250000}"/>
    <cellStyle name="Normal 56 5 3" xfId="8487" xr:uid="{00000000-0005-0000-0000-000090250000}"/>
    <cellStyle name="Normal 56 5 4" xfId="11699" xr:uid="{00000000-0005-0000-0000-000091250000}"/>
    <cellStyle name="Normal 56 5 5" xfId="13306" xr:uid="{00000000-0005-0000-0000-000092250000}"/>
    <cellStyle name="Normal 56 6" xfId="3416" xr:uid="{00000000-0005-0000-0000-000093250000}"/>
    <cellStyle name="Normal 56 6 2" xfId="10090" xr:uid="{00000000-0005-0000-0000-000094250000}"/>
    <cellStyle name="Normal 56 6 3" xfId="8488" xr:uid="{00000000-0005-0000-0000-000095250000}"/>
    <cellStyle name="Normal 56 6 4" xfId="11700" xr:uid="{00000000-0005-0000-0000-000096250000}"/>
    <cellStyle name="Normal 56 6 5" xfId="13307" xr:uid="{00000000-0005-0000-0000-000097250000}"/>
    <cellStyle name="Normal 56 7" xfId="10079" xr:uid="{00000000-0005-0000-0000-000098250000}"/>
    <cellStyle name="Normal 56 8" xfId="8477" xr:uid="{00000000-0005-0000-0000-000099250000}"/>
    <cellStyle name="Normal 56 9" xfId="11689" xr:uid="{00000000-0005-0000-0000-00009A250000}"/>
    <cellStyle name="Normal 57" xfId="3417" xr:uid="{00000000-0005-0000-0000-00009B250000}"/>
    <cellStyle name="Normal 57 10" xfId="13308" xr:uid="{00000000-0005-0000-0000-00009C250000}"/>
    <cellStyle name="Normal 57 2" xfId="3418" xr:uid="{00000000-0005-0000-0000-00009D250000}"/>
    <cellStyle name="Normal 57 2 2" xfId="3419" xr:uid="{00000000-0005-0000-0000-00009E250000}"/>
    <cellStyle name="Normal 57 2 2 2" xfId="10093" xr:uid="{00000000-0005-0000-0000-00009F250000}"/>
    <cellStyle name="Normal 57 2 2 3" xfId="8491" xr:uid="{00000000-0005-0000-0000-0000A0250000}"/>
    <cellStyle name="Normal 57 2 2 4" xfId="11703" xr:uid="{00000000-0005-0000-0000-0000A1250000}"/>
    <cellStyle name="Normal 57 2 2 5" xfId="13310" xr:uid="{00000000-0005-0000-0000-0000A2250000}"/>
    <cellStyle name="Normal 57 2 3" xfId="3420" xr:uid="{00000000-0005-0000-0000-0000A3250000}"/>
    <cellStyle name="Normal 57 2 3 2" xfId="10094" xr:uid="{00000000-0005-0000-0000-0000A4250000}"/>
    <cellStyle name="Normal 57 2 3 3" xfId="8492" xr:uid="{00000000-0005-0000-0000-0000A5250000}"/>
    <cellStyle name="Normal 57 2 3 4" xfId="11704" xr:uid="{00000000-0005-0000-0000-0000A6250000}"/>
    <cellStyle name="Normal 57 2 3 5" xfId="13311" xr:uid="{00000000-0005-0000-0000-0000A7250000}"/>
    <cellStyle name="Normal 57 2 4" xfId="3421" xr:uid="{00000000-0005-0000-0000-0000A8250000}"/>
    <cellStyle name="Normal 57 2 4 2" xfId="10095" xr:uid="{00000000-0005-0000-0000-0000A9250000}"/>
    <cellStyle name="Normal 57 2 4 3" xfId="8493" xr:uid="{00000000-0005-0000-0000-0000AA250000}"/>
    <cellStyle name="Normal 57 2 4 4" xfId="11705" xr:uid="{00000000-0005-0000-0000-0000AB250000}"/>
    <cellStyle name="Normal 57 2 4 5" xfId="13312" xr:uid="{00000000-0005-0000-0000-0000AC250000}"/>
    <cellStyle name="Normal 57 2 5" xfId="10092" xr:uid="{00000000-0005-0000-0000-0000AD250000}"/>
    <cellStyle name="Normal 57 2 6" xfId="8490" xr:uid="{00000000-0005-0000-0000-0000AE250000}"/>
    <cellStyle name="Normal 57 2 7" xfId="11702" xr:uid="{00000000-0005-0000-0000-0000AF250000}"/>
    <cellStyle name="Normal 57 2 8" xfId="13309" xr:uid="{00000000-0005-0000-0000-0000B0250000}"/>
    <cellStyle name="Normal 57 3" xfId="3422" xr:uid="{00000000-0005-0000-0000-0000B1250000}"/>
    <cellStyle name="Normal 57 3 2" xfId="3423" xr:uid="{00000000-0005-0000-0000-0000B2250000}"/>
    <cellStyle name="Normal 57 3 2 2" xfId="10097" xr:uid="{00000000-0005-0000-0000-0000B3250000}"/>
    <cellStyle name="Normal 57 3 2 3" xfId="8495" xr:uid="{00000000-0005-0000-0000-0000B4250000}"/>
    <cellStyle name="Normal 57 3 2 4" xfId="11707" xr:uid="{00000000-0005-0000-0000-0000B5250000}"/>
    <cellStyle name="Normal 57 3 2 5" xfId="13314" xr:uid="{00000000-0005-0000-0000-0000B6250000}"/>
    <cellStyle name="Normal 57 3 3" xfId="3424" xr:uid="{00000000-0005-0000-0000-0000B7250000}"/>
    <cellStyle name="Normal 57 3 3 2" xfId="10098" xr:uid="{00000000-0005-0000-0000-0000B8250000}"/>
    <cellStyle name="Normal 57 3 3 3" xfId="8496" xr:uid="{00000000-0005-0000-0000-0000B9250000}"/>
    <cellStyle name="Normal 57 3 3 4" xfId="11708" xr:uid="{00000000-0005-0000-0000-0000BA250000}"/>
    <cellStyle name="Normal 57 3 3 5" xfId="13315" xr:uid="{00000000-0005-0000-0000-0000BB250000}"/>
    <cellStyle name="Normal 57 3 4" xfId="3425" xr:uid="{00000000-0005-0000-0000-0000BC250000}"/>
    <cellStyle name="Normal 57 3 4 2" xfId="10099" xr:uid="{00000000-0005-0000-0000-0000BD250000}"/>
    <cellStyle name="Normal 57 3 4 3" xfId="8497" xr:uid="{00000000-0005-0000-0000-0000BE250000}"/>
    <cellStyle name="Normal 57 3 4 4" xfId="11709" xr:uid="{00000000-0005-0000-0000-0000BF250000}"/>
    <cellStyle name="Normal 57 3 4 5" xfId="13316" xr:uid="{00000000-0005-0000-0000-0000C0250000}"/>
    <cellStyle name="Normal 57 3 5" xfId="10096" xr:uid="{00000000-0005-0000-0000-0000C1250000}"/>
    <cellStyle name="Normal 57 3 6" xfId="8494" xr:uid="{00000000-0005-0000-0000-0000C2250000}"/>
    <cellStyle name="Normal 57 3 7" xfId="11706" xr:uid="{00000000-0005-0000-0000-0000C3250000}"/>
    <cellStyle name="Normal 57 3 8" xfId="13313" xr:uid="{00000000-0005-0000-0000-0000C4250000}"/>
    <cellStyle name="Normal 57 4" xfId="3426" xr:uid="{00000000-0005-0000-0000-0000C5250000}"/>
    <cellStyle name="Normal 57 4 2" xfId="10100" xr:uid="{00000000-0005-0000-0000-0000C6250000}"/>
    <cellStyle name="Normal 57 4 3" xfId="8498" xr:uid="{00000000-0005-0000-0000-0000C7250000}"/>
    <cellStyle name="Normal 57 4 4" xfId="11710" xr:uid="{00000000-0005-0000-0000-0000C8250000}"/>
    <cellStyle name="Normal 57 4 5" xfId="13317" xr:uid="{00000000-0005-0000-0000-0000C9250000}"/>
    <cellStyle name="Normal 57 5" xfId="3427" xr:uid="{00000000-0005-0000-0000-0000CA250000}"/>
    <cellStyle name="Normal 57 5 2" xfId="10101" xr:uid="{00000000-0005-0000-0000-0000CB250000}"/>
    <cellStyle name="Normal 57 5 3" xfId="8499" xr:uid="{00000000-0005-0000-0000-0000CC250000}"/>
    <cellStyle name="Normal 57 5 4" xfId="11711" xr:uid="{00000000-0005-0000-0000-0000CD250000}"/>
    <cellStyle name="Normal 57 5 5" xfId="13318" xr:uid="{00000000-0005-0000-0000-0000CE250000}"/>
    <cellStyle name="Normal 57 6" xfId="3428" xr:uid="{00000000-0005-0000-0000-0000CF250000}"/>
    <cellStyle name="Normal 57 6 2" xfId="10102" xr:uid="{00000000-0005-0000-0000-0000D0250000}"/>
    <cellStyle name="Normal 57 6 3" xfId="8500" xr:uid="{00000000-0005-0000-0000-0000D1250000}"/>
    <cellStyle name="Normal 57 6 4" xfId="11712" xr:uid="{00000000-0005-0000-0000-0000D2250000}"/>
    <cellStyle name="Normal 57 6 5" xfId="13319" xr:uid="{00000000-0005-0000-0000-0000D3250000}"/>
    <cellStyle name="Normal 57 7" xfId="10091" xr:uid="{00000000-0005-0000-0000-0000D4250000}"/>
    <cellStyle name="Normal 57 8" xfId="8489" xr:uid="{00000000-0005-0000-0000-0000D5250000}"/>
    <cellStyle name="Normal 57 9" xfId="11701" xr:uid="{00000000-0005-0000-0000-0000D6250000}"/>
    <cellStyle name="Normal 58" xfId="3429" xr:uid="{00000000-0005-0000-0000-0000D7250000}"/>
    <cellStyle name="Normal 58 10" xfId="13320" xr:uid="{00000000-0005-0000-0000-0000D8250000}"/>
    <cellStyle name="Normal 58 2" xfId="3430" xr:uid="{00000000-0005-0000-0000-0000D9250000}"/>
    <cellStyle name="Normal 58 2 2" xfId="3431" xr:uid="{00000000-0005-0000-0000-0000DA250000}"/>
    <cellStyle name="Normal 58 2 2 2" xfId="10105" xr:uid="{00000000-0005-0000-0000-0000DB250000}"/>
    <cellStyle name="Normal 58 2 2 3" xfId="8503" xr:uid="{00000000-0005-0000-0000-0000DC250000}"/>
    <cellStyle name="Normal 58 2 2 4" xfId="11715" xr:uid="{00000000-0005-0000-0000-0000DD250000}"/>
    <cellStyle name="Normal 58 2 2 5" xfId="13322" xr:uid="{00000000-0005-0000-0000-0000DE250000}"/>
    <cellStyle name="Normal 58 2 3" xfId="3432" xr:uid="{00000000-0005-0000-0000-0000DF250000}"/>
    <cellStyle name="Normal 58 2 3 2" xfId="10106" xr:uid="{00000000-0005-0000-0000-0000E0250000}"/>
    <cellStyle name="Normal 58 2 3 3" xfId="8504" xr:uid="{00000000-0005-0000-0000-0000E1250000}"/>
    <cellStyle name="Normal 58 2 3 4" xfId="11716" xr:uid="{00000000-0005-0000-0000-0000E2250000}"/>
    <cellStyle name="Normal 58 2 3 5" xfId="13323" xr:uid="{00000000-0005-0000-0000-0000E3250000}"/>
    <cellStyle name="Normal 58 2 4" xfId="3433" xr:uid="{00000000-0005-0000-0000-0000E4250000}"/>
    <cellStyle name="Normal 58 2 4 2" xfId="10107" xr:uid="{00000000-0005-0000-0000-0000E5250000}"/>
    <cellStyle name="Normal 58 2 4 3" xfId="8505" xr:uid="{00000000-0005-0000-0000-0000E6250000}"/>
    <cellStyle name="Normal 58 2 4 4" xfId="11717" xr:uid="{00000000-0005-0000-0000-0000E7250000}"/>
    <cellStyle name="Normal 58 2 4 5" xfId="13324" xr:uid="{00000000-0005-0000-0000-0000E8250000}"/>
    <cellStyle name="Normal 58 2 5" xfId="10104" xr:uid="{00000000-0005-0000-0000-0000E9250000}"/>
    <cellStyle name="Normal 58 2 6" xfId="8502" xr:uid="{00000000-0005-0000-0000-0000EA250000}"/>
    <cellStyle name="Normal 58 2 7" xfId="11714" xr:uid="{00000000-0005-0000-0000-0000EB250000}"/>
    <cellStyle name="Normal 58 2 8" xfId="13321" xr:uid="{00000000-0005-0000-0000-0000EC250000}"/>
    <cellStyle name="Normal 58 3" xfId="3434" xr:uid="{00000000-0005-0000-0000-0000ED250000}"/>
    <cellStyle name="Normal 58 3 2" xfId="3435" xr:uid="{00000000-0005-0000-0000-0000EE250000}"/>
    <cellStyle name="Normal 58 3 2 2" xfId="10109" xr:uid="{00000000-0005-0000-0000-0000EF250000}"/>
    <cellStyle name="Normal 58 3 2 3" xfId="8507" xr:uid="{00000000-0005-0000-0000-0000F0250000}"/>
    <cellStyle name="Normal 58 3 2 4" xfId="11719" xr:uid="{00000000-0005-0000-0000-0000F1250000}"/>
    <cellStyle name="Normal 58 3 2 5" xfId="13326" xr:uid="{00000000-0005-0000-0000-0000F2250000}"/>
    <cellStyle name="Normal 58 3 3" xfId="3436" xr:uid="{00000000-0005-0000-0000-0000F3250000}"/>
    <cellStyle name="Normal 58 3 3 2" xfId="10110" xr:uid="{00000000-0005-0000-0000-0000F4250000}"/>
    <cellStyle name="Normal 58 3 3 3" xfId="8508" xr:uid="{00000000-0005-0000-0000-0000F5250000}"/>
    <cellStyle name="Normal 58 3 3 4" xfId="11720" xr:uid="{00000000-0005-0000-0000-0000F6250000}"/>
    <cellStyle name="Normal 58 3 3 5" xfId="13327" xr:uid="{00000000-0005-0000-0000-0000F7250000}"/>
    <cellStyle name="Normal 58 3 4" xfId="3437" xr:uid="{00000000-0005-0000-0000-0000F8250000}"/>
    <cellStyle name="Normal 58 3 4 2" xfId="10111" xr:uid="{00000000-0005-0000-0000-0000F9250000}"/>
    <cellStyle name="Normal 58 3 4 3" xfId="8509" xr:uid="{00000000-0005-0000-0000-0000FA250000}"/>
    <cellStyle name="Normal 58 3 4 4" xfId="11721" xr:uid="{00000000-0005-0000-0000-0000FB250000}"/>
    <cellStyle name="Normal 58 3 4 5" xfId="13328" xr:uid="{00000000-0005-0000-0000-0000FC250000}"/>
    <cellStyle name="Normal 58 3 5" xfId="10108" xr:uid="{00000000-0005-0000-0000-0000FD250000}"/>
    <cellStyle name="Normal 58 3 6" xfId="8506" xr:uid="{00000000-0005-0000-0000-0000FE250000}"/>
    <cellStyle name="Normal 58 3 7" xfId="11718" xr:uid="{00000000-0005-0000-0000-0000FF250000}"/>
    <cellStyle name="Normal 58 3 8" xfId="13325" xr:uid="{00000000-0005-0000-0000-000000260000}"/>
    <cellStyle name="Normal 58 4" xfId="3438" xr:uid="{00000000-0005-0000-0000-000001260000}"/>
    <cellStyle name="Normal 58 4 2" xfId="10112" xr:uid="{00000000-0005-0000-0000-000002260000}"/>
    <cellStyle name="Normal 58 4 3" xfId="8510" xr:uid="{00000000-0005-0000-0000-000003260000}"/>
    <cellStyle name="Normal 58 4 4" xfId="11722" xr:uid="{00000000-0005-0000-0000-000004260000}"/>
    <cellStyle name="Normal 58 4 5" xfId="13329" xr:uid="{00000000-0005-0000-0000-000005260000}"/>
    <cellStyle name="Normal 58 5" xfId="3439" xr:uid="{00000000-0005-0000-0000-000006260000}"/>
    <cellStyle name="Normal 58 5 2" xfId="10113" xr:uid="{00000000-0005-0000-0000-000007260000}"/>
    <cellStyle name="Normal 58 5 3" xfId="8511" xr:uid="{00000000-0005-0000-0000-000008260000}"/>
    <cellStyle name="Normal 58 5 4" xfId="11723" xr:uid="{00000000-0005-0000-0000-000009260000}"/>
    <cellStyle name="Normal 58 5 5" xfId="13330" xr:uid="{00000000-0005-0000-0000-00000A260000}"/>
    <cellStyle name="Normal 58 6" xfId="3440" xr:uid="{00000000-0005-0000-0000-00000B260000}"/>
    <cellStyle name="Normal 58 6 2" xfId="10114" xr:uid="{00000000-0005-0000-0000-00000C260000}"/>
    <cellStyle name="Normal 58 6 3" xfId="8512" xr:uid="{00000000-0005-0000-0000-00000D260000}"/>
    <cellStyle name="Normal 58 6 4" xfId="11724" xr:uid="{00000000-0005-0000-0000-00000E260000}"/>
    <cellStyle name="Normal 58 6 5" xfId="13331" xr:uid="{00000000-0005-0000-0000-00000F260000}"/>
    <cellStyle name="Normal 58 7" xfId="10103" xr:uid="{00000000-0005-0000-0000-000010260000}"/>
    <cellStyle name="Normal 58 8" xfId="8501" xr:uid="{00000000-0005-0000-0000-000011260000}"/>
    <cellStyle name="Normal 58 9" xfId="11713" xr:uid="{00000000-0005-0000-0000-000012260000}"/>
    <cellStyle name="Normal 59" xfId="3441" xr:uid="{00000000-0005-0000-0000-000013260000}"/>
    <cellStyle name="Normal 59 10" xfId="13332" xr:uid="{00000000-0005-0000-0000-000014260000}"/>
    <cellStyle name="Normal 59 2" xfId="3442" xr:uid="{00000000-0005-0000-0000-000015260000}"/>
    <cellStyle name="Normal 59 2 2" xfId="3443" xr:uid="{00000000-0005-0000-0000-000016260000}"/>
    <cellStyle name="Normal 59 2 2 2" xfId="10117" xr:uid="{00000000-0005-0000-0000-000017260000}"/>
    <cellStyle name="Normal 59 2 2 3" xfId="8515" xr:uid="{00000000-0005-0000-0000-000018260000}"/>
    <cellStyle name="Normal 59 2 2 4" xfId="11727" xr:uid="{00000000-0005-0000-0000-000019260000}"/>
    <cellStyle name="Normal 59 2 2 5" xfId="13334" xr:uid="{00000000-0005-0000-0000-00001A260000}"/>
    <cellStyle name="Normal 59 2 3" xfId="3444" xr:uid="{00000000-0005-0000-0000-00001B260000}"/>
    <cellStyle name="Normal 59 2 3 2" xfId="10118" xr:uid="{00000000-0005-0000-0000-00001C260000}"/>
    <cellStyle name="Normal 59 2 3 3" xfId="8516" xr:uid="{00000000-0005-0000-0000-00001D260000}"/>
    <cellStyle name="Normal 59 2 3 4" xfId="11728" xr:uid="{00000000-0005-0000-0000-00001E260000}"/>
    <cellStyle name="Normal 59 2 3 5" xfId="13335" xr:uid="{00000000-0005-0000-0000-00001F260000}"/>
    <cellStyle name="Normal 59 2 4" xfId="3445" xr:uid="{00000000-0005-0000-0000-000020260000}"/>
    <cellStyle name="Normal 59 2 4 2" xfId="10119" xr:uid="{00000000-0005-0000-0000-000021260000}"/>
    <cellStyle name="Normal 59 2 4 3" xfId="8517" xr:uid="{00000000-0005-0000-0000-000022260000}"/>
    <cellStyle name="Normal 59 2 4 4" xfId="11729" xr:uid="{00000000-0005-0000-0000-000023260000}"/>
    <cellStyle name="Normal 59 2 4 5" xfId="13336" xr:uid="{00000000-0005-0000-0000-000024260000}"/>
    <cellStyle name="Normal 59 2 5" xfId="10116" xr:uid="{00000000-0005-0000-0000-000025260000}"/>
    <cellStyle name="Normal 59 2 6" xfId="8514" xr:uid="{00000000-0005-0000-0000-000026260000}"/>
    <cellStyle name="Normal 59 2 7" xfId="11726" xr:uid="{00000000-0005-0000-0000-000027260000}"/>
    <cellStyle name="Normal 59 2 8" xfId="13333" xr:uid="{00000000-0005-0000-0000-000028260000}"/>
    <cellStyle name="Normal 59 3" xfId="3446" xr:uid="{00000000-0005-0000-0000-000029260000}"/>
    <cellStyle name="Normal 59 3 2" xfId="3447" xr:uid="{00000000-0005-0000-0000-00002A260000}"/>
    <cellStyle name="Normal 59 3 2 2" xfId="10121" xr:uid="{00000000-0005-0000-0000-00002B260000}"/>
    <cellStyle name="Normal 59 3 2 3" xfId="8519" xr:uid="{00000000-0005-0000-0000-00002C260000}"/>
    <cellStyle name="Normal 59 3 2 4" xfId="11731" xr:uid="{00000000-0005-0000-0000-00002D260000}"/>
    <cellStyle name="Normal 59 3 2 5" xfId="13338" xr:uid="{00000000-0005-0000-0000-00002E260000}"/>
    <cellStyle name="Normal 59 3 3" xfId="3448" xr:uid="{00000000-0005-0000-0000-00002F260000}"/>
    <cellStyle name="Normal 59 3 3 2" xfId="10122" xr:uid="{00000000-0005-0000-0000-000030260000}"/>
    <cellStyle name="Normal 59 3 3 3" xfId="8520" xr:uid="{00000000-0005-0000-0000-000031260000}"/>
    <cellStyle name="Normal 59 3 3 4" xfId="11732" xr:uid="{00000000-0005-0000-0000-000032260000}"/>
    <cellStyle name="Normal 59 3 3 5" xfId="13339" xr:uid="{00000000-0005-0000-0000-000033260000}"/>
    <cellStyle name="Normal 59 3 4" xfId="3449" xr:uid="{00000000-0005-0000-0000-000034260000}"/>
    <cellStyle name="Normal 59 3 4 2" xfId="10123" xr:uid="{00000000-0005-0000-0000-000035260000}"/>
    <cellStyle name="Normal 59 3 4 3" xfId="8521" xr:uid="{00000000-0005-0000-0000-000036260000}"/>
    <cellStyle name="Normal 59 3 4 4" xfId="11733" xr:uid="{00000000-0005-0000-0000-000037260000}"/>
    <cellStyle name="Normal 59 3 4 5" xfId="13340" xr:uid="{00000000-0005-0000-0000-000038260000}"/>
    <cellStyle name="Normal 59 3 5" xfId="10120" xr:uid="{00000000-0005-0000-0000-000039260000}"/>
    <cellStyle name="Normal 59 3 6" xfId="8518" xr:uid="{00000000-0005-0000-0000-00003A260000}"/>
    <cellStyle name="Normal 59 3 7" xfId="11730" xr:uid="{00000000-0005-0000-0000-00003B260000}"/>
    <cellStyle name="Normal 59 3 8" xfId="13337" xr:uid="{00000000-0005-0000-0000-00003C260000}"/>
    <cellStyle name="Normal 59 4" xfId="3450" xr:uid="{00000000-0005-0000-0000-00003D260000}"/>
    <cellStyle name="Normal 59 4 2" xfId="10124" xr:uid="{00000000-0005-0000-0000-00003E260000}"/>
    <cellStyle name="Normal 59 4 3" xfId="8522" xr:uid="{00000000-0005-0000-0000-00003F260000}"/>
    <cellStyle name="Normal 59 4 4" xfId="11734" xr:uid="{00000000-0005-0000-0000-000040260000}"/>
    <cellStyle name="Normal 59 4 5" xfId="13341" xr:uid="{00000000-0005-0000-0000-000041260000}"/>
    <cellStyle name="Normal 59 5" xfId="3451" xr:uid="{00000000-0005-0000-0000-000042260000}"/>
    <cellStyle name="Normal 59 5 2" xfId="10125" xr:uid="{00000000-0005-0000-0000-000043260000}"/>
    <cellStyle name="Normal 59 5 3" xfId="8523" xr:uid="{00000000-0005-0000-0000-000044260000}"/>
    <cellStyle name="Normal 59 5 4" xfId="11735" xr:uid="{00000000-0005-0000-0000-000045260000}"/>
    <cellStyle name="Normal 59 5 5" xfId="13342" xr:uid="{00000000-0005-0000-0000-000046260000}"/>
    <cellStyle name="Normal 59 6" xfId="3452" xr:uid="{00000000-0005-0000-0000-000047260000}"/>
    <cellStyle name="Normal 59 6 2" xfId="10126" xr:uid="{00000000-0005-0000-0000-000048260000}"/>
    <cellStyle name="Normal 59 6 3" xfId="8524" xr:uid="{00000000-0005-0000-0000-000049260000}"/>
    <cellStyle name="Normal 59 6 4" xfId="11736" xr:uid="{00000000-0005-0000-0000-00004A260000}"/>
    <cellStyle name="Normal 59 6 5" xfId="13343" xr:uid="{00000000-0005-0000-0000-00004B260000}"/>
    <cellStyle name="Normal 59 7" xfId="10115" xr:uid="{00000000-0005-0000-0000-00004C260000}"/>
    <cellStyle name="Normal 59 8" xfId="8513" xr:uid="{00000000-0005-0000-0000-00004D260000}"/>
    <cellStyle name="Normal 59 9" xfId="11725" xr:uid="{00000000-0005-0000-0000-00004E260000}"/>
    <cellStyle name="Normal 6" xfId="134" xr:uid="{00000000-0005-0000-0000-00004F260000}"/>
    <cellStyle name="Normal 6 10" xfId="3453" xr:uid="{00000000-0005-0000-0000-000050260000}"/>
    <cellStyle name="Normal 6 10 2" xfId="10459" xr:uid="{00000000-0005-0000-0000-000051260000}"/>
    <cellStyle name="Normal 6 11" xfId="7396" xr:uid="{00000000-0005-0000-0000-000052260000}"/>
    <cellStyle name="Normal 6 12" xfId="10617" xr:uid="{00000000-0005-0000-0000-000053260000}"/>
    <cellStyle name="Normal 6 2" xfId="3454" xr:uid="{00000000-0005-0000-0000-000054260000}"/>
    <cellStyle name="Normal 6 2 10" xfId="11737" xr:uid="{00000000-0005-0000-0000-000055260000}"/>
    <cellStyle name="Normal 6 2 11" xfId="13344" xr:uid="{00000000-0005-0000-0000-000056260000}"/>
    <cellStyle name="Normal 6 2 2" xfId="3455" xr:uid="{00000000-0005-0000-0000-000057260000}"/>
    <cellStyle name="Normal 6 2 2 2" xfId="3456" xr:uid="{00000000-0005-0000-0000-000058260000}"/>
    <cellStyle name="Normal 6 2 2 2 2" xfId="10129" xr:uid="{00000000-0005-0000-0000-000059260000}"/>
    <cellStyle name="Normal 6 2 2 2 3" xfId="8527" xr:uid="{00000000-0005-0000-0000-00005A260000}"/>
    <cellStyle name="Normal 6 2 2 2 4" xfId="11739" xr:uid="{00000000-0005-0000-0000-00005B260000}"/>
    <cellStyle name="Normal 6 2 2 2 5" xfId="13346" xr:uid="{00000000-0005-0000-0000-00005C260000}"/>
    <cellStyle name="Normal 6 2 2 3" xfId="3457" xr:uid="{00000000-0005-0000-0000-00005D260000}"/>
    <cellStyle name="Normal 6 2 2 3 2" xfId="10130" xr:uid="{00000000-0005-0000-0000-00005E260000}"/>
    <cellStyle name="Normal 6 2 2 3 3" xfId="8528" xr:uid="{00000000-0005-0000-0000-00005F260000}"/>
    <cellStyle name="Normal 6 2 2 3 4" xfId="11740" xr:uid="{00000000-0005-0000-0000-000060260000}"/>
    <cellStyle name="Normal 6 2 2 3 5" xfId="13347" xr:uid="{00000000-0005-0000-0000-000061260000}"/>
    <cellStyle name="Normal 6 2 2 4" xfId="3458" xr:uid="{00000000-0005-0000-0000-000062260000}"/>
    <cellStyle name="Normal 6 2 2 4 2" xfId="10131" xr:uid="{00000000-0005-0000-0000-000063260000}"/>
    <cellStyle name="Normal 6 2 2 4 3" xfId="8529" xr:uid="{00000000-0005-0000-0000-000064260000}"/>
    <cellStyle name="Normal 6 2 2 4 4" xfId="11741" xr:uid="{00000000-0005-0000-0000-000065260000}"/>
    <cellStyle name="Normal 6 2 2 4 5" xfId="13348" xr:uid="{00000000-0005-0000-0000-000066260000}"/>
    <cellStyle name="Normal 6 2 2 5" xfId="10128" xr:uid="{00000000-0005-0000-0000-000067260000}"/>
    <cellStyle name="Normal 6 2 2 6" xfId="8526" xr:uid="{00000000-0005-0000-0000-000068260000}"/>
    <cellStyle name="Normal 6 2 2 7" xfId="11738" xr:uid="{00000000-0005-0000-0000-000069260000}"/>
    <cellStyle name="Normal 6 2 2 8" xfId="13345" xr:uid="{00000000-0005-0000-0000-00006A260000}"/>
    <cellStyle name="Normal 6 2 3" xfId="3459" xr:uid="{00000000-0005-0000-0000-00006B260000}"/>
    <cellStyle name="Normal 6 2 3 2" xfId="3460" xr:uid="{00000000-0005-0000-0000-00006C260000}"/>
    <cellStyle name="Normal 6 2 3 2 2" xfId="10133" xr:uid="{00000000-0005-0000-0000-00006D260000}"/>
    <cellStyle name="Normal 6 2 3 2 3" xfId="8531" xr:uid="{00000000-0005-0000-0000-00006E260000}"/>
    <cellStyle name="Normal 6 2 3 2 4" xfId="11743" xr:uid="{00000000-0005-0000-0000-00006F260000}"/>
    <cellStyle name="Normal 6 2 3 2 5" xfId="13350" xr:uid="{00000000-0005-0000-0000-000070260000}"/>
    <cellStyle name="Normal 6 2 3 3" xfId="3461" xr:uid="{00000000-0005-0000-0000-000071260000}"/>
    <cellStyle name="Normal 6 2 3 3 2" xfId="10134" xr:uid="{00000000-0005-0000-0000-000072260000}"/>
    <cellStyle name="Normal 6 2 3 3 3" xfId="8532" xr:uid="{00000000-0005-0000-0000-000073260000}"/>
    <cellStyle name="Normal 6 2 3 3 4" xfId="11744" xr:uid="{00000000-0005-0000-0000-000074260000}"/>
    <cellStyle name="Normal 6 2 3 3 5" xfId="13351" xr:uid="{00000000-0005-0000-0000-000075260000}"/>
    <cellStyle name="Normal 6 2 3 4" xfId="3462" xr:uid="{00000000-0005-0000-0000-000076260000}"/>
    <cellStyle name="Normal 6 2 3 4 2" xfId="10135" xr:uid="{00000000-0005-0000-0000-000077260000}"/>
    <cellStyle name="Normal 6 2 3 4 3" xfId="8533" xr:uid="{00000000-0005-0000-0000-000078260000}"/>
    <cellStyle name="Normal 6 2 3 4 4" xfId="11745" xr:uid="{00000000-0005-0000-0000-000079260000}"/>
    <cellStyle name="Normal 6 2 3 4 5" xfId="13352" xr:uid="{00000000-0005-0000-0000-00007A260000}"/>
    <cellStyle name="Normal 6 2 3 5" xfId="10132" xr:uid="{00000000-0005-0000-0000-00007B260000}"/>
    <cellStyle name="Normal 6 2 3 6" xfId="8530" xr:uid="{00000000-0005-0000-0000-00007C260000}"/>
    <cellStyle name="Normal 6 2 3 7" xfId="11742" xr:uid="{00000000-0005-0000-0000-00007D260000}"/>
    <cellStyle name="Normal 6 2 3 8" xfId="13349" xr:uid="{00000000-0005-0000-0000-00007E260000}"/>
    <cellStyle name="Normal 6 2 4" xfId="3463" xr:uid="{00000000-0005-0000-0000-00007F260000}"/>
    <cellStyle name="Normal 6 2 4 2" xfId="10136" xr:uid="{00000000-0005-0000-0000-000080260000}"/>
    <cellStyle name="Normal 6 2 4 3" xfId="8534" xr:uid="{00000000-0005-0000-0000-000081260000}"/>
    <cellStyle name="Normal 6 2 4 4" xfId="11746" xr:uid="{00000000-0005-0000-0000-000082260000}"/>
    <cellStyle name="Normal 6 2 4 5" xfId="13353" xr:uid="{00000000-0005-0000-0000-000083260000}"/>
    <cellStyle name="Normal 6 2 5" xfId="3464" xr:uid="{00000000-0005-0000-0000-000084260000}"/>
    <cellStyle name="Normal 6 2 5 2" xfId="10137" xr:uid="{00000000-0005-0000-0000-000085260000}"/>
    <cellStyle name="Normal 6 2 5 3" xfId="8535" xr:uid="{00000000-0005-0000-0000-000086260000}"/>
    <cellStyle name="Normal 6 2 5 4" xfId="11747" xr:uid="{00000000-0005-0000-0000-000087260000}"/>
    <cellStyle name="Normal 6 2 5 5" xfId="13354" xr:uid="{00000000-0005-0000-0000-000088260000}"/>
    <cellStyle name="Normal 6 2 6" xfId="3465" xr:uid="{00000000-0005-0000-0000-000089260000}"/>
    <cellStyle name="Normal 6 2 6 2" xfId="10138" xr:uid="{00000000-0005-0000-0000-00008A260000}"/>
    <cellStyle name="Normal 6 2 6 3" xfId="8536" xr:uid="{00000000-0005-0000-0000-00008B260000}"/>
    <cellStyle name="Normal 6 2 6 4" xfId="11748" xr:uid="{00000000-0005-0000-0000-00008C260000}"/>
    <cellStyle name="Normal 6 2 6 5" xfId="13355" xr:uid="{00000000-0005-0000-0000-00008D260000}"/>
    <cellStyle name="Normal 6 2 7" xfId="4897" xr:uid="{00000000-0005-0000-0000-00008E260000}"/>
    <cellStyle name="Normal 6 2 8" xfId="10127" xr:uid="{00000000-0005-0000-0000-00008F260000}"/>
    <cellStyle name="Normal 6 2 9" xfId="8525" xr:uid="{00000000-0005-0000-0000-000090260000}"/>
    <cellStyle name="Normal 6 3" xfId="3466" xr:uid="{00000000-0005-0000-0000-000091260000}"/>
    <cellStyle name="Normal 6 3 2" xfId="3467" xr:uid="{00000000-0005-0000-0000-000092260000}"/>
    <cellStyle name="Normal 6 3 2 2" xfId="10140" xr:uid="{00000000-0005-0000-0000-000093260000}"/>
    <cellStyle name="Normal 6 3 2 3" xfId="8538" xr:uid="{00000000-0005-0000-0000-000094260000}"/>
    <cellStyle name="Normal 6 3 2 4" xfId="11750" xr:uid="{00000000-0005-0000-0000-000095260000}"/>
    <cellStyle name="Normal 6 3 2 5" xfId="13357" xr:uid="{00000000-0005-0000-0000-000096260000}"/>
    <cellStyle name="Normal 6 3 3" xfId="3468" xr:uid="{00000000-0005-0000-0000-000097260000}"/>
    <cellStyle name="Normal 6 3 3 2" xfId="10141" xr:uid="{00000000-0005-0000-0000-000098260000}"/>
    <cellStyle name="Normal 6 3 3 3" xfId="8539" xr:uid="{00000000-0005-0000-0000-000099260000}"/>
    <cellStyle name="Normal 6 3 3 4" xfId="11751" xr:uid="{00000000-0005-0000-0000-00009A260000}"/>
    <cellStyle name="Normal 6 3 3 5" xfId="13358" xr:uid="{00000000-0005-0000-0000-00009B260000}"/>
    <cellStyle name="Normal 6 3 4" xfId="3469" xr:uid="{00000000-0005-0000-0000-00009C260000}"/>
    <cellStyle name="Normal 6 3 4 2" xfId="10142" xr:uid="{00000000-0005-0000-0000-00009D260000}"/>
    <cellStyle name="Normal 6 3 4 3" xfId="8540" xr:uid="{00000000-0005-0000-0000-00009E260000}"/>
    <cellStyle name="Normal 6 3 4 4" xfId="11752" xr:uid="{00000000-0005-0000-0000-00009F260000}"/>
    <cellStyle name="Normal 6 3 4 5" xfId="13359" xr:uid="{00000000-0005-0000-0000-0000A0260000}"/>
    <cellStyle name="Normal 6 3 5" xfId="10139" xr:uid="{00000000-0005-0000-0000-0000A1260000}"/>
    <cellStyle name="Normal 6 3 6" xfId="8537" xr:uid="{00000000-0005-0000-0000-0000A2260000}"/>
    <cellStyle name="Normal 6 3 7" xfId="11749" xr:uid="{00000000-0005-0000-0000-0000A3260000}"/>
    <cellStyle name="Normal 6 3 8" xfId="13356" xr:uid="{00000000-0005-0000-0000-0000A4260000}"/>
    <cellStyle name="Normal 6 4" xfId="3470" xr:uid="{00000000-0005-0000-0000-0000A5260000}"/>
    <cellStyle name="Normal 6 4 2" xfId="3471" xr:uid="{00000000-0005-0000-0000-0000A6260000}"/>
    <cellStyle name="Normal 6 4 2 2" xfId="10144" xr:uid="{00000000-0005-0000-0000-0000A7260000}"/>
    <cellStyle name="Normal 6 4 2 3" xfId="8542" xr:uid="{00000000-0005-0000-0000-0000A8260000}"/>
    <cellStyle name="Normal 6 4 2 4" xfId="11754" xr:uid="{00000000-0005-0000-0000-0000A9260000}"/>
    <cellStyle name="Normal 6 4 2 5" xfId="13361" xr:uid="{00000000-0005-0000-0000-0000AA260000}"/>
    <cellStyle name="Normal 6 4 3" xfId="3472" xr:uid="{00000000-0005-0000-0000-0000AB260000}"/>
    <cellStyle name="Normal 6 4 3 2" xfId="10145" xr:uid="{00000000-0005-0000-0000-0000AC260000}"/>
    <cellStyle name="Normal 6 4 3 3" xfId="8543" xr:uid="{00000000-0005-0000-0000-0000AD260000}"/>
    <cellStyle name="Normal 6 4 3 4" xfId="11755" xr:uid="{00000000-0005-0000-0000-0000AE260000}"/>
    <cellStyle name="Normal 6 4 3 5" xfId="13362" xr:uid="{00000000-0005-0000-0000-0000AF260000}"/>
    <cellStyle name="Normal 6 4 4" xfId="3473" xr:uid="{00000000-0005-0000-0000-0000B0260000}"/>
    <cellStyle name="Normal 6 4 4 2" xfId="10146" xr:uid="{00000000-0005-0000-0000-0000B1260000}"/>
    <cellStyle name="Normal 6 4 4 3" xfId="8544" xr:uid="{00000000-0005-0000-0000-0000B2260000}"/>
    <cellStyle name="Normal 6 4 4 4" xfId="11756" xr:uid="{00000000-0005-0000-0000-0000B3260000}"/>
    <cellStyle name="Normal 6 4 4 5" xfId="13363" xr:uid="{00000000-0005-0000-0000-0000B4260000}"/>
    <cellStyle name="Normal 6 4 5" xfId="10143" xr:uid="{00000000-0005-0000-0000-0000B5260000}"/>
    <cellStyle name="Normal 6 4 6" xfId="8541" xr:uid="{00000000-0005-0000-0000-0000B6260000}"/>
    <cellStyle name="Normal 6 4 7" xfId="11753" xr:uid="{00000000-0005-0000-0000-0000B7260000}"/>
    <cellStyle name="Normal 6 4 8" xfId="13360" xr:uid="{00000000-0005-0000-0000-0000B8260000}"/>
    <cellStyle name="Normal 6 5" xfId="3474" xr:uid="{00000000-0005-0000-0000-0000B9260000}"/>
    <cellStyle name="Normal 6 5 2" xfId="3475" xr:uid="{00000000-0005-0000-0000-0000BA260000}"/>
    <cellStyle name="Normal 6 5 2 2" xfId="10148" xr:uid="{00000000-0005-0000-0000-0000BB260000}"/>
    <cellStyle name="Normal 6 5 2 3" xfId="8546" xr:uid="{00000000-0005-0000-0000-0000BC260000}"/>
    <cellStyle name="Normal 6 5 2 4" xfId="11758" xr:uid="{00000000-0005-0000-0000-0000BD260000}"/>
    <cellStyle name="Normal 6 5 2 5" xfId="13365" xr:uid="{00000000-0005-0000-0000-0000BE260000}"/>
    <cellStyle name="Normal 6 5 3" xfId="3476" xr:uid="{00000000-0005-0000-0000-0000BF260000}"/>
    <cellStyle name="Normal 6 5 3 2" xfId="10149" xr:uid="{00000000-0005-0000-0000-0000C0260000}"/>
    <cellStyle name="Normal 6 5 3 3" xfId="8547" xr:uid="{00000000-0005-0000-0000-0000C1260000}"/>
    <cellStyle name="Normal 6 5 3 4" xfId="11759" xr:uid="{00000000-0005-0000-0000-0000C2260000}"/>
    <cellStyle name="Normal 6 5 3 5" xfId="13366" xr:uid="{00000000-0005-0000-0000-0000C3260000}"/>
    <cellStyle name="Normal 6 5 4" xfId="3477" xr:uid="{00000000-0005-0000-0000-0000C4260000}"/>
    <cellStyle name="Normal 6 5 4 2" xfId="10150" xr:uid="{00000000-0005-0000-0000-0000C5260000}"/>
    <cellStyle name="Normal 6 5 4 3" xfId="8548" xr:uid="{00000000-0005-0000-0000-0000C6260000}"/>
    <cellStyle name="Normal 6 5 4 4" xfId="11760" xr:uid="{00000000-0005-0000-0000-0000C7260000}"/>
    <cellStyle name="Normal 6 5 4 5" xfId="13367" xr:uid="{00000000-0005-0000-0000-0000C8260000}"/>
    <cellStyle name="Normal 6 5 5" xfId="10147" xr:uid="{00000000-0005-0000-0000-0000C9260000}"/>
    <cellStyle name="Normal 6 5 6" xfId="8545" xr:uid="{00000000-0005-0000-0000-0000CA260000}"/>
    <cellStyle name="Normal 6 5 7" xfId="11757" xr:uid="{00000000-0005-0000-0000-0000CB260000}"/>
    <cellStyle name="Normal 6 5 8" xfId="13364" xr:uid="{00000000-0005-0000-0000-0000CC260000}"/>
    <cellStyle name="Normal 6 6" xfId="3478" xr:uid="{00000000-0005-0000-0000-0000CD260000}"/>
    <cellStyle name="Normal 6 6 2" xfId="10151" xr:uid="{00000000-0005-0000-0000-0000CE260000}"/>
    <cellStyle name="Normal 6 6 3" xfId="8549" xr:uid="{00000000-0005-0000-0000-0000CF260000}"/>
    <cellStyle name="Normal 6 6 4" xfId="11761" xr:uid="{00000000-0005-0000-0000-0000D0260000}"/>
    <cellStyle name="Normal 6 6 5" xfId="13368" xr:uid="{00000000-0005-0000-0000-0000D1260000}"/>
    <cellStyle name="Normal 6 7" xfId="3479" xr:uid="{00000000-0005-0000-0000-0000D2260000}"/>
    <cellStyle name="Normal 6 7 2" xfId="10152" xr:uid="{00000000-0005-0000-0000-0000D3260000}"/>
    <cellStyle name="Normal 6 7 3" xfId="8550" xr:uid="{00000000-0005-0000-0000-0000D4260000}"/>
    <cellStyle name="Normal 6 7 4" xfId="11762" xr:uid="{00000000-0005-0000-0000-0000D5260000}"/>
    <cellStyle name="Normal 6 7 5" xfId="13369" xr:uid="{00000000-0005-0000-0000-0000D6260000}"/>
    <cellStyle name="Normal 6 8" xfId="3480" xr:uid="{00000000-0005-0000-0000-0000D7260000}"/>
    <cellStyle name="Normal 6 8 2" xfId="10153" xr:uid="{00000000-0005-0000-0000-0000D8260000}"/>
    <cellStyle name="Normal 6 8 3" xfId="8551" xr:uid="{00000000-0005-0000-0000-0000D9260000}"/>
    <cellStyle name="Normal 6 8 4" xfId="11763" xr:uid="{00000000-0005-0000-0000-0000DA260000}"/>
    <cellStyle name="Normal 6 8 5" xfId="13370" xr:uid="{00000000-0005-0000-0000-0000DB260000}"/>
    <cellStyle name="Normal 6 9" xfId="3481" xr:uid="{00000000-0005-0000-0000-0000DC260000}"/>
    <cellStyle name="Normal 6 9 2" xfId="10154" xr:uid="{00000000-0005-0000-0000-0000DD260000}"/>
    <cellStyle name="Normal 6 9 3" xfId="8552" xr:uid="{00000000-0005-0000-0000-0000DE260000}"/>
    <cellStyle name="Normal 6 9 4" xfId="11764" xr:uid="{00000000-0005-0000-0000-0000DF260000}"/>
    <cellStyle name="Normal 6 9 5" xfId="13371" xr:uid="{00000000-0005-0000-0000-0000E0260000}"/>
    <cellStyle name="Normal 60" xfId="3482" xr:uid="{00000000-0005-0000-0000-0000E1260000}"/>
    <cellStyle name="Normal 60 2" xfId="3483" xr:uid="{00000000-0005-0000-0000-0000E2260000}"/>
    <cellStyle name="Normal 60 2 2" xfId="10156" xr:uid="{00000000-0005-0000-0000-0000E3260000}"/>
    <cellStyle name="Normal 60 2 3" xfId="8554" xr:uid="{00000000-0005-0000-0000-0000E4260000}"/>
    <cellStyle name="Normal 60 2 4" xfId="11766" xr:uid="{00000000-0005-0000-0000-0000E5260000}"/>
    <cellStyle name="Normal 60 2 5" xfId="13373" xr:uid="{00000000-0005-0000-0000-0000E6260000}"/>
    <cellStyle name="Normal 60 3" xfId="3484" xr:uid="{00000000-0005-0000-0000-0000E7260000}"/>
    <cellStyle name="Normal 60 3 2" xfId="10157" xr:uid="{00000000-0005-0000-0000-0000E8260000}"/>
    <cellStyle name="Normal 60 3 3" xfId="8555" xr:uid="{00000000-0005-0000-0000-0000E9260000}"/>
    <cellStyle name="Normal 60 3 4" xfId="11767" xr:uid="{00000000-0005-0000-0000-0000EA260000}"/>
    <cellStyle name="Normal 60 3 5" xfId="13374" xr:uid="{00000000-0005-0000-0000-0000EB260000}"/>
    <cellStyle name="Normal 60 4" xfId="3485" xr:uid="{00000000-0005-0000-0000-0000EC260000}"/>
    <cellStyle name="Normal 60 4 2" xfId="10158" xr:uid="{00000000-0005-0000-0000-0000ED260000}"/>
    <cellStyle name="Normal 60 4 3" xfId="8556" xr:uid="{00000000-0005-0000-0000-0000EE260000}"/>
    <cellStyle name="Normal 60 4 4" xfId="11768" xr:uid="{00000000-0005-0000-0000-0000EF260000}"/>
    <cellStyle name="Normal 60 4 5" xfId="13375" xr:uid="{00000000-0005-0000-0000-0000F0260000}"/>
    <cellStyle name="Normal 60 5" xfId="10155" xr:uid="{00000000-0005-0000-0000-0000F1260000}"/>
    <cellStyle name="Normal 60 6" xfId="8553" xr:uid="{00000000-0005-0000-0000-0000F2260000}"/>
    <cellStyle name="Normal 60 7" xfId="11765" xr:uid="{00000000-0005-0000-0000-0000F3260000}"/>
    <cellStyle name="Normal 60 8" xfId="13372" xr:uid="{00000000-0005-0000-0000-0000F4260000}"/>
    <cellStyle name="Normal 61" xfId="3486" xr:uid="{00000000-0005-0000-0000-0000F5260000}"/>
    <cellStyle name="Normal 61 2" xfId="3487" xr:uid="{00000000-0005-0000-0000-0000F6260000}"/>
    <cellStyle name="Normal 61 2 2" xfId="10160" xr:uid="{00000000-0005-0000-0000-0000F7260000}"/>
    <cellStyle name="Normal 61 2 3" xfId="8558" xr:uid="{00000000-0005-0000-0000-0000F8260000}"/>
    <cellStyle name="Normal 61 2 4" xfId="11770" xr:uid="{00000000-0005-0000-0000-0000F9260000}"/>
    <cellStyle name="Normal 61 2 5" xfId="13377" xr:uid="{00000000-0005-0000-0000-0000FA260000}"/>
    <cellStyle name="Normal 61 3" xfId="3488" xr:uid="{00000000-0005-0000-0000-0000FB260000}"/>
    <cellStyle name="Normal 61 3 2" xfId="10161" xr:uid="{00000000-0005-0000-0000-0000FC260000}"/>
    <cellStyle name="Normal 61 3 3" xfId="8559" xr:uid="{00000000-0005-0000-0000-0000FD260000}"/>
    <cellStyle name="Normal 61 3 4" xfId="11771" xr:uid="{00000000-0005-0000-0000-0000FE260000}"/>
    <cellStyle name="Normal 61 3 5" xfId="13378" xr:uid="{00000000-0005-0000-0000-0000FF260000}"/>
    <cellStyle name="Normal 61 4" xfId="3489" xr:uid="{00000000-0005-0000-0000-000000270000}"/>
    <cellStyle name="Normal 61 4 2" xfId="10162" xr:uid="{00000000-0005-0000-0000-000001270000}"/>
    <cellStyle name="Normal 61 4 3" xfId="8560" xr:uid="{00000000-0005-0000-0000-000002270000}"/>
    <cellStyle name="Normal 61 4 4" xfId="11772" xr:uid="{00000000-0005-0000-0000-000003270000}"/>
    <cellStyle name="Normal 61 4 5" xfId="13379" xr:uid="{00000000-0005-0000-0000-000004270000}"/>
    <cellStyle name="Normal 61 5" xfId="10159" xr:uid="{00000000-0005-0000-0000-000005270000}"/>
    <cellStyle name="Normal 61 6" xfId="8557" xr:uid="{00000000-0005-0000-0000-000006270000}"/>
    <cellStyle name="Normal 61 7" xfId="11769" xr:uid="{00000000-0005-0000-0000-000007270000}"/>
    <cellStyle name="Normal 61 8" xfId="13376" xr:uid="{00000000-0005-0000-0000-000008270000}"/>
    <cellStyle name="Normal 62" xfId="3490" xr:uid="{00000000-0005-0000-0000-000009270000}"/>
    <cellStyle name="Normal 62 2" xfId="3491" xr:uid="{00000000-0005-0000-0000-00000A270000}"/>
    <cellStyle name="Normal 62 2 2" xfId="10164" xr:uid="{00000000-0005-0000-0000-00000B270000}"/>
    <cellStyle name="Normal 62 2 3" xfId="8562" xr:uid="{00000000-0005-0000-0000-00000C270000}"/>
    <cellStyle name="Normal 62 2 4" xfId="11774" xr:uid="{00000000-0005-0000-0000-00000D270000}"/>
    <cellStyle name="Normal 62 2 5" xfId="13381" xr:uid="{00000000-0005-0000-0000-00000E270000}"/>
    <cellStyle name="Normal 62 3" xfId="3492" xr:uid="{00000000-0005-0000-0000-00000F270000}"/>
    <cellStyle name="Normal 62 3 2" xfId="10165" xr:uid="{00000000-0005-0000-0000-000010270000}"/>
    <cellStyle name="Normal 62 3 3" xfId="8563" xr:uid="{00000000-0005-0000-0000-000011270000}"/>
    <cellStyle name="Normal 62 3 4" xfId="11775" xr:uid="{00000000-0005-0000-0000-000012270000}"/>
    <cellStyle name="Normal 62 3 5" xfId="13382" xr:uid="{00000000-0005-0000-0000-000013270000}"/>
    <cellStyle name="Normal 62 4" xfId="3493" xr:uid="{00000000-0005-0000-0000-000014270000}"/>
    <cellStyle name="Normal 62 4 2" xfId="10166" xr:uid="{00000000-0005-0000-0000-000015270000}"/>
    <cellStyle name="Normal 62 4 3" xfId="8564" xr:uid="{00000000-0005-0000-0000-000016270000}"/>
    <cellStyle name="Normal 62 4 4" xfId="11776" xr:uid="{00000000-0005-0000-0000-000017270000}"/>
    <cellStyle name="Normal 62 4 5" xfId="13383" xr:uid="{00000000-0005-0000-0000-000018270000}"/>
    <cellStyle name="Normal 62 5" xfId="10163" xr:uid="{00000000-0005-0000-0000-000019270000}"/>
    <cellStyle name="Normal 62 6" xfId="8561" xr:uid="{00000000-0005-0000-0000-00001A270000}"/>
    <cellStyle name="Normal 62 7" xfId="11773" xr:uid="{00000000-0005-0000-0000-00001B270000}"/>
    <cellStyle name="Normal 62 8" xfId="13380" xr:uid="{00000000-0005-0000-0000-00001C270000}"/>
    <cellStyle name="Normal 63" xfId="3494" xr:uid="{00000000-0005-0000-0000-00001D270000}"/>
    <cellStyle name="Normal 63 2" xfId="3495" xr:uid="{00000000-0005-0000-0000-00001E270000}"/>
    <cellStyle name="Normal 63 2 2" xfId="10168" xr:uid="{00000000-0005-0000-0000-00001F270000}"/>
    <cellStyle name="Normal 63 2 3" xfId="8566" xr:uid="{00000000-0005-0000-0000-000020270000}"/>
    <cellStyle name="Normal 63 2 4" xfId="11778" xr:uid="{00000000-0005-0000-0000-000021270000}"/>
    <cellStyle name="Normal 63 2 5" xfId="13385" xr:uid="{00000000-0005-0000-0000-000022270000}"/>
    <cellStyle name="Normal 63 3" xfId="3496" xr:uid="{00000000-0005-0000-0000-000023270000}"/>
    <cellStyle name="Normal 63 3 2" xfId="10169" xr:uid="{00000000-0005-0000-0000-000024270000}"/>
    <cellStyle name="Normal 63 3 3" xfId="8567" xr:uid="{00000000-0005-0000-0000-000025270000}"/>
    <cellStyle name="Normal 63 3 4" xfId="11779" xr:uid="{00000000-0005-0000-0000-000026270000}"/>
    <cellStyle name="Normal 63 3 5" xfId="13386" xr:uid="{00000000-0005-0000-0000-000027270000}"/>
    <cellStyle name="Normal 63 4" xfId="3497" xr:uid="{00000000-0005-0000-0000-000028270000}"/>
    <cellStyle name="Normal 63 4 2" xfId="10170" xr:uid="{00000000-0005-0000-0000-000029270000}"/>
    <cellStyle name="Normal 63 4 3" xfId="8568" xr:uid="{00000000-0005-0000-0000-00002A270000}"/>
    <cellStyle name="Normal 63 4 4" xfId="11780" xr:uid="{00000000-0005-0000-0000-00002B270000}"/>
    <cellStyle name="Normal 63 4 5" xfId="13387" xr:uid="{00000000-0005-0000-0000-00002C270000}"/>
    <cellStyle name="Normal 63 5" xfId="10167" xr:uid="{00000000-0005-0000-0000-00002D270000}"/>
    <cellStyle name="Normal 63 6" xfId="8565" xr:uid="{00000000-0005-0000-0000-00002E270000}"/>
    <cellStyle name="Normal 63 7" xfId="11777" xr:uid="{00000000-0005-0000-0000-00002F270000}"/>
    <cellStyle name="Normal 63 8" xfId="13384" xr:uid="{00000000-0005-0000-0000-000030270000}"/>
    <cellStyle name="Normal 64" xfId="3498" xr:uid="{00000000-0005-0000-0000-000031270000}"/>
    <cellStyle name="Normal 64 2" xfId="3499" xr:uid="{00000000-0005-0000-0000-000032270000}"/>
    <cellStyle name="Normal 64 2 2" xfId="10172" xr:uid="{00000000-0005-0000-0000-000033270000}"/>
    <cellStyle name="Normal 64 2 3" xfId="8570" xr:uid="{00000000-0005-0000-0000-000034270000}"/>
    <cellStyle name="Normal 64 2 4" xfId="11782" xr:uid="{00000000-0005-0000-0000-000035270000}"/>
    <cellStyle name="Normal 64 2 5" xfId="13389" xr:uid="{00000000-0005-0000-0000-000036270000}"/>
    <cellStyle name="Normal 64 3" xfId="3500" xr:uid="{00000000-0005-0000-0000-000037270000}"/>
    <cellStyle name="Normal 64 3 2" xfId="10173" xr:uid="{00000000-0005-0000-0000-000038270000}"/>
    <cellStyle name="Normal 64 3 3" xfId="8571" xr:uid="{00000000-0005-0000-0000-000039270000}"/>
    <cellStyle name="Normal 64 3 4" xfId="11783" xr:uid="{00000000-0005-0000-0000-00003A270000}"/>
    <cellStyle name="Normal 64 3 5" xfId="13390" xr:uid="{00000000-0005-0000-0000-00003B270000}"/>
    <cellStyle name="Normal 64 4" xfId="3501" xr:uid="{00000000-0005-0000-0000-00003C270000}"/>
    <cellStyle name="Normal 64 4 2" xfId="10174" xr:uid="{00000000-0005-0000-0000-00003D270000}"/>
    <cellStyle name="Normal 64 4 3" xfId="8572" xr:uid="{00000000-0005-0000-0000-00003E270000}"/>
    <cellStyle name="Normal 64 4 4" xfId="11784" xr:uid="{00000000-0005-0000-0000-00003F270000}"/>
    <cellStyle name="Normal 64 4 5" xfId="13391" xr:uid="{00000000-0005-0000-0000-000040270000}"/>
    <cellStyle name="Normal 64 5" xfId="10171" xr:uid="{00000000-0005-0000-0000-000041270000}"/>
    <cellStyle name="Normal 64 6" xfId="8569" xr:uid="{00000000-0005-0000-0000-000042270000}"/>
    <cellStyle name="Normal 64 7" xfId="11781" xr:uid="{00000000-0005-0000-0000-000043270000}"/>
    <cellStyle name="Normal 64 8" xfId="13388" xr:uid="{00000000-0005-0000-0000-000044270000}"/>
    <cellStyle name="Normal 65" xfId="3502" xr:uid="{00000000-0005-0000-0000-000045270000}"/>
    <cellStyle name="Normal 65 10" xfId="13392" xr:uid="{00000000-0005-0000-0000-000046270000}"/>
    <cellStyle name="Normal 65 2" xfId="3503" xr:uid="{00000000-0005-0000-0000-000047270000}"/>
    <cellStyle name="Normal 65 2 2" xfId="3504" xr:uid="{00000000-0005-0000-0000-000048270000}"/>
    <cellStyle name="Normal 65 2 2 2" xfId="10177" xr:uid="{00000000-0005-0000-0000-000049270000}"/>
    <cellStyle name="Normal 65 2 2 3" xfId="8575" xr:uid="{00000000-0005-0000-0000-00004A270000}"/>
    <cellStyle name="Normal 65 2 2 4" xfId="11787" xr:uid="{00000000-0005-0000-0000-00004B270000}"/>
    <cellStyle name="Normal 65 2 2 5" xfId="13394" xr:uid="{00000000-0005-0000-0000-00004C270000}"/>
    <cellStyle name="Normal 65 2 3" xfId="3505" xr:uid="{00000000-0005-0000-0000-00004D270000}"/>
    <cellStyle name="Normal 65 2 3 2" xfId="10178" xr:uid="{00000000-0005-0000-0000-00004E270000}"/>
    <cellStyle name="Normal 65 2 3 3" xfId="8576" xr:uid="{00000000-0005-0000-0000-00004F270000}"/>
    <cellStyle name="Normal 65 2 3 4" xfId="11788" xr:uid="{00000000-0005-0000-0000-000050270000}"/>
    <cellStyle name="Normal 65 2 3 5" xfId="13395" xr:uid="{00000000-0005-0000-0000-000051270000}"/>
    <cellStyle name="Normal 65 2 4" xfId="3506" xr:uid="{00000000-0005-0000-0000-000052270000}"/>
    <cellStyle name="Normal 65 2 4 2" xfId="10179" xr:uid="{00000000-0005-0000-0000-000053270000}"/>
    <cellStyle name="Normal 65 2 4 3" xfId="8577" xr:uid="{00000000-0005-0000-0000-000054270000}"/>
    <cellStyle name="Normal 65 2 4 4" xfId="11789" xr:uid="{00000000-0005-0000-0000-000055270000}"/>
    <cellStyle name="Normal 65 2 4 5" xfId="13396" xr:uid="{00000000-0005-0000-0000-000056270000}"/>
    <cellStyle name="Normal 65 2 5" xfId="10176" xr:uid="{00000000-0005-0000-0000-000057270000}"/>
    <cellStyle name="Normal 65 2 6" xfId="8574" xr:uid="{00000000-0005-0000-0000-000058270000}"/>
    <cellStyle name="Normal 65 2 7" xfId="11786" xr:uid="{00000000-0005-0000-0000-000059270000}"/>
    <cellStyle name="Normal 65 2 8" xfId="13393" xr:uid="{00000000-0005-0000-0000-00005A270000}"/>
    <cellStyle name="Normal 65 3" xfId="3507" xr:uid="{00000000-0005-0000-0000-00005B270000}"/>
    <cellStyle name="Normal 65 3 2" xfId="3508" xr:uid="{00000000-0005-0000-0000-00005C270000}"/>
    <cellStyle name="Normal 65 3 2 2" xfId="10181" xr:uid="{00000000-0005-0000-0000-00005D270000}"/>
    <cellStyle name="Normal 65 3 2 3" xfId="8579" xr:uid="{00000000-0005-0000-0000-00005E270000}"/>
    <cellStyle name="Normal 65 3 2 4" xfId="11791" xr:uid="{00000000-0005-0000-0000-00005F270000}"/>
    <cellStyle name="Normal 65 3 2 5" xfId="13398" xr:uid="{00000000-0005-0000-0000-000060270000}"/>
    <cellStyle name="Normal 65 3 3" xfId="3509" xr:uid="{00000000-0005-0000-0000-000061270000}"/>
    <cellStyle name="Normal 65 3 3 2" xfId="10182" xr:uid="{00000000-0005-0000-0000-000062270000}"/>
    <cellStyle name="Normal 65 3 3 3" xfId="8580" xr:uid="{00000000-0005-0000-0000-000063270000}"/>
    <cellStyle name="Normal 65 3 3 4" xfId="11792" xr:uid="{00000000-0005-0000-0000-000064270000}"/>
    <cellStyle name="Normal 65 3 3 5" xfId="13399" xr:uid="{00000000-0005-0000-0000-000065270000}"/>
    <cellStyle name="Normal 65 3 4" xfId="3510" xr:uid="{00000000-0005-0000-0000-000066270000}"/>
    <cellStyle name="Normal 65 3 4 2" xfId="10183" xr:uid="{00000000-0005-0000-0000-000067270000}"/>
    <cellStyle name="Normal 65 3 4 3" xfId="8581" xr:uid="{00000000-0005-0000-0000-000068270000}"/>
    <cellStyle name="Normal 65 3 4 4" xfId="11793" xr:uid="{00000000-0005-0000-0000-000069270000}"/>
    <cellStyle name="Normal 65 3 4 5" xfId="13400" xr:uid="{00000000-0005-0000-0000-00006A270000}"/>
    <cellStyle name="Normal 65 3 5" xfId="10180" xr:uid="{00000000-0005-0000-0000-00006B270000}"/>
    <cellStyle name="Normal 65 3 6" xfId="8578" xr:uid="{00000000-0005-0000-0000-00006C270000}"/>
    <cellStyle name="Normal 65 3 7" xfId="11790" xr:uid="{00000000-0005-0000-0000-00006D270000}"/>
    <cellStyle name="Normal 65 3 8" xfId="13397" xr:uid="{00000000-0005-0000-0000-00006E270000}"/>
    <cellStyle name="Normal 65 4" xfId="3511" xr:uid="{00000000-0005-0000-0000-00006F270000}"/>
    <cellStyle name="Normal 65 4 2" xfId="10184" xr:uid="{00000000-0005-0000-0000-000070270000}"/>
    <cellStyle name="Normal 65 4 3" xfId="8582" xr:uid="{00000000-0005-0000-0000-000071270000}"/>
    <cellStyle name="Normal 65 4 4" xfId="11794" xr:uid="{00000000-0005-0000-0000-000072270000}"/>
    <cellStyle name="Normal 65 4 5" xfId="13401" xr:uid="{00000000-0005-0000-0000-000073270000}"/>
    <cellStyle name="Normal 65 5" xfId="3512" xr:uid="{00000000-0005-0000-0000-000074270000}"/>
    <cellStyle name="Normal 65 5 2" xfId="10185" xr:uid="{00000000-0005-0000-0000-000075270000}"/>
    <cellStyle name="Normal 65 5 3" xfId="8583" xr:uid="{00000000-0005-0000-0000-000076270000}"/>
    <cellStyle name="Normal 65 5 4" xfId="11795" xr:uid="{00000000-0005-0000-0000-000077270000}"/>
    <cellStyle name="Normal 65 5 5" xfId="13402" xr:uid="{00000000-0005-0000-0000-000078270000}"/>
    <cellStyle name="Normal 65 6" xfId="3513" xr:uid="{00000000-0005-0000-0000-000079270000}"/>
    <cellStyle name="Normal 65 6 2" xfId="10186" xr:uid="{00000000-0005-0000-0000-00007A270000}"/>
    <cellStyle name="Normal 65 6 3" xfId="8584" xr:uid="{00000000-0005-0000-0000-00007B270000}"/>
    <cellStyle name="Normal 65 6 4" xfId="11796" xr:uid="{00000000-0005-0000-0000-00007C270000}"/>
    <cellStyle name="Normal 65 6 5" xfId="13403" xr:uid="{00000000-0005-0000-0000-00007D270000}"/>
    <cellStyle name="Normal 65 7" xfId="10175" xr:uid="{00000000-0005-0000-0000-00007E270000}"/>
    <cellStyle name="Normal 65 8" xfId="8573" xr:uid="{00000000-0005-0000-0000-00007F270000}"/>
    <cellStyle name="Normal 65 9" xfId="11785" xr:uid="{00000000-0005-0000-0000-000080270000}"/>
    <cellStyle name="Normal 66" xfId="3514" xr:uid="{00000000-0005-0000-0000-000081270000}"/>
    <cellStyle name="Normal 66 2" xfId="3515" xr:uid="{00000000-0005-0000-0000-000082270000}"/>
    <cellStyle name="Normal 66 2 2" xfId="3516" xr:uid="{00000000-0005-0000-0000-000083270000}"/>
    <cellStyle name="Normal 66 2 2 2" xfId="10188" xr:uid="{00000000-0005-0000-0000-000084270000}"/>
    <cellStyle name="Normal 66 2 2 3" xfId="8586" xr:uid="{00000000-0005-0000-0000-000085270000}"/>
    <cellStyle name="Normal 66 2 2 4" xfId="11798" xr:uid="{00000000-0005-0000-0000-000086270000}"/>
    <cellStyle name="Normal 66 2 2 5" xfId="13405" xr:uid="{00000000-0005-0000-0000-000087270000}"/>
    <cellStyle name="Normal 66 2 3" xfId="3517" xr:uid="{00000000-0005-0000-0000-000088270000}"/>
    <cellStyle name="Normal 66 2 3 2" xfId="10189" xr:uid="{00000000-0005-0000-0000-000089270000}"/>
    <cellStyle name="Normal 66 2 3 3" xfId="8587" xr:uid="{00000000-0005-0000-0000-00008A270000}"/>
    <cellStyle name="Normal 66 2 3 4" xfId="11799" xr:uid="{00000000-0005-0000-0000-00008B270000}"/>
    <cellStyle name="Normal 66 2 3 5" xfId="13406" xr:uid="{00000000-0005-0000-0000-00008C270000}"/>
    <cellStyle name="Normal 66 2 4" xfId="3518" xr:uid="{00000000-0005-0000-0000-00008D270000}"/>
    <cellStyle name="Normal 66 2 4 2" xfId="10190" xr:uid="{00000000-0005-0000-0000-00008E270000}"/>
    <cellStyle name="Normal 66 2 4 3" xfId="8588" xr:uid="{00000000-0005-0000-0000-00008F270000}"/>
    <cellStyle name="Normal 66 2 4 4" xfId="11800" xr:uid="{00000000-0005-0000-0000-000090270000}"/>
    <cellStyle name="Normal 66 2 4 5" xfId="13407" xr:uid="{00000000-0005-0000-0000-000091270000}"/>
    <cellStyle name="Normal 66 2 5" xfId="10187" xr:uid="{00000000-0005-0000-0000-000092270000}"/>
    <cellStyle name="Normal 66 2 6" xfId="8585" xr:uid="{00000000-0005-0000-0000-000093270000}"/>
    <cellStyle name="Normal 66 2 7" xfId="11797" xr:uid="{00000000-0005-0000-0000-000094270000}"/>
    <cellStyle name="Normal 66 2 8" xfId="13404" xr:uid="{00000000-0005-0000-0000-000095270000}"/>
    <cellStyle name="Normal 66 3" xfId="3519" xr:uid="{00000000-0005-0000-0000-000096270000}"/>
    <cellStyle name="Normal 67" xfId="3520" xr:uid="{00000000-0005-0000-0000-000097270000}"/>
    <cellStyle name="Normal 67 2" xfId="3521" xr:uid="{00000000-0005-0000-0000-000098270000}"/>
    <cellStyle name="Normal 67 2 2" xfId="10192" xr:uid="{00000000-0005-0000-0000-000099270000}"/>
    <cellStyle name="Normal 67 2 3" xfId="8590" xr:uid="{00000000-0005-0000-0000-00009A270000}"/>
    <cellStyle name="Normal 67 2 4" xfId="11802" xr:uid="{00000000-0005-0000-0000-00009B270000}"/>
    <cellStyle name="Normal 67 2 5" xfId="13409" xr:uid="{00000000-0005-0000-0000-00009C270000}"/>
    <cellStyle name="Normal 67 3" xfId="3522" xr:uid="{00000000-0005-0000-0000-00009D270000}"/>
    <cellStyle name="Normal 67 3 2" xfId="10193" xr:uid="{00000000-0005-0000-0000-00009E270000}"/>
    <cellStyle name="Normal 67 3 3" xfId="8591" xr:uid="{00000000-0005-0000-0000-00009F270000}"/>
    <cellStyle name="Normal 67 3 4" xfId="11803" xr:uid="{00000000-0005-0000-0000-0000A0270000}"/>
    <cellStyle name="Normal 67 3 5" xfId="13410" xr:uid="{00000000-0005-0000-0000-0000A1270000}"/>
    <cellStyle name="Normal 67 4" xfId="3523" xr:uid="{00000000-0005-0000-0000-0000A2270000}"/>
    <cellStyle name="Normal 67 4 2" xfId="10194" xr:uid="{00000000-0005-0000-0000-0000A3270000}"/>
    <cellStyle name="Normal 67 4 3" xfId="8592" xr:uid="{00000000-0005-0000-0000-0000A4270000}"/>
    <cellStyle name="Normal 67 4 4" xfId="11804" xr:uid="{00000000-0005-0000-0000-0000A5270000}"/>
    <cellStyle name="Normal 67 4 5" xfId="13411" xr:uid="{00000000-0005-0000-0000-0000A6270000}"/>
    <cellStyle name="Normal 67 5" xfId="10191" xr:uid="{00000000-0005-0000-0000-0000A7270000}"/>
    <cellStyle name="Normal 67 6" xfId="8589" xr:uid="{00000000-0005-0000-0000-0000A8270000}"/>
    <cellStyle name="Normal 67 7" xfId="11801" xr:uid="{00000000-0005-0000-0000-0000A9270000}"/>
    <cellStyle name="Normal 67 8" xfId="13408" xr:uid="{00000000-0005-0000-0000-0000AA270000}"/>
    <cellStyle name="Normal 68" xfId="3524" xr:uid="{00000000-0005-0000-0000-0000AB270000}"/>
    <cellStyle name="Normal 68 2" xfId="3525" xr:uid="{00000000-0005-0000-0000-0000AC270000}"/>
    <cellStyle name="Normal 68 2 2" xfId="10196" xr:uid="{00000000-0005-0000-0000-0000AD270000}"/>
    <cellStyle name="Normal 68 2 3" xfId="8594" xr:uid="{00000000-0005-0000-0000-0000AE270000}"/>
    <cellStyle name="Normal 68 2 4" xfId="11806" xr:uid="{00000000-0005-0000-0000-0000AF270000}"/>
    <cellStyle name="Normal 68 2 5" xfId="13413" xr:uid="{00000000-0005-0000-0000-0000B0270000}"/>
    <cellStyle name="Normal 68 3" xfId="3526" xr:uid="{00000000-0005-0000-0000-0000B1270000}"/>
    <cellStyle name="Normal 68 3 2" xfId="10197" xr:uid="{00000000-0005-0000-0000-0000B2270000}"/>
    <cellStyle name="Normal 68 3 3" xfId="8595" xr:uid="{00000000-0005-0000-0000-0000B3270000}"/>
    <cellStyle name="Normal 68 3 4" xfId="11807" xr:uid="{00000000-0005-0000-0000-0000B4270000}"/>
    <cellStyle name="Normal 68 3 5" xfId="13414" xr:uid="{00000000-0005-0000-0000-0000B5270000}"/>
    <cellStyle name="Normal 68 4" xfId="3527" xr:uid="{00000000-0005-0000-0000-0000B6270000}"/>
    <cellStyle name="Normal 68 4 2" xfId="10198" xr:uid="{00000000-0005-0000-0000-0000B7270000}"/>
    <cellStyle name="Normal 68 4 3" xfId="8596" xr:uid="{00000000-0005-0000-0000-0000B8270000}"/>
    <cellStyle name="Normal 68 4 4" xfId="11808" xr:uid="{00000000-0005-0000-0000-0000B9270000}"/>
    <cellStyle name="Normal 68 4 5" xfId="13415" xr:uid="{00000000-0005-0000-0000-0000BA270000}"/>
    <cellStyle name="Normal 68 5" xfId="10195" xr:uid="{00000000-0005-0000-0000-0000BB270000}"/>
    <cellStyle name="Normal 68 6" xfId="8593" xr:uid="{00000000-0005-0000-0000-0000BC270000}"/>
    <cellStyle name="Normal 68 7" xfId="11805" xr:uid="{00000000-0005-0000-0000-0000BD270000}"/>
    <cellStyle name="Normal 68 8" xfId="13412" xr:uid="{00000000-0005-0000-0000-0000BE270000}"/>
    <cellStyle name="Normal 69" xfId="3528" xr:uid="{00000000-0005-0000-0000-0000BF270000}"/>
    <cellStyle name="Normal 69 2" xfId="3529" xr:uid="{00000000-0005-0000-0000-0000C0270000}"/>
    <cellStyle name="Normal 69 2 2" xfId="10200" xr:uid="{00000000-0005-0000-0000-0000C1270000}"/>
    <cellStyle name="Normal 69 2 3" xfId="8598" xr:uid="{00000000-0005-0000-0000-0000C2270000}"/>
    <cellStyle name="Normal 69 2 4" xfId="11810" xr:uid="{00000000-0005-0000-0000-0000C3270000}"/>
    <cellStyle name="Normal 69 2 5" xfId="13417" xr:uid="{00000000-0005-0000-0000-0000C4270000}"/>
    <cellStyle name="Normal 69 3" xfId="3530" xr:uid="{00000000-0005-0000-0000-0000C5270000}"/>
    <cellStyle name="Normal 69 3 2" xfId="10201" xr:uid="{00000000-0005-0000-0000-0000C6270000}"/>
    <cellStyle name="Normal 69 3 3" xfId="8599" xr:uid="{00000000-0005-0000-0000-0000C7270000}"/>
    <cellStyle name="Normal 69 3 4" xfId="11811" xr:uid="{00000000-0005-0000-0000-0000C8270000}"/>
    <cellStyle name="Normal 69 3 5" xfId="13418" xr:uid="{00000000-0005-0000-0000-0000C9270000}"/>
    <cellStyle name="Normal 69 4" xfId="3531" xr:uid="{00000000-0005-0000-0000-0000CA270000}"/>
    <cellStyle name="Normal 69 4 2" xfId="10202" xr:uid="{00000000-0005-0000-0000-0000CB270000}"/>
    <cellStyle name="Normal 69 4 3" xfId="8600" xr:uid="{00000000-0005-0000-0000-0000CC270000}"/>
    <cellStyle name="Normal 69 4 4" xfId="11812" xr:uid="{00000000-0005-0000-0000-0000CD270000}"/>
    <cellStyle name="Normal 69 4 5" xfId="13419" xr:uid="{00000000-0005-0000-0000-0000CE270000}"/>
    <cellStyle name="Normal 69 5" xfId="10199" xr:uid="{00000000-0005-0000-0000-0000CF270000}"/>
    <cellStyle name="Normal 69 6" xfId="8597" xr:uid="{00000000-0005-0000-0000-0000D0270000}"/>
    <cellStyle name="Normal 69 7" xfId="11809" xr:uid="{00000000-0005-0000-0000-0000D1270000}"/>
    <cellStyle name="Normal 69 8" xfId="13416" xr:uid="{00000000-0005-0000-0000-0000D2270000}"/>
    <cellStyle name="Normal 7" xfId="136" xr:uid="{00000000-0005-0000-0000-0000D3270000}"/>
    <cellStyle name="Normal 7 2" xfId="3533" xr:uid="{00000000-0005-0000-0000-0000D4270000}"/>
    <cellStyle name="Normal 7 2 10" xfId="3534" xr:uid="{00000000-0005-0000-0000-0000D5270000}"/>
    <cellStyle name="Normal 7 2 10 2" xfId="10204" xr:uid="{00000000-0005-0000-0000-0000D6270000}"/>
    <cellStyle name="Normal 7 2 10 3" xfId="8602" xr:uid="{00000000-0005-0000-0000-0000D7270000}"/>
    <cellStyle name="Normal 7 2 10 4" xfId="11814" xr:uid="{00000000-0005-0000-0000-0000D8270000}"/>
    <cellStyle name="Normal 7 2 10 5" xfId="13421" xr:uid="{00000000-0005-0000-0000-0000D9270000}"/>
    <cellStyle name="Normal 7 2 2" xfId="3535" xr:uid="{00000000-0005-0000-0000-0000DA270000}"/>
    <cellStyle name="Normal 7 2 2 2" xfId="3536" xr:uid="{00000000-0005-0000-0000-0000DB270000}"/>
    <cellStyle name="Normal 7 2 2 2 2" xfId="10206" xr:uid="{00000000-0005-0000-0000-0000DC270000}"/>
    <cellStyle name="Normal 7 2 2 2 3" xfId="8604" xr:uid="{00000000-0005-0000-0000-0000DD270000}"/>
    <cellStyle name="Normal 7 2 2 2 4" xfId="11816" xr:uid="{00000000-0005-0000-0000-0000DE270000}"/>
    <cellStyle name="Normal 7 2 2 2 5" xfId="13423" xr:uid="{00000000-0005-0000-0000-0000DF270000}"/>
    <cellStyle name="Normal 7 2 2 3" xfId="3537" xr:uid="{00000000-0005-0000-0000-0000E0270000}"/>
    <cellStyle name="Normal 7 2 2 3 2" xfId="10207" xr:uid="{00000000-0005-0000-0000-0000E1270000}"/>
    <cellStyle name="Normal 7 2 2 3 3" xfId="8605" xr:uid="{00000000-0005-0000-0000-0000E2270000}"/>
    <cellStyle name="Normal 7 2 2 3 4" xfId="11817" xr:uid="{00000000-0005-0000-0000-0000E3270000}"/>
    <cellStyle name="Normal 7 2 2 3 5" xfId="13424" xr:uid="{00000000-0005-0000-0000-0000E4270000}"/>
    <cellStyle name="Normal 7 2 2 4" xfId="3538" xr:uid="{00000000-0005-0000-0000-0000E5270000}"/>
    <cellStyle name="Normal 7 2 2 4 2" xfId="10208" xr:uid="{00000000-0005-0000-0000-0000E6270000}"/>
    <cellStyle name="Normal 7 2 2 4 3" xfId="8606" xr:uid="{00000000-0005-0000-0000-0000E7270000}"/>
    <cellStyle name="Normal 7 2 2 4 4" xfId="11818" xr:uid="{00000000-0005-0000-0000-0000E8270000}"/>
    <cellStyle name="Normal 7 2 2 4 5" xfId="13425" xr:uid="{00000000-0005-0000-0000-0000E9270000}"/>
    <cellStyle name="Normal 7 2 2 5" xfId="10205" xr:uid="{00000000-0005-0000-0000-0000EA270000}"/>
    <cellStyle name="Normal 7 2 2 6" xfId="8603" xr:uid="{00000000-0005-0000-0000-0000EB270000}"/>
    <cellStyle name="Normal 7 2 2 7" xfId="11815" xr:uid="{00000000-0005-0000-0000-0000EC270000}"/>
    <cellStyle name="Normal 7 2 2 8" xfId="13422" xr:uid="{00000000-0005-0000-0000-0000ED270000}"/>
    <cellStyle name="Normal 7 2 3" xfId="3539" xr:uid="{00000000-0005-0000-0000-0000EE270000}"/>
    <cellStyle name="Normal 7 2 3 2" xfId="3540" xr:uid="{00000000-0005-0000-0000-0000EF270000}"/>
    <cellStyle name="Normal 7 2 3 2 2" xfId="10210" xr:uid="{00000000-0005-0000-0000-0000F0270000}"/>
    <cellStyle name="Normal 7 2 3 2 3" xfId="8608" xr:uid="{00000000-0005-0000-0000-0000F1270000}"/>
    <cellStyle name="Normal 7 2 3 2 4" xfId="11820" xr:uid="{00000000-0005-0000-0000-0000F2270000}"/>
    <cellStyle name="Normal 7 2 3 2 5" xfId="13427" xr:uid="{00000000-0005-0000-0000-0000F3270000}"/>
    <cellStyle name="Normal 7 2 3 3" xfId="3541" xr:uid="{00000000-0005-0000-0000-0000F4270000}"/>
    <cellStyle name="Normal 7 2 3 3 2" xfId="10211" xr:uid="{00000000-0005-0000-0000-0000F5270000}"/>
    <cellStyle name="Normal 7 2 3 3 3" xfId="8609" xr:uid="{00000000-0005-0000-0000-0000F6270000}"/>
    <cellStyle name="Normal 7 2 3 3 4" xfId="11821" xr:uid="{00000000-0005-0000-0000-0000F7270000}"/>
    <cellStyle name="Normal 7 2 3 3 5" xfId="13428" xr:uid="{00000000-0005-0000-0000-0000F8270000}"/>
    <cellStyle name="Normal 7 2 3 4" xfId="3542" xr:uid="{00000000-0005-0000-0000-0000F9270000}"/>
    <cellStyle name="Normal 7 2 3 4 2" xfId="10212" xr:uid="{00000000-0005-0000-0000-0000FA270000}"/>
    <cellStyle name="Normal 7 2 3 4 3" xfId="8610" xr:uid="{00000000-0005-0000-0000-0000FB270000}"/>
    <cellStyle name="Normal 7 2 3 4 4" xfId="11822" xr:uid="{00000000-0005-0000-0000-0000FC270000}"/>
    <cellStyle name="Normal 7 2 3 4 5" xfId="13429" xr:uid="{00000000-0005-0000-0000-0000FD270000}"/>
    <cellStyle name="Normal 7 2 3 5" xfId="10209" xr:uid="{00000000-0005-0000-0000-0000FE270000}"/>
    <cellStyle name="Normal 7 2 3 6" xfId="8607" xr:uid="{00000000-0005-0000-0000-0000FF270000}"/>
    <cellStyle name="Normal 7 2 3 7" xfId="11819" xr:uid="{00000000-0005-0000-0000-000000280000}"/>
    <cellStyle name="Normal 7 2 3 8" xfId="13426" xr:uid="{00000000-0005-0000-0000-000001280000}"/>
    <cellStyle name="Normal 7 2 4" xfId="3543" xr:uid="{00000000-0005-0000-0000-000002280000}"/>
    <cellStyle name="Normal 7 2 4 2" xfId="3544" xr:uid="{00000000-0005-0000-0000-000003280000}"/>
    <cellStyle name="Normal 7 2 4 2 2" xfId="3545" xr:uid="{00000000-0005-0000-0000-000004280000}"/>
    <cellStyle name="Normal 7 2 4 2 2 2" xfId="3546" xr:uid="{00000000-0005-0000-0000-000005280000}"/>
    <cellStyle name="Normal 7 2 4 2 2 2 2" xfId="10214" xr:uid="{00000000-0005-0000-0000-000006280000}"/>
    <cellStyle name="Normal 7 2 4 2 2 2 3" xfId="8612" xr:uid="{00000000-0005-0000-0000-000007280000}"/>
    <cellStyle name="Normal 7 2 4 2 2 2 4" xfId="11824" xr:uid="{00000000-0005-0000-0000-000008280000}"/>
    <cellStyle name="Normal 7 2 4 2 2 2 5" xfId="13431" xr:uid="{00000000-0005-0000-0000-000009280000}"/>
    <cellStyle name="Normal 7 2 4 2 2 3" xfId="3547" xr:uid="{00000000-0005-0000-0000-00000A280000}"/>
    <cellStyle name="Normal 7 2 4 2 2 3 2" xfId="10215" xr:uid="{00000000-0005-0000-0000-00000B280000}"/>
    <cellStyle name="Normal 7 2 4 2 2 3 3" xfId="8613" xr:uid="{00000000-0005-0000-0000-00000C280000}"/>
    <cellStyle name="Normal 7 2 4 2 2 3 4" xfId="11825" xr:uid="{00000000-0005-0000-0000-00000D280000}"/>
    <cellStyle name="Normal 7 2 4 2 2 3 5" xfId="13432" xr:uid="{00000000-0005-0000-0000-00000E280000}"/>
    <cellStyle name="Normal 7 2 4 2 2 4" xfId="3548" xr:uid="{00000000-0005-0000-0000-00000F280000}"/>
    <cellStyle name="Normal 7 2 4 2 2 4 2" xfId="10216" xr:uid="{00000000-0005-0000-0000-000010280000}"/>
    <cellStyle name="Normal 7 2 4 2 2 4 3" xfId="8614" xr:uid="{00000000-0005-0000-0000-000011280000}"/>
    <cellStyle name="Normal 7 2 4 2 2 4 4" xfId="11826" xr:uid="{00000000-0005-0000-0000-000012280000}"/>
    <cellStyle name="Normal 7 2 4 2 2 4 5" xfId="13433" xr:uid="{00000000-0005-0000-0000-000013280000}"/>
    <cellStyle name="Normal 7 2 4 2 3" xfId="3549" xr:uid="{00000000-0005-0000-0000-000014280000}"/>
    <cellStyle name="Normal 7 2 4 2 4" xfId="3550" xr:uid="{00000000-0005-0000-0000-000015280000}"/>
    <cellStyle name="Normal 7 2 4 2 5" xfId="10213" xr:uid="{00000000-0005-0000-0000-000016280000}"/>
    <cellStyle name="Normal 7 2 4 2 6" xfId="8611" xr:uid="{00000000-0005-0000-0000-000017280000}"/>
    <cellStyle name="Normal 7 2 4 2 7" xfId="11823" xr:uid="{00000000-0005-0000-0000-000018280000}"/>
    <cellStyle name="Normal 7 2 4 2 8" xfId="13430" xr:uid="{00000000-0005-0000-0000-000019280000}"/>
    <cellStyle name="Normal 7 2 4 3" xfId="3551" xr:uid="{00000000-0005-0000-0000-00001A280000}"/>
    <cellStyle name="Normal 7 2 4 3 2" xfId="3552" xr:uid="{00000000-0005-0000-0000-00001B280000}"/>
    <cellStyle name="Normal 7 2 4 3 2 2" xfId="10218" xr:uid="{00000000-0005-0000-0000-00001C280000}"/>
    <cellStyle name="Normal 7 2 4 3 2 3" xfId="8616" xr:uid="{00000000-0005-0000-0000-00001D280000}"/>
    <cellStyle name="Normal 7 2 4 3 2 4" xfId="11828" xr:uid="{00000000-0005-0000-0000-00001E280000}"/>
    <cellStyle name="Normal 7 2 4 3 2 5" xfId="13435" xr:uid="{00000000-0005-0000-0000-00001F280000}"/>
    <cellStyle name="Normal 7 2 4 3 3" xfId="3553" xr:uid="{00000000-0005-0000-0000-000020280000}"/>
    <cellStyle name="Normal 7 2 4 3 3 2" xfId="10219" xr:uid="{00000000-0005-0000-0000-000021280000}"/>
    <cellStyle name="Normal 7 2 4 3 3 3" xfId="8617" xr:uid="{00000000-0005-0000-0000-000022280000}"/>
    <cellStyle name="Normal 7 2 4 3 3 4" xfId="11829" xr:uid="{00000000-0005-0000-0000-000023280000}"/>
    <cellStyle name="Normal 7 2 4 3 3 5" xfId="13436" xr:uid="{00000000-0005-0000-0000-000024280000}"/>
    <cellStyle name="Normal 7 2 4 3 4" xfId="3554" xr:uid="{00000000-0005-0000-0000-000025280000}"/>
    <cellStyle name="Normal 7 2 4 3 4 2" xfId="10220" xr:uid="{00000000-0005-0000-0000-000026280000}"/>
    <cellStyle name="Normal 7 2 4 3 4 3" xfId="8618" xr:uid="{00000000-0005-0000-0000-000027280000}"/>
    <cellStyle name="Normal 7 2 4 3 4 4" xfId="11830" xr:uid="{00000000-0005-0000-0000-000028280000}"/>
    <cellStyle name="Normal 7 2 4 3 4 5" xfId="13437" xr:uid="{00000000-0005-0000-0000-000029280000}"/>
    <cellStyle name="Normal 7 2 4 3 5" xfId="10217" xr:uid="{00000000-0005-0000-0000-00002A280000}"/>
    <cellStyle name="Normal 7 2 4 3 6" xfId="8615" xr:uid="{00000000-0005-0000-0000-00002B280000}"/>
    <cellStyle name="Normal 7 2 4 3 7" xfId="11827" xr:uid="{00000000-0005-0000-0000-00002C280000}"/>
    <cellStyle name="Normal 7 2 4 3 8" xfId="13434" xr:uid="{00000000-0005-0000-0000-00002D280000}"/>
    <cellStyle name="Normal 7 2 4 4" xfId="3555" xr:uid="{00000000-0005-0000-0000-00002E280000}"/>
    <cellStyle name="Normal 7 2 4 4 2" xfId="3556" xr:uid="{00000000-0005-0000-0000-00002F280000}"/>
    <cellStyle name="Normal 7 2 4 4 2 2" xfId="10222" xr:uid="{00000000-0005-0000-0000-000030280000}"/>
    <cellStyle name="Normal 7 2 4 4 2 3" xfId="8620" xr:uid="{00000000-0005-0000-0000-000031280000}"/>
    <cellStyle name="Normal 7 2 4 4 2 4" xfId="11832" xr:uid="{00000000-0005-0000-0000-000032280000}"/>
    <cellStyle name="Normal 7 2 4 4 2 5" xfId="13439" xr:uid="{00000000-0005-0000-0000-000033280000}"/>
    <cellStyle name="Normal 7 2 4 4 3" xfId="3557" xr:uid="{00000000-0005-0000-0000-000034280000}"/>
    <cellStyle name="Normal 7 2 4 4 3 2" xfId="10223" xr:uid="{00000000-0005-0000-0000-000035280000}"/>
    <cellStyle name="Normal 7 2 4 4 3 3" xfId="8621" xr:uid="{00000000-0005-0000-0000-000036280000}"/>
    <cellStyle name="Normal 7 2 4 4 3 4" xfId="11833" xr:uid="{00000000-0005-0000-0000-000037280000}"/>
    <cellStyle name="Normal 7 2 4 4 3 5" xfId="13440" xr:uid="{00000000-0005-0000-0000-000038280000}"/>
    <cellStyle name="Normal 7 2 4 4 4" xfId="3558" xr:uid="{00000000-0005-0000-0000-000039280000}"/>
    <cellStyle name="Normal 7 2 4 4 4 2" xfId="10224" xr:uid="{00000000-0005-0000-0000-00003A280000}"/>
    <cellStyle name="Normal 7 2 4 4 4 3" xfId="8622" xr:uid="{00000000-0005-0000-0000-00003B280000}"/>
    <cellStyle name="Normal 7 2 4 4 4 4" xfId="11834" xr:uid="{00000000-0005-0000-0000-00003C280000}"/>
    <cellStyle name="Normal 7 2 4 4 4 5" xfId="13441" xr:uid="{00000000-0005-0000-0000-00003D280000}"/>
    <cellStyle name="Normal 7 2 4 4 5" xfId="10221" xr:uid="{00000000-0005-0000-0000-00003E280000}"/>
    <cellStyle name="Normal 7 2 4 4 6" xfId="8619" xr:uid="{00000000-0005-0000-0000-00003F280000}"/>
    <cellStyle name="Normal 7 2 4 4 7" xfId="11831" xr:uid="{00000000-0005-0000-0000-000040280000}"/>
    <cellStyle name="Normal 7 2 4 4 8" xfId="13438" xr:uid="{00000000-0005-0000-0000-000041280000}"/>
    <cellStyle name="Normal 7 2 4 5" xfId="3559" xr:uid="{00000000-0005-0000-0000-000042280000}"/>
    <cellStyle name="Normal 7 2 4 5 2" xfId="10225" xr:uid="{00000000-0005-0000-0000-000043280000}"/>
    <cellStyle name="Normal 7 2 4 5 3" xfId="8623" xr:uid="{00000000-0005-0000-0000-000044280000}"/>
    <cellStyle name="Normal 7 2 4 5 4" xfId="11835" xr:uid="{00000000-0005-0000-0000-000045280000}"/>
    <cellStyle name="Normal 7 2 4 5 5" xfId="13442" xr:uid="{00000000-0005-0000-0000-000046280000}"/>
    <cellStyle name="Normal 7 2 4 6" xfId="3560" xr:uid="{00000000-0005-0000-0000-000047280000}"/>
    <cellStyle name="Normal 7 2 4 6 2" xfId="10226" xr:uid="{00000000-0005-0000-0000-000048280000}"/>
    <cellStyle name="Normal 7 2 4 6 3" xfId="8624" xr:uid="{00000000-0005-0000-0000-000049280000}"/>
    <cellStyle name="Normal 7 2 4 6 4" xfId="11836" xr:uid="{00000000-0005-0000-0000-00004A280000}"/>
    <cellStyle name="Normal 7 2 4 6 5" xfId="13443" xr:uid="{00000000-0005-0000-0000-00004B280000}"/>
    <cellStyle name="Normal 7 2 4 7" xfId="3561" xr:uid="{00000000-0005-0000-0000-00004C280000}"/>
    <cellStyle name="Normal 7 2 4 7 2" xfId="10227" xr:uid="{00000000-0005-0000-0000-00004D280000}"/>
    <cellStyle name="Normal 7 2 4 7 3" xfId="8625" xr:uid="{00000000-0005-0000-0000-00004E280000}"/>
    <cellStyle name="Normal 7 2 4 7 4" xfId="11837" xr:uid="{00000000-0005-0000-0000-00004F280000}"/>
    <cellStyle name="Normal 7 2 4 7 5" xfId="13444" xr:uid="{00000000-0005-0000-0000-000050280000}"/>
    <cellStyle name="Normal 7 2 5" xfId="3562" xr:uid="{00000000-0005-0000-0000-000051280000}"/>
    <cellStyle name="Normal 7 2 6" xfId="3563" xr:uid="{00000000-0005-0000-0000-000052280000}"/>
    <cellStyle name="Normal 7 2 7" xfId="3564" xr:uid="{00000000-0005-0000-0000-000053280000}"/>
    <cellStyle name="Normal 7 2 7 2" xfId="10228" xr:uid="{00000000-0005-0000-0000-000054280000}"/>
    <cellStyle name="Normal 7 2 7 3" xfId="8626" xr:uid="{00000000-0005-0000-0000-000055280000}"/>
    <cellStyle name="Normal 7 2 7 4" xfId="11838" xr:uid="{00000000-0005-0000-0000-000056280000}"/>
    <cellStyle name="Normal 7 2 7 5" xfId="13445" xr:uid="{00000000-0005-0000-0000-000057280000}"/>
    <cellStyle name="Normal 7 2 8" xfId="3565" xr:uid="{00000000-0005-0000-0000-000058280000}"/>
    <cellStyle name="Normal 7 2 8 2" xfId="10229" xr:uid="{00000000-0005-0000-0000-000059280000}"/>
    <cellStyle name="Normal 7 2 8 3" xfId="8627" xr:uid="{00000000-0005-0000-0000-00005A280000}"/>
    <cellStyle name="Normal 7 2 8 4" xfId="11839" xr:uid="{00000000-0005-0000-0000-00005B280000}"/>
    <cellStyle name="Normal 7 2 8 5" xfId="13446" xr:uid="{00000000-0005-0000-0000-00005C280000}"/>
    <cellStyle name="Normal 7 2 9" xfId="3566" xr:uid="{00000000-0005-0000-0000-00005D280000}"/>
    <cellStyle name="Normal 7 2 9 2" xfId="10230" xr:uid="{00000000-0005-0000-0000-00005E280000}"/>
    <cellStyle name="Normal 7 2 9 3" xfId="8628" xr:uid="{00000000-0005-0000-0000-00005F280000}"/>
    <cellStyle name="Normal 7 2 9 4" xfId="11840" xr:uid="{00000000-0005-0000-0000-000060280000}"/>
    <cellStyle name="Normal 7 2 9 5" xfId="13447" xr:uid="{00000000-0005-0000-0000-000061280000}"/>
    <cellStyle name="Normal 7 3" xfId="3567" xr:uid="{00000000-0005-0000-0000-000062280000}"/>
    <cellStyle name="Normal 7 3 2" xfId="3568" xr:uid="{00000000-0005-0000-0000-000063280000}"/>
    <cellStyle name="Normal 7 3 3" xfId="10231" xr:uid="{00000000-0005-0000-0000-000064280000}"/>
    <cellStyle name="Normal 7 3 4" xfId="8629" xr:uid="{00000000-0005-0000-0000-000065280000}"/>
    <cellStyle name="Normal 7 3 5" xfId="11841" xr:uid="{00000000-0005-0000-0000-000066280000}"/>
    <cellStyle name="Normal 7 3 6" xfId="13448" xr:uid="{00000000-0005-0000-0000-000067280000}"/>
    <cellStyle name="Normal 7 4" xfId="3569" xr:uid="{00000000-0005-0000-0000-000068280000}"/>
    <cellStyle name="Normal 7 5" xfId="3532" xr:uid="{00000000-0005-0000-0000-000069280000}"/>
    <cellStyle name="Normal 7 5 2" xfId="10203" xr:uid="{00000000-0005-0000-0000-00006A280000}"/>
    <cellStyle name="Normal 7 5 3" xfId="11813" xr:uid="{00000000-0005-0000-0000-00006B280000}"/>
    <cellStyle name="Normal 7 6" xfId="10461" xr:uid="{00000000-0005-0000-0000-00006C280000}"/>
    <cellStyle name="Normal 7 7" xfId="8601" xr:uid="{00000000-0005-0000-0000-00006D280000}"/>
    <cellStyle name="Normal 7 8" xfId="10619" xr:uid="{00000000-0005-0000-0000-00006E280000}"/>
    <cellStyle name="Normal 7 9" xfId="13420" xr:uid="{00000000-0005-0000-0000-00006F280000}"/>
    <cellStyle name="Normal 70" xfId="3570" xr:uid="{00000000-0005-0000-0000-000070280000}"/>
    <cellStyle name="Normal 70 2" xfId="3571" xr:uid="{00000000-0005-0000-0000-000071280000}"/>
    <cellStyle name="Normal 70 2 2" xfId="10233" xr:uid="{00000000-0005-0000-0000-000072280000}"/>
    <cellStyle name="Normal 70 2 3" xfId="8631" xr:uid="{00000000-0005-0000-0000-000073280000}"/>
    <cellStyle name="Normal 70 2 4" xfId="11843" xr:uid="{00000000-0005-0000-0000-000074280000}"/>
    <cellStyle name="Normal 70 2 5" xfId="13450" xr:uid="{00000000-0005-0000-0000-000075280000}"/>
    <cellStyle name="Normal 70 3" xfId="3572" xr:uid="{00000000-0005-0000-0000-000076280000}"/>
    <cellStyle name="Normal 70 3 2" xfId="10234" xr:uid="{00000000-0005-0000-0000-000077280000}"/>
    <cellStyle name="Normal 70 3 3" xfId="8632" xr:uid="{00000000-0005-0000-0000-000078280000}"/>
    <cellStyle name="Normal 70 3 4" xfId="11844" xr:uid="{00000000-0005-0000-0000-000079280000}"/>
    <cellStyle name="Normal 70 3 5" xfId="13451" xr:uid="{00000000-0005-0000-0000-00007A280000}"/>
    <cellStyle name="Normal 70 4" xfId="3573" xr:uid="{00000000-0005-0000-0000-00007B280000}"/>
    <cellStyle name="Normal 70 4 2" xfId="10235" xr:uid="{00000000-0005-0000-0000-00007C280000}"/>
    <cellStyle name="Normal 70 4 3" xfId="8633" xr:uid="{00000000-0005-0000-0000-00007D280000}"/>
    <cellStyle name="Normal 70 4 4" xfId="11845" xr:uid="{00000000-0005-0000-0000-00007E280000}"/>
    <cellStyle name="Normal 70 4 5" xfId="13452" xr:uid="{00000000-0005-0000-0000-00007F280000}"/>
    <cellStyle name="Normal 70 5" xfId="10232" xr:uid="{00000000-0005-0000-0000-000080280000}"/>
    <cellStyle name="Normal 70 6" xfId="8630" xr:uid="{00000000-0005-0000-0000-000081280000}"/>
    <cellStyle name="Normal 70 7" xfId="11842" xr:uid="{00000000-0005-0000-0000-000082280000}"/>
    <cellStyle name="Normal 70 8" xfId="13449" xr:uid="{00000000-0005-0000-0000-000083280000}"/>
    <cellStyle name="Normal 71" xfId="3574" xr:uid="{00000000-0005-0000-0000-000084280000}"/>
    <cellStyle name="Normal 71 2" xfId="3575" xr:uid="{00000000-0005-0000-0000-000085280000}"/>
    <cellStyle name="Normal 71 2 2" xfId="10237" xr:uid="{00000000-0005-0000-0000-000086280000}"/>
    <cellStyle name="Normal 71 2 3" xfId="8635" xr:uid="{00000000-0005-0000-0000-000087280000}"/>
    <cellStyle name="Normal 71 2 4" xfId="11847" xr:uid="{00000000-0005-0000-0000-000088280000}"/>
    <cellStyle name="Normal 71 2 5" xfId="13454" xr:uid="{00000000-0005-0000-0000-000089280000}"/>
    <cellStyle name="Normal 71 3" xfId="3576" xr:uid="{00000000-0005-0000-0000-00008A280000}"/>
    <cellStyle name="Normal 71 3 2" xfId="10238" xr:uid="{00000000-0005-0000-0000-00008B280000}"/>
    <cellStyle name="Normal 71 3 3" xfId="8636" xr:uid="{00000000-0005-0000-0000-00008C280000}"/>
    <cellStyle name="Normal 71 3 4" xfId="11848" xr:uid="{00000000-0005-0000-0000-00008D280000}"/>
    <cellStyle name="Normal 71 3 5" xfId="13455" xr:uid="{00000000-0005-0000-0000-00008E280000}"/>
    <cellStyle name="Normal 71 4" xfId="3577" xr:uid="{00000000-0005-0000-0000-00008F280000}"/>
    <cellStyle name="Normal 71 4 2" xfId="10239" xr:uid="{00000000-0005-0000-0000-000090280000}"/>
    <cellStyle name="Normal 71 4 3" xfId="8637" xr:uid="{00000000-0005-0000-0000-000091280000}"/>
    <cellStyle name="Normal 71 4 4" xfId="11849" xr:uid="{00000000-0005-0000-0000-000092280000}"/>
    <cellStyle name="Normal 71 4 5" xfId="13456" xr:uid="{00000000-0005-0000-0000-000093280000}"/>
    <cellStyle name="Normal 71 5" xfId="10236" xr:uid="{00000000-0005-0000-0000-000094280000}"/>
    <cellStyle name="Normal 71 6" xfId="8634" xr:uid="{00000000-0005-0000-0000-000095280000}"/>
    <cellStyle name="Normal 71 7" xfId="11846" xr:uid="{00000000-0005-0000-0000-000096280000}"/>
    <cellStyle name="Normal 71 8" xfId="13453" xr:uid="{00000000-0005-0000-0000-000097280000}"/>
    <cellStyle name="Normal 72" xfId="3578" xr:uid="{00000000-0005-0000-0000-000098280000}"/>
    <cellStyle name="Normal 72 2" xfId="3579" xr:uid="{00000000-0005-0000-0000-000099280000}"/>
    <cellStyle name="Normal 72 2 2" xfId="10241" xr:uid="{00000000-0005-0000-0000-00009A280000}"/>
    <cellStyle name="Normal 72 2 3" xfId="8639" xr:uid="{00000000-0005-0000-0000-00009B280000}"/>
    <cellStyle name="Normal 72 2 4" xfId="11851" xr:uid="{00000000-0005-0000-0000-00009C280000}"/>
    <cellStyle name="Normal 72 2 5" xfId="13458" xr:uid="{00000000-0005-0000-0000-00009D280000}"/>
    <cellStyle name="Normal 72 3" xfId="3580" xr:uid="{00000000-0005-0000-0000-00009E280000}"/>
    <cellStyle name="Normal 72 3 2" xfId="10242" xr:uid="{00000000-0005-0000-0000-00009F280000}"/>
    <cellStyle name="Normal 72 3 3" xfId="8640" xr:uid="{00000000-0005-0000-0000-0000A0280000}"/>
    <cellStyle name="Normal 72 3 4" xfId="11852" xr:uid="{00000000-0005-0000-0000-0000A1280000}"/>
    <cellStyle name="Normal 72 3 5" xfId="13459" xr:uid="{00000000-0005-0000-0000-0000A2280000}"/>
    <cellStyle name="Normal 72 4" xfId="3581" xr:uid="{00000000-0005-0000-0000-0000A3280000}"/>
    <cellStyle name="Normal 72 4 2" xfId="10243" xr:uid="{00000000-0005-0000-0000-0000A4280000}"/>
    <cellStyle name="Normal 72 4 3" xfId="8641" xr:uid="{00000000-0005-0000-0000-0000A5280000}"/>
    <cellStyle name="Normal 72 4 4" xfId="11853" xr:uid="{00000000-0005-0000-0000-0000A6280000}"/>
    <cellStyle name="Normal 72 4 5" xfId="13460" xr:uid="{00000000-0005-0000-0000-0000A7280000}"/>
    <cellStyle name="Normal 72 5" xfId="10240" xr:uid="{00000000-0005-0000-0000-0000A8280000}"/>
    <cellStyle name="Normal 72 6" xfId="8638" xr:uid="{00000000-0005-0000-0000-0000A9280000}"/>
    <cellStyle name="Normal 72 7" xfId="11850" xr:uid="{00000000-0005-0000-0000-0000AA280000}"/>
    <cellStyle name="Normal 72 8" xfId="13457" xr:uid="{00000000-0005-0000-0000-0000AB280000}"/>
    <cellStyle name="Normal 73" xfId="3582" xr:uid="{00000000-0005-0000-0000-0000AC280000}"/>
    <cellStyle name="Normal 73 2" xfId="3583" xr:uid="{00000000-0005-0000-0000-0000AD280000}"/>
    <cellStyle name="Normal 73 2 2" xfId="10245" xr:uid="{00000000-0005-0000-0000-0000AE280000}"/>
    <cellStyle name="Normal 73 2 3" xfId="8643" xr:uid="{00000000-0005-0000-0000-0000AF280000}"/>
    <cellStyle name="Normal 73 2 4" xfId="11855" xr:uid="{00000000-0005-0000-0000-0000B0280000}"/>
    <cellStyle name="Normal 73 2 5" xfId="13462" xr:uid="{00000000-0005-0000-0000-0000B1280000}"/>
    <cellStyle name="Normal 73 3" xfId="3584" xr:uid="{00000000-0005-0000-0000-0000B2280000}"/>
    <cellStyle name="Normal 73 3 2" xfId="10246" xr:uid="{00000000-0005-0000-0000-0000B3280000}"/>
    <cellStyle name="Normal 73 3 3" xfId="8644" xr:uid="{00000000-0005-0000-0000-0000B4280000}"/>
    <cellStyle name="Normal 73 3 4" xfId="11856" xr:uid="{00000000-0005-0000-0000-0000B5280000}"/>
    <cellStyle name="Normal 73 3 5" xfId="13463" xr:uid="{00000000-0005-0000-0000-0000B6280000}"/>
    <cellStyle name="Normal 73 4" xfId="3585" xr:uid="{00000000-0005-0000-0000-0000B7280000}"/>
    <cellStyle name="Normal 73 4 2" xfId="10247" xr:uid="{00000000-0005-0000-0000-0000B8280000}"/>
    <cellStyle name="Normal 73 4 3" xfId="8645" xr:uid="{00000000-0005-0000-0000-0000B9280000}"/>
    <cellStyle name="Normal 73 4 4" xfId="11857" xr:uid="{00000000-0005-0000-0000-0000BA280000}"/>
    <cellStyle name="Normal 73 4 5" xfId="13464" xr:uid="{00000000-0005-0000-0000-0000BB280000}"/>
    <cellStyle name="Normal 73 5" xfId="10244" xr:uid="{00000000-0005-0000-0000-0000BC280000}"/>
    <cellStyle name="Normal 73 6" xfId="8642" xr:uid="{00000000-0005-0000-0000-0000BD280000}"/>
    <cellStyle name="Normal 73 7" xfId="11854" xr:uid="{00000000-0005-0000-0000-0000BE280000}"/>
    <cellStyle name="Normal 73 8" xfId="13461" xr:uid="{00000000-0005-0000-0000-0000BF280000}"/>
    <cellStyle name="Normal 74" xfId="3586" xr:uid="{00000000-0005-0000-0000-0000C0280000}"/>
    <cellStyle name="Normal 74 2" xfId="3587" xr:uid="{00000000-0005-0000-0000-0000C1280000}"/>
    <cellStyle name="Normal 74 2 2" xfId="10249" xr:uid="{00000000-0005-0000-0000-0000C2280000}"/>
    <cellStyle name="Normal 74 2 3" xfId="8647" xr:uid="{00000000-0005-0000-0000-0000C3280000}"/>
    <cellStyle name="Normal 74 2 4" xfId="11859" xr:uid="{00000000-0005-0000-0000-0000C4280000}"/>
    <cellStyle name="Normal 74 2 5" xfId="13466" xr:uid="{00000000-0005-0000-0000-0000C5280000}"/>
    <cellStyle name="Normal 74 3" xfId="3588" xr:uid="{00000000-0005-0000-0000-0000C6280000}"/>
    <cellStyle name="Normal 74 3 2" xfId="10250" xr:uid="{00000000-0005-0000-0000-0000C7280000}"/>
    <cellStyle name="Normal 74 3 3" xfId="8648" xr:uid="{00000000-0005-0000-0000-0000C8280000}"/>
    <cellStyle name="Normal 74 3 4" xfId="11860" xr:uid="{00000000-0005-0000-0000-0000C9280000}"/>
    <cellStyle name="Normal 74 3 5" xfId="13467" xr:uid="{00000000-0005-0000-0000-0000CA280000}"/>
    <cellStyle name="Normal 74 4" xfId="3589" xr:uid="{00000000-0005-0000-0000-0000CB280000}"/>
    <cellStyle name="Normal 74 4 2" xfId="10251" xr:uid="{00000000-0005-0000-0000-0000CC280000}"/>
    <cellStyle name="Normal 74 4 3" xfId="8649" xr:uid="{00000000-0005-0000-0000-0000CD280000}"/>
    <cellStyle name="Normal 74 4 4" xfId="11861" xr:uid="{00000000-0005-0000-0000-0000CE280000}"/>
    <cellStyle name="Normal 74 4 5" xfId="13468" xr:uid="{00000000-0005-0000-0000-0000CF280000}"/>
    <cellStyle name="Normal 74 5" xfId="10248" xr:uid="{00000000-0005-0000-0000-0000D0280000}"/>
    <cellStyle name="Normal 74 6" xfId="8646" xr:uid="{00000000-0005-0000-0000-0000D1280000}"/>
    <cellStyle name="Normal 74 7" xfId="11858" xr:uid="{00000000-0005-0000-0000-0000D2280000}"/>
    <cellStyle name="Normal 74 8" xfId="13465" xr:uid="{00000000-0005-0000-0000-0000D3280000}"/>
    <cellStyle name="Normal 75" xfId="3590" xr:uid="{00000000-0005-0000-0000-0000D4280000}"/>
    <cellStyle name="Normal 75 2" xfId="3591" xr:uid="{00000000-0005-0000-0000-0000D5280000}"/>
    <cellStyle name="Normal 75 2 2" xfId="10253" xr:uid="{00000000-0005-0000-0000-0000D6280000}"/>
    <cellStyle name="Normal 75 2 3" xfId="8651" xr:uid="{00000000-0005-0000-0000-0000D7280000}"/>
    <cellStyle name="Normal 75 2 4" xfId="11863" xr:uid="{00000000-0005-0000-0000-0000D8280000}"/>
    <cellStyle name="Normal 75 2 5" xfId="13470" xr:uid="{00000000-0005-0000-0000-0000D9280000}"/>
    <cellStyle name="Normal 75 3" xfId="3592" xr:uid="{00000000-0005-0000-0000-0000DA280000}"/>
    <cellStyle name="Normal 75 3 2" xfId="10254" xr:uid="{00000000-0005-0000-0000-0000DB280000}"/>
    <cellStyle name="Normal 75 3 3" xfId="8652" xr:uid="{00000000-0005-0000-0000-0000DC280000}"/>
    <cellStyle name="Normal 75 3 4" xfId="11864" xr:uid="{00000000-0005-0000-0000-0000DD280000}"/>
    <cellStyle name="Normal 75 3 5" xfId="13471" xr:uid="{00000000-0005-0000-0000-0000DE280000}"/>
    <cellStyle name="Normal 75 4" xfId="3593" xr:uid="{00000000-0005-0000-0000-0000DF280000}"/>
    <cellStyle name="Normal 75 4 2" xfId="10255" xr:uid="{00000000-0005-0000-0000-0000E0280000}"/>
    <cellStyle name="Normal 75 4 3" xfId="8653" xr:uid="{00000000-0005-0000-0000-0000E1280000}"/>
    <cellStyle name="Normal 75 4 4" xfId="11865" xr:uid="{00000000-0005-0000-0000-0000E2280000}"/>
    <cellStyle name="Normal 75 4 5" xfId="13472" xr:uid="{00000000-0005-0000-0000-0000E3280000}"/>
    <cellStyle name="Normal 75 5" xfId="10252" xr:uid="{00000000-0005-0000-0000-0000E4280000}"/>
    <cellStyle name="Normal 75 6" xfId="8650" xr:uid="{00000000-0005-0000-0000-0000E5280000}"/>
    <cellStyle name="Normal 75 7" xfId="11862" xr:uid="{00000000-0005-0000-0000-0000E6280000}"/>
    <cellStyle name="Normal 75 8" xfId="13469" xr:uid="{00000000-0005-0000-0000-0000E7280000}"/>
    <cellStyle name="Normal 76" xfId="3594" xr:uid="{00000000-0005-0000-0000-0000E8280000}"/>
    <cellStyle name="Normal 76 2" xfId="3595" xr:uid="{00000000-0005-0000-0000-0000E9280000}"/>
    <cellStyle name="Normal 76 2 2" xfId="10257" xr:uid="{00000000-0005-0000-0000-0000EA280000}"/>
    <cellStyle name="Normal 76 2 3" xfId="8655" xr:uid="{00000000-0005-0000-0000-0000EB280000}"/>
    <cellStyle name="Normal 76 2 4" xfId="11867" xr:uid="{00000000-0005-0000-0000-0000EC280000}"/>
    <cellStyle name="Normal 76 2 5" xfId="13474" xr:uid="{00000000-0005-0000-0000-0000ED280000}"/>
    <cellStyle name="Normal 76 3" xfId="3596" xr:uid="{00000000-0005-0000-0000-0000EE280000}"/>
    <cellStyle name="Normal 76 3 2" xfId="10258" xr:uid="{00000000-0005-0000-0000-0000EF280000}"/>
    <cellStyle name="Normal 76 3 3" xfId="8656" xr:uid="{00000000-0005-0000-0000-0000F0280000}"/>
    <cellStyle name="Normal 76 3 4" xfId="11868" xr:uid="{00000000-0005-0000-0000-0000F1280000}"/>
    <cellStyle name="Normal 76 3 5" xfId="13475" xr:uid="{00000000-0005-0000-0000-0000F2280000}"/>
    <cellStyle name="Normal 76 4" xfId="3597" xr:uid="{00000000-0005-0000-0000-0000F3280000}"/>
    <cellStyle name="Normal 76 4 2" xfId="10259" xr:uid="{00000000-0005-0000-0000-0000F4280000}"/>
    <cellStyle name="Normal 76 4 3" xfId="8657" xr:uid="{00000000-0005-0000-0000-0000F5280000}"/>
    <cellStyle name="Normal 76 4 4" xfId="11869" xr:uid="{00000000-0005-0000-0000-0000F6280000}"/>
    <cellStyle name="Normal 76 4 5" xfId="13476" xr:uid="{00000000-0005-0000-0000-0000F7280000}"/>
    <cellStyle name="Normal 76 5" xfId="10256" xr:uid="{00000000-0005-0000-0000-0000F8280000}"/>
    <cellStyle name="Normal 76 6" xfId="8654" xr:uid="{00000000-0005-0000-0000-0000F9280000}"/>
    <cellStyle name="Normal 76 7" xfId="11866" xr:uid="{00000000-0005-0000-0000-0000FA280000}"/>
    <cellStyle name="Normal 76 8" xfId="13473" xr:uid="{00000000-0005-0000-0000-0000FB280000}"/>
    <cellStyle name="Normal 77" xfId="3598" xr:uid="{00000000-0005-0000-0000-0000FC280000}"/>
    <cellStyle name="Normal 77 2" xfId="3599" xr:uid="{00000000-0005-0000-0000-0000FD280000}"/>
    <cellStyle name="Normal 77 2 2" xfId="10261" xr:uid="{00000000-0005-0000-0000-0000FE280000}"/>
    <cellStyle name="Normal 77 2 3" xfId="8659" xr:uid="{00000000-0005-0000-0000-0000FF280000}"/>
    <cellStyle name="Normal 77 2 4" xfId="11871" xr:uid="{00000000-0005-0000-0000-000000290000}"/>
    <cellStyle name="Normal 77 2 5" xfId="13478" xr:uid="{00000000-0005-0000-0000-000001290000}"/>
    <cellStyle name="Normal 77 3" xfId="3600" xr:uid="{00000000-0005-0000-0000-000002290000}"/>
    <cellStyle name="Normal 77 3 2" xfId="10262" xr:uid="{00000000-0005-0000-0000-000003290000}"/>
    <cellStyle name="Normal 77 3 3" xfId="8660" xr:uid="{00000000-0005-0000-0000-000004290000}"/>
    <cellStyle name="Normal 77 3 4" xfId="11872" xr:uid="{00000000-0005-0000-0000-000005290000}"/>
    <cellStyle name="Normal 77 3 5" xfId="13479" xr:uid="{00000000-0005-0000-0000-000006290000}"/>
    <cellStyle name="Normal 77 4" xfId="3601" xr:uid="{00000000-0005-0000-0000-000007290000}"/>
    <cellStyle name="Normal 77 4 2" xfId="10263" xr:uid="{00000000-0005-0000-0000-000008290000}"/>
    <cellStyle name="Normal 77 4 3" xfId="8661" xr:uid="{00000000-0005-0000-0000-000009290000}"/>
    <cellStyle name="Normal 77 4 4" xfId="11873" xr:uid="{00000000-0005-0000-0000-00000A290000}"/>
    <cellStyle name="Normal 77 4 5" xfId="13480" xr:uid="{00000000-0005-0000-0000-00000B290000}"/>
    <cellStyle name="Normal 77 5" xfId="10260" xr:uid="{00000000-0005-0000-0000-00000C290000}"/>
    <cellStyle name="Normal 77 6" xfId="8658" xr:uid="{00000000-0005-0000-0000-00000D290000}"/>
    <cellStyle name="Normal 77 7" xfId="11870" xr:uid="{00000000-0005-0000-0000-00000E290000}"/>
    <cellStyle name="Normal 77 8" xfId="13477" xr:uid="{00000000-0005-0000-0000-00000F290000}"/>
    <cellStyle name="Normal 78" xfId="3602" xr:uid="{00000000-0005-0000-0000-000010290000}"/>
    <cellStyle name="Normal 78 2" xfId="3603" xr:uid="{00000000-0005-0000-0000-000011290000}"/>
    <cellStyle name="Normal 78 2 2" xfId="10265" xr:uid="{00000000-0005-0000-0000-000012290000}"/>
    <cellStyle name="Normal 78 2 3" xfId="8663" xr:uid="{00000000-0005-0000-0000-000013290000}"/>
    <cellStyle name="Normal 78 2 4" xfId="11875" xr:uid="{00000000-0005-0000-0000-000014290000}"/>
    <cellStyle name="Normal 78 2 5" xfId="13482" xr:uid="{00000000-0005-0000-0000-000015290000}"/>
    <cellStyle name="Normal 78 3" xfId="3604" xr:uid="{00000000-0005-0000-0000-000016290000}"/>
    <cellStyle name="Normal 78 3 2" xfId="10266" xr:uid="{00000000-0005-0000-0000-000017290000}"/>
    <cellStyle name="Normal 78 3 3" xfId="8664" xr:uid="{00000000-0005-0000-0000-000018290000}"/>
    <cellStyle name="Normal 78 3 4" xfId="11876" xr:uid="{00000000-0005-0000-0000-000019290000}"/>
    <cellStyle name="Normal 78 3 5" xfId="13483" xr:uid="{00000000-0005-0000-0000-00001A290000}"/>
    <cellStyle name="Normal 78 4" xfId="3605" xr:uid="{00000000-0005-0000-0000-00001B290000}"/>
    <cellStyle name="Normal 78 4 2" xfId="10267" xr:uid="{00000000-0005-0000-0000-00001C290000}"/>
    <cellStyle name="Normal 78 4 3" xfId="8665" xr:uid="{00000000-0005-0000-0000-00001D290000}"/>
    <cellStyle name="Normal 78 4 4" xfId="11877" xr:uid="{00000000-0005-0000-0000-00001E290000}"/>
    <cellStyle name="Normal 78 4 5" xfId="13484" xr:uid="{00000000-0005-0000-0000-00001F290000}"/>
    <cellStyle name="Normal 78 5" xfId="10264" xr:uid="{00000000-0005-0000-0000-000020290000}"/>
    <cellStyle name="Normal 78 6" xfId="8662" xr:uid="{00000000-0005-0000-0000-000021290000}"/>
    <cellStyle name="Normal 78 7" xfId="11874" xr:uid="{00000000-0005-0000-0000-000022290000}"/>
    <cellStyle name="Normal 78 8" xfId="13481" xr:uid="{00000000-0005-0000-0000-000023290000}"/>
    <cellStyle name="Normal 79" xfId="3606" xr:uid="{00000000-0005-0000-0000-000024290000}"/>
    <cellStyle name="Normal 79 2" xfId="3607" xr:uid="{00000000-0005-0000-0000-000025290000}"/>
    <cellStyle name="Normal 79 2 2" xfId="10269" xr:uid="{00000000-0005-0000-0000-000026290000}"/>
    <cellStyle name="Normal 79 2 3" xfId="8667" xr:uid="{00000000-0005-0000-0000-000027290000}"/>
    <cellStyle name="Normal 79 2 4" xfId="11879" xr:uid="{00000000-0005-0000-0000-000028290000}"/>
    <cellStyle name="Normal 79 2 5" xfId="13486" xr:uid="{00000000-0005-0000-0000-000029290000}"/>
    <cellStyle name="Normal 79 3" xfId="3608" xr:uid="{00000000-0005-0000-0000-00002A290000}"/>
    <cellStyle name="Normal 79 3 2" xfId="10270" xr:uid="{00000000-0005-0000-0000-00002B290000}"/>
    <cellStyle name="Normal 79 3 3" xfId="8668" xr:uid="{00000000-0005-0000-0000-00002C290000}"/>
    <cellStyle name="Normal 79 3 4" xfId="11880" xr:uid="{00000000-0005-0000-0000-00002D290000}"/>
    <cellStyle name="Normal 79 3 5" xfId="13487" xr:uid="{00000000-0005-0000-0000-00002E290000}"/>
    <cellStyle name="Normal 79 4" xfId="3609" xr:uid="{00000000-0005-0000-0000-00002F290000}"/>
    <cellStyle name="Normal 79 4 2" xfId="10271" xr:uid="{00000000-0005-0000-0000-000030290000}"/>
    <cellStyle name="Normal 79 4 3" xfId="8669" xr:uid="{00000000-0005-0000-0000-000031290000}"/>
    <cellStyle name="Normal 79 4 4" xfId="11881" xr:uid="{00000000-0005-0000-0000-000032290000}"/>
    <cellStyle name="Normal 79 4 5" xfId="13488" xr:uid="{00000000-0005-0000-0000-000033290000}"/>
    <cellStyle name="Normal 79 5" xfId="10268" xr:uid="{00000000-0005-0000-0000-000034290000}"/>
    <cellStyle name="Normal 79 6" xfId="8666" xr:uid="{00000000-0005-0000-0000-000035290000}"/>
    <cellStyle name="Normal 79 7" xfId="11878" xr:uid="{00000000-0005-0000-0000-000036290000}"/>
    <cellStyle name="Normal 79 8" xfId="13485" xr:uid="{00000000-0005-0000-0000-000037290000}"/>
    <cellStyle name="Normal 8" xfId="142" xr:uid="{00000000-0005-0000-0000-000038290000}"/>
    <cellStyle name="Normal 8 10" xfId="3611" xr:uid="{00000000-0005-0000-0000-000039290000}"/>
    <cellStyle name="Normal 8 11" xfId="3612" xr:uid="{00000000-0005-0000-0000-00003A290000}"/>
    <cellStyle name="Normal 8 12" xfId="3613" xr:uid="{00000000-0005-0000-0000-00003B290000}"/>
    <cellStyle name="Normal 8 13" xfId="3614" xr:uid="{00000000-0005-0000-0000-00003C290000}"/>
    <cellStyle name="Normal 8 14" xfId="3615" xr:uid="{00000000-0005-0000-0000-00003D290000}"/>
    <cellStyle name="Normal 8 15" xfId="3616" xr:uid="{00000000-0005-0000-0000-00003E290000}"/>
    <cellStyle name="Normal 8 16" xfId="3617" xr:uid="{00000000-0005-0000-0000-00003F290000}"/>
    <cellStyle name="Normal 8 17" xfId="3618" xr:uid="{00000000-0005-0000-0000-000040290000}"/>
    <cellStyle name="Normal 8 18" xfId="3619" xr:uid="{00000000-0005-0000-0000-000041290000}"/>
    <cellStyle name="Normal 8 19" xfId="3620" xr:uid="{00000000-0005-0000-0000-000042290000}"/>
    <cellStyle name="Normal 8 2" xfId="3621" xr:uid="{00000000-0005-0000-0000-000043290000}"/>
    <cellStyle name="Normal 8 2 10" xfId="13490" xr:uid="{00000000-0005-0000-0000-000044290000}"/>
    <cellStyle name="Normal 8 2 2" xfId="3622" xr:uid="{00000000-0005-0000-0000-000045290000}"/>
    <cellStyle name="Normal 8 2 2 10" xfId="8672" xr:uid="{00000000-0005-0000-0000-000046290000}"/>
    <cellStyle name="Normal 8 2 2 11" xfId="11884" xr:uid="{00000000-0005-0000-0000-000047290000}"/>
    <cellStyle name="Normal 8 2 2 12" xfId="13491" xr:uid="{00000000-0005-0000-0000-000048290000}"/>
    <cellStyle name="Normal 8 2 2 2" xfId="3623" xr:uid="{00000000-0005-0000-0000-000049290000}"/>
    <cellStyle name="Normal 8 2 2 2 2" xfId="3624" xr:uid="{00000000-0005-0000-0000-00004A290000}"/>
    <cellStyle name="Normal 8 2 2 2 2 2" xfId="3625" xr:uid="{00000000-0005-0000-0000-00004B290000}"/>
    <cellStyle name="Normal 8 2 2 2 2 3" xfId="3626" xr:uid="{00000000-0005-0000-0000-00004C290000}"/>
    <cellStyle name="Normal 8 2 2 2 2 4" xfId="3627" xr:uid="{00000000-0005-0000-0000-00004D290000}"/>
    <cellStyle name="Normal 8 2 2 2 3" xfId="3628" xr:uid="{00000000-0005-0000-0000-00004E290000}"/>
    <cellStyle name="Normal 8 2 2 2 4" xfId="3629" xr:uid="{00000000-0005-0000-0000-00004F290000}"/>
    <cellStyle name="Normal 8 2 2 3" xfId="3630" xr:uid="{00000000-0005-0000-0000-000050290000}"/>
    <cellStyle name="Normal 8 2 2 4" xfId="3631" xr:uid="{00000000-0005-0000-0000-000051290000}"/>
    <cellStyle name="Normal 8 2 2 5" xfId="3632" xr:uid="{00000000-0005-0000-0000-000052290000}"/>
    <cellStyle name="Normal 8 2 2 6" xfId="3633" xr:uid="{00000000-0005-0000-0000-000053290000}"/>
    <cellStyle name="Normal 8 2 2 7" xfId="3634" xr:uid="{00000000-0005-0000-0000-000054290000}"/>
    <cellStyle name="Normal 8 2 2 8" xfId="3635" xr:uid="{00000000-0005-0000-0000-000055290000}"/>
    <cellStyle name="Normal 8 2 2 9" xfId="10274" xr:uid="{00000000-0005-0000-0000-000056290000}"/>
    <cellStyle name="Normal 8 2 3" xfId="3636" xr:uid="{00000000-0005-0000-0000-000057290000}"/>
    <cellStyle name="Normal 8 2 4" xfId="3637" xr:uid="{00000000-0005-0000-0000-000058290000}"/>
    <cellStyle name="Normal 8 2 5" xfId="3638" xr:uid="{00000000-0005-0000-0000-000059290000}"/>
    <cellStyle name="Normal 8 2 6" xfId="3639" xr:uid="{00000000-0005-0000-0000-00005A290000}"/>
    <cellStyle name="Normal 8 2 7" xfId="10273" xr:uid="{00000000-0005-0000-0000-00005B290000}"/>
    <cellStyle name="Normal 8 2 8" xfId="8671" xr:uid="{00000000-0005-0000-0000-00005C290000}"/>
    <cellStyle name="Normal 8 2 9" xfId="11883" xr:uid="{00000000-0005-0000-0000-00005D290000}"/>
    <cellStyle name="Normal 8 20" xfId="3640" xr:uid="{00000000-0005-0000-0000-00005E290000}"/>
    <cellStyle name="Normal 8 21" xfId="3641" xr:uid="{00000000-0005-0000-0000-00005F290000}"/>
    <cellStyle name="Normal 8 22" xfId="3642" xr:uid="{00000000-0005-0000-0000-000060290000}"/>
    <cellStyle name="Normal 8 23" xfId="3643" xr:uid="{00000000-0005-0000-0000-000061290000}"/>
    <cellStyle name="Normal 8 24" xfId="3644" xr:uid="{00000000-0005-0000-0000-000062290000}"/>
    <cellStyle name="Normal 8 25" xfId="3645" xr:uid="{00000000-0005-0000-0000-000063290000}"/>
    <cellStyle name="Normal 8 26" xfId="3646" xr:uid="{00000000-0005-0000-0000-000064290000}"/>
    <cellStyle name="Normal 8 27" xfId="3647" xr:uid="{00000000-0005-0000-0000-000065290000}"/>
    <cellStyle name="Normal 8 28" xfId="3648" xr:uid="{00000000-0005-0000-0000-000066290000}"/>
    <cellStyle name="Normal 8 29" xfId="3649" xr:uid="{00000000-0005-0000-0000-000067290000}"/>
    <cellStyle name="Normal 8 3" xfId="3650" xr:uid="{00000000-0005-0000-0000-000068290000}"/>
    <cellStyle name="Normal 8 3 2" xfId="3651" xr:uid="{00000000-0005-0000-0000-000069290000}"/>
    <cellStyle name="Normal 8 3 3" xfId="3652" xr:uid="{00000000-0005-0000-0000-00006A290000}"/>
    <cellStyle name="Normal 8 30" xfId="3653" xr:uid="{00000000-0005-0000-0000-00006B290000}"/>
    <cellStyle name="Normal 8 31" xfId="3654" xr:uid="{00000000-0005-0000-0000-00006C290000}"/>
    <cellStyle name="Normal 8 32" xfId="3655" xr:uid="{00000000-0005-0000-0000-00006D290000}"/>
    <cellStyle name="Normal 8 33" xfId="3656" xr:uid="{00000000-0005-0000-0000-00006E290000}"/>
    <cellStyle name="Normal 8 34" xfId="3657" xr:uid="{00000000-0005-0000-0000-00006F290000}"/>
    <cellStyle name="Normal 8 35" xfId="3658" xr:uid="{00000000-0005-0000-0000-000070290000}"/>
    <cellStyle name="Normal 8 36" xfId="3659" xr:uid="{00000000-0005-0000-0000-000071290000}"/>
    <cellStyle name="Normal 8 37" xfId="3660" xr:uid="{00000000-0005-0000-0000-000072290000}"/>
    <cellStyle name="Normal 8 38" xfId="3661" xr:uid="{00000000-0005-0000-0000-000073290000}"/>
    <cellStyle name="Normal 8 39" xfId="3662" xr:uid="{00000000-0005-0000-0000-000074290000}"/>
    <cellStyle name="Normal 8 4" xfId="3663" xr:uid="{00000000-0005-0000-0000-000075290000}"/>
    <cellStyle name="Normal 8 4 2" xfId="3664" xr:uid="{00000000-0005-0000-0000-000076290000}"/>
    <cellStyle name="Normal 8 40" xfId="3665" xr:uid="{00000000-0005-0000-0000-000077290000}"/>
    <cellStyle name="Normal 8 41" xfId="3666" xr:uid="{00000000-0005-0000-0000-000078290000}"/>
    <cellStyle name="Normal 8 42" xfId="3610" xr:uid="{00000000-0005-0000-0000-000079290000}"/>
    <cellStyle name="Normal 8 42 2" xfId="10272" xr:uid="{00000000-0005-0000-0000-00007A290000}"/>
    <cellStyle name="Normal 8 42 3" xfId="11882" xr:uid="{00000000-0005-0000-0000-00007B290000}"/>
    <cellStyle name="Normal 8 43" xfId="10465" xr:uid="{00000000-0005-0000-0000-00007C290000}"/>
    <cellStyle name="Normal 8 44" xfId="8670" xr:uid="{00000000-0005-0000-0000-00007D290000}"/>
    <cellStyle name="Normal 8 45" xfId="10623" xr:uid="{00000000-0005-0000-0000-00007E290000}"/>
    <cellStyle name="Normal 8 46" xfId="13489" xr:uid="{00000000-0005-0000-0000-00007F290000}"/>
    <cellStyle name="Normal 8 5" xfId="3667" xr:uid="{00000000-0005-0000-0000-000080290000}"/>
    <cellStyle name="Normal 8 6" xfId="3668" xr:uid="{00000000-0005-0000-0000-000081290000}"/>
    <cellStyle name="Normal 8 7" xfId="3669" xr:uid="{00000000-0005-0000-0000-000082290000}"/>
    <cellStyle name="Normal 8 8" xfId="3670" xr:uid="{00000000-0005-0000-0000-000083290000}"/>
    <cellStyle name="Normal 8 9" xfId="3671" xr:uid="{00000000-0005-0000-0000-000084290000}"/>
    <cellStyle name="Normal 80" xfId="3672" xr:uid="{00000000-0005-0000-0000-000085290000}"/>
    <cellStyle name="Normal 80 2" xfId="3673" xr:uid="{00000000-0005-0000-0000-000086290000}"/>
    <cellStyle name="Normal 80 2 2" xfId="10276" xr:uid="{00000000-0005-0000-0000-000087290000}"/>
    <cellStyle name="Normal 80 2 3" xfId="8674" xr:uid="{00000000-0005-0000-0000-000088290000}"/>
    <cellStyle name="Normal 80 2 4" xfId="11886" xr:uid="{00000000-0005-0000-0000-000089290000}"/>
    <cellStyle name="Normal 80 2 5" xfId="13493" xr:uid="{00000000-0005-0000-0000-00008A290000}"/>
    <cellStyle name="Normal 80 3" xfId="3674" xr:uid="{00000000-0005-0000-0000-00008B290000}"/>
    <cellStyle name="Normal 80 3 2" xfId="10277" xr:uid="{00000000-0005-0000-0000-00008C290000}"/>
    <cellStyle name="Normal 80 3 3" xfId="8675" xr:uid="{00000000-0005-0000-0000-00008D290000}"/>
    <cellStyle name="Normal 80 3 4" xfId="11887" xr:uid="{00000000-0005-0000-0000-00008E290000}"/>
    <cellStyle name="Normal 80 3 5" xfId="13494" xr:uid="{00000000-0005-0000-0000-00008F290000}"/>
    <cellStyle name="Normal 80 4" xfId="3675" xr:uid="{00000000-0005-0000-0000-000090290000}"/>
    <cellStyle name="Normal 80 4 2" xfId="10278" xr:uid="{00000000-0005-0000-0000-000091290000}"/>
    <cellStyle name="Normal 80 4 3" xfId="8676" xr:uid="{00000000-0005-0000-0000-000092290000}"/>
    <cellStyle name="Normal 80 4 4" xfId="11888" xr:uid="{00000000-0005-0000-0000-000093290000}"/>
    <cellStyle name="Normal 80 4 5" xfId="13495" xr:uid="{00000000-0005-0000-0000-000094290000}"/>
    <cellStyle name="Normal 80 5" xfId="10275" xr:uid="{00000000-0005-0000-0000-000095290000}"/>
    <cellStyle name="Normal 80 6" xfId="8673" xr:uid="{00000000-0005-0000-0000-000096290000}"/>
    <cellStyle name="Normal 80 7" xfId="11885" xr:uid="{00000000-0005-0000-0000-000097290000}"/>
    <cellStyle name="Normal 80 8" xfId="13492" xr:uid="{00000000-0005-0000-0000-000098290000}"/>
    <cellStyle name="Normal 81" xfId="3676" xr:uid="{00000000-0005-0000-0000-000099290000}"/>
    <cellStyle name="Normal 81 2" xfId="3677" xr:uid="{00000000-0005-0000-0000-00009A290000}"/>
    <cellStyle name="Normal 81 2 2" xfId="10280" xr:uid="{00000000-0005-0000-0000-00009B290000}"/>
    <cellStyle name="Normal 81 2 3" xfId="8678" xr:uid="{00000000-0005-0000-0000-00009C290000}"/>
    <cellStyle name="Normal 81 2 4" xfId="11890" xr:uid="{00000000-0005-0000-0000-00009D290000}"/>
    <cellStyle name="Normal 81 2 5" xfId="13497" xr:uid="{00000000-0005-0000-0000-00009E290000}"/>
    <cellStyle name="Normal 81 3" xfId="3678" xr:uid="{00000000-0005-0000-0000-00009F290000}"/>
    <cellStyle name="Normal 81 3 2" xfId="10281" xr:uid="{00000000-0005-0000-0000-0000A0290000}"/>
    <cellStyle name="Normal 81 3 3" xfId="8679" xr:uid="{00000000-0005-0000-0000-0000A1290000}"/>
    <cellStyle name="Normal 81 3 4" xfId="11891" xr:uid="{00000000-0005-0000-0000-0000A2290000}"/>
    <cellStyle name="Normal 81 3 5" xfId="13498" xr:uid="{00000000-0005-0000-0000-0000A3290000}"/>
    <cellStyle name="Normal 81 4" xfId="3679" xr:uid="{00000000-0005-0000-0000-0000A4290000}"/>
    <cellStyle name="Normal 81 4 2" xfId="10282" xr:uid="{00000000-0005-0000-0000-0000A5290000}"/>
    <cellStyle name="Normal 81 4 3" xfId="8680" xr:uid="{00000000-0005-0000-0000-0000A6290000}"/>
    <cellStyle name="Normal 81 4 4" xfId="11892" xr:uid="{00000000-0005-0000-0000-0000A7290000}"/>
    <cellStyle name="Normal 81 4 5" xfId="13499" xr:uid="{00000000-0005-0000-0000-0000A8290000}"/>
    <cellStyle name="Normal 81 5" xfId="10279" xr:uid="{00000000-0005-0000-0000-0000A9290000}"/>
    <cellStyle name="Normal 81 6" xfId="8677" xr:uid="{00000000-0005-0000-0000-0000AA290000}"/>
    <cellStyle name="Normal 81 7" xfId="11889" xr:uid="{00000000-0005-0000-0000-0000AB290000}"/>
    <cellStyle name="Normal 81 8" xfId="13496" xr:uid="{00000000-0005-0000-0000-0000AC290000}"/>
    <cellStyle name="Normal 82" xfId="3680" xr:uid="{00000000-0005-0000-0000-0000AD290000}"/>
    <cellStyle name="Normal 82 2" xfId="3681" xr:uid="{00000000-0005-0000-0000-0000AE290000}"/>
    <cellStyle name="Normal 82 2 2" xfId="10284" xr:uid="{00000000-0005-0000-0000-0000AF290000}"/>
    <cellStyle name="Normal 82 2 3" xfId="8682" xr:uid="{00000000-0005-0000-0000-0000B0290000}"/>
    <cellStyle name="Normal 82 2 4" xfId="11894" xr:uid="{00000000-0005-0000-0000-0000B1290000}"/>
    <cellStyle name="Normal 82 2 5" xfId="13501" xr:uid="{00000000-0005-0000-0000-0000B2290000}"/>
    <cellStyle name="Normal 82 3" xfId="3682" xr:uid="{00000000-0005-0000-0000-0000B3290000}"/>
    <cellStyle name="Normal 82 3 2" xfId="10285" xr:uid="{00000000-0005-0000-0000-0000B4290000}"/>
    <cellStyle name="Normal 82 3 3" xfId="8683" xr:uid="{00000000-0005-0000-0000-0000B5290000}"/>
    <cellStyle name="Normal 82 3 4" xfId="11895" xr:uid="{00000000-0005-0000-0000-0000B6290000}"/>
    <cellStyle name="Normal 82 3 5" xfId="13502" xr:uid="{00000000-0005-0000-0000-0000B7290000}"/>
    <cellStyle name="Normal 82 4" xfId="3683" xr:uid="{00000000-0005-0000-0000-0000B8290000}"/>
    <cellStyle name="Normal 82 4 2" xfId="10286" xr:uid="{00000000-0005-0000-0000-0000B9290000}"/>
    <cellStyle name="Normal 82 4 3" xfId="8684" xr:uid="{00000000-0005-0000-0000-0000BA290000}"/>
    <cellStyle name="Normal 82 4 4" xfId="11896" xr:uid="{00000000-0005-0000-0000-0000BB290000}"/>
    <cellStyle name="Normal 82 4 5" xfId="13503" xr:uid="{00000000-0005-0000-0000-0000BC290000}"/>
    <cellStyle name="Normal 82 5" xfId="10283" xr:uid="{00000000-0005-0000-0000-0000BD290000}"/>
    <cellStyle name="Normal 82 6" xfId="8681" xr:uid="{00000000-0005-0000-0000-0000BE290000}"/>
    <cellStyle name="Normal 82 7" xfId="11893" xr:uid="{00000000-0005-0000-0000-0000BF290000}"/>
    <cellStyle name="Normal 82 8" xfId="13500" xr:uid="{00000000-0005-0000-0000-0000C0290000}"/>
    <cellStyle name="Normal 83" xfId="3684" xr:uid="{00000000-0005-0000-0000-0000C1290000}"/>
    <cellStyle name="Normal 83 2" xfId="3685" xr:uid="{00000000-0005-0000-0000-0000C2290000}"/>
    <cellStyle name="Normal 83 2 2" xfId="10288" xr:uid="{00000000-0005-0000-0000-0000C3290000}"/>
    <cellStyle name="Normal 83 2 3" xfId="8686" xr:uid="{00000000-0005-0000-0000-0000C4290000}"/>
    <cellStyle name="Normal 83 2 4" xfId="11898" xr:uid="{00000000-0005-0000-0000-0000C5290000}"/>
    <cellStyle name="Normal 83 2 5" xfId="13505" xr:uid="{00000000-0005-0000-0000-0000C6290000}"/>
    <cellStyle name="Normal 83 3" xfId="3686" xr:uid="{00000000-0005-0000-0000-0000C7290000}"/>
    <cellStyle name="Normal 83 3 2" xfId="10289" xr:uid="{00000000-0005-0000-0000-0000C8290000}"/>
    <cellStyle name="Normal 83 3 3" xfId="8687" xr:uid="{00000000-0005-0000-0000-0000C9290000}"/>
    <cellStyle name="Normal 83 3 4" xfId="11899" xr:uid="{00000000-0005-0000-0000-0000CA290000}"/>
    <cellStyle name="Normal 83 3 5" xfId="13506" xr:uid="{00000000-0005-0000-0000-0000CB290000}"/>
    <cellStyle name="Normal 83 4" xfId="3687" xr:uid="{00000000-0005-0000-0000-0000CC290000}"/>
    <cellStyle name="Normal 83 4 2" xfId="10290" xr:uid="{00000000-0005-0000-0000-0000CD290000}"/>
    <cellStyle name="Normal 83 4 3" xfId="8688" xr:uid="{00000000-0005-0000-0000-0000CE290000}"/>
    <cellStyle name="Normal 83 4 4" xfId="11900" xr:uid="{00000000-0005-0000-0000-0000CF290000}"/>
    <cellStyle name="Normal 83 4 5" xfId="13507" xr:uid="{00000000-0005-0000-0000-0000D0290000}"/>
    <cellStyle name="Normal 83 5" xfId="10287" xr:uid="{00000000-0005-0000-0000-0000D1290000}"/>
    <cellStyle name="Normal 83 6" xfId="8685" xr:uid="{00000000-0005-0000-0000-0000D2290000}"/>
    <cellStyle name="Normal 83 7" xfId="11897" xr:uid="{00000000-0005-0000-0000-0000D3290000}"/>
    <cellStyle name="Normal 83 8" xfId="13504" xr:uid="{00000000-0005-0000-0000-0000D4290000}"/>
    <cellStyle name="Normal 84" xfId="3688" xr:uid="{00000000-0005-0000-0000-0000D5290000}"/>
    <cellStyle name="Normal 84 2" xfId="3689" xr:uid="{00000000-0005-0000-0000-0000D6290000}"/>
    <cellStyle name="Normal 84 2 2" xfId="10292" xr:uid="{00000000-0005-0000-0000-0000D7290000}"/>
    <cellStyle name="Normal 84 2 3" xfId="8690" xr:uid="{00000000-0005-0000-0000-0000D8290000}"/>
    <cellStyle name="Normal 84 2 4" xfId="11902" xr:uid="{00000000-0005-0000-0000-0000D9290000}"/>
    <cellStyle name="Normal 84 2 5" xfId="13509" xr:uid="{00000000-0005-0000-0000-0000DA290000}"/>
    <cellStyle name="Normal 84 3" xfId="3690" xr:uid="{00000000-0005-0000-0000-0000DB290000}"/>
    <cellStyle name="Normal 84 3 2" xfId="10293" xr:uid="{00000000-0005-0000-0000-0000DC290000}"/>
    <cellStyle name="Normal 84 3 3" xfId="8691" xr:uid="{00000000-0005-0000-0000-0000DD290000}"/>
    <cellStyle name="Normal 84 3 4" xfId="11903" xr:uid="{00000000-0005-0000-0000-0000DE290000}"/>
    <cellStyle name="Normal 84 3 5" xfId="13510" xr:uid="{00000000-0005-0000-0000-0000DF290000}"/>
    <cellStyle name="Normal 84 4" xfId="3691" xr:uid="{00000000-0005-0000-0000-0000E0290000}"/>
    <cellStyle name="Normal 84 4 2" xfId="10294" xr:uid="{00000000-0005-0000-0000-0000E1290000}"/>
    <cellStyle name="Normal 84 4 3" xfId="8692" xr:uid="{00000000-0005-0000-0000-0000E2290000}"/>
    <cellStyle name="Normal 84 4 4" xfId="11904" xr:uid="{00000000-0005-0000-0000-0000E3290000}"/>
    <cellStyle name="Normal 84 4 5" xfId="13511" xr:uid="{00000000-0005-0000-0000-0000E4290000}"/>
    <cellStyle name="Normal 84 5" xfId="10291" xr:uid="{00000000-0005-0000-0000-0000E5290000}"/>
    <cellStyle name="Normal 84 6" xfId="8689" xr:uid="{00000000-0005-0000-0000-0000E6290000}"/>
    <cellStyle name="Normal 84 7" xfId="11901" xr:uid="{00000000-0005-0000-0000-0000E7290000}"/>
    <cellStyle name="Normal 84 8" xfId="13508" xr:uid="{00000000-0005-0000-0000-0000E8290000}"/>
    <cellStyle name="Normal 85" xfId="3692" xr:uid="{00000000-0005-0000-0000-0000E9290000}"/>
    <cellStyle name="Normal 85 2" xfId="3693" xr:uid="{00000000-0005-0000-0000-0000EA290000}"/>
    <cellStyle name="Normal 85 2 2" xfId="10296" xr:uid="{00000000-0005-0000-0000-0000EB290000}"/>
    <cellStyle name="Normal 85 2 3" xfId="8694" xr:uid="{00000000-0005-0000-0000-0000EC290000}"/>
    <cellStyle name="Normal 85 2 4" xfId="11906" xr:uid="{00000000-0005-0000-0000-0000ED290000}"/>
    <cellStyle name="Normal 85 2 5" xfId="13513" xr:uid="{00000000-0005-0000-0000-0000EE290000}"/>
    <cellStyle name="Normal 85 3" xfId="3694" xr:uid="{00000000-0005-0000-0000-0000EF290000}"/>
    <cellStyle name="Normal 85 3 2" xfId="10297" xr:uid="{00000000-0005-0000-0000-0000F0290000}"/>
    <cellStyle name="Normal 85 3 3" xfId="8695" xr:uid="{00000000-0005-0000-0000-0000F1290000}"/>
    <cellStyle name="Normal 85 3 4" xfId="11907" xr:uid="{00000000-0005-0000-0000-0000F2290000}"/>
    <cellStyle name="Normal 85 3 5" xfId="13514" xr:uid="{00000000-0005-0000-0000-0000F3290000}"/>
    <cellStyle name="Normal 85 4" xfId="3695" xr:uid="{00000000-0005-0000-0000-0000F4290000}"/>
    <cellStyle name="Normal 85 4 2" xfId="10298" xr:uid="{00000000-0005-0000-0000-0000F5290000}"/>
    <cellStyle name="Normal 85 4 3" xfId="8696" xr:uid="{00000000-0005-0000-0000-0000F6290000}"/>
    <cellStyle name="Normal 85 4 4" xfId="11908" xr:uid="{00000000-0005-0000-0000-0000F7290000}"/>
    <cellStyle name="Normal 85 4 5" xfId="13515" xr:uid="{00000000-0005-0000-0000-0000F8290000}"/>
    <cellStyle name="Normal 85 5" xfId="10295" xr:uid="{00000000-0005-0000-0000-0000F9290000}"/>
    <cellStyle name="Normal 85 6" xfId="8693" xr:uid="{00000000-0005-0000-0000-0000FA290000}"/>
    <cellStyle name="Normal 85 7" xfId="11905" xr:uid="{00000000-0005-0000-0000-0000FB290000}"/>
    <cellStyle name="Normal 85 8" xfId="13512" xr:uid="{00000000-0005-0000-0000-0000FC290000}"/>
    <cellStyle name="Normal 86" xfId="3696" xr:uid="{00000000-0005-0000-0000-0000FD290000}"/>
    <cellStyle name="Normal 86 2" xfId="3697" xr:uid="{00000000-0005-0000-0000-0000FE290000}"/>
    <cellStyle name="Normal 86 2 2" xfId="10300" xr:uid="{00000000-0005-0000-0000-0000FF290000}"/>
    <cellStyle name="Normal 86 2 3" xfId="8698" xr:uid="{00000000-0005-0000-0000-0000002A0000}"/>
    <cellStyle name="Normal 86 2 4" xfId="11910" xr:uid="{00000000-0005-0000-0000-0000012A0000}"/>
    <cellStyle name="Normal 86 2 5" xfId="13517" xr:uid="{00000000-0005-0000-0000-0000022A0000}"/>
    <cellStyle name="Normal 86 3" xfId="3698" xr:uid="{00000000-0005-0000-0000-0000032A0000}"/>
    <cellStyle name="Normal 86 3 2" xfId="10301" xr:uid="{00000000-0005-0000-0000-0000042A0000}"/>
    <cellStyle name="Normal 86 3 3" xfId="8699" xr:uid="{00000000-0005-0000-0000-0000052A0000}"/>
    <cellStyle name="Normal 86 3 4" xfId="11911" xr:uid="{00000000-0005-0000-0000-0000062A0000}"/>
    <cellStyle name="Normal 86 3 5" xfId="13518" xr:uid="{00000000-0005-0000-0000-0000072A0000}"/>
    <cellStyle name="Normal 86 4" xfId="3699" xr:uid="{00000000-0005-0000-0000-0000082A0000}"/>
    <cellStyle name="Normal 86 4 2" xfId="10302" xr:uid="{00000000-0005-0000-0000-0000092A0000}"/>
    <cellStyle name="Normal 86 4 3" xfId="8700" xr:uid="{00000000-0005-0000-0000-00000A2A0000}"/>
    <cellStyle name="Normal 86 4 4" xfId="11912" xr:uid="{00000000-0005-0000-0000-00000B2A0000}"/>
    <cellStyle name="Normal 86 4 5" xfId="13519" xr:uid="{00000000-0005-0000-0000-00000C2A0000}"/>
    <cellStyle name="Normal 86 5" xfId="10299" xr:uid="{00000000-0005-0000-0000-00000D2A0000}"/>
    <cellStyle name="Normal 86 6" xfId="8697" xr:uid="{00000000-0005-0000-0000-00000E2A0000}"/>
    <cellStyle name="Normal 86 7" xfId="11909" xr:uid="{00000000-0005-0000-0000-00000F2A0000}"/>
    <cellStyle name="Normal 86 8" xfId="13516" xr:uid="{00000000-0005-0000-0000-0000102A0000}"/>
    <cellStyle name="Normal 87" xfId="3700" xr:uid="{00000000-0005-0000-0000-0000112A0000}"/>
    <cellStyle name="Normal 87 2" xfId="3701" xr:uid="{00000000-0005-0000-0000-0000122A0000}"/>
    <cellStyle name="Normal 87 2 2" xfId="10304" xr:uid="{00000000-0005-0000-0000-0000132A0000}"/>
    <cellStyle name="Normal 87 2 3" xfId="8702" xr:uid="{00000000-0005-0000-0000-0000142A0000}"/>
    <cellStyle name="Normal 87 2 4" xfId="11914" xr:uid="{00000000-0005-0000-0000-0000152A0000}"/>
    <cellStyle name="Normal 87 2 5" xfId="13521" xr:uid="{00000000-0005-0000-0000-0000162A0000}"/>
    <cellStyle name="Normal 87 3" xfId="3702" xr:uid="{00000000-0005-0000-0000-0000172A0000}"/>
    <cellStyle name="Normal 87 3 2" xfId="10305" xr:uid="{00000000-0005-0000-0000-0000182A0000}"/>
    <cellStyle name="Normal 87 3 3" xfId="8703" xr:uid="{00000000-0005-0000-0000-0000192A0000}"/>
    <cellStyle name="Normal 87 3 4" xfId="11915" xr:uid="{00000000-0005-0000-0000-00001A2A0000}"/>
    <cellStyle name="Normal 87 3 5" xfId="13522" xr:uid="{00000000-0005-0000-0000-00001B2A0000}"/>
    <cellStyle name="Normal 87 4" xfId="3703" xr:uid="{00000000-0005-0000-0000-00001C2A0000}"/>
    <cellStyle name="Normal 87 4 2" xfId="10306" xr:uid="{00000000-0005-0000-0000-00001D2A0000}"/>
    <cellStyle name="Normal 87 4 3" xfId="8704" xr:uid="{00000000-0005-0000-0000-00001E2A0000}"/>
    <cellStyle name="Normal 87 4 4" xfId="11916" xr:uid="{00000000-0005-0000-0000-00001F2A0000}"/>
    <cellStyle name="Normal 87 4 5" xfId="13523" xr:uid="{00000000-0005-0000-0000-0000202A0000}"/>
    <cellStyle name="Normal 87 5" xfId="10303" xr:uid="{00000000-0005-0000-0000-0000212A0000}"/>
    <cellStyle name="Normal 87 6" xfId="8701" xr:uid="{00000000-0005-0000-0000-0000222A0000}"/>
    <cellStyle name="Normal 87 7" xfId="11913" xr:uid="{00000000-0005-0000-0000-0000232A0000}"/>
    <cellStyle name="Normal 87 8" xfId="13520" xr:uid="{00000000-0005-0000-0000-0000242A0000}"/>
    <cellStyle name="Normal 88" xfId="3704" xr:uid="{00000000-0005-0000-0000-0000252A0000}"/>
    <cellStyle name="Normal 88 2" xfId="3705" xr:uid="{00000000-0005-0000-0000-0000262A0000}"/>
    <cellStyle name="Normal 88 2 2" xfId="10308" xr:uid="{00000000-0005-0000-0000-0000272A0000}"/>
    <cellStyle name="Normal 88 2 3" xfId="8706" xr:uid="{00000000-0005-0000-0000-0000282A0000}"/>
    <cellStyle name="Normal 88 2 4" xfId="11918" xr:uid="{00000000-0005-0000-0000-0000292A0000}"/>
    <cellStyle name="Normal 88 2 5" xfId="13525" xr:uid="{00000000-0005-0000-0000-00002A2A0000}"/>
    <cellStyle name="Normal 88 3" xfId="3706" xr:uid="{00000000-0005-0000-0000-00002B2A0000}"/>
    <cellStyle name="Normal 88 3 2" xfId="10309" xr:uid="{00000000-0005-0000-0000-00002C2A0000}"/>
    <cellStyle name="Normal 88 3 3" xfId="8707" xr:uid="{00000000-0005-0000-0000-00002D2A0000}"/>
    <cellStyle name="Normal 88 3 4" xfId="11919" xr:uid="{00000000-0005-0000-0000-00002E2A0000}"/>
    <cellStyle name="Normal 88 3 5" xfId="13526" xr:uid="{00000000-0005-0000-0000-00002F2A0000}"/>
    <cellStyle name="Normal 88 4" xfId="3707" xr:uid="{00000000-0005-0000-0000-0000302A0000}"/>
    <cellStyle name="Normal 88 4 2" xfId="10310" xr:uid="{00000000-0005-0000-0000-0000312A0000}"/>
    <cellStyle name="Normal 88 4 3" xfId="8708" xr:uid="{00000000-0005-0000-0000-0000322A0000}"/>
    <cellStyle name="Normal 88 4 4" xfId="11920" xr:uid="{00000000-0005-0000-0000-0000332A0000}"/>
    <cellStyle name="Normal 88 4 5" xfId="13527" xr:uid="{00000000-0005-0000-0000-0000342A0000}"/>
    <cellStyle name="Normal 88 5" xfId="10307" xr:uid="{00000000-0005-0000-0000-0000352A0000}"/>
    <cellStyle name="Normal 88 6" xfId="8705" xr:uid="{00000000-0005-0000-0000-0000362A0000}"/>
    <cellStyle name="Normal 88 7" xfId="11917" xr:uid="{00000000-0005-0000-0000-0000372A0000}"/>
    <cellStyle name="Normal 88 8" xfId="13524" xr:uid="{00000000-0005-0000-0000-0000382A0000}"/>
    <cellStyle name="Normal 89" xfId="3708" xr:uid="{00000000-0005-0000-0000-0000392A0000}"/>
    <cellStyle name="Normal 89 2" xfId="3709" xr:uid="{00000000-0005-0000-0000-00003A2A0000}"/>
    <cellStyle name="Normal 89 2 2" xfId="10312" xr:uid="{00000000-0005-0000-0000-00003B2A0000}"/>
    <cellStyle name="Normal 89 2 3" xfId="8710" xr:uid="{00000000-0005-0000-0000-00003C2A0000}"/>
    <cellStyle name="Normal 89 2 4" xfId="11922" xr:uid="{00000000-0005-0000-0000-00003D2A0000}"/>
    <cellStyle name="Normal 89 2 5" xfId="13529" xr:uid="{00000000-0005-0000-0000-00003E2A0000}"/>
    <cellStyle name="Normal 89 3" xfId="3710" xr:uid="{00000000-0005-0000-0000-00003F2A0000}"/>
    <cellStyle name="Normal 89 3 2" xfId="10313" xr:uid="{00000000-0005-0000-0000-0000402A0000}"/>
    <cellStyle name="Normal 89 3 3" xfId="8711" xr:uid="{00000000-0005-0000-0000-0000412A0000}"/>
    <cellStyle name="Normal 89 3 4" xfId="11923" xr:uid="{00000000-0005-0000-0000-0000422A0000}"/>
    <cellStyle name="Normal 89 3 5" xfId="13530" xr:uid="{00000000-0005-0000-0000-0000432A0000}"/>
    <cellStyle name="Normal 89 4" xfId="3711" xr:uid="{00000000-0005-0000-0000-0000442A0000}"/>
    <cellStyle name="Normal 89 4 2" xfId="10314" xr:uid="{00000000-0005-0000-0000-0000452A0000}"/>
    <cellStyle name="Normal 89 4 3" xfId="8712" xr:uid="{00000000-0005-0000-0000-0000462A0000}"/>
    <cellStyle name="Normal 89 4 4" xfId="11924" xr:uid="{00000000-0005-0000-0000-0000472A0000}"/>
    <cellStyle name="Normal 89 4 5" xfId="13531" xr:uid="{00000000-0005-0000-0000-0000482A0000}"/>
    <cellStyle name="Normal 89 5" xfId="10311" xr:uid="{00000000-0005-0000-0000-0000492A0000}"/>
    <cellStyle name="Normal 89 6" xfId="8709" xr:uid="{00000000-0005-0000-0000-00004A2A0000}"/>
    <cellStyle name="Normal 89 7" xfId="11921" xr:uid="{00000000-0005-0000-0000-00004B2A0000}"/>
    <cellStyle name="Normal 89 8" xfId="13528" xr:uid="{00000000-0005-0000-0000-00004C2A0000}"/>
    <cellStyle name="Normal 9" xfId="119" xr:uid="{00000000-0005-0000-0000-00004D2A0000}"/>
    <cellStyle name="Normal 9 10" xfId="3713" xr:uid="{00000000-0005-0000-0000-00004E2A0000}"/>
    <cellStyle name="Normal 9 11" xfId="3714" xr:uid="{00000000-0005-0000-0000-00004F2A0000}"/>
    <cellStyle name="Normal 9 12" xfId="3715" xr:uid="{00000000-0005-0000-0000-0000502A0000}"/>
    <cellStyle name="Normal 9 13" xfId="3716" xr:uid="{00000000-0005-0000-0000-0000512A0000}"/>
    <cellStyle name="Normal 9 14" xfId="3717" xr:uid="{00000000-0005-0000-0000-0000522A0000}"/>
    <cellStyle name="Normal 9 15" xfId="3718" xr:uid="{00000000-0005-0000-0000-0000532A0000}"/>
    <cellStyle name="Normal 9 16" xfId="3719" xr:uid="{00000000-0005-0000-0000-0000542A0000}"/>
    <cellStyle name="Normal 9 17" xfId="3720" xr:uid="{00000000-0005-0000-0000-0000552A0000}"/>
    <cellStyle name="Normal 9 18" xfId="3721" xr:uid="{00000000-0005-0000-0000-0000562A0000}"/>
    <cellStyle name="Normal 9 19" xfId="3722" xr:uid="{00000000-0005-0000-0000-0000572A0000}"/>
    <cellStyle name="Normal 9 2" xfId="3723" xr:uid="{00000000-0005-0000-0000-0000582A0000}"/>
    <cellStyle name="Normal 9 2 10" xfId="3724" xr:uid="{00000000-0005-0000-0000-0000592A0000}"/>
    <cellStyle name="Normal 9 2 11" xfId="3725" xr:uid="{00000000-0005-0000-0000-00005A2A0000}"/>
    <cellStyle name="Normal 9 2 12" xfId="3726" xr:uid="{00000000-0005-0000-0000-00005B2A0000}"/>
    <cellStyle name="Normal 9 2 13" xfId="3727" xr:uid="{00000000-0005-0000-0000-00005C2A0000}"/>
    <cellStyle name="Normal 9 2 14" xfId="3728" xr:uid="{00000000-0005-0000-0000-00005D2A0000}"/>
    <cellStyle name="Normal 9 2 15" xfId="3729" xr:uid="{00000000-0005-0000-0000-00005E2A0000}"/>
    <cellStyle name="Normal 9 2 16" xfId="3730" xr:uid="{00000000-0005-0000-0000-00005F2A0000}"/>
    <cellStyle name="Normal 9 2 17" xfId="3731" xr:uid="{00000000-0005-0000-0000-0000602A0000}"/>
    <cellStyle name="Normal 9 2 18" xfId="3732" xr:uid="{00000000-0005-0000-0000-0000612A0000}"/>
    <cellStyle name="Normal 9 2 19" xfId="3733" xr:uid="{00000000-0005-0000-0000-0000622A0000}"/>
    <cellStyle name="Normal 9 2 2" xfId="3734" xr:uid="{00000000-0005-0000-0000-0000632A0000}"/>
    <cellStyle name="Normal 9 2 2 2" xfId="3735" xr:uid="{00000000-0005-0000-0000-0000642A0000}"/>
    <cellStyle name="Normal 9 2 2 3" xfId="10316" xr:uid="{00000000-0005-0000-0000-0000652A0000}"/>
    <cellStyle name="Normal 9 2 2 4" xfId="8714" xr:uid="{00000000-0005-0000-0000-0000662A0000}"/>
    <cellStyle name="Normal 9 2 2 5" xfId="11926" xr:uid="{00000000-0005-0000-0000-0000672A0000}"/>
    <cellStyle name="Normal 9 2 2 6" xfId="13533" xr:uid="{00000000-0005-0000-0000-0000682A0000}"/>
    <cellStyle name="Normal 9 2 20" xfId="3736" xr:uid="{00000000-0005-0000-0000-0000692A0000}"/>
    <cellStyle name="Normal 9 2 21" xfId="3737" xr:uid="{00000000-0005-0000-0000-00006A2A0000}"/>
    <cellStyle name="Normal 9 2 22" xfId="3738" xr:uid="{00000000-0005-0000-0000-00006B2A0000}"/>
    <cellStyle name="Normal 9 2 23" xfId="3739" xr:uid="{00000000-0005-0000-0000-00006C2A0000}"/>
    <cellStyle name="Normal 9 2 24" xfId="3740" xr:uid="{00000000-0005-0000-0000-00006D2A0000}"/>
    <cellStyle name="Normal 9 2 25" xfId="3741" xr:uid="{00000000-0005-0000-0000-00006E2A0000}"/>
    <cellStyle name="Normal 9 2 26" xfId="3742" xr:uid="{00000000-0005-0000-0000-00006F2A0000}"/>
    <cellStyle name="Normal 9 2 27" xfId="3743" xr:uid="{00000000-0005-0000-0000-0000702A0000}"/>
    <cellStyle name="Normal 9 2 28" xfId="3744" xr:uid="{00000000-0005-0000-0000-0000712A0000}"/>
    <cellStyle name="Normal 9 2 29" xfId="3745" xr:uid="{00000000-0005-0000-0000-0000722A0000}"/>
    <cellStyle name="Normal 9 2 3" xfId="3746" xr:uid="{00000000-0005-0000-0000-0000732A0000}"/>
    <cellStyle name="Normal 9 2 30" xfId="3747" xr:uid="{00000000-0005-0000-0000-0000742A0000}"/>
    <cellStyle name="Normal 9 2 31" xfId="3748" xr:uid="{00000000-0005-0000-0000-0000752A0000}"/>
    <cellStyle name="Normal 9 2 32" xfId="3749" xr:uid="{00000000-0005-0000-0000-0000762A0000}"/>
    <cellStyle name="Normal 9 2 33" xfId="3750" xr:uid="{00000000-0005-0000-0000-0000772A0000}"/>
    <cellStyle name="Normal 9 2 34" xfId="3751" xr:uid="{00000000-0005-0000-0000-0000782A0000}"/>
    <cellStyle name="Normal 9 2 35" xfId="3752" xr:uid="{00000000-0005-0000-0000-0000792A0000}"/>
    <cellStyle name="Normal 9 2 36" xfId="3753" xr:uid="{00000000-0005-0000-0000-00007A2A0000}"/>
    <cellStyle name="Normal 9 2 37" xfId="3754" xr:uid="{00000000-0005-0000-0000-00007B2A0000}"/>
    <cellStyle name="Normal 9 2 38" xfId="3755" xr:uid="{00000000-0005-0000-0000-00007C2A0000}"/>
    <cellStyle name="Normal 9 2 39" xfId="3756" xr:uid="{00000000-0005-0000-0000-00007D2A0000}"/>
    <cellStyle name="Normal 9 2 4" xfId="3757" xr:uid="{00000000-0005-0000-0000-00007E2A0000}"/>
    <cellStyle name="Normal 9 2 40" xfId="3758" xr:uid="{00000000-0005-0000-0000-00007F2A0000}"/>
    <cellStyle name="Normal 9 2 41" xfId="3759" xr:uid="{00000000-0005-0000-0000-0000802A0000}"/>
    <cellStyle name="Normal 9 2 42" xfId="3760" xr:uid="{00000000-0005-0000-0000-0000812A0000}"/>
    <cellStyle name="Normal 9 2 43" xfId="6935" xr:uid="{00000000-0005-0000-0000-0000822A0000}"/>
    <cellStyle name="Normal 9 2 43 2" xfId="10315" xr:uid="{00000000-0005-0000-0000-0000832A0000}"/>
    <cellStyle name="Normal 9 2 44" xfId="8713" xr:uid="{00000000-0005-0000-0000-0000842A0000}"/>
    <cellStyle name="Normal 9 2 45" xfId="11925" xr:uid="{00000000-0005-0000-0000-0000852A0000}"/>
    <cellStyle name="Normal 9 2 46" xfId="13532" xr:uid="{00000000-0005-0000-0000-0000862A0000}"/>
    <cellStyle name="Normal 9 2 5" xfId="3761" xr:uid="{00000000-0005-0000-0000-0000872A0000}"/>
    <cellStyle name="Normal 9 2 6" xfId="3762" xr:uid="{00000000-0005-0000-0000-0000882A0000}"/>
    <cellStyle name="Normal 9 2 7" xfId="3763" xr:uid="{00000000-0005-0000-0000-0000892A0000}"/>
    <cellStyle name="Normal 9 2 8" xfId="3764" xr:uid="{00000000-0005-0000-0000-00008A2A0000}"/>
    <cellStyle name="Normal 9 2 9" xfId="3765" xr:uid="{00000000-0005-0000-0000-00008B2A0000}"/>
    <cellStyle name="Normal 9 20" xfId="3766" xr:uid="{00000000-0005-0000-0000-00008C2A0000}"/>
    <cellStyle name="Normal 9 21" xfId="3767" xr:uid="{00000000-0005-0000-0000-00008D2A0000}"/>
    <cellStyle name="Normal 9 22" xfId="3768" xr:uid="{00000000-0005-0000-0000-00008E2A0000}"/>
    <cellStyle name="Normal 9 23" xfId="3769" xr:uid="{00000000-0005-0000-0000-00008F2A0000}"/>
    <cellStyle name="Normal 9 24" xfId="3770" xr:uid="{00000000-0005-0000-0000-0000902A0000}"/>
    <cellStyle name="Normal 9 25" xfId="3771" xr:uid="{00000000-0005-0000-0000-0000912A0000}"/>
    <cellStyle name="Normal 9 26" xfId="3772" xr:uid="{00000000-0005-0000-0000-0000922A0000}"/>
    <cellStyle name="Normal 9 27" xfId="3773" xr:uid="{00000000-0005-0000-0000-0000932A0000}"/>
    <cellStyle name="Normal 9 28" xfId="3774" xr:uid="{00000000-0005-0000-0000-0000942A0000}"/>
    <cellStyle name="Normal 9 29" xfId="3775" xr:uid="{00000000-0005-0000-0000-0000952A0000}"/>
    <cellStyle name="Normal 9 3" xfId="3776" xr:uid="{00000000-0005-0000-0000-0000962A0000}"/>
    <cellStyle name="Normal 9 3 2" xfId="3777" xr:uid="{00000000-0005-0000-0000-0000972A0000}"/>
    <cellStyle name="Normal 9 3 3" xfId="6936" xr:uid="{00000000-0005-0000-0000-0000982A0000}"/>
    <cellStyle name="Normal 9 30" xfId="3778" xr:uid="{00000000-0005-0000-0000-0000992A0000}"/>
    <cellStyle name="Normal 9 31" xfId="3779" xr:uid="{00000000-0005-0000-0000-00009A2A0000}"/>
    <cellStyle name="Normal 9 32" xfId="3780" xr:uid="{00000000-0005-0000-0000-00009B2A0000}"/>
    <cellStyle name="Normal 9 33" xfId="3781" xr:uid="{00000000-0005-0000-0000-00009C2A0000}"/>
    <cellStyle name="Normal 9 34" xfId="3782" xr:uid="{00000000-0005-0000-0000-00009D2A0000}"/>
    <cellStyle name="Normal 9 35" xfId="3783" xr:uid="{00000000-0005-0000-0000-00009E2A0000}"/>
    <cellStyle name="Normal 9 36" xfId="3784" xr:uid="{00000000-0005-0000-0000-00009F2A0000}"/>
    <cellStyle name="Normal 9 37" xfId="3785" xr:uid="{00000000-0005-0000-0000-0000A02A0000}"/>
    <cellStyle name="Normal 9 38" xfId="3786" xr:uid="{00000000-0005-0000-0000-0000A12A0000}"/>
    <cellStyle name="Normal 9 39" xfId="3787" xr:uid="{00000000-0005-0000-0000-0000A22A0000}"/>
    <cellStyle name="Normal 9 4" xfId="3788" xr:uid="{00000000-0005-0000-0000-0000A32A0000}"/>
    <cellStyle name="Normal 9 4 2" xfId="3789" xr:uid="{00000000-0005-0000-0000-0000A42A0000}"/>
    <cellStyle name="Normal 9 4 3" xfId="6937" xr:uid="{00000000-0005-0000-0000-0000A52A0000}"/>
    <cellStyle name="Normal 9 40" xfId="3790" xr:uid="{00000000-0005-0000-0000-0000A62A0000}"/>
    <cellStyle name="Normal 9 41" xfId="3791" xr:uid="{00000000-0005-0000-0000-0000A72A0000}"/>
    <cellStyle name="Normal 9 42" xfId="3712" xr:uid="{00000000-0005-0000-0000-0000A82A0000}"/>
    <cellStyle name="Normal 9 42 2" xfId="10468" xr:uid="{00000000-0005-0000-0000-0000A92A0000}"/>
    <cellStyle name="Normal 9 43" xfId="6934" xr:uid="{00000000-0005-0000-0000-0000AA2A0000}"/>
    <cellStyle name="Normal 9 5" xfId="3792" xr:uid="{00000000-0005-0000-0000-0000AB2A0000}"/>
    <cellStyle name="Normal 9 5 2" xfId="6938" xr:uid="{00000000-0005-0000-0000-0000AC2A0000}"/>
    <cellStyle name="Normal 9 6" xfId="3793" xr:uid="{00000000-0005-0000-0000-0000AD2A0000}"/>
    <cellStyle name="Normal 9 6 2" xfId="6939" xr:uid="{00000000-0005-0000-0000-0000AE2A0000}"/>
    <cellStyle name="Normal 9 7" xfId="3794" xr:uid="{00000000-0005-0000-0000-0000AF2A0000}"/>
    <cellStyle name="Normal 9 8" xfId="3795" xr:uid="{00000000-0005-0000-0000-0000B02A0000}"/>
    <cellStyle name="Normal 9 9" xfId="3796" xr:uid="{00000000-0005-0000-0000-0000B12A0000}"/>
    <cellStyle name="Normal 90" xfId="3797" xr:uid="{00000000-0005-0000-0000-0000B22A0000}"/>
    <cellStyle name="Normal 90 2" xfId="3798" xr:uid="{00000000-0005-0000-0000-0000B32A0000}"/>
    <cellStyle name="Normal 90 2 2" xfId="10318" xr:uid="{00000000-0005-0000-0000-0000B42A0000}"/>
    <cellStyle name="Normal 90 2 3" xfId="8716" xr:uid="{00000000-0005-0000-0000-0000B52A0000}"/>
    <cellStyle name="Normal 90 2 4" xfId="11928" xr:uid="{00000000-0005-0000-0000-0000B62A0000}"/>
    <cellStyle name="Normal 90 2 5" xfId="13535" xr:uid="{00000000-0005-0000-0000-0000B72A0000}"/>
    <cellStyle name="Normal 90 3" xfId="3799" xr:uid="{00000000-0005-0000-0000-0000B82A0000}"/>
    <cellStyle name="Normal 90 3 2" xfId="10319" xr:uid="{00000000-0005-0000-0000-0000B92A0000}"/>
    <cellStyle name="Normal 90 3 3" xfId="8717" xr:uid="{00000000-0005-0000-0000-0000BA2A0000}"/>
    <cellStyle name="Normal 90 3 4" xfId="11929" xr:uid="{00000000-0005-0000-0000-0000BB2A0000}"/>
    <cellStyle name="Normal 90 3 5" xfId="13536" xr:uid="{00000000-0005-0000-0000-0000BC2A0000}"/>
    <cellStyle name="Normal 90 4" xfId="3800" xr:uid="{00000000-0005-0000-0000-0000BD2A0000}"/>
    <cellStyle name="Normal 90 4 2" xfId="10320" xr:uid="{00000000-0005-0000-0000-0000BE2A0000}"/>
    <cellStyle name="Normal 90 4 3" xfId="8718" xr:uid="{00000000-0005-0000-0000-0000BF2A0000}"/>
    <cellStyle name="Normal 90 4 4" xfId="11930" xr:uid="{00000000-0005-0000-0000-0000C02A0000}"/>
    <cellStyle name="Normal 90 4 5" xfId="13537" xr:uid="{00000000-0005-0000-0000-0000C12A0000}"/>
    <cellStyle name="Normal 90 5" xfId="10317" xr:uid="{00000000-0005-0000-0000-0000C22A0000}"/>
    <cellStyle name="Normal 90 6" xfId="8715" xr:uid="{00000000-0005-0000-0000-0000C32A0000}"/>
    <cellStyle name="Normal 90 7" xfId="11927" xr:uid="{00000000-0005-0000-0000-0000C42A0000}"/>
    <cellStyle name="Normal 90 8" xfId="13534" xr:uid="{00000000-0005-0000-0000-0000C52A0000}"/>
    <cellStyle name="Normal 91" xfId="3801" xr:uid="{00000000-0005-0000-0000-0000C62A0000}"/>
    <cellStyle name="Normal 91 2" xfId="3802" xr:uid="{00000000-0005-0000-0000-0000C72A0000}"/>
    <cellStyle name="Normal 91 2 2" xfId="10322" xr:uid="{00000000-0005-0000-0000-0000C82A0000}"/>
    <cellStyle name="Normal 91 2 3" xfId="8720" xr:uid="{00000000-0005-0000-0000-0000C92A0000}"/>
    <cellStyle name="Normal 91 2 4" xfId="11932" xr:uid="{00000000-0005-0000-0000-0000CA2A0000}"/>
    <cellStyle name="Normal 91 2 5" xfId="13539" xr:uid="{00000000-0005-0000-0000-0000CB2A0000}"/>
    <cellStyle name="Normal 91 3" xfId="3803" xr:uid="{00000000-0005-0000-0000-0000CC2A0000}"/>
    <cellStyle name="Normal 91 3 2" xfId="10323" xr:uid="{00000000-0005-0000-0000-0000CD2A0000}"/>
    <cellStyle name="Normal 91 3 3" xfId="8721" xr:uid="{00000000-0005-0000-0000-0000CE2A0000}"/>
    <cellStyle name="Normal 91 3 4" xfId="11933" xr:uid="{00000000-0005-0000-0000-0000CF2A0000}"/>
    <cellStyle name="Normal 91 3 5" xfId="13540" xr:uid="{00000000-0005-0000-0000-0000D02A0000}"/>
    <cellStyle name="Normal 91 4" xfId="3804" xr:uid="{00000000-0005-0000-0000-0000D12A0000}"/>
    <cellStyle name="Normal 91 4 2" xfId="10324" xr:uid="{00000000-0005-0000-0000-0000D22A0000}"/>
    <cellStyle name="Normal 91 4 3" xfId="8722" xr:uid="{00000000-0005-0000-0000-0000D32A0000}"/>
    <cellStyle name="Normal 91 4 4" xfId="11934" xr:uid="{00000000-0005-0000-0000-0000D42A0000}"/>
    <cellStyle name="Normal 91 4 5" xfId="13541" xr:uid="{00000000-0005-0000-0000-0000D52A0000}"/>
    <cellStyle name="Normal 91 5" xfId="10321" xr:uid="{00000000-0005-0000-0000-0000D62A0000}"/>
    <cellStyle name="Normal 91 6" xfId="8719" xr:uid="{00000000-0005-0000-0000-0000D72A0000}"/>
    <cellStyle name="Normal 91 7" xfId="11931" xr:uid="{00000000-0005-0000-0000-0000D82A0000}"/>
    <cellStyle name="Normal 91 8" xfId="13538" xr:uid="{00000000-0005-0000-0000-0000D92A0000}"/>
    <cellStyle name="Normal 92" xfId="3805" xr:uid="{00000000-0005-0000-0000-0000DA2A0000}"/>
    <cellStyle name="Normal 92 2" xfId="3806" xr:uid="{00000000-0005-0000-0000-0000DB2A0000}"/>
    <cellStyle name="Normal 92 2 2" xfId="10326" xr:uid="{00000000-0005-0000-0000-0000DC2A0000}"/>
    <cellStyle name="Normal 92 2 3" xfId="8724" xr:uid="{00000000-0005-0000-0000-0000DD2A0000}"/>
    <cellStyle name="Normal 92 2 4" xfId="11936" xr:uid="{00000000-0005-0000-0000-0000DE2A0000}"/>
    <cellStyle name="Normal 92 2 5" xfId="13543" xr:uid="{00000000-0005-0000-0000-0000DF2A0000}"/>
    <cellStyle name="Normal 92 3" xfId="3807" xr:uid="{00000000-0005-0000-0000-0000E02A0000}"/>
    <cellStyle name="Normal 92 3 2" xfId="10327" xr:uid="{00000000-0005-0000-0000-0000E12A0000}"/>
    <cellStyle name="Normal 92 3 3" xfId="8725" xr:uid="{00000000-0005-0000-0000-0000E22A0000}"/>
    <cellStyle name="Normal 92 3 4" xfId="11937" xr:uid="{00000000-0005-0000-0000-0000E32A0000}"/>
    <cellStyle name="Normal 92 3 5" xfId="13544" xr:uid="{00000000-0005-0000-0000-0000E42A0000}"/>
    <cellStyle name="Normal 92 4" xfId="3808" xr:uid="{00000000-0005-0000-0000-0000E52A0000}"/>
    <cellStyle name="Normal 92 4 2" xfId="10328" xr:uid="{00000000-0005-0000-0000-0000E62A0000}"/>
    <cellStyle name="Normal 92 4 3" xfId="8726" xr:uid="{00000000-0005-0000-0000-0000E72A0000}"/>
    <cellStyle name="Normal 92 4 4" xfId="11938" xr:uid="{00000000-0005-0000-0000-0000E82A0000}"/>
    <cellStyle name="Normal 92 4 5" xfId="13545" xr:uid="{00000000-0005-0000-0000-0000E92A0000}"/>
    <cellStyle name="Normal 92 5" xfId="10325" xr:uid="{00000000-0005-0000-0000-0000EA2A0000}"/>
    <cellStyle name="Normal 92 6" xfId="8723" xr:uid="{00000000-0005-0000-0000-0000EB2A0000}"/>
    <cellStyle name="Normal 92 7" xfId="11935" xr:uid="{00000000-0005-0000-0000-0000EC2A0000}"/>
    <cellStyle name="Normal 92 8" xfId="13542" xr:uid="{00000000-0005-0000-0000-0000ED2A0000}"/>
    <cellStyle name="Normal 93" xfId="3809" xr:uid="{00000000-0005-0000-0000-0000EE2A0000}"/>
    <cellStyle name="Normal 93 2" xfId="3810" xr:uid="{00000000-0005-0000-0000-0000EF2A0000}"/>
    <cellStyle name="Normal 93 2 2" xfId="10330" xr:uid="{00000000-0005-0000-0000-0000F02A0000}"/>
    <cellStyle name="Normal 93 2 3" xfId="8728" xr:uid="{00000000-0005-0000-0000-0000F12A0000}"/>
    <cellStyle name="Normal 93 2 4" xfId="11940" xr:uid="{00000000-0005-0000-0000-0000F22A0000}"/>
    <cellStyle name="Normal 93 2 5" xfId="13547" xr:uid="{00000000-0005-0000-0000-0000F32A0000}"/>
    <cellStyle name="Normal 93 3" xfId="3811" xr:uid="{00000000-0005-0000-0000-0000F42A0000}"/>
    <cellStyle name="Normal 93 3 2" xfId="10331" xr:uid="{00000000-0005-0000-0000-0000F52A0000}"/>
    <cellStyle name="Normal 93 3 3" xfId="8729" xr:uid="{00000000-0005-0000-0000-0000F62A0000}"/>
    <cellStyle name="Normal 93 3 4" xfId="11941" xr:uid="{00000000-0005-0000-0000-0000F72A0000}"/>
    <cellStyle name="Normal 93 3 5" xfId="13548" xr:uid="{00000000-0005-0000-0000-0000F82A0000}"/>
    <cellStyle name="Normal 93 4" xfId="3812" xr:uid="{00000000-0005-0000-0000-0000F92A0000}"/>
    <cellStyle name="Normal 93 4 2" xfId="10332" xr:uid="{00000000-0005-0000-0000-0000FA2A0000}"/>
    <cellStyle name="Normal 93 4 3" xfId="8730" xr:uid="{00000000-0005-0000-0000-0000FB2A0000}"/>
    <cellStyle name="Normal 93 4 4" xfId="11942" xr:uid="{00000000-0005-0000-0000-0000FC2A0000}"/>
    <cellStyle name="Normal 93 4 5" xfId="13549" xr:uid="{00000000-0005-0000-0000-0000FD2A0000}"/>
    <cellStyle name="Normal 93 5" xfId="10329" xr:uid="{00000000-0005-0000-0000-0000FE2A0000}"/>
    <cellStyle name="Normal 93 6" xfId="8727" xr:uid="{00000000-0005-0000-0000-0000FF2A0000}"/>
    <cellStyle name="Normal 93 7" xfId="11939" xr:uid="{00000000-0005-0000-0000-0000002B0000}"/>
    <cellStyle name="Normal 93 8" xfId="13546" xr:uid="{00000000-0005-0000-0000-0000012B0000}"/>
    <cellStyle name="Normal 94" xfId="3813" xr:uid="{00000000-0005-0000-0000-0000022B0000}"/>
    <cellStyle name="Normal 95" xfId="3814" xr:uid="{00000000-0005-0000-0000-0000032B0000}"/>
    <cellStyle name="Normal 95 2" xfId="3815" xr:uid="{00000000-0005-0000-0000-0000042B0000}"/>
    <cellStyle name="Normal 95 2 2" xfId="3816" xr:uid="{00000000-0005-0000-0000-0000052B0000}"/>
    <cellStyle name="Normal 95 2 2 2" xfId="3817" xr:uid="{00000000-0005-0000-0000-0000062B0000}"/>
    <cellStyle name="Normal 95 2 2 3" xfId="3818" xr:uid="{00000000-0005-0000-0000-0000072B0000}"/>
    <cellStyle name="Normal 95 2 2 4" xfId="3819" xr:uid="{00000000-0005-0000-0000-0000082B0000}"/>
    <cellStyle name="Normal 95 2 3" xfId="3820" xr:uid="{00000000-0005-0000-0000-0000092B0000}"/>
    <cellStyle name="Normal 95 2 4" xfId="3821" xr:uid="{00000000-0005-0000-0000-00000A2B0000}"/>
    <cellStyle name="Normal 95 3" xfId="3822" xr:uid="{00000000-0005-0000-0000-00000B2B0000}"/>
    <cellStyle name="Normal 95 4" xfId="3823" xr:uid="{00000000-0005-0000-0000-00000C2B0000}"/>
    <cellStyle name="Normal 95 5" xfId="3824" xr:uid="{00000000-0005-0000-0000-00000D2B0000}"/>
    <cellStyle name="Normal 95 6" xfId="3825" xr:uid="{00000000-0005-0000-0000-00000E2B0000}"/>
    <cellStyle name="Normal 95 7" xfId="3826" xr:uid="{00000000-0005-0000-0000-00000F2B0000}"/>
    <cellStyle name="Normal 96" xfId="3827" xr:uid="{00000000-0005-0000-0000-0000102B0000}"/>
    <cellStyle name="Normal 96 2" xfId="3828" xr:uid="{00000000-0005-0000-0000-0000112B0000}"/>
    <cellStyle name="Normal 96 2 2" xfId="10334" xr:uid="{00000000-0005-0000-0000-0000122B0000}"/>
    <cellStyle name="Normal 96 2 3" xfId="8732" xr:uid="{00000000-0005-0000-0000-0000132B0000}"/>
    <cellStyle name="Normal 96 2 4" xfId="11944" xr:uid="{00000000-0005-0000-0000-0000142B0000}"/>
    <cellStyle name="Normal 96 2 5" xfId="13551" xr:uid="{00000000-0005-0000-0000-0000152B0000}"/>
    <cellStyle name="Normal 96 3" xfId="3829" xr:uid="{00000000-0005-0000-0000-0000162B0000}"/>
    <cellStyle name="Normal 96 3 2" xfId="10335" xr:uid="{00000000-0005-0000-0000-0000172B0000}"/>
    <cellStyle name="Normal 96 3 3" xfId="8733" xr:uid="{00000000-0005-0000-0000-0000182B0000}"/>
    <cellStyle name="Normal 96 3 4" xfId="11945" xr:uid="{00000000-0005-0000-0000-0000192B0000}"/>
    <cellStyle name="Normal 96 3 5" xfId="13552" xr:uid="{00000000-0005-0000-0000-00001A2B0000}"/>
    <cellStyle name="Normal 96 4" xfId="3830" xr:uid="{00000000-0005-0000-0000-00001B2B0000}"/>
    <cellStyle name="Normal 96 4 2" xfId="10336" xr:uid="{00000000-0005-0000-0000-00001C2B0000}"/>
    <cellStyle name="Normal 96 4 3" xfId="8734" xr:uid="{00000000-0005-0000-0000-00001D2B0000}"/>
    <cellStyle name="Normal 96 4 4" xfId="11946" xr:uid="{00000000-0005-0000-0000-00001E2B0000}"/>
    <cellStyle name="Normal 96 4 5" xfId="13553" xr:uid="{00000000-0005-0000-0000-00001F2B0000}"/>
    <cellStyle name="Normal 96 5" xfId="10333" xr:uid="{00000000-0005-0000-0000-0000202B0000}"/>
    <cellStyle name="Normal 96 6" xfId="8731" xr:uid="{00000000-0005-0000-0000-0000212B0000}"/>
    <cellStyle name="Normal 96 7" xfId="11943" xr:uid="{00000000-0005-0000-0000-0000222B0000}"/>
    <cellStyle name="Normal 96 8" xfId="13550" xr:uid="{00000000-0005-0000-0000-0000232B0000}"/>
    <cellStyle name="Normal 97" xfId="3831" xr:uid="{00000000-0005-0000-0000-0000242B0000}"/>
    <cellStyle name="Normal 97 2" xfId="3832" xr:uid="{00000000-0005-0000-0000-0000252B0000}"/>
    <cellStyle name="Normal 97 2 2" xfId="10338" xr:uid="{00000000-0005-0000-0000-0000262B0000}"/>
    <cellStyle name="Normal 97 2 3" xfId="8736" xr:uid="{00000000-0005-0000-0000-0000272B0000}"/>
    <cellStyle name="Normal 97 2 4" xfId="11948" xr:uid="{00000000-0005-0000-0000-0000282B0000}"/>
    <cellStyle name="Normal 97 2 5" xfId="13555" xr:uid="{00000000-0005-0000-0000-0000292B0000}"/>
    <cellStyle name="Normal 97 3" xfId="3833" xr:uid="{00000000-0005-0000-0000-00002A2B0000}"/>
    <cellStyle name="Normal 97 3 2" xfId="10339" xr:uid="{00000000-0005-0000-0000-00002B2B0000}"/>
    <cellStyle name="Normal 97 3 3" xfId="8737" xr:uid="{00000000-0005-0000-0000-00002C2B0000}"/>
    <cellStyle name="Normal 97 3 4" xfId="11949" xr:uid="{00000000-0005-0000-0000-00002D2B0000}"/>
    <cellStyle name="Normal 97 3 5" xfId="13556" xr:uid="{00000000-0005-0000-0000-00002E2B0000}"/>
    <cellStyle name="Normal 97 4" xfId="3834" xr:uid="{00000000-0005-0000-0000-00002F2B0000}"/>
    <cellStyle name="Normal 97 4 2" xfId="10340" xr:uid="{00000000-0005-0000-0000-0000302B0000}"/>
    <cellStyle name="Normal 97 4 3" xfId="8738" xr:uid="{00000000-0005-0000-0000-0000312B0000}"/>
    <cellStyle name="Normal 97 4 4" xfId="11950" xr:uid="{00000000-0005-0000-0000-0000322B0000}"/>
    <cellStyle name="Normal 97 4 5" xfId="13557" xr:uid="{00000000-0005-0000-0000-0000332B0000}"/>
    <cellStyle name="Normal 97 5" xfId="10337" xr:uid="{00000000-0005-0000-0000-0000342B0000}"/>
    <cellStyle name="Normal 97 6" xfId="8735" xr:uid="{00000000-0005-0000-0000-0000352B0000}"/>
    <cellStyle name="Normal 97 7" xfId="11947" xr:uid="{00000000-0005-0000-0000-0000362B0000}"/>
    <cellStyle name="Normal 97 8" xfId="13554" xr:uid="{00000000-0005-0000-0000-0000372B0000}"/>
    <cellStyle name="Normal 98" xfId="3835" xr:uid="{00000000-0005-0000-0000-0000382B0000}"/>
    <cellStyle name="Normal 98 2" xfId="3836" xr:uid="{00000000-0005-0000-0000-0000392B0000}"/>
    <cellStyle name="Normal 98 2 2" xfId="10342" xr:uid="{00000000-0005-0000-0000-00003A2B0000}"/>
    <cellStyle name="Normal 98 2 3" xfId="8740" xr:uid="{00000000-0005-0000-0000-00003B2B0000}"/>
    <cellStyle name="Normal 98 2 4" xfId="11952" xr:uid="{00000000-0005-0000-0000-00003C2B0000}"/>
    <cellStyle name="Normal 98 2 5" xfId="13559" xr:uid="{00000000-0005-0000-0000-00003D2B0000}"/>
    <cellStyle name="Normal 98 3" xfId="3837" xr:uid="{00000000-0005-0000-0000-00003E2B0000}"/>
    <cellStyle name="Normal 98 3 2" xfId="10343" xr:uid="{00000000-0005-0000-0000-00003F2B0000}"/>
    <cellStyle name="Normal 98 3 3" xfId="8741" xr:uid="{00000000-0005-0000-0000-0000402B0000}"/>
    <cellStyle name="Normal 98 3 4" xfId="11953" xr:uid="{00000000-0005-0000-0000-0000412B0000}"/>
    <cellStyle name="Normal 98 3 5" xfId="13560" xr:uid="{00000000-0005-0000-0000-0000422B0000}"/>
    <cellStyle name="Normal 98 4" xfId="3838" xr:uid="{00000000-0005-0000-0000-0000432B0000}"/>
    <cellStyle name="Normal 98 4 2" xfId="10344" xr:uid="{00000000-0005-0000-0000-0000442B0000}"/>
    <cellStyle name="Normal 98 4 3" xfId="8742" xr:uid="{00000000-0005-0000-0000-0000452B0000}"/>
    <cellStyle name="Normal 98 4 4" xfId="11954" xr:uid="{00000000-0005-0000-0000-0000462B0000}"/>
    <cellStyle name="Normal 98 4 5" xfId="13561" xr:uid="{00000000-0005-0000-0000-0000472B0000}"/>
    <cellStyle name="Normal 98 5" xfId="10341" xr:uid="{00000000-0005-0000-0000-0000482B0000}"/>
    <cellStyle name="Normal 98 6" xfId="8739" xr:uid="{00000000-0005-0000-0000-0000492B0000}"/>
    <cellStyle name="Normal 98 7" xfId="11951" xr:uid="{00000000-0005-0000-0000-00004A2B0000}"/>
    <cellStyle name="Normal 98 8" xfId="13558" xr:uid="{00000000-0005-0000-0000-00004B2B0000}"/>
    <cellStyle name="Normal 99" xfId="3839" xr:uid="{00000000-0005-0000-0000-00004C2B0000}"/>
    <cellStyle name="Normal 99 2" xfId="3840" xr:uid="{00000000-0005-0000-0000-00004D2B0000}"/>
    <cellStyle name="Normal 99 2 2" xfId="10346" xr:uid="{00000000-0005-0000-0000-00004E2B0000}"/>
    <cellStyle name="Normal 99 2 3" xfId="8744" xr:uid="{00000000-0005-0000-0000-00004F2B0000}"/>
    <cellStyle name="Normal 99 2 4" xfId="11956" xr:uid="{00000000-0005-0000-0000-0000502B0000}"/>
    <cellStyle name="Normal 99 2 5" xfId="13563" xr:uid="{00000000-0005-0000-0000-0000512B0000}"/>
    <cellStyle name="Normal 99 3" xfId="3841" xr:uid="{00000000-0005-0000-0000-0000522B0000}"/>
    <cellStyle name="Normal 99 3 2" xfId="10347" xr:uid="{00000000-0005-0000-0000-0000532B0000}"/>
    <cellStyle name="Normal 99 3 3" xfId="8745" xr:uid="{00000000-0005-0000-0000-0000542B0000}"/>
    <cellStyle name="Normal 99 3 4" xfId="11957" xr:uid="{00000000-0005-0000-0000-0000552B0000}"/>
    <cellStyle name="Normal 99 3 5" xfId="13564" xr:uid="{00000000-0005-0000-0000-0000562B0000}"/>
    <cellStyle name="Normal 99 4" xfId="3842" xr:uid="{00000000-0005-0000-0000-0000572B0000}"/>
    <cellStyle name="Normal 99 4 2" xfId="10348" xr:uid="{00000000-0005-0000-0000-0000582B0000}"/>
    <cellStyle name="Normal 99 4 3" xfId="8746" xr:uid="{00000000-0005-0000-0000-0000592B0000}"/>
    <cellStyle name="Normal 99 4 4" xfId="11958" xr:uid="{00000000-0005-0000-0000-00005A2B0000}"/>
    <cellStyle name="Normal 99 4 5" xfId="13565" xr:uid="{00000000-0005-0000-0000-00005B2B0000}"/>
    <cellStyle name="Normal 99 5" xfId="10345" xr:uid="{00000000-0005-0000-0000-00005C2B0000}"/>
    <cellStyle name="Normal 99 6" xfId="8743" xr:uid="{00000000-0005-0000-0000-00005D2B0000}"/>
    <cellStyle name="Normal 99 7" xfId="11955" xr:uid="{00000000-0005-0000-0000-00005E2B0000}"/>
    <cellStyle name="Normal 99 8" xfId="13562" xr:uid="{00000000-0005-0000-0000-00005F2B0000}"/>
    <cellStyle name="Normal Bold" xfId="3843" xr:uid="{00000000-0005-0000-0000-0000602B0000}"/>
    <cellStyle name="Normal Pct" xfId="3844" xr:uid="{00000000-0005-0000-0000-0000612B0000}"/>
    <cellStyle name="Normal_BOOK INFO_PUBLICO_2005_2010" xfId="69" xr:uid="{00000000-0005-0000-0000-0000622B0000}"/>
    <cellStyle name="Normal_BOOK INFO_PUBLICO_2005_2010 2" xfId="112" xr:uid="{00000000-0005-0000-0000-0000632B0000}"/>
    <cellStyle name="Normal_BOOK INFO_PUBLICO_2005_2010_Book_2005_2T11-1" xfId="70" xr:uid="{00000000-0005-0000-0000-0000642B0000}"/>
    <cellStyle name="Normal_BOOK INFO_PUBLICO_2005_2010_Book_2005_2T11emerson" xfId="71" xr:uid="{00000000-0005-0000-0000-0000652B0000}"/>
    <cellStyle name="Normal1" xfId="3845" xr:uid="{00000000-0005-0000-0000-0000662B0000}"/>
    <cellStyle name="Normal1 10" xfId="3846" xr:uid="{00000000-0005-0000-0000-0000672B0000}"/>
    <cellStyle name="Normal1 11" xfId="3847" xr:uid="{00000000-0005-0000-0000-0000682B0000}"/>
    <cellStyle name="Normal1 12" xfId="3848" xr:uid="{00000000-0005-0000-0000-0000692B0000}"/>
    <cellStyle name="Normal1 2" xfId="3849" xr:uid="{00000000-0005-0000-0000-00006A2B0000}"/>
    <cellStyle name="Normal1 2 2" xfId="3850" xr:uid="{00000000-0005-0000-0000-00006B2B0000}"/>
    <cellStyle name="Normal1 2 3" xfId="3851" xr:uid="{00000000-0005-0000-0000-00006C2B0000}"/>
    <cellStyle name="Normal1 2 4" xfId="3852" xr:uid="{00000000-0005-0000-0000-00006D2B0000}"/>
    <cellStyle name="Normal1 2 5" xfId="3853" xr:uid="{00000000-0005-0000-0000-00006E2B0000}"/>
    <cellStyle name="Normal1 2 6" xfId="3854" xr:uid="{00000000-0005-0000-0000-00006F2B0000}"/>
    <cellStyle name="Normal1 3" xfId="3855" xr:uid="{00000000-0005-0000-0000-0000702B0000}"/>
    <cellStyle name="Normal1 3 2" xfId="3856" xr:uid="{00000000-0005-0000-0000-0000712B0000}"/>
    <cellStyle name="Normal1 3 3" xfId="3857" xr:uid="{00000000-0005-0000-0000-0000722B0000}"/>
    <cellStyle name="Normal1 3 4" xfId="3858" xr:uid="{00000000-0005-0000-0000-0000732B0000}"/>
    <cellStyle name="Normal1 3 5" xfId="3859" xr:uid="{00000000-0005-0000-0000-0000742B0000}"/>
    <cellStyle name="Normal1 3 6" xfId="3860" xr:uid="{00000000-0005-0000-0000-0000752B0000}"/>
    <cellStyle name="Normal1 4" xfId="3861" xr:uid="{00000000-0005-0000-0000-0000762B0000}"/>
    <cellStyle name="Normal1 4 2" xfId="3862" xr:uid="{00000000-0005-0000-0000-0000772B0000}"/>
    <cellStyle name="Normal1 4 3" xfId="3863" xr:uid="{00000000-0005-0000-0000-0000782B0000}"/>
    <cellStyle name="Normal1 4 4" xfId="3864" xr:uid="{00000000-0005-0000-0000-0000792B0000}"/>
    <cellStyle name="Normal1 4 5" xfId="3865" xr:uid="{00000000-0005-0000-0000-00007A2B0000}"/>
    <cellStyle name="Normal1 4 6" xfId="3866" xr:uid="{00000000-0005-0000-0000-00007B2B0000}"/>
    <cellStyle name="Normal1 5" xfId="3867" xr:uid="{00000000-0005-0000-0000-00007C2B0000}"/>
    <cellStyle name="Normal1 5 2" xfId="3868" xr:uid="{00000000-0005-0000-0000-00007D2B0000}"/>
    <cellStyle name="Normal1 5 3" xfId="3869" xr:uid="{00000000-0005-0000-0000-00007E2B0000}"/>
    <cellStyle name="Normal1 5 4" xfId="3870" xr:uid="{00000000-0005-0000-0000-00007F2B0000}"/>
    <cellStyle name="Normal1 5 5" xfId="3871" xr:uid="{00000000-0005-0000-0000-0000802B0000}"/>
    <cellStyle name="Normal1 5 6" xfId="3872" xr:uid="{00000000-0005-0000-0000-0000812B0000}"/>
    <cellStyle name="Normal1 5 7" xfId="3873" xr:uid="{00000000-0005-0000-0000-0000822B0000}"/>
    <cellStyle name="Normal1 6" xfId="3874" xr:uid="{00000000-0005-0000-0000-0000832B0000}"/>
    <cellStyle name="Normal1 6 2" xfId="3875" xr:uid="{00000000-0005-0000-0000-0000842B0000}"/>
    <cellStyle name="Normal1 6 3" xfId="3876" xr:uid="{00000000-0005-0000-0000-0000852B0000}"/>
    <cellStyle name="Normal1 6 4" xfId="3877" xr:uid="{00000000-0005-0000-0000-0000862B0000}"/>
    <cellStyle name="Normal1 6 5" xfId="3878" xr:uid="{00000000-0005-0000-0000-0000872B0000}"/>
    <cellStyle name="Normal1 6 6" xfId="3879" xr:uid="{00000000-0005-0000-0000-0000882B0000}"/>
    <cellStyle name="Normal1 7" xfId="3880" xr:uid="{00000000-0005-0000-0000-0000892B0000}"/>
    <cellStyle name="Normal1 7 2" xfId="3881" xr:uid="{00000000-0005-0000-0000-00008A2B0000}"/>
    <cellStyle name="Normal1 7 3" xfId="3882" xr:uid="{00000000-0005-0000-0000-00008B2B0000}"/>
    <cellStyle name="Normal1 7 4" xfId="3883" xr:uid="{00000000-0005-0000-0000-00008C2B0000}"/>
    <cellStyle name="Normal1 7 5" xfId="3884" xr:uid="{00000000-0005-0000-0000-00008D2B0000}"/>
    <cellStyle name="Normal1 7 6" xfId="3885" xr:uid="{00000000-0005-0000-0000-00008E2B0000}"/>
    <cellStyle name="Normal1 8" xfId="3886" xr:uid="{00000000-0005-0000-0000-00008F2B0000}"/>
    <cellStyle name="Normal1 9" xfId="3887" xr:uid="{00000000-0005-0000-0000-0000902B0000}"/>
    <cellStyle name="Normal2" xfId="3888" xr:uid="{00000000-0005-0000-0000-0000912B0000}"/>
    <cellStyle name="NormalGB" xfId="5088" xr:uid="{00000000-0005-0000-0000-0000922B0000}"/>
    <cellStyle name="Nota" xfId="72" xr:uid="{00000000-0005-0000-0000-0000932B0000}"/>
    <cellStyle name="Nota 10" xfId="5569" xr:uid="{00000000-0005-0000-0000-0000942B0000}"/>
    <cellStyle name="Nota 10 2" xfId="7395" xr:uid="{00000000-0005-0000-0000-0000952B0000}"/>
    <cellStyle name="Nota 11" xfId="5520" xr:uid="{00000000-0005-0000-0000-0000962B0000}"/>
    <cellStyle name="Nota 12" xfId="5572" xr:uid="{00000000-0005-0000-0000-0000972B0000}"/>
    <cellStyle name="Nota 13" xfId="5516" xr:uid="{00000000-0005-0000-0000-0000982B0000}"/>
    <cellStyle name="Nota 14" xfId="5624" xr:uid="{00000000-0005-0000-0000-0000992B0000}"/>
    <cellStyle name="Nota 15" xfId="5728" xr:uid="{00000000-0005-0000-0000-00009A2B0000}"/>
    <cellStyle name="Nota 16" xfId="5708" xr:uid="{00000000-0005-0000-0000-00009B2B0000}"/>
    <cellStyle name="Nota 2" xfId="3889" xr:uid="{00000000-0005-0000-0000-00009C2B0000}"/>
    <cellStyle name="Nota 2 2" xfId="3890" xr:uid="{00000000-0005-0000-0000-00009D2B0000}"/>
    <cellStyle name="Nota 2 2 2" xfId="6943" xr:uid="{00000000-0005-0000-0000-00009E2B0000}"/>
    <cellStyle name="Nota 2 2 2 2" xfId="6944" xr:uid="{00000000-0005-0000-0000-00009F2B0000}"/>
    <cellStyle name="Nota 2 2 2 2 2" xfId="6945" xr:uid="{00000000-0005-0000-0000-0000A02B0000}"/>
    <cellStyle name="Nota 2 2 2 2 2 2" xfId="6946" xr:uid="{00000000-0005-0000-0000-0000A12B0000}"/>
    <cellStyle name="Nota 2 2 2 2 2 2 2" xfId="6947" xr:uid="{00000000-0005-0000-0000-0000A22B0000}"/>
    <cellStyle name="Nota 2 2 2 2 2 2 2 2" xfId="6948" xr:uid="{00000000-0005-0000-0000-0000A32B0000}"/>
    <cellStyle name="Nota 2 2 2 2 2 2 3" xfId="6949" xr:uid="{00000000-0005-0000-0000-0000A42B0000}"/>
    <cellStyle name="Nota 2 2 2 2 2 3" xfId="6950" xr:uid="{00000000-0005-0000-0000-0000A52B0000}"/>
    <cellStyle name="Nota 2 2 2 2 2 3 2" xfId="6951" xr:uid="{00000000-0005-0000-0000-0000A62B0000}"/>
    <cellStyle name="Nota 2 2 2 2 3" xfId="6952" xr:uid="{00000000-0005-0000-0000-0000A72B0000}"/>
    <cellStyle name="Nota 2 2 2 2 3 2" xfId="6953" xr:uid="{00000000-0005-0000-0000-0000A82B0000}"/>
    <cellStyle name="Nota 2 2 2 3" xfId="6954" xr:uid="{00000000-0005-0000-0000-0000A92B0000}"/>
    <cellStyle name="Nota 2 2 2 4" xfId="6955" xr:uid="{00000000-0005-0000-0000-0000AA2B0000}"/>
    <cellStyle name="Nota 2 2 2 4 2" xfId="6956" xr:uid="{00000000-0005-0000-0000-0000AB2B0000}"/>
    <cellStyle name="Nota 2 2 3" xfId="6957" xr:uid="{00000000-0005-0000-0000-0000AC2B0000}"/>
    <cellStyle name="Nota 2 2 4" xfId="6958" xr:uid="{00000000-0005-0000-0000-0000AD2B0000}"/>
    <cellStyle name="Nota 2 2 4 2" xfId="6959" xr:uid="{00000000-0005-0000-0000-0000AE2B0000}"/>
    <cellStyle name="Nota 2 2 5" xfId="6942" xr:uid="{00000000-0005-0000-0000-0000AF2B0000}"/>
    <cellStyle name="Nota 2 3" xfId="3891" xr:uid="{00000000-0005-0000-0000-0000B02B0000}"/>
    <cellStyle name="Nota 2 3 2" xfId="6960" xr:uid="{00000000-0005-0000-0000-0000B12B0000}"/>
    <cellStyle name="Nota 2 4" xfId="3892" xr:uid="{00000000-0005-0000-0000-0000B22B0000}"/>
    <cellStyle name="Nota 2 4 2" xfId="6961" xr:uid="{00000000-0005-0000-0000-0000B32B0000}"/>
    <cellStyle name="Nota 2 5" xfId="6962" xr:uid="{00000000-0005-0000-0000-0000B42B0000}"/>
    <cellStyle name="Nota 2 6" xfId="6963" xr:uid="{00000000-0005-0000-0000-0000B52B0000}"/>
    <cellStyle name="Nota 2 6 2" xfId="6964" xr:uid="{00000000-0005-0000-0000-0000B62B0000}"/>
    <cellStyle name="Nota 2 7" xfId="6941" xr:uid="{00000000-0005-0000-0000-0000B72B0000}"/>
    <cellStyle name="Nota 2 8" xfId="5089" xr:uid="{00000000-0005-0000-0000-0000B82B0000}"/>
    <cellStyle name="Nota 2 9" xfId="10535" xr:uid="{00000000-0005-0000-0000-0000B92B0000}"/>
    <cellStyle name="Nota 3" xfId="3893" xr:uid="{00000000-0005-0000-0000-0000BA2B0000}"/>
    <cellStyle name="Nota 3 2" xfId="3894" xr:uid="{00000000-0005-0000-0000-0000BB2B0000}"/>
    <cellStyle name="Nota 3 2 2" xfId="6966" xr:uid="{00000000-0005-0000-0000-0000BC2B0000}"/>
    <cellStyle name="Nota 3 3" xfId="3895" xr:uid="{00000000-0005-0000-0000-0000BD2B0000}"/>
    <cellStyle name="Nota 3 3 2" xfId="6967" xr:uid="{00000000-0005-0000-0000-0000BE2B0000}"/>
    <cellStyle name="Nota 3 4" xfId="3896" xr:uid="{00000000-0005-0000-0000-0000BF2B0000}"/>
    <cellStyle name="Nota 3 4 2" xfId="6968" xr:uid="{00000000-0005-0000-0000-0000C02B0000}"/>
    <cellStyle name="Nota 3 5" xfId="6965" xr:uid="{00000000-0005-0000-0000-0000C12B0000}"/>
    <cellStyle name="Nota 3 6" xfId="5302" xr:uid="{00000000-0005-0000-0000-0000C22B0000}"/>
    <cellStyle name="Nota 3 7" xfId="10536" xr:uid="{00000000-0005-0000-0000-0000C32B0000}"/>
    <cellStyle name="Nota 4" xfId="3897" xr:uid="{00000000-0005-0000-0000-0000C42B0000}"/>
    <cellStyle name="Nota 4 2" xfId="3898" xr:uid="{00000000-0005-0000-0000-0000C52B0000}"/>
    <cellStyle name="Nota 4 2 2" xfId="6970" xr:uid="{00000000-0005-0000-0000-0000C62B0000}"/>
    <cellStyle name="Nota 4 3" xfId="3899" xr:uid="{00000000-0005-0000-0000-0000C72B0000}"/>
    <cellStyle name="Nota 4 3 2" xfId="6971" xr:uid="{00000000-0005-0000-0000-0000C82B0000}"/>
    <cellStyle name="Nota 4 4" xfId="3900" xr:uid="{00000000-0005-0000-0000-0000C92B0000}"/>
    <cellStyle name="Nota 4 4 2" xfId="6969" xr:uid="{00000000-0005-0000-0000-0000CA2B0000}"/>
    <cellStyle name="Nota 4 5" xfId="5239" xr:uid="{00000000-0005-0000-0000-0000CB2B0000}"/>
    <cellStyle name="Nota 4 6" xfId="10537" xr:uid="{00000000-0005-0000-0000-0000CC2B0000}"/>
    <cellStyle name="Nota 5" xfId="3901" xr:uid="{00000000-0005-0000-0000-0000CD2B0000}"/>
    <cellStyle name="Nota 5 2" xfId="6973" xr:uid="{00000000-0005-0000-0000-0000CE2B0000}"/>
    <cellStyle name="Nota 5 3" xfId="6972" xr:uid="{00000000-0005-0000-0000-0000CF2B0000}"/>
    <cellStyle name="Nota 5 4" xfId="5305" xr:uid="{00000000-0005-0000-0000-0000D02B0000}"/>
    <cellStyle name="Nota 5 5" xfId="10538" xr:uid="{00000000-0005-0000-0000-0000D12B0000}"/>
    <cellStyle name="Nota 6" xfId="3902" xr:uid="{00000000-0005-0000-0000-0000D22B0000}"/>
    <cellStyle name="Nota 6 2" xfId="6975" xr:uid="{00000000-0005-0000-0000-0000D32B0000}"/>
    <cellStyle name="Nota 6 3" xfId="7370" xr:uid="{00000000-0005-0000-0000-0000D42B0000}"/>
    <cellStyle name="Nota 6 4" xfId="6974" xr:uid="{00000000-0005-0000-0000-0000D52B0000}"/>
    <cellStyle name="Nota 6 5" xfId="5233" xr:uid="{00000000-0005-0000-0000-0000D62B0000}"/>
    <cellStyle name="Nota 6 6" xfId="10539" xr:uid="{00000000-0005-0000-0000-0000D72B0000}"/>
    <cellStyle name="Nota 7" xfId="3903" xr:uid="{00000000-0005-0000-0000-0000D82B0000}"/>
    <cellStyle name="Nota 7 2" xfId="7371" xr:uid="{00000000-0005-0000-0000-0000D92B0000}"/>
    <cellStyle name="Nota 7 3" xfId="6976" xr:uid="{00000000-0005-0000-0000-0000DA2B0000}"/>
    <cellStyle name="Nota 7 4" xfId="5361" xr:uid="{00000000-0005-0000-0000-0000DB2B0000}"/>
    <cellStyle name="Nota 7 5" xfId="10540" xr:uid="{00000000-0005-0000-0000-0000DC2B0000}"/>
    <cellStyle name="Nota 8" xfId="5389" xr:uid="{00000000-0005-0000-0000-0000DD2B0000}"/>
    <cellStyle name="Nota 8 2" xfId="7369" xr:uid="{00000000-0005-0000-0000-0000DE2B0000}"/>
    <cellStyle name="Nota 9" xfId="5416" xr:uid="{00000000-0005-0000-0000-0000DF2B0000}"/>
    <cellStyle name="Nota 9 2" xfId="6940" xr:uid="{00000000-0005-0000-0000-0000E02B0000}"/>
    <cellStyle name="Notas" xfId="3904" xr:uid="{00000000-0005-0000-0000-0000E12B0000}"/>
    <cellStyle name="Notas 2" xfId="3905" xr:uid="{00000000-0005-0000-0000-0000E22B0000}"/>
    <cellStyle name="Notas 2 2" xfId="10542" xr:uid="{00000000-0005-0000-0000-0000E32B0000}"/>
    <cellStyle name="Notas 3" xfId="3906" xr:uid="{00000000-0005-0000-0000-0000E42B0000}"/>
    <cellStyle name="Notas 3 2" xfId="10543" xr:uid="{00000000-0005-0000-0000-0000E52B0000}"/>
    <cellStyle name="Notas 4" xfId="10541" xr:uid="{00000000-0005-0000-0000-0000E62B0000}"/>
    <cellStyle name="Note" xfId="73" xr:uid="{00000000-0005-0000-0000-0000E72B0000}"/>
    <cellStyle name="Note 2" xfId="3908" xr:uid="{00000000-0005-0000-0000-0000E82B0000}"/>
    <cellStyle name="Note 2 2" xfId="3909" xr:uid="{00000000-0005-0000-0000-0000E92B0000}"/>
    <cellStyle name="Note 2 2 2" xfId="3910" xr:uid="{00000000-0005-0000-0000-0000EA2B0000}"/>
    <cellStyle name="Note 2 2 2 2" xfId="10547" xr:uid="{00000000-0005-0000-0000-0000EB2B0000}"/>
    <cellStyle name="Note 2 2 3" xfId="10546" xr:uid="{00000000-0005-0000-0000-0000EC2B0000}"/>
    <cellStyle name="Note 2 3" xfId="3911" xr:uid="{00000000-0005-0000-0000-0000ED2B0000}"/>
    <cellStyle name="Note 2 3 2" xfId="3912" xr:uid="{00000000-0005-0000-0000-0000EE2B0000}"/>
    <cellStyle name="Note 2 3 2 2" xfId="10549" xr:uid="{00000000-0005-0000-0000-0000EF2B0000}"/>
    <cellStyle name="Note 2 3 3" xfId="10548" xr:uid="{00000000-0005-0000-0000-0000F02B0000}"/>
    <cellStyle name="Note 2 4" xfId="3913" xr:uid="{00000000-0005-0000-0000-0000F12B0000}"/>
    <cellStyle name="Note 2 4 2" xfId="10550" xr:uid="{00000000-0005-0000-0000-0000F22B0000}"/>
    <cellStyle name="Note 2 5" xfId="3914" xr:uid="{00000000-0005-0000-0000-0000F32B0000}"/>
    <cellStyle name="Note 2 5 2" xfId="10551" xr:uid="{00000000-0005-0000-0000-0000F42B0000}"/>
    <cellStyle name="Note 2 6" xfId="10545" xr:uid="{00000000-0005-0000-0000-0000F52B0000}"/>
    <cellStyle name="Note 3" xfId="3915" xr:uid="{00000000-0005-0000-0000-0000F62B0000}"/>
    <cellStyle name="Note 3 2" xfId="3916" xr:uid="{00000000-0005-0000-0000-0000F72B0000}"/>
    <cellStyle name="Note 3 2 2" xfId="3917" xr:uid="{00000000-0005-0000-0000-0000F82B0000}"/>
    <cellStyle name="Note 3 2 2 2" xfId="10554" xr:uid="{00000000-0005-0000-0000-0000F92B0000}"/>
    <cellStyle name="Note 3 2 3" xfId="10553" xr:uid="{00000000-0005-0000-0000-0000FA2B0000}"/>
    <cellStyle name="Note 3 3" xfId="3918" xr:uid="{00000000-0005-0000-0000-0000FB2B0000}"/>
    <cellStyle name="Note 3 3 2" xfId="3919" xr:uid="{00000000-0005-0000-0000-0000FC2B0000}"/>
    <cellStyle name="Note 3 3 2 2" xfId="10556" xr:uid="{00000000-0005-0000-0000-0000FD2B0000}"/>
    <cellStyle name="Note 3 3 3" xfId="10555" xr:uid="{00000000-0005-0000-0000-0000FE2B0000}"/>
    <cellStyle name="Note 3 4" xfId="3920" xr:uid="{00000000-0005-0000-0000-0000FF2B0000}"/>
    <cellStyle name="Note 3 4 2" xfId="10557" xr:uid="{00000000-0005-0000-0000-0000002C0000}"/>
    <cellStyle name="Note 3 5" xfId="3921" xr:uid="{00000000-0005-0000-0000-0000012C0000}"/>
    <cellStyle name="Note 3 5 2" xfId="10558" xr:uid="{00000000-0005-0000-0000-0000022C0000}"/>
    <cellStyle name="Note 3 6" xfId="10552" xr:uid="{00000000-0005-0000-0000-0000032C0000}"/>
    <cellStyle name="Note 4" xfId="3922" xr:uid="{00000000-0005-0000-0000-0000042C0000}"/>
    <cellStyle name="Note 4 2" xfId="3923" xr:uid="{00000000-0005-0000-0000-0000052C0000}"/>
    <cellStyle name="Note 4 2 2" xfId="3924" xr:uid="{00000000-0005-0000-0000-0000062C0000}"/>
    <cellStyle name="Note 4 2 2 2" xfId="10561" xr:uid="{00000000-0005-0000-0000-0000072C0000}"/>
    <cellStyle name="Note 4 2 3" xfId="10560" xr:uid="{00000000-0005-0000-0000-0000082C0000}"/>
    <cellStyle name="Note 4 3" xfId="3925" xr:uid="{00000000-0005-0000-0000-0000092C0000}"/>
    <cellStyle name="Note 4 3 2" xfId="3926" xr:uid="{00000000-0005-0000-0000-00000A2C0000}"/>
    <cellStyle name="Note 4 3 2 2" xfId="10563" xr:uid="{00000000-0005-0000-0000-00000B2C0000}"/>
    <cellStyle name="Note 4 3 3" xfId="10562" xr:uid="{00000000-0005-0000-0000-00000C2C0000}"/>
    <cellStyle name="Note 4 4" xfId="3927" xr:uid="{00000000-0005-0000-0000-00000D2C0000}"/>
    <cellStyle name="Note 4 4 2" xfId="10564" xr:uid="{00000000-0005-0000-0000-00000E2C0000}"/>
    <cellStyle name="Note 4 5" xfId="3928" xr:uid="{00000000-0005-0000-0000-00000F2C0000}"/>
    <cellStyle name="Note 4 5 2" xfId="10565" xr:uid="{00000000-0005-0000-0000-0000102C0000}"/>
    <cellStyle name="Note 4 6" xfId="10559" xr:uid="{00000000-0005-0000-0000-0000112C0000}"/>
    <cellStyle name="Note 5" xfId="3929" xr:uid="{00000000-0005-0000-0000-0000122C0000}"/>
    <cellStyle name="Note 5 2" xfId="10566" xr:uid="{00000000-0005-0000-0000-0000132C0000}"/>
    <cellStyle name="Note 6" xfId="3930" xr:uid="{00000000-0005-0000-0000-0000142C0000}"/>
    <cellStyle name="Note 6 2" xfId="10567" xr:uid="{00000000-0005-0000-0000-0000152C0000}"/>
    <cellStyle name="Note 7" xfId="3907" xr:uid="{00000000-0005-0000-0000-0000162C0000}"/>
    <cellStyle name="Note 7 2" xfId="11959" xr:uid="{00000000-0005-0000-0000-0000172C0000}"/>
    <cellStyle name="Note 8" xfId="10544" xr:uid="{00000000-0005-0000-0000-0000182C0000}"/>
    <cellStyle name="NPPESalesPct" xfId="3931" xr:uid="{00000000-0005-0000-0000-0000192C0000}"/>
    <cellStyle name="num1Style" xfId="5090" xr:uid="{00000000-0005-0000-0000-00001A2C0000}"/>
    <cellStyle name="num1Styleb" xfId="5091" xr:uid="{00000000-0005-0000-0000-00001B2C0000}"/>
    <cellStyle name="num4Style" xfId="5092" xr:uid="{00000000-0005-0000-0000-00001C2C0000}"/>
    <cellStyle name="num4Styleb" xfId="5093" xr:uid="{00000000-0005-0000-0000-00001D2C0000}"/>
    <cellStyle name="numPStyle" xfId="5094" xr:uid="{00000000-0005-0000-0000-00001E2C0000}"/>
    <cellStyle name="numPStyleb" xfId="5095" xr:uid="{00000000-0005-0000-0000-00001F2C0000}"/>
    <cellStyle name="numXStyle" xfId="5096" xr:uid="{00000000-0005-0000-0000-0000202C0000}"/>
    <cellStyle name="numXStyleb" xfId="5097" xr:uid="{00000000-0005-0000-0000-0000212C0000}"/>
    <cellStyle name="NWI%S" xfId="3932" xr:uid="{00000000-0005-0000-0000-0000222C0000}"/>
    <cellStyle name="Oculta" xfId="3933" xr:uid="{00000000-0005-0000-0000-0000232C0000}"/>
    <cellStyle name="Oculta 10" xfId="3934" xr:uid="{00000000-0005-0000-0000-0000242C0000}"/>
    <cellStyle name="Oculta 11" xfId="3935" xr:uid="{00000000-0005-0000-0000-0000252C0000}"/>
    <cellStyle name="Oculta 12" xfId="3936" xr:uid="{00000000-0005-0000-0000-0000262C0000}"/>
    <cellStyle name="Oculta 13" xfId="3937" xr:uid="{00000000-0005-0000-0000-0000272C0000}"/>
    <cellStyle name="Oculta 14" xfId="3938" xr:uid="{00000000-0005-0000-0000-0000282C0000}"/>
    <cellStyle name="Oculta 15" xfId="3939" xr:uid="{00000000-0005-0000-0000-0000292C0000}"/>
    <cellStyle name="Oculta 16" xfId="3940" xr:uid="{00000000-0005-0000-0000-00002A2C0000}"/>
    <cellStyle name="Oculta 17" xfId="3941" xr:uid="{00000000-0005-0000-0000-00002B2C0000}"/>
    <cellStyle name="Oculta 18" xfId="3942" xr:uid="{00000000-0005-0000-0000-00002C2C0000}"/>
    <cellStyle name="Oculta 19" xfId="3943" xr:uid="{00000000-0005-0000-0000-00002D2C0000}"/>
    <cellStyle name="Oculta 2" xfId="3944" xr:uid="{00000000-0005-0000-0000-00002E2C0000}"/>
    <cellStyle name="Oculta 20" xfId="3945" xr:uid="{00000000-0005-0000-0000-00002F2C0000}"/>
    <cellStyle name="Oculta 21" xfId="3946" xr:uid="{00000000-0005-0000-0000-0000302C0000}"/>
    <cellStyle name="Oculta 22" xfId="3947" xr:uid="{00000000-0005-0000-0000-0000312C0000}"/>
    <cellStyle name="Oculta 23" xfId="3948" xr:uid="{00000000-0005-0000-0000-0000322C0000}"/>
    <cellStyle name="Oculta 24" xfId="3949" xr:uid="{00000000-0005-0000-0000-0000332C0000}"/>
    <cellStyle name="Oculta 25" xfId="3950" xr:uid="{00000000-0005-0000-0000-0000342C0000}"/>
    <cellStyle name="Oculta 26" xfId="3951" xr:uid="{00000000-0005-0000-0000-0000352C0000}"/>
    <cellStyle name="Oculta 27" xfId="3952" xr:uid="{00000000-0005-0000-0000-0000362C0000}"/>
    <cellStyle name="Oculta 28" xfId="3953" xr:uid="{00000000-0005-0000-0000-0000372C0000}"/>
    <cellStyle name="Oculta 29" xfId="3954" xr:uid="{00000000-0005-0000-0000-0000382C0000}"/>
    <cellStyle name="Oculta 3" xfId="3955" xr:uid="{00000000-0005-0000-0000-0000392C0000}"/>
    <cellStyle name="Oculta 30" xfId="3956" xr:uid="{00000000-0005-0000-0000-00003A2C0000}"/>
    <cellStyle name="Oculta 31" xfId="3957" xr:uid="{00000000-0005-0000-0000-00003B2C0000}"/>
    <cellStyle name="Oculta 32" xfId="3958" xr:uid="{00000000-0005-0000-0000-00003C2C0000}"/>
    <cellStyle name="Oculta 33" xfId="3959" xr:uid="{00000000-0005-0000-0000-00003D2C0000}"/>
    <cellStyle name="Oculta 34" xfId="3960" xr:uid="{00000000-0005-0000-0000-00003E2C0000}"/>
    <cellStyle name="Oculta 35" xfId="3961" xr:uid="{00000000-0005-0000-0000-00003F2C0000}"/>
    <cellStyle name="Oculta 36" xfId="3962" xr:uid="{00000000-0005-0000-0000-0000402C0000}"/>
    <cellStyle name="Oculta 37" xfId="3963" xr:uid="{00000000-0005-0000-0000-0000412C0000}"/>
    <cellStyle name="Oculta 38" xfId="3964" xr:uid="{00000000-0005-0000-0000-0000422C0000}"/>
    <cellStyle name="Oculta 39" xfId="3965" xr:uid="{00000000-0005-0000-0000-0000432C0000}"/>
    <cellStyle name="Oculta 4" xfId="3966" xr:uid="{00000000-0005-0000-0000-0000442C0000}"/>
    <cellStyle name="Oculta 40" xfId="3967" xr:uid="{00000000-0005-0000-0000-0000452C0000}"/>
    <cellStyle name="Oculta 5" xfId="3968" xr:uid="{00000000-0005-0000-0000-0000462C0000}"/>
    <cellStyle name="Oculta 6" xfId="3969" xr:uid="{00000000-0005-0000-0000-0000472C0000}"/>
    <cellStyle name="Oculta 7" xfId="3970" xr:uid="{00000000-0005-0000-0000-0000482C0000}"/>
    <cellStyle name="Oculta 8" xfId="3971" xr:uid="{00000000-0005-0000-0000-0000492C0000}"/>
    <cellStyle name="Oculta 9" xfId="3972" xr:uid="{00000000-0005-0000-0000-00004A2C0000}"/>
    <cellStyle name="Ordinary" xfId="5098" xr:uid="{00000000-0005-0000-0000-00004B2C0000}"/>
    <cellStyle name="OT" xfId="3973" xr:uid="{00000000-0005-0000-0000-00004C2C0000}"/>
    <cellStyle name="Output" xfId="74" xr:uid="{00000000-0005-0000-0000-00004D2C0000}"/>
    <cellStyle name="Output 2" xfId="3974" xr:uid="{00000000-0005-0000-0000-00004E2C0000}"/>
    <cellStyle name="Output 2 2" xfId="3975" xr:uid="{00000000-0005-0000-0000-00004F2C0000}"/>
    <cellStyle name="Output 2 2 2" xfId="10570" xr:uid="{00000000-0005-0000-0000-0000502C0000}"/>
    <cellStyle name="Output 2 3" xfId="10569" xr:uid="{00000000-0005-0000-0000-0000512C0000}"/>
    <cellStyle name="Output 3" xfId="3976" xr:uid="{00000000-0005-0000-0000-0000522C0000}"/>
    <cellStyle name="Output 3 2" xfId="3977" xr:uid="{00000000-0005-0000-0000-0000532C0000}"/>
    <cellStyle name="Output 3 2 2" xfId="10572" xr:uid="{00000000-0005-0000-0000-0000542C0000}"/>
    <cellStyle name="Output 3 3" xfId="10571" xr:uid="{00000000-0005-0000-0000-0000552C0000}"/>
    <cellStyle name="Output 4" xfId="3978" xr:uid="{00000000-0005-0000-0000-0000562C0000}"/>
    <cellStyle name="Output 4 2" xfId="10573" xr:uid="{00000000-0005-0000-0000-0000572C0000}"/>
    <cellStyle name="Output 5" xfId="3979" xr:uid="{00000000-0005-0000-0000-0000582C0000}"/>
    <cellStyle name="Output 5 2" xfId="10574" xr:uid="{00000000-0005-0000-0000-0000592C0000}"/>
    <cellStyle name="Output 6" xfId="3980" xr:uid="{00000000-0005-0000-0000-00005A2C0000}"/>
    <cellStyle name="Output 6 2" xfId="10575" xr:uid="{00000000-0005-0000-0000-00005B2C0000}"/>
    <cellStyle name="Output 7" xfId="3981" xr:uid="{00000000-0005-0000-0000-00005C2C0000}"/>
    <cellStyle name="Output 7 2" xfId="10576" xr:uid="{00000000-0005-0000-0000-00005D2C0000}"/>
    <cellStyle name="Output 8" xfId="10568" xr:uid="{00000000-0005-0000-0000-00005E2C0000}"/>
    <cellStyle name="Page Number" xfId="5099" xr:uid="{00000000-0005-0000-0000-00005F2C0000}"/>
    <cellStyle name="Percent" xfId="75" xr:uid="{00000000-0005-0000-0000-0000602C0000}"/>
    <cellStyle name="Percent [0]" xfId="3982" xr:uid="{00000000-0005-0000-0000-0000612C0000}"/>
    <cellStyle name="Percent [0] 2" xfId="5100" xr:uid="{00000000-0005-0000-0000-0000622C0000}"/>
    <cellStyle name="Percent [00]" xfId="5101" xr:uid="{00000000-0005-0000-0000-0000632C0000}"/>
    <cellStyle name="Percent [1]" xfId="3983" xr:uid="{00000000-0005-0000-0000-0000642C0000}"/>
    <cellStyle name="Percent [2]" xfId="3984" xr:uid="{00000000-0005-0000-0000-0000652C0000}"/>
    <cellStyle name="Percent 2" xfId="3985" xr:uid="{00000000-0005-0000-0000-0000662C0000}"/>
    <cellStyle name="Percent 2 2" xfId="3986" xr:uid="{00000000-0005-0000-0000-0000672C0000}"/>
    <cellStyle name="Percent 2 2 2" xfId="10349" xr:uid="{00000000-0005-0000-0000-0000682C0000}"/>
    <cellStyle name="Percent 2 2 3" xfId="8747" xr:uid="{00000000-0005-0000-0000-0000692C0000}"/>
    <cellStyle name="Percent 2 2 4" xfId="11960" xr:uid="{00000000-0005-0000-0000-00006A2C0000}"/>
    <cellStyle name="Percent 2 2 5" xfId="13566" xr:uid="{00000000-0005-0000-0000-00006B2C0000}"/>
    <cellStyle name="Percent 2 3" xfId="5102" xr:uid="{00000000-0005-0000-0000-00006C2C0000}"/>
    <cellStyle name="Percent1" xfId="3987" xr:uid="{00000000-0005-0000-0000-00006D2C0000}"/>
    <cellStyle name="Percentage" xfId="3988" xr:uid="{00000000-0005-0000-0000-00006E2C0000}"/>
    <cellStyle name="Percentagem_Blue Tables for Brazil 06-2005-NEW  IRAQ Only" xfId="3989" xr:uid="{00000000-0005-0000-0000-00006F2C0000}"/>
    <cellStyle name="PercentSales" xfId="3990" xr:uid="{00000000-0005-0000-0000-0000702C0000}"/>
    <cellStyle name="Percentual" xfId="5103" xr:uid="{00000000-0005-0000-0000-0000712C0000}"/>
    <cellStyle name="Ponto" xfId="5104" xr:uid="{00000000-0005-0000-0000-0000722C0000}"/>
    <cellStyle name="Porcentagem 10" xfId="3991" xr:uid="{00000000-0005-0000-0000-0000742C0000}"/>
    <cellStyle name="Porcentagem 11" xfId="3992" xr:uid="{00000000-0005-0000-0000-0000752C0000}"/>
    <cellStyle name="Porcentagem 11 10" xfId="11961" xr:uid="{00000000-0005-0000-0000-0000762C0000}"/>
    <cellStyle name="Porcentagem 11 11" xfId="13567" xr:uid="{00000000-0005-0000-0000-0000772C0000}"/>
    <cellStyle name="Porcentagem 11 2" xfId="3993" xr:uid="{00000000-0005-0000-0000-0000782C0000}"/>
    <cellStyle name="Porcentagem 11 3" xfId="3994" xr:uid="{00000000-0005-0000-0000-0000792C0000}"/>
    <cellStyle name="Porcentagem 11 4" xfId="3995" xr:uid="{00000000-0005-0000-0000-00007A2C0000}"/>
    <cellStyle name="Porcentagem 11 5" xfId="3996" xr:uid="{00000000-0005-0000-0000-00007B2C0000}"/>
    <cellStyle name="Porcentagem 11 6" xfId="3997" xr:uid="{00000000-0005-0000-0000-00007C2C0000}"/>
    <cellStyle name="Porcentagem 11 7" xfId="3998" xr:uid="{00000000-0005-0000-0000-00007D2C0000}"/>
    <cellStyle name="Porcentagem 11 8" xfId="10350" xr:uid="{00000000-0005-0000-0000-00007E2C0000}"/>
    <cellStyle name="Porcentagem 11 9" xfId="8748" xr:uid="{00000000-0005-0000-0000-00007F2C0000}"/>
    <cellStyle name="Porcentagem 12" xfId="3999" xr:uid="{00000000-0005-0000-0000-0000802C0000}"/>
    <cellStyle name="Porcentagem 12 2" xfId="10351" xr:uid="{00000000-0005-0000-0000-0000812C0000}"/>
    <cellStyle name="Porcentagem 12 3" xfId="8749" xr:uid="{00000000-0005-0000-0000-0000822C0000}"/>
    <cellStyle name="Porcentagem 12 4" xfId="11962" xr:uid="{00000000-0005-0000-0000-0000832C0000}"/>
    <cellStyle name="Porcentagem 12 5" xfId="13568" xr:uid="{00000000-0005-0000-0000-0000842C0000}"/>
    <cellStyle name="Porcentagem 13" xfId="4000" xr:uid="{00000000-0005-0000-0000-0000852C0000}"/>
    <cellStyle name="Porcentagem 13 10" xfId="8750" xr:uid="{00000000-0005-0000-0000-0000862C0000}"/>
    <cellStyle name="Porcentagem 13 11" xfId="11963" xr:uid="{00000000-0005-0000-0000-0000872C0000}"/>
    <cellStyle name="Porcentagem 13 12" xfId="13569" xr:uid="{00000000-0005-0000-0000-0000882C0000}"/>
    <cellStyle name="Porcentagem 13 2" xfId="4001" xr:uid="{00000000-0005-0000-0000-0000892C0000}"/>
    <cellStyle name="Porcentagem 13 2 10" xfId="11964" xr:uid="{00000000-0005-0000-0000-00008A2C0000}"/>
    <cellStyle name="Porcentagem 13 2 11" xfId="13570" xr:uid="{00000000-0005-0000-0000-00008B2C0000}"/>
    <cellStyle name="Porcentagem 13 2 2" xfId="4002" xr:uid="{00000000-0005-0000-0000-00008C2C0000}"/>
    <cellStyle name="Porcentagem 13 2 3" xfId="4003" xr:uid="{00000000-0005-0000-0000-00008D2C0000}"/>
    <cellStyle name="Porcentagem 13 2 4" xfId="4004" xr:uid="{00000000-0005-0000-0000-00008E2C0000}"/>
    <cellStyle name="Porcentagem 13 2 5" xfId="4005" xr:uid="{00000000-0005-0000-0000-00008F2C0000}"/>
    <cellStyle name="Porcentagem 13 2 6" xfId="4006" xr:uid="{00000000-0005-0000-0000-0000902C0000}"/>
    <cellStyle name="Porcentagem 13 2 7" xfId="4007" xr:uid="{00000000-0005-0000-0000-0000912C0000}"/>
    <cellStyle name="Porcentagem 13 2 8" xfId="10353" xr:uid="{00000000-0005-0000-0000-0000922C0000}"/>
    <cellStyle name="Porcentagem 13 2 9" xfId="8751" xr:uid="{00000000-0005-0000-0000-0000932C0000}"/>
    <cellStyle name="Porcentagem 13 3" xfId="4008" xr:uid="{00000000-0005-0000-0000-0000942C0000}"/>
    <cellStyle name="Porcentagem 13 4" xfId="4009" xr:uid="{00000000-0005-0000-0000-0000952C0000}"/>
    <cellStyle name="Porcentagem 13 5" xfId="4010" xr:uid="{00000000-0005-0000-0000-0000962C0000}"/>
    <cellStyle name="Porcentagem 13 6" xfId="4011" xr:uid="{00000000-0005-0000-0000-0000972C0000}"/>
    <cellStyle name="Porcentagem 13 7" xfId="4012" xr:uid="{00000000-0005-0000-0000-0000982C0000}"/>
    <cellStyle name="Porcentagem 13 8" xfId="4013" xr:uid="{00000000-0005-0000-0000-0000992C0000}"/>
    <cellStyle name="Porcentagem 13 9" xfId="10352" xr:uid="{00000000-0005-0000-0000-00009A2C0000}"/>
    <cellStyle name="Porcentagem 14" xfId="4014" xr:uid="{00000000-0005-0000-0000-00009B2C0000}"/>
    <cellStyle name="Porcentagem 15" xfId="4015" xr:uid="{00000000-0005-0000-0000-00009C2C0000}"/>
    <cellStyle name="Porcentagem 16" xfId="4883" xr:uid="{00000000-0005-0000-0000-00009D2C0000}"/>
    <cellStyle name="Porcentagem 16 2" xfId="9025" xr:uid="{00000000-0005-0000-0000-00009E2C0000}"/>
    <cellStyle name="Porcentagem 16 3" xfId="12232" xr:uid="{00000000-0005-0000-0000-00009F2C0000}"/>
    <cellStyle name="Porcentagem 17" xfId="4915" xr:uid="{00000000-0005-0000-0000-0000A02C0000}"/>
    <cellStyle name="Porcentagem 18" xfId="13840" xr:uid="{00000000-0005-0000-0000-0000A12C0000}"/>
    <cellStyle name="Porcentagem 2" xfId="76" xr:uid="{00000000-0005-0000-0000-0000A22C0000}"/>
    <cellStyle name="Porcentagem 2 10" xfId="4016" xr:uid="{00000000-0005-0000-0000-0000A32C0000}"/>
    <cellStyle name="Porcentagem 2 10 2" xfId="4017" xr:uid="{00000000-0005-0000-0000-0000A42C0000}"/>
    <cellStyle name="Porcentagem 2 11" xfId="4018" xr:uid="{00000000-0005-0000-0000-0000A52C0000}"/>
    <cellStyle name="Porcentagem 2 11 2" xfId="4019" xr:uid="{00000000-0005-0000-0000-0000A62C0000}"/>
    <cellStyle name="Porcentagem 2 12" xfId="4020" xr:uid="{00000000-0005-0000-0000-0000A72C0000}"/>
    <cellStyle name="Porcentagem 2 12 2" xfId="4021" xr:uid="{00000000-0005-0000-0000-0000A82C0000}"/>
    <cellStyle name="Porcentagem 2 13" xfId="4022" xr:uid="{00000000-0005-0000-0000-0000A92C0000}"/>
    <cellStyle name="Porcentagem 2 13 2" xfId="4023" xr:uid="{00000000-0005-0000-0000-0000AA2C0000}"/>
    <cellStyle name="Porcentagem 2 14" xfId="4024" xr:uid="{00000000-0005-0000-0000-0000AB2C0000}"/>
    <cellStyle name="Porcentagem 2 14 2" xfId="4025" xr:uid="{00000000-0005-0000-0000-0000AC2C0000}"/>
    <cellStyle name="Porcentagem 2 15" xfId="4026" xr:uid="{00000000-0005-0000-0000-0000AD2C0000}"/>
    <cellStyle name="Porcentagem 2 15 2" xfId="4027" xr:uid="{00000000-0005-0000-0000-0000AE2C0000}"/>
    <cellStyle name="Porcentagem 2 16" xfId="4028" xr:uid="{00000000-0005-0000-0000-0000AF2C0000}"/>
    <cellStyle name="Porcentagem 2 16 2" xfId="4029" xr:uid="{00000000-0005-0000-0000-0000B02C0000}"/>
    <cellStyle name="Porcentagem 2 17" xfId="4030" xr:uid="{00000000-0005-0000-0000-0000B12C0000}"/>
    <cellStyle name="Porcentagem 2 17 2" xfId="4031" xr:uid="{00000000-0005-0000-0000-0000B22C0000}"/>
    <cellStyle name="Porcentagem 2 18" xfId="4032" xr:uid="{00000000-0005-0000-0000-0000B32C0000}"/>
    <cellStyle name="Porcentagem 2 18 2" xfId="4033" xr:uid="{00000000-0005-0000-0000-0000B42C0000}"/>
    <cellStyle name="Porcentagem 2 19" xfId="4034" xr:uid="{00000000-0005-0000-0000-0000B52C0000}"/>
    <cellStyle name="Porcentagem 2 19 2" xfId="4035" xr:uid="{00000000-0005-0000-0000-0000B62C0000}"/>
    <cellStyle name="Porcentagem 2 2" xfId="127" xr:uid="{00000000-0005-0000-0000-0000B72C0000}"/>
    <cellStyle name="Porcentagem 2 2 2" xfId="4036" xr:uid="{00000000-0005-0000-0000-0000B82C0000}"/>
    <cellStyle name="Porcentagem 2 2 2 2" xfId="4037" xr:uid="{00000000-0005-0000-0000-0000B92C0000}"/>
    <cellStyle name="Porcentagem 2 2 2 2 2" xfId="10355" xr:uid="{00000000-0005-0000-0000-0000BA2C0000}"/>
    <cellStyle name="Porcentagem 2 2 2 2 3" xfId="8754" xr:uid="{00000000-0005-0000-0000-0000BB2C0000}"/>
    <cellStyle name="Porcentagem 2 2 2 2 4" xfId="11966" xr:uid="{00000000-0005-0000-0000-0000BC2C0000}"/>
    <cellStyle name="Porcentagem 2 2 2 2 5" xfId="13572" xr:uid="{00000000-0005-0000-0000-0000BD2C0000}"/>
    <cellStyle name="Porcentagem 2 2 2 3" xfId="4038" xr:uid="{00000000-0005-0000-0000-0000BE2C0000}"/>
    <cellStyle name="Porcentagem 2 2 2 3 2" xfId="10356" xr:uid="{00000000-0005-0000-0000-0000BF2C0000}"/>
    <cellStyle name="Porcentagem 2 2 2 3 3" xfId="8755" xr:uid="{00000000-0005-0000-0000-0000C02C0000}"/>
    <cellStyle name="Porcentagem 2 2 2 3 4" xfId="11967" xr:uid="{00000000-0005-0000-0000-0000C12C0000}"/>
    <cellStyle name="Porcentagem 2 2 2 3 5" xfId="13573" xr:uid="{00000000-0005-0000-0000-0000C22C0000}"/>
    <cellStyle name="Porcentagem 2 2 2 4" xfId="4039" xr:uid="{00000000-0005-0000-0000-0000C32C0000}"/>
    <cellStyle name="Porcentagem 2 2 2 4 2" xfId="10357" xr:uid="{00000000-0005-0000-0000-0000C42C0000}"/>
    <cellStyle name="Porcentagem 2 2 2 4 3" xfId="8756" xr:uid="{00000000-0005-0000-0000-0000C52C0000}"/>
    <cellStyle name="Porcentagem 2 2 2 4 4" xfId="11968" xr:uid="{00000000-0005-0000-0000-0000C62C0000}"/>
    <cellStyle name="Porcentagem 2 2 2 4 5" xfId="13574" xr:uid="{00000000-0005-0000-0000-0000C72C0000}"/>
    <cellStyle name="Porcentagem 2 2 2 5" xfId="10354" xr:uid="{00000000-0005-0000-0000-0000C82C0000}"/>
    <cellStyle name="Porcentagem 2 2 2 6" xfId="8753" xr:uid="{00000000-0005-0000-0000-0000C92C0000}"/>
    <cellStyle name="Porcentagem 2 2 2 7" xfId="11965" xr:uid="{00000000-0005-0000-0000-0000CA2C0000}"/>
    <cellStyle name="Porcentagem 2 2 2 8" xfId="13571" xr:uid="{00000000-0005-0000-0000-0000CB2C0000}"/>
    <cellStyle name="Porcentagem 2 2 3" xfId="4040" xr:uid="{00000000-0005-0000-0000-0000CC2C0000}"/>
    <cellStyle name="Porcentagem 2 20" xfId="4041" xr:uid="{00000000-0005-0000-0000-0000CD2C0000}"/>
    <cellStyle name="Porcentagem 2 20 2" xfId="4042" xr:uid="{00000000-0005-0000-0000-0000CE2C0000}"/>
    <cellStyle name="Porcentagem 2 21" xfId="4043" xr:uid="{00000000-0005-0000-0000-0000CF2C0000}"/>
    <cellStyle name="Porcentagem 2 21 2" xfId="4044" xr:uid="{00000000-0005-0000-0000-0000D02C0000}"/>
    <cellStyle name="Porcentagem 2 22" xfId="4045" xr:uid="{00000000-0005-0000-0000-0000D12C0000}"/>
    <cellStyle name="Porcentagem 2 22 2" xfId="4046" xr:uid="{00000000-0005-0000-0000-0000D22C0000}"/>
    <cellStyle name="Porcentagem 2 23" xfId="4047" xr:uid="{00000000-0005-0000-0000-0000D32C0000}"/>
    <cellStyle name="Porcentagem 2 23 2" xfId="4048" xr:uid="{00000000-0005-0000-0000-0000D42C0000}"/>
    <cellStyle name="Porcentagem 2 24" xfId="4049" xr:uid="{00000000-0005-0000-0000-0000D52C0000}"/>
    <cellStyle name="Porcentagem 2 25" xfId="4050" xr:uid="{00000000-0005-0000-0000-0000D62C0000}"/>
    <cellStyle name="Porcentagem 2 26" xfId="4051" xr:uid="{00000000-0005-0000-0000-0000D72C0000}"/>
    <cellStyle name="Porcentagem 2 27" xfId="4052" xr:uid="{00000000-0005-0000-0000-0000D82C0000}"/>
    <cellStyle name="Porcentagem 2 28" xfId="8752" xr:uid="{00000000-0005-0000-0000-0000D92C0000}"/>
    <cellStyle name="Porcentagem 2 29" xfId="7412" xr:uid="{00000000-0005-0000-0000-0000DA2C0000}"/>
    <cellStyle name="Porcentagem 2 3" xfId="4053" xr:uid="{00000000-0005-0000-0000-0000DB2C0000}"/>
    <cellStyle name="Porcentagem 2 3 2" xfId="4054" xr:uid="{00000000-0005-0000-0000-0000DC2C0000}"/>
    <cellStyle name="Porcentagem 2 4" xfId="4055" xr:uid="{00000000-0005-0000-0000-0000DD2C0000}"/>
    <cellStyle name="Porcentagem 2 4 2" xfId="4056" xr:uid="{00000000-0005-0000-0000-0000DE2C0000}"/>
    <cellStyle name="Porcentagem 2 4 3" xfId="4057" xr:uid="{00000000-0005-0000-0000-0000DF2C0000}"/>
    <cellStyle name="Porcentagem 2 5" xfId="4058" xr:uid="{00000000-0005-0000-0000-0000E02C0000}"/>
    <cellStyle name="Porcentagem 2 5 2" xfId="4059" xr:uid="{00000000-0005-0000-0000-0000E12C0000}"/>
    <cellStyle name="Porcentagem 2 6" xfId="4060" xr:uid="{00000000-0005-0000-0000-0000E22C0000}"/>
    <cellStyle name="Porcentagem 2 6 2" xfId="4061" xr:uid="{00000000-0005-0000-0000-0000E32C0000}"/>
    <cellStyle name="Porcentagem 2 7" xfId="4062" xr:uid="{00000000-0005-0000-0000-0000E42C0000}"/>
    <cellStyle name="Porcentagem 2 7 2" xfId="4063" xr:uid="{00000000-0005-0000-0000-0000E52C0000}"/>
    <cellStyle name="Porcentagem 2 8" xfId="4064" xr:uid="{00000000-0005-0000-0000-0000E62C0000}"/>
    <cellStyle name="Porcentagem 2 8 2" xfId="4065" xr:uid="{00000000-0005-0000-0000-0000E72C0000}"/>
    <cellStyle name="Porcentagem 2 9" xfId="4066" xr:uid="{00000000-0005-0000-0000-0000E82C0000}"/>
    <cellStyle name="Porcentagem 2 9 2" xfId="4067" xr:uid="{00000000-0005-0000-0000-0000E92C0000}"/>
    <cellStyle name="Porcentagem 3" xfId="126" xr:uid="{00000000-0005-0000-0000-0000EA2C0000}"/>
    <cellStyle name="Porcentagem 3 2" xfId="4068" xr:uid="{00000000-0005-0000-0000-0000EB2C0000}"/>
    <cellStyle name="Porcentagem 3 2 2" xfId="4069" xr:uid="{00000000-0005-0000-0000-0000EC2C0000}"/>
    <cellStyle name="Porcentagem 3 3" xfId="4070" xr:uid="{00000000-0005-0000-0000-0000ED2C0000}"/>
    <cellStyle name="Porcentagem 3 4" xfId="4071" xr:uid="{00000000-0005-0000-0000-0000EE2C0000}"/>
    <cellStyle name="Porcentagem 3 5" xfId="4072" xr:uid="{00000000-0005-0000-0000-0000EF2C0000}"/>
    <cellStyle name="Porcentagem 3 6" xfId="4073" xr:uid="{00000000-0005-0000-0000-0000F02C0000}"/>
    <cellStyle name="Porcentagem 3 7" xfId="4074" xr:uid="{00000000-0005-0000-0000-0000F12C0000}"/>
    <cellStyle name="Porcentagem 3 8" xfId="4075" xr:uid="{00000000-0005-0000-0000-0000F22C0000}"/>
    <cellStyle name="Porcentagem 3 9" xfId="4076" xr:uid="{00000000-0005-0000-0000-0000F32C0000}"/>
    <cellStyle name="Porcentagem 4" xfId="135" xr:uid="{00000000-0005-0000-0000-0000F42C0000}"/>
    <cellStyle name="Porcentagem 4 10" xfId="4077" xr:uid="{00000000-0005-0000-0000-0000F52C0000}"/>
    <cellStyle name="Porcentagem 4 10 2" xfId="10460" xr:uid="{00000000-0005-0000-0000-0000F62C0000}"/>
    <cellStyle name="Porcentagem 4 11" xfId="10618" xr:uid="{00000000-0005-0000-0000-0000F72C0000}"/>
    <cellStyle name="Porcentagem 4 2" xfId="4078" xr:uid="{00000000-0005-0000-0000-0000F82C0000}"/>
    <cellStyle name="Porcentagem 4 2 2" xfId="5809" xr:uid="{00000000-0005-0000-0000-0000F92C0000}"/>
    <cellStyle name="Porcentagem 4 3" xfId="4079" xr:uid="{00000000-0005-0000-0000-0000FA2C0000}"/>
    <cellStyle name="Porcentagem 4 4" xfId="4080" xr:uid="{00000000-0005-0000-0000-0000FB2C0000}"/>
    <cellStyle name="Porcentagem 4 5" xfId="4081" xr:uid="{00000000-0005-0000-0000-0000FC2C0000}"/>
    <cellStyle name="Porcentagem 4 6" xfId="4082" xr:uid="{00000000-0005-0000-0000-0000FD2C0000}"/>
    <cellStyle name="Porcentagem 4 7" xfId="4083" xr:uid="{00000000-0005-0000-0000-0000FE2C0000}"/>
    <cellStyle name="Porcentagem 4 8" xfId="4084" xr:uid="{00000000-0005-0000-0000-0000FF2C0000}"/>
    <cellStyle name="Porcentagem 4 9" xfId="4085" xr:uid="{00000000-0005-0000-0000-0000002D0000}"/>
    <cellStyle name="Porcentagem 5" xfId="4086" xr:uid="{00000000-0005-0000-0000-0000012D0000}"/>
    <cellStyle name="Porcentagem 5 2" xfId="4087" xr:uid="{00000000-0005-0000-0000-0000022D0000}"/>
    <cellStyle name="Porcentagem 5 3" xfId="5106" xr:uid="{00000000-0005-0000-0000-0000032D0000}"/>
    <cellStyle name="Porcentagem 6" xfId="4088" xr:uid="{00000000-0005-0000-0000-0000042D0000}"/>
    <cellStyle name="Porcentagem 6 2" xfId="4089" xr:uid="{00000000-0005-0000-0000-0000052D0000}"/>
    <cellStyle name="Porcentagem 6 2 2" xfId="4090" xr:uid="{00000000-0005-0000-0000-0000062D0000}"/>
    <cellStyle name="Porcentagem 6 2 3" xfId="4091" xr:uid="{00000000-0005-0000-0000-0000072D0000}"/>
    <cellStyle name="Porcentagem 6 2 4" xfId="4092" xr:uid="{00000000-0005-0000-0000-0000082D0000}"/>
    <cellStyle name="Porcentagem 6 2 5" xfId="4093" xr:uid="{00000000-0005-0000-0000-0000092D0000}"/>
    <cellStyle name="Porcentagem 6 2 6" xfId="4094" xr:uid="{00000000-0005-0000-0000-00000A2D0000}"/>
    <cellStyle name="Porcentagem 6 2 7" xfId="4095" xr:uid="{00000000-0005-0000-0000-00000B2D0000}"/>
    <cellStyle name="Porcentagem 6 2 8" xfId="4096" xr:uid="{00000000-0005-0000-0000-00000C2D0000}"/>
    <cellStyle name="Porcentagem 6 3" xfId="4097" xr:uid="{00000000-0005-0000-0000-00000D2D0000}"/>
    <cellStyle name="Porcentagem 6 3 2" xfId="10358" xr:uid="{00000000-0005-0000-0000-00000E2D0000}"/>
    <cellStyle name="Porcentagem 6 3 3" xfId="8757" xr:uid="{00000000-0005-0000-0000-00000F2D0000}"/>
    <cellStyle name="Porcentagem 6 3 4" xfId="11969" xr:uid="{00000000-0005-0000-0000-0000102D0000}"/>
    <cellStyle name="Porcentagem 6 3 5" xfId="13575" xr:uid="{00000000-0005-0000-0000-0000112D0000}"/>
    <cellStyle name="Porcentagem 6 4" xfId="4098" xr:uid="{00000000-0005-0000-0000-0000122D0000}"/>
    <cellStyle name="Porcentagem 6 5" xfId="4099" xr:uid="{00000000-0005-0000-0000-0000132D0000}"/>
    <cellStyle name="Porcentagem 6 6" xfId="4100" xr:uid="{00000000-0005-0000-0000-0000142D0000}"/>
    <cellStyle name="Porcentagem 6 7" xfId="4101" xr:uid="{00000000-0005-0000-0000-0000152D0000}"/>
    <cellStyle name="Porcentagem 6 8" xfId="4102" xr:uid="{00000000-0005-0000-0000-0000162D0000}"/>
    <cellStyle name="Porcentagem 7" xfId="4103" xr:uid="{00000000-0005-0000-0000-0000172D0000}"/>
    <cellStyle name="Porcentagem 7 2" xfId="4104" xr:uid="{00000000-0005-0000-0000-0000182D0000}"/>
    <cellStyle name="Porcentagem 7 3" xfId="5189" xr:uid="{00000000-0005-0000-0000-0000192D0000}"/>
    <cellStyle name="Porcentagem 8" xfId="4105" xr:uid="{00000000-0005-0000-0000-00001A2D0000}"/>
    <cellStyle name="Porcentagem 8 2" xfId="5769" xr:uid="{00000000-0005-0000-0000-00001B2D0000}"/>
    <cellStyle name="Porcentagem 8 2 2" xfId="10359" xr:uid="{00000000-0005-0000-0000-00001C2D0000}"/>
    <cellStyle name="Porcentagem 8 3" xfId="8758" xr:uid="{00000000-0005-0000-0000-00001D2D0000}"/>
    <cellStyle name="Porcentagem 8 4" xfId="11970" xr:uid="{00000000-0005-0000-0000-00001E2D0000}"/>
    <cellStyle name="Porcentagem 8 5" xfId="13576" xr:uid="{00000000-0005-0000-0000-00001F2D0000}"/>
    <cellStyle name="Porcentagem 9" xfId="99" xr:uid="{00000000-0005-0000-0000-0000202D0000}"/>
    <cellStyle name="Porcentagem 9 2" xfId="4106" xr:uid="{00000000-0005-0000-0000-0000212D0000}"/>
    <cellStyle name="Porcentaje" xfId="5107" xr:uid="{00000000-0005-0000-0000-0000222D0000}"/>
    <cellStyle name="PrePop Currency (0)" xfId="5108" xr:uid="{00000000-0005-0000-0000-0000232D0000}"/>
    <cellStyle name="PrePop Currency (2)" xfId="5109" xr:uid="{00000000-0005-0000-0000-0000242D0000}"/>
    <cellStyle name="PrePop Units (0)" xfId="5110" xr:uid="{00000000-0005-0000-0000-0000252D0000}"/>
    <cellStyle name="PrePop Units (1)" xfId="5111" xr:uid="{00000000-0005-0000-0000-0000262D0000}"/>
    <cellStyle name="PrePop Units (2)" xfId="5112" xr:uid="{00000000-0005-0000-0000-0000272D0000}"/>
    <cellStyle name="PROTECTED" xfId="4107" xr:uid="{00000000-0005-0000-0000-0000282D0000}"/>
    <cellStyle name="PSChar" xfId="5113" xr:uid="{00000000-0005-0000-0000-0000292D0000}"/>
    <cellStyle name="PSDate" xfId="5114" xr:uid="{00000000-0005-0000-0000-00002A2D0000}"/>
    <cellStyle name="Punto0" xfId="5115" xr:uid="{00000000-0005-0000-0000-00002B2D0000}"/>
    <cellStyle name="Quadro" xfId="4108" xr:uid="{00000000-0005-0000-0000-00002C2D0000}"/>
    <cellStyle name="Quadro 2" xfId="4109" xr:uid="{00000000-0005-0000-0000-00002D2D0000}"/>
    <cellStyle name="Quadro 3" xfId="4110" xr:uid="{00000000-0005-0000-0000-00002E2D0000}"/>
    <cellStyle name="Quadro 4" xfId="4111" xr:uid="{00000000-0005-0000-0000-00002F2D0000}"/>
    <cellStyle name="Red font" xfId="4112" xr:uid="{00000000-0005-0000-0000-0000302D0000}"/>
    <cellStyle name="Red Text" xfId="5116" xr:uid="{00000000-0005-0000-0000-0000312D0000}"/>
    <cellStyle name="RevList" xfId="4113" xr:uid="{00000000-0005-0000-0000-0000322D0000}"/>
    <cellStyle name="RevList 2" xfId="5117" xr:uid="{00000000-0005-0000-0000-0000332D0000}"/>
    <cellStyle name="Saída" xfId="77" xr:uid="{00000000-0005-0000-0000-0000352D0000}"/>
    <cellStyle name="Saída 10" xfId="5577" xr:uid="{00000000-0005-0000-0000-0000362D0000}"/>
    <cellStyle name="Saída 11" xfId="5498" xr:uid="{00000000-0005-0000-0000-0000372D0000}"/>
    <cellStyle name="Saída 12" xfId="5589" xr:uid="{00000000-0005-0000-0000-0000382D0000}"/>
    <cellStyle name="Saída 13" xfId="5481" xr:uid="{00000000-0005-0000-0000-0000392D0000}"/>
    <cellStyle name="Saída 14" xfId="5616" xr:uid="{00000000-0005-0000-0000-00003A2D0000}"/>
    <cellStyle name="Saída 15" xfId="5733" xr:uid="{00000000-0005-0000-0000-00003B2D0000}"/>
    <cellStyle name="Saída 16" xfId="5691" xr:uid="{00000000-0005-0000-0000-00003C2D0000}"/>
    <cellStyle name="Saída 17" xfId="5777" xr:uid="{00000000-0005-0000-0000-00003D2D0000}"/>
    <cellStyle name="Saída 18" xfId="10597" xr:uid="{00000000-0005-0000-0000-00003E2D0000}"/>
    <cellStyle name="Saída 2" xfId="5118" xr:uid="{00000000-0005-0000-0000-00003F2D0000}"/>
    <cellStyle name="Saída 2 2" xfId="6978" xr:uid="{00000000-0005-0000-0000-0000402D0000}"/>
    <cellStyle name="Saída 2 2 2" xfId="6979" xr:uid="{00000000-0005-0000-0000-0000412D0000}"/>
    <cellStyle name="Saída 2 2 2 2" xfId="6980" xr:uid="{00000000-0005-0000-0000-0000422D0000}"/>
    <cellStyle name="Saída 2 2 2 2 2" xfId="6981" xr:uid="{00000000-0005-0000-0000-0000432D0000}"/>
    <cellStyle name="Saída 2 2 2 2 2 2" xfId="6982" xr:uid="{00000000-0005-0000-0000-0000442D0000}"/>
    <cellStyle name="Saída 2 2 2 2 2 2 2" xfId="6983" xr:uid="{00000000-0005-0000-0000-0000452D0000}"/>
    <cellStyle name="Saída 2 2 2 2 2 2 2 2" xfId="6984" xr:uid="{00000000-0005-0000-0000-0000462D0000}"/>
    <cellStyle name="Saída 2 2 2 2 2 2 3" xfId="6985" xr:uid="{00000000-0005-0000-0000-0000472D0000}"/>
    <cellStyle name="Saída 2 2 2 2 2 3" xfId="6986" xr:uid="{00000000-0005-0000-0000-0000482D0000}"/>
    <cellStyle name="Saída 2 2 2 2 2 3 2" xfId="6987" xr:uid="{00000000-0005-0000-0000-0000492D0000}"/>
    <cellStyle name="Saída 2 2 2 2 3" xfId="6988" xr:uid="{00000000-0005-0000-0000-00004A2D0000}"/>
    <cellStyle name="Saída 2 2 2 2 3 2" xfId="6989" xr:uid="{00000000-0005-0000-0000-00004B2D0000}"/>
    <cellStyle name="Saída 2 2 2 3" xfId="6990" xr:uid="{00000000-0005-0000-0000-00004C2D0000}"/>
    <cellStyle name="Saída 2 2 2 4" xfId="6991" xr:uid="{00000000-0005-0000-0000-00004D2D0000}"/>
    <cellStyle name="Saída 2 2 2 4 2" xfId="6992" xr:uid="{00000000-0005-0000-0000-00004E2D0000}"/>
    <cellStyle name="Saída 2 2 3" xfId="6993" xr:uid="{00000000-0005-0000-0000-00004F2D0000}"/>
    <cellStyle name="Saída 2 2 4" xfId="6994" xr:uid="{00000000-0005-0000-0000-0000502D0000}"/>
    <cellStyle name="Saída 2 2 4 2" xfId="6995" xr:uid="{00000000-0005-0000-0000-0000512D0000}"/>
    <cellStyle name="Saída 2 3" xfId="6996" xr:uid="{00000000-0005-0000-0000-0000522D0000}"/>
    <cellStyle name="Saída 2 4" xfId="6997" xr:uid="{00000000-0005-0000-0000-0000532D0000}"/>
    <cellStyle name="Saída 2 5" xfId="6998" xr:uid="{00000000-0005-0000-0000-0000542D0000}"/>
    <cellStyle name="Saída 2 6" xfId="6999" xr:uid="{00000000-0005-0000-0000-0000552D0000}"/>
    <cellStyle name="Saída 2 6 2" xfId="7000" xr:uid="{00000000-0005-0000-0000-0000562D0000}"/>
    <cellStyle name="Saída 2 7" xfId="6977" xr:uid="{00000000-0005-0000-0000-0000572D0000}"/>
    <cellStyle name="Saída 3" xfId="5312" xr:uid="{00000000-0005-0000-0000-0000582D0000}"/>
    <cellStyle name="Saída 3 2" xfId="7002" xr:uid="{00000000-0005-0000-0000-0000592D0000}"/>
    <cellStyle name="Saída 3 3" xfId="7003" xr:uid="{00000000-0005-0000-0000-00005A2D0000}"/>
    <cellStyle name="Saída 3 4" xfId="7004" xr:uid="{00000000-0005-0000-0000-00005B2D0000}"/>
    <cellStyle name="Saída 3 5" xfId="7001" xr:uid="{00000000-0005-0000-0000-00005C2D0000}"/>
    <cellStyle name="Saída 4" xfId="5221" xr:uid="{00000000-0005-0000-0000-00005D2D0000}"/>
    <cellStyle name="Saída 4 2" xfId="7006" xr:uid="{00000000-0005-0000-0000-00005E2D0000}"/>
    <cellStyle name="Saída 4 3" xfId="7007" xr:uid="{00000000-0005-0000-0000-00005F2D0000}"/>
    <cellStyle name="Saída 4 4" xfId="7005" xr:uid="{00000000-0005-0000-0000-0000602D0000}"/>
    <cellStyle name="Saída 5" xfId="5323" xr:uid="{00000000-0005-0000-0000-0000612D0000}"/>
    <cellStyle name="Saída 5 2" xfId="7009" xr:uid="{00000000-0005-0000-0000-0000622D0000}"/>
    <cellStyle name="Saída 5 3" xfId="7008" xr:uid="{00000000-0005-0000-0000-0000632D0000}"/>
    <cellStyle name="Saída 6" xfId="5198" xr:uid="{00000000-0005-0000-0000-0000642D0000}"/>
    <cellStyle name="Saída 6 2" xfId="7011" xr:uid="{00000000-0005-0000-0000-0000652D0000}"/>
    <cellStyle name="Saída 6 3" xfId="7372" xr:uid="{00000000-0005-0000-0000-0000662D0000}"/>
    <cellStyle name="Saída 6 4" xfId="7010" xr:uid="{00000000-0005-0000-0000-0000672D0000}"/>
    <cellStyle name="Saída 7" xfId="5353" xr:uid="{00000000-0005-0000-0000-0000682D0000}"/>
    <cellStyle name="Saída 7 2" xfId="7373" xr:uid="{00000000-0005-0000-0000-0000692D0000}"/>
    <cellStyle name="Saída 7 3" xfId="7012" xr:uid="{00000000-0005-0000-0000-00006A2D0000}"/>
    <cellStyle name="Saída 8" xfId="5382" xr:uid="{00000000-0005-0000-0000-00006B2D0000}"/>
    <cellStyle name="Saída 9" xfId="5409" xr:uid="{00000000-0005-0000-0000-00006C2D0000}"/>
    <cellStyle name="Salida" xfId="4114" xr:uid="{00000000-0005-0000-0000-00006D2D0000}"/>
    <cellStyle name="Salida 2" xfId="4115" xr:uid="{00000000-0005-0000-0000-00006E2D0000}"/>
    <cellStyle name="Salida 2 2" xfId="4116" xr:uid="{00000000-0005-0000-0000-00006F2D0000}"/>
    <cellStyle name="Salida 2 2 2" xfId="10580" xr:uid="{00000000-0005-0000-0000-0000702D0000}"/>
    <cellStyle name="Salida 2 3" xfId="10579" xr:uid="{00000000-0005-0000-0000-0000712D0000}"/>
    <cellStyle name="Salida 3" xfId="4117" xr:uid="{00000000-0005-0000-0000-0000722D0000}"/>
    <cellStyle name="Salida 3 2" xfId="4118" xr:uid="{00000000-0005-0000-0000-0000732D0000}"/>
    <cellStyle name="Salida 3 2 2" xfId="10582" xr:uid="{00000000-0005-0000-0000-0000742D0000}"/>
    <cellStyle name="Salida 3 3" xfId="10581" xr:uid="{00000000-0005-0000-0000-0000752D0000}"/>
    <cellStyle name="Salida 4" xfId="4119" xr:uid="{00000000-0005-0000-0000-0000762D0000}"/>
    <cellStyle name="Salida 4 2" xfId="10583" xr:uid="{00000000-0005-0000-0000-0000772D0000}"/>
    <cellStyle name="Salida 5" xfId="10578" xr:uid="{00000000-0005-0000-0000-0000782D0000}"/>
    <cellStyle name="Salomon Logo" xfId="5119" xr:uid="{00000000-0005-0000-0000-0000792D0000}"/>
    <cellStyle name="SelectFormat" xfId="5120" xr:uid="{00000000-0005-0000-0000-00007A2D0000}"/>
    <cellStyle name="Sep. milhar [0]" xfId="4120" xr:uid="{00000000-0005-0000-0000-00007B2D0000}"/>
    <cellStyle name="Separador de milhares 10" xfId="4121" xr:uid="{00000000-0005-0000-0000-00007C2D0000}"/>
    <cellStyle name="Separador de milhares 10 10" xfId="8759" xr:uid="{00000000-0005-0000-0000-00007D2D0000}"/>
    <cellStyle name="Separador de milhares 10 11" xfId="11971" xr:uid="{00000000-0005-0000-0000-00007E2D0000}"/>
    <cellStyle name="Separador de milhares 10 12" xfId="13577" xr:uid="{00000000-0005-0000-0000-00007F2D0000}"/>
    <cellStyle name="Separador de milhares 10 2" xfId="4122" xr:uid="{00000000-0005-0000-0000-0000802D0000}"/>
    <cellStyle name="Separador de milhares 10 2 2" xfId="4123" xr:uid="{00000000-0005-0000-0000-0000812D0000}"/>
    <cellStyle name="Separador de milhares 10 2 2 2" xfId="8761" xr:uid="{00000000-0005-0000-0000-0000822D0000}"/>
    <cellStyle name="Separador de milhares 10 2 2 3" xfId="11973" xr:uid="{00000000-0005-0000-0000-0000832D0000}"/>
    <cellStyle name="Separador de milhares 10 2 2 4" xfId="13579" xr:uid="{00000000-0005-0000-0000-0000842D0000}"/>
    <cellStyle name="Separador de milhares 10 2 3" xfId="8760" xr:uid="{00000000-0005-0000-0000-0000852D0000}"/>
    <cellStyle name="Separador de milhares 10 2 4" xfId="11972" xr:uid="{00000000-0005-0000-0000-0000862D0000}"/>
    <cellStyle name="Separador de milhares 10 2 5" xfId="13578" xr:uid="{00000000-0005-0000-0000-0000872D0000}"/>
    <cellStyle name="Separador de milhares 10 3" xfId="4124" xr:uid="{00000000-0005-0000-0000-0000882D0000}"/>
    <cellStyle name="Separador de milhares 10 3 2" xfId="4125" xr:uid="{00000000-0005-0000-0000-0000892D0000}"/>
    <cellStyle name="Separador de milhares 10 3 2 2" xfId="8763" xr:uid="{00000000-0005-0000-0000-00008A2D0000}"/>
    <cellStyle name="Separador de milhares 10 3 2 3" xfId="11975" xr:uid="{00000000-0005-0000-0000-00008B2D0000}"/>
    <cellStyle name="Separador de milhares 10 3 2 4" xfId="13581" xr:uid="{00000000-0005-0000-0000-00008C2D0000}"/>
    <cellStyle name="Separador de milhares 10 3 3" xfId="8762" xr:uid="{00000000-0005-0000-0000-00008D2D0000}"/>
    <cellStyle name="Separador de milhares 10 3 4" xfId="11974" xr:uid="{00000000-0005-0000-0000-00008E2D0000}"/>
    <cellStyle name="Separador de milhares 10 3 5" xfId="13580" xr:uid="{00000000-0005-0000-0000-00008F2D0000}"/>
    <cellStyle name="Separador de milhares 10 4" xfId="4126" xr:uid="{00000000-0005-0000-0000-0000902D0000}"/>
    <cellStyle name="Separador de milhares 10 4 2" xfId="8764" xr:uid="{00000000-0005-0000-0000-0000912D0000}"/>
    <cellStyle name="Separador de milhares 10 4 3" xfId="11976" xr:uid="{00000000-0005-0000-0000-0000922D0000}"/>
    <cellStyle name="Separador de milhares 10 4 4" xfId="13582" xr:uid="{00000000-0005-0000-0000-0000932D0000}"/>
    <cellStyle name="Separador de milhares 10 5" xfId="4127" xr:uid="{00000000-0005-0000-0000-0000942D0000}"/>
    <cellStyle name="Separador de milhares 10 5 2" xfId="8765" xr:uid="{00000000-0005-0000-0000-0000952D0000}"/>
    <cellStyle name="Separador de milhares 10 5 3" xfId="11977" xr:uid="{00000000-0005-0000-0000-0000962D0000}"/>
    <cellStyle name="Separador de milhares 10 5 4" xfId="13583" xr:uid="{00000000-0005-0000-0000-0000972D0000}"/>
    <cellStyle name="Separador de milhares 10 6" xfId="4128" xr:uid="{00000000-0005-0000-0000-0000982D0000}"/>
    <cellStyle name="Separador de milhares 10 6 2" xfId="8766" xr:uid="{00000000-0005-0000-0000-0000992D0000}"/>
    <cellStyle name="Separador de milhares 10 6 3" xfId="11978" xr:uid="{00000000-0005-0000-0000-00009A2D0000}"/>
    <cellStyle name="Separador de milhares 10 6 4" xfId="13584" xr:uid="{00000000-0005-0000-0000-00009B2D0000}"/>
    <cellStyle name="Separador de milhares 10 7" xfId="4129" xr:uid="{00000000-0005-0000-0000-00009C2D0000}"/>
    <cellStyle name="Separador de milhares 10 7 2" xfId="8767" xr:uid="{00000000-0005-0000-0000-00009D2D0000}"/>
    <cellStyle name="Separador de milhares 10 7 3" xfId="11979" xr:uid="{00000000-0005-0000-0000-00009E2D0000}"/>
    <cellStyle name="Separador de milhares 10 7 4" xfId="13585" xr:uid="{00000000-0005-0000-0000-00009F2D0000}"/>
    <cellStyle name="Separador de milhares 10 8" xfId="4130" xr:uid="{00000000-0005-0000-0000-0000A02D0000}"/>
    <cellStyle name="Separador de milhares 10 8 2" xfId="8768" xr:uid="{00000000-0005-0000-0000-0000A12D0000}"/>
    <cellStyle name="Separador de milhares 10 8 3" xfId="11980" xr:uid="{00000000-0005-0000-0000-0000A22D0000}"/>
    <cellStyle name="Separador de milhares 10 8 4" xfId="13586" xr:uid="{00000000-0005-0000-0000-0000A32D0000}"/>
    <cellStyle name="Separador de milhares 10 9" xfId="10360" xr:uid="{00000000-0005-0000-0000-0000A42D0000}"/>
    <cellStyle name="Separador de milhares 11" xfId="4131" xr:uid="{00000000-0005-0000-0000-0000A52D0000}"/>
    <cellStyle name="Separador de milhares 11 10" xfId="8769" xr:uid="{00000000-0005-0000-0000-0000A62D0000}"/>
    <cellStyle name="Separador de milhares 11 11" xfId="11981" xr:uid="{00000000-0005-0000-0000-0000A72D0000}"/>
    <cellStyle name="Separador de milhares 11 12" xfId="13587" xr:uid="{00000000-0005-0000-0000-0000A82D0000}"/>
    <cellStyle name="Separador de milhares 11 2" xfId="4132" xr:uid="{00000000-0005-0000-0000-0000A92D0000}"/>
    <cellStyle name="Separador de milhares 11 2 2" xfId="4133" xr:uid="{00000000-0005-0000-0000-0000AA2D0000}"/>
    <cellStyle name="Separador de milhares 11 2 2 2" xfId="10363" xr:uid="{00000000-0005-0000-0000-0000AB2D0000}"/>
    <cellStyle name="Separador de milhares 11 2 2 3" xfId="8771" xr:uid="{00000000-0005-0000-0000-0000AC2D0000}"/>
    <cellStyle name="Separador de milhares 11 2 2 4" xfId="11983" xr:uid="{00000000-0005-0000-0000-0000AD2D0000}"/>
    <cellStyle name="Separador de milhares 11 2 2 5" xfId="13589" xr:uid="{00000000-0005-0000-0000-0000AE2D0000}"/>
    <cellStyle name="Separador de milhares 11 2 3" xfId="4134" xr:uid="{00000000-0005-0000-0000-0000AF2D0000}"/>
    <cellStyle name="Separador de milhares 11 2 3 2" xfId="10364" xr:uid="{00000000-0005-0000-0000-0000B02D0000}"/>
    <cellStyle name="Separador de milhares 11 2 3 3" xfId="8772" xr:uid="{00000000-0005-0000-0000-0000B12D0000}"/>
    <cellStyle name="Separador de milhares 11 2 3 4" xfId="11984" xr:uid="{00000000-0005-0000-0000-0000B22D0000}"/>
    <cellStyle name="Separador de milhares 11 2 3 5" xfId="13590" xr:uid="{00000000-0005-0000-0000-0000B32D0000}"/>
    <cellStyle name="Separador de milhares 11 2 4" xfId="4135" xr:uid="{00000000-0005-0000-0000-0000B42D0000}"/>
    <cellStyle name="Separador de milhares 11 2 4 2" xfId="10365" xr:uid="{00000000-0005-0000-0000-0000B52D0000}"/>
    <cellStyle name="Separador de milhares 11 2 4 3" xfId="8773" xr:uid="{00000000-0005-0000-0000-0000B62D0000}"/>
    <cellStyle name="Separador de milhares 11 2 4 4" xfId="11985" xr:uid="{00000000-0005-0000-0000-0000B72D0000}"/>
    <cellStyle name="Separador de milhares 11 2 4 5" xfId="13591" xr:uid="{00000000-0005-0000-0000-0000B82D0000}"/>
    <cellStyle name="Separador de milhares 11 2 5" xfId="10362" xr:uid="{00000000-0005-0000-0000-0000B92D0000}"/>
    <cellStyle name="Separador de milhares 11 2 6" xfId="8770" xr:uid="{00000000-0005-0000-0000-0000BA2D0000}"/>
    <cellStyle name="Separador de milhares 11 2 7" xfId="11982" xr:uid="{00000000-0005-0000-0000-0000BB2D0000}"/>
    <cellStyle name="Separador de milhares 11 2 8" xfId="13588" xr:uid="{00000000-0005-0000-0000-0000BC2D0000}"/>
    <cellStyle name="Separador de milhares 11 3" xfId="4136" xr:uid="{00000000-0005-0000-0000-0000BD2D0000}"/>
    <cellStyle name="Separador de milhares 11 3 2" xfId="4137" xr:uid="{00000000-0005-0000-0000-0000BE2D0000}"/>
    <cellStyle name="Separador de milhares 11 3 2 2" xfId="10367" xr:uid="{00000000-0005-0000-0000-0000BF2D0000}"/>
    <cellStyle name="Separador de milhares 11 3 2 3" xfId="8775" xr:uid="{00000000-0005-0000-0000-0000C02D0000}"/>
    <cellStyle name="Separador de milhares 11 3 2 4" xfId="11987" xr:uid="{00000000-0005-0000-0000-0000C12D0000}"/>
    <cellStyle name="Separador de milhares 11 3 2 5" xfId="13593" xr:uid="{00000000-0005-0000-0000-0000C22D0000}"/>
    <cellStyle name="Separador de milhares 11 3 3" xfId="4138" xr:uid="{00000000-0005-0000-0000-0000C32D0000}"/>
    <cellStyle name="Separador de milhares 11 3 3 2" xfId="10368" xr:uid="{00000000-0005-0000-0000-0000C42D0000}"/>
    <cellStyle name="Separador de milhares 11 3 3 3" xfId="8776" xr:uid="{00000000-0005-0000-0000-0000C52D0000}"/>
    <cellStyle name="Separador de milhares 11 3 3 4" xfId="11988" xr:uid="{00000000-0005-0000-0000-0000C62D0000}"/>
    <cellStyle name="Separador de milhares 11 3 3 5" xfId="13594" xr:uid="{00000000-0005-0000-0000-0000C72D0000}"/>
    <cellStyle name="Separador de milhares 11 3 4" xfId="4139" xr:uid="{00000000-0005-0000-0000-0000C82D0000}"/>
    <cellStyle name="Separador de milhares 11 3 4 2" xfId="10369" xr:uid="{00000000-0005-0000-0000-0000C92D0000}"/>
    <cellStyle name="Separador de milhares 11 3 4 3" xfId="8777" xr:uid="{00000000-0005-0000-0000-0000CA2D0000}"/>
    <cellStyle name="Separador de milhares 11 3 4 4" xfId="11989" xr:uid="{00000000-0005-0000-0000-0000CB2D0000}"/>
    <cellStyle name="Separador de milhares 11 3 4 5" xfId="13595" xr:uid="{00000000-0005-0000-0000-0000CC2D0000}"/>
    <cellStyle name="Separador de milhares 11 3 5" xfId="10366" xr:uid="{00000000-0005-0000-0000-0000CD2D0000}"/>
    <cellStyle name="Separador de milhares 11 3 6" xfId="8774" xr:uid="{00000000-0005-0000-0000-0000CE2D0000}"/>
    <cellStyle name="Separador de milhares 11 3 7" xfId="11986" xr:uid="{00000000-0005-0000-0000-0000CF2D0000}"/>
    <cellStyle name="Separador de milhares 11 3 8" xfId="13592" xr:uid="{00000000-0005-0000-0000-0000D02D0000}"/>
    <cellStyle name="Separador de milhares 11 4" xfId="4140" xr:uid="{00000000-0005-0000-0000-0000D12D0000}"/>
    <cellStyle name="Separador de milhares 11 4 2" xfId="10370" xr:uid="{00000000-0005-0000-0000-0000D22D0000}"/>
    <cellStyle name="Separador de milhares 11 4 3" xfId="8778" xr:uid="{00000000-0005-0000-0000-0000D32D0000}"/>
    <cellStyle name="Separador de milhares 11 4 4" xfId="11990" xr:uid="{00000000-0005-0000-0000-0000D42D0000}"/>
    <cellStyle name="Separador de milhares 11 4 5" xfId="13596" xr:uid="{00000000-0005-0000-0000-0000D52D0000}"/>
    <cellStyle name="Separador de milhares 11 5" xfId="4141" xr:uid="{00000000-0005-0000-0000-0000D62D0000}"/>
    <cellStyle name="Separador de milhares 11 5 2" xfId="10371" xr:uid="{00000000-0005-0000-0000-0000D72D0000}"/>
    <cellStyle name="Separador de milhares 11 5 3" xfId="8779" xr:uid="{00000000-0005-0000-0000-0000D82D0000}"/>
    <cellStyle name="Separador de milhares 11 5 4" xfId="11991" xr:uid="{00000000-0005-0000-0000-0000D92D0000}"/>
    <cellStyle name="Separador de milhares 11 5 5" xfId="13597" xr:uid="{00000000-0005-0000-0000-0000DA2D0000}"/>
    <cellStyle name="Separador de milhares 11 6" xfId="4142" xr:uid="{00000000-0005-0000-0000-0000DB2D0000}"/>
    <cellStyle name="Separador de milhares 11 6 2" xfId="10372" xr:uid="{00000000-0005-0000-0000-0000DC2D0000}"/>
    <cellStyle name="Separador de milhares 11 6 3" xfId="8780" xr:uid="{00000000-0005-0000-0000-0000DD2D0000}"/>
    <cellStyle name="Separador de milhares 11 6 4" xfId="11992" xr:uid="{00000000-0005-0000-0000-0000DE2D0000}"/>
    <cellStyle name="Separador de milhares 11 6 5" xfId="13598" xr:uid="{00000000-0005-0000-0000-0000DF2D0000}"/>
    <cellStyle name="Separador de milhares 11 7" xfId="4143" xr:uid="{00000000-0005-0000-0000-0000E02D0000}"/>
    <cellStyle name="Separador de milhares 11 7 2" xfId="10373" xr:uid="{00000000-0005-0000-0000-0000E12D0000}"/>
    <cellStyle name="Separador de milhares 11 7 3" xfId="8781" xr:uid="{00000000-0005-0000-0000-0000E22D0000}"/>
    <cellStyle name="Separador de milhares 11 7 4" xfId="11993" xr:uid="{00000000-0005-0000-0000-0000E32D0000}"/>
    <cellStyle name="Separador de milhares 11 7 5" xfId="13599" xr:uid="{00000000-0005-0000-0000-0000E42D0000}"/>
    <cellStyle name="Separador de milhares 11 8" xfId="4144" xr:uid="{00000000-0005-0000-0000-0000E52D0000}"/>
    <cellStyle name="Separador de milhares 11 8 2" xfId="10374" xr:uid="{00000000-0005-0000-0000-0000E62D0000}"/>
    <cellStyle name="Separador de milhares 11 8 3" xfId="8782" xr:uid="{00000000-0005-0000-0000-0000E72D0000}"/>
    <cellStyle name="Separador de milhares 11 8 4" xfId="11994" xr:uid="{00000000-0005-0000-0000-0000E82D0000}"/>
    <cellStyle name="Separador de milhares 11 8 5" xfId="13600" xr:uid="{00000000-0005-0000-0000-0000E92D0000}"/>
    <cellStyle name="Separador de milhares 11 9" xfId="10361" xr:uid="{00000000-0005-0000-0000-0000EA2D0000}"/>
    <cellStyle name="Separador de milhares 12" xfId="4145" xr:uid="{00000000-0005-0000-0000-0000EB2D0000}"/>
    <cellStyle name="Separador de milhares 12 10" xfId="8783" xr:uid="{00000000-0005-0000-0000-0000EC2D0000}"/>
    <cellStyle name="Separador de milhares 12 11" xfId="11995" xr:uid="{00000000-0005-0000-0000-0000ED2D0000}"/>
    <cellStyle name="Separador de milhares 12 12" xfId="13601" xr:uid="{00000000-0005-0000-0000-0000EE2D0000}"/>
    <cellStyle name="Separador de milhares 12 2" xfId="4146" xr:uid="{00000000-0005-0000-0000-0000EF2D0000}"/>
    <cellStyle name="Separador de milhares 12 2 2" xfId="4147" xr:uid="{00000000-0005-0000-0000-0000F02D0000}"/>
    <cellStyle name="Separador de milhares 12 2 2 2" xfId="10377" xr:uid="{00000000-0005-0000-0000-0000F12D0000}"/>
    <cellStyle name="Separador de milhares 12 2 2 3" xfId="8785" xr:uid="{00000000-0005-0000-0000-0000F22D0000}"/>
    <cellStyle name="Separador de milhares 12 2 2 4" xfId="11997" xr:uid="{00000000-0005-0000-0000-0000F32D0000}"/>
    <cellStyle name="Separador de milhares 12 2 2 5" xfId="13603" xr:uid="{00000000-0005-0000-0000-0000F42D0000}"/>
    <cellStyle name="Separador de milhares 12 2 3" xfId="4148" xr:uid="{00000000-0005-0000-0000-0000F52D0000}"/>
    <cellStyle name="Separador de milhares 12 2 3 2" xfId="10378" xr:uid="{00000000-0005-0000-0000-0000F62D0000}"/>
    <cellStyle name="Separador de milhares 12 2 3 3" xfId="8786" xr:uid="{00000000-0005-0000-0000-0000F72D0000}"/>
    <cellStyle name="Separador de milhares 12 2 3 4" xfId="11998" xr:uid="{00000000-0005-0000-0000-0000F82D0000}"/>
    <cellStyle name="Separador de milhares 12 2 3 5" xfId="13604" xr:uid="{00000000-0005-0000-0000-0000F92D0000}"/>
    <cellStyle name="Separador de milhares 12 2 4" xfId="4149" xr:uid="{00000000-0005-0000-0000-0000FA2D0000}"/>
    <cellStyle name="Separador de milhares 12 2 4 2" xfId="10379" xr:uid="{00000000-0005-0000-0000-0000FB2D0000}"/>
    <cellStyle name="Separador de milhares 12 2 4 3" xfId="8787" xr:uid="{00000000-0005-0000-0000-0000FC2D0000}"/>
    <cellStyle name="Separador de milhares 12 2 4 4" xfId="11999" xr:uid="{00000000-0005-0000-0000-0000FD2D0000}"/>
    <cellStyle name="Separador de milhares 12 2 4 5" xfId="13605" xr:uid="{00000000-0005-0000-0000-0000FE2D0000}"/>
    <cellStyle name="Separador de milhares 12 2 5" xfId="4150" xr:uid="{00000000-0005-0000-0000-0000FF2D0000}"/>
    <cellStyle name="Separador de milhares 12 2 5 2" xfId="10380" xr:uid="{00000000-0005-0000-0000-0000002E0000}"/>
    <cellStyle name="Separador de milhares 12 2 5 3" xfId="8788" xr:uid="{00000000-0005-0000-0000-0000012E0000}"/>
    <cellStyle name="Separador de milhares 12 2 5 4" xfId="12000" xr:uid="{00000000-0005-0000-0000-0000022E0000}"/>
    <cellStyle name="Separador de milhares 12 2 5 5" xfId="13606" xr:uid="{00000000-0005-0000-0000-0000032E0000}"/>
    <cellStyle name="Separador de milhares 12 2 6" xfId="10376" xr:uid="{00000000-0005-0000-0000-0000042E0000}"/>
    <cellStyle name="Separador de milhares 12 2 7" xfId="8784" xr:uid="{00000000-0005-0000-0000-0000052E0000}"/>
    <cellStyle name="Separador de milhares 12 2 8" xfId="11996" xr:uid="{00000000-0005-0000-0000-0000062E0000}"/>
    <cellStyle name="Separador de milhares 12 2 9" xfId="13602" xr:uid="{00000000-0005-0000-0000-0000072E0000}"/>
    <cellStyle name="Separador de milhares 12 3" xfId="4151" xr:uid="{00000000-0005-0000-0000-0000082E0000}"/>
    <cellStyle name="Separador de milhares 12 3 2" xfId="4152" xr:uid="{00000000-0005-0000-0000-0000092E0000}"/>
    <cellStyle name="Separador de milhares 12 3 2 2" xfId="10381" xr:uid="{00000000-0005-0000-0000-00000A2E0000}"/>
    <cellStyle name="Separador de milhares 12 3 2 3" xfId="8790" xr:uid="{00000000-0005-0000-0000-00000B2E0000}"/>
    <cellStyle name="Separador de milhares 12 3 2 4" xfId="12002" xr:uid="{00000000-0005-0000-0000-00000C2E0000}"/>
    <cellStyle name="Separador de milhares 12 3 2 5" xfId="13608" xr:uid="{00000000-0005-0000-0000-00000D2E0000}"/>
    <cellStyle name="Separador de milhares 12 3 3" xfId="4153" xr:uid="{00000000-0005-0000-0000-00000E2E0000}"/>
    <cellStyle name="Separador de milhares 12 3 3 2" xfId="10382" xr:uid="{00000000-0005-0000-0000-00000F2E0000}"/>
    <cellStyle name="Separador de milhares 12 3 3 3" xfId="8791" xr:uid="{00000000-0005-0000-0000-0000102E0000}"/>
    <cellStyle name="Separador de milhares 12 3 3 4" xfId="12003" xr:uid="{00000000-0005-0000-0000-0000112E0000}"/>
    <cellStyle name="Separador de milhares 12 3 3 5" xfId="13609" xr:uid="{00000000-0005-0000-0000-0000122E0000}"/>
    <cellStyle name="Separador de milhares 12 3 4" xfId="4154" xr:uid="{00000000-0005-0000-0000-0000132E0000}"/>
    <cellStyle name="Separador de milhares 12 3 4 2" xfId="10383" xr:uid="{00000000-0005-0000-0000-0000142E0000}"/>
    <cellStyle name="Separador de milhares 12 3 4 3" xfId="8792" xr:uid="{00000000-0005-0000-0000-0000152E0000}"/>
    <cellStyle name="Separador de milhares 12 3 4 4" xfId="12004" xr:uid="{00000000-0005-0000-0000-0000162E0000}"/>
    <cellStyle name="Separador de milhares 12 3 4 5" xfId="13610" xr:uid="{00000000-0005-0000-0000-0000172E0000}"/>
    <cellStyle name="Separador de milhares 12 3 5" xfId="4155" xr:uid="{00000000-0005-0000-0000-0000182E0000}"/>
    <cellStyle name="Separador de milhares 12 3 5 2" xfId="10384" xr:uid="{00000000-0005-0000-0000-0000192E0000}"/>
    <cellStyle name="Separador de milhares 12 3 5 3" xfId="8793" xr:uid="{00000000-0005-0000-0000-00001A2E0000}"/>
    <cellStyle name="Separador de milhares 12 3 5 4" xfId="12005" xr:uid="{00000000-0005-0000-0000-00001B2E0000}"/>
    <cellStyle name="Separador de milhares 12 3 5 5" xfId="13611" xr:uid="{00000000-0005-0000-0000-00001C2E0000}"/>
    <cellStyle name="Separador de milhares 12 3 6" xfId="8789" xr:uid="{00000000-0005-0000-0000-00001D2E0000}"/>
    <cellStyle name="Separador de milhares 12 3 7" xfId="12001" xr:uid="{00000000-0005-0000-0000-00001E2E0000}"/>
    <cellStyle name="Separador de milhares 12 3 8" xfId="13607" xr:uid="{00000000-0005-0000-0000-00001F2E0000}"/>
    <cellStyle name="Separador de milhares 12 4" xfId="4156" xr:uid="{00000000-0005-0000-0000-0000202E0000}"/>
    <cellStyle name="Separador de milhares 12 4 2" xfId="4157" xr:uid="{00000000-0005-0000-0000-0000212E0000}"/>
    <cellStyle name="Separador de milhares 12 4 2 2" xfId="10385" xr:uid="{00000000-0005-0000-0000-0000222E0000}"/>
    <cellStyle name="Separador de milhares 12 4 2 3" xfId="8795" xr:uid="{00000000-0005-0000-0000-0000232E0000}"/>
    <cellStyle name="Separador de milhares 12 4 2 4" xfId="12007" xr:uid="{00000000-0005-0000-0000-0000242E0000}"/>
    <cellStyle name="Separador de milhares 12 4 2 5" xfId="13613" xr:uid="{00000000-0005-0000-0000-0000252E0000}"/>
    <cellStyle name="Separador de milhares 12 4 3" xfId="8794" xr:uid="{00000000-0005-0000-0000-0000262E0000}"/>
    <cellStyle name="Separador de milhares 12 4 4" xfId="12006" xr:uid="{00000000-0005-0000-0000-0000272E0000}"/>
    <cellStyle name="Separador de milhares 12 4 5" xfId="13612" xr:uid="{00000000-0005-0000-0000-0000282E0000}"/>
    <cellStyle name="Separador de milhares 12 5" xfId="4158" xr:uid="{00000000-0005-0000-0000-0000292E0000}"/>
    <cellStyle name="Separador de milhares 12 5 2" xfId="4159" xr:uid="{00000000-0005-0000-0000-00002A2E0000}"/>
    <cellStyle name="Separador de milhares 12 5 2 2" xfId="10386" xr:uid="{00000000-0005-0000-0000-00002B2E0000}"/>
    <cellStyle name="Separador de milhares 12 5 2 3" xfId="8797" xr:uid="{00000000-0005-0000-0000-00002C2E0000}"/>
    <cellStyle name="Separador de milhares 12 5 2 4" xfId="12009" xr:uid="{00000000-0005-0000-0000-00002D2E0000}"/>
    <cellStyle name="Separador de milhares 12 5 2 5" xfId="13615" xr:uid="{00000000-0005-0000-0000-00002E2E0000}"/>
    <cellStyle name="Separador de milhares 12 5 3" xfId="8796" xr:uid="{00000000-0005-0000-0000-00002F2E0000}"/>
    <cellStyle name="Separador de milhares 12 5 4" xfId="12008" xr:uid="{00000000-0005-0000-0000-0000302E0000}"/>
    <cellStyle name="Separador de milhares 12 5 5" xfId="13614" xr:uid="{00000000-0005-0000-0000-0000312E0000}"/>
    <cellStyle name="Separador de milhares 12 6" xfId="4160" xr:uid="{00000000-0005-0000-0000-0000322E0000}"/>
    <cellStyle name="Separador de milhares 12 6 2" xfId="4161" xr:uid="{00000000-0005-0000-0000-0000332E0000}"/>
    <cellStyle name="Separador de milhares 12 6 2 2" xfId="10387" xr:uid="{00000000-0005-0000-0000-0000342E0000}"/>
    <cellStyle name="Separador de milhares 12 6 2 3" xfId="8799" xr:uid="{00000000-0005-0000-0000-0000352E0000}"/>
    <cellStyle name="Separador de milhares 12 6 2 4" xfId="12011" xr:uid="{00000000-0005-0000-0000-0000362E0000}"/>
    <cellStyle name="Separador de milhares 12 6 2 5" xfId="13617" xr:uid="{00000000-0005-0000-0000-0000372E0000}"/>
    <cellStyle name="Separador de milhares 12 6 3" xfId="8798" xr:uid="{00000000-0005-0000-0000-0000382E0000}"/>
    <cellStyle name="Separador de milhares 12 6 4" xfId="12010" xr:uid="{00000000-0005-0000-0000-0000392E0000}"/>
    <cellStyle name="Separador de milhares 12 6 5" xfId="13616" xr:uid="{00000000-0005-0000-0000-00003A2E0000}"/>
    <cellStyle name="Separador de milhares 12 7" xfId="4162" xr:uid="{00000000-0005-0000-0000-00003B2E0000}"/>
    <cellStyle name="Separador de milhares 12 7 2" xfId="8800" xr:uid="{00000000-0005-0000-0000-00003C2E0000}"/>
    <cellStyle name="Separador de milhares 12 7 3" xfId="12012" xr:uid="{00000000-0005-0000-0000-00003D2E0000}"/>
    <cellStyle name="Separador de milhares 12 7 4" xfId="13618" xr:uid="{00000000-0005-0000-0000-00003E2E0000}"/>
    <cellStyle name="Separador de milhares 12 8" xfId="4163" xr:uid="{00000000-0005-0000-0000-00003F2E0000}"/>
    <cellStyle name="Separador de milhares 12 8 2" xfId="10388" xr:uid="{00000000-0005-0000-0000-0000402E0000}"/>
    <cellStyle name="Separador de milhares 12 8 3" xfId="8801" xr:uid="{00000000-0005-0000-0000-0000412E0000}"/>
    <cellStyle name="Separador de milhares 12 8 4" xfId="12013" xr:uid="{00000000-0005-0000-0000-0000422E0000}"/>
    <cellStyle name="Separador de milhares 12 8 5" xfId="13619" xr:uid="{00000000-0005-0000-0000-0000432E0000}"/>
    <cellStyle name="Separador de milhares 12 9" xfId="10375" xr:uid="{00000000-0005-0000-0000-0000442E0000}"/>
    <cellStyle name="Separador de milhares 13" xfId="4164" xr:uid="{00000000-0005-0000-0000-0000452E0000}"/>
    <cellStyle name="Separador de milhares 13 2" xfId="4165" xr:uid="{00000000-0005-0000-0000-0000462E0000}"/>
    <cellStyle name="Separador de milhares 13 2 2" xfId="4166" xr:uid="{00000000-0005-0000-0000-0000472E0000}"/>
    <cellStyle name="Separador de milhares 13 2 2 2" xfId="10390" xr:uid="{00000000-0005-0000-0000-0000482E0000}"/>
    <cellStyle name="Separador de milhares 13 2 2 3" xfId="8804" xr:uid="{00000000-0005-0000-0000-0000492E0000}"/>
    <cellStyle name="Separador de milhares 13 2 2 4" xfId="12016" xr:uid="{00000000-0005-0000-0000-00004A2E0000}"/>
    <cellStyle name="Separador de milhares 13 2 2 5" xfId="13622" xr:uid="{00000000-0005-0000-0000-00004B2E0000}"/>
    <cellStyle name="Separador de milhares 13 2 3" xfId="4167" xr:uid="{00000000-0005-0000-0000-00004C2E0000}"/>
    <cellStyle name="Separador de milhares 13 2 3 2" xfId="10391" xr:uid="{00000000-0005-0000-0000-00004D2E0000}"/>
    <cellStyle name="Separador de milhares 13 2 3 3" xfId="8805" xr:uid="{00000000-0005-0000-0000-00004E2E0000}"/>
    <cellStyle name="Separador de milhares 13 2 3 4" xfId="12017" xr:uid="{00000000-0005-0000-0000-00004F2E0000}"/>
    <cellStyle name="Separador de milhares 13 2 3 5" xfId="13623" xr:uid="{00000000-0005-0000-0000-0000502E0000}"/>
    <cellStyle name="Separador de milhares 13 2 4" xfId="4168" xr:uid="{00000000-0005-0000-0000-0000512E0000}"/>
    <cellStyle name="Separador de milhares 13 2 4 2" xfId="10392" xr:uid="{00000000-0005-0000-0000-0000522E0000}"/>
    <cellStyle name="Separador de milhares 13 2 4 3" xfId="8806" xr:uid="{00000000-0005-0000-0000-0000532E0000}"/>
    <cellStyle name="Separador de milhares 13 2 4 4" xfId="12018" xr:uid="{00000000-0005-0000-0000-0000542E0000}"/>
    <cellStyle name="Separador de milhares 13 2 4 5" xfId="13624" xr:uid="{00000000-0005-0000-0000-0000552E0000}"/>
    <cellStyle name="Separador de milhares 13 2 5" xfId="4169" xr:uid="{00000000-0005-0000-0000-0000562E0000}"/>
    <cellStyle name="Separador de milhares 13 2 5 2" xfId="10393" xr:uid="{00000000-0005-0000-0000-0000572E0000}"/>
    <cellStyle name="Separador de milhares 13 2 5 3" xfId="8807" xr:uid="{00000000-0005-0000-0000-0000582E0000}"/>
    <cellStyle name="Separador de milhares 13 2 5 4" xfId="12019" xr:uid="{00000000-0005-0000-0000-0000592E0000}"/>
    <cellStyle name="Separador de milhares 13 2 5 5" xfId="13625" xr:uid="{00000000-0005-0000-0000-00005A2E0000}"/>
    <cellStyle name="Separador de milhares 13 2 6" xfId="8803" xr:uid="{00000000-0005-0000-0000-00005B2E0000}"/>
    <cellStyle name="Separador de milhares 13 2 7" xfId="12015" xr:uid="{00000000-0005-0000-0000-00005C2E0000}"/>
    <cellStyle name="Separador de milhares 13 2 8" xfId="13621" xr:uid="{00000000-0005-0000-0000-00005D2E0000}"/>
    <cellStyle name="Separador de milhares 13 3" xfId="4170" xr:uid="{00000000-0005-0000-0000-00005E2E0000}"/>
    <cellStyle name="Separador de milhares 13 3 2" xfId="10394" xr:uid="{00000000-0005-0000-0000-00005F2E0000}"/>
    <cellStyle name="Separador de milhares 13 3 3" xfId="8808" xr:uid="{00000000-0005-0000-0000-0000602E0000}"/>
    <cellStyle name="Separador de milhares 13 3 4" xfId="12020" xr:uid="{00000000-0005-0000-0000-0000612E0000}"/>
    <cellStyle name="Separador de milhares 13 3 5" xfId="13626" xr:uid="{00000000-0005-0000-0000-0000622E0000}"/>
    <cellStyle name="Separador de milhares 13 4" xfId="4171" xr:uid="{00000000-0005-0000-0000-0000632E0000}"/>
    <cellStyle name="Separador de milhares 13 4 2" xfId="10395" xr:uid="{00000000-0005-0000-0000-0000642E0000}"/>
    <cellStyle name="Separador de milhares 13 4 3" xfId="8809" xr:uid="{00000000-0005-0000-0000-0000652E0000}"/>
    <cellStyle name="Separador de milhares 13 4 4" xfId="12021" xr:uid="{00000000-0005-0000-0000-0000662E0000}"/>
    <cellStyle name="Separador de milhares 13 4 5" xfId="13627" xr:uid="{00000000-0005-0000-0000-0000672E0000}"/>
    <cellStyle name="Separador de milhares 13 5" xfId="4172" xr:uid="{00000000-0005-0000-0000-0000682E0000}"/>
    <cellStyle name="Separador de milhares 13 5 2" xfId="10396" xr:uid="{00000000-0005-0000-0000-0000692E0000}"/>
    <cellStyle name="Separador de milhares 13 5 3" xfId="8810" xr:uid="{00000000-0005-0000-0000-00006A2E0000}"/>
    <cellStyle name="Separador de milhares 13 5 4" xfId="12022" xr:uid="{00000000-0005-0000-0000-00006B2E0000}"/>
    <cellStyle name="Separador de milhares 13 5 5" xfId="13628" xr:uid="{00000000-0005-0000-0000-00006C2E0000}"/>
    <cellStyle name="Separador de milhares 13 6" xfId="10389" xr:uid="{00000000-0005-0000-0000-00006D2E0000}"/>
    <cellStyle name="Separador de milhares 13 7" xfId="8802" xr:uid="{00000000-0005-0000-0000-00006E2E0000}"/>
    <cellStyle name="Separador de milhares 13 8" xfId="12014" xr:uid="{00000000-0005-0000-0000-00006F2E0000}"/>
    <cellStyle name="Separador de milhares 13 9" xfId="13620" xr:uid="{00000000-0005-0000-0000-0000702E0000}"/>
    <cellStyle name="Separador de milhares 14" xfId="4173" xr:uid="{00000000-0005-0000-0000-0000712E0000}"/>
    <cellStyle name="Separador de milhares 14 10" xfId="13629" xr:uid="{00000000-0005-0000-0000-0000722E0000}"/>
    <cellStyle name="Separador de milhares 14 2" xfId="4174" xr:uid="{00000000-0005-0000-0000-0000732E0000}"/>
    <cellStyle name="Separador de milhares 14 2 2" xfId="4175" xr:uid="{00000000-0005-0000-0000-0000742E0000}"/>
    <cellStyle name="Separador de milhares 14 2 2 2" xfId="8813" xr:uid="{00000000-0005-0000-0000-0000752E0000}"/>
    <cellStyle name="Separador de milhares 14 2 2 3" xfId="12025" xr:uid="{00000000-0005-0000-0000-0000762E0000}"/>
    <cellStyle name="Separador de milhares 14 2 2 4" xfId="13631" xr:uid="{00000000-0005-0000-0000-0000772E0000}"/>
    <cellStyle name="Separador de milhares 14 2 3" xfId="4176" xr:uid="{00000000-0005-0000-0000-0000782E0000}"/>
    <cellStyle name="Separador de milhares 14 2 3 2" xfId="8814" xr:uid="{00000000-0005-0000-0000-0000792E0000}"/>
    <cellStyle name="Separador de milhares 14 2 3 3" xfId="12026" xr:uid="{00000000-0005-0000-0000-00007A2E0000}"/>
    <cellStyle name="Separador de milhares 14 2 3 4" xfId="13632" xr:uid="{00000000-0005-0000-0000-00007B2E0000}"/>
    <cellStyle name="Separador de milhares 14 2 4" xfId="8812" xr:uid="{00000000-0005-0000-0000-00007C2E0000}"/>
    <cellStyle name="Separador de milhares 14 2 5" xfId="12024" xr:uid="{00000000-0005-0000-0000-00007D2E0000}"/>
    <cellStyle name="Separador de milhares 14 2 6" xfId="13630" xr:uid="{00000000-0005-0000-0000-00007E2E0000}"/>
    <cellStyle name="Separador de milhares 14 3" xfId="4177" xr:uid="{00000000-0005-0000-0000-00007F2E0000}"/>
    <cellStyle name="Separador de milhares 14 3 2" xfId="4178" xr:uid="{00000000-0005-0000-0000-0000802E0000}"/>
    <cellStyle name="Separador de milhares 14 3 2 2" xfId="10399" xr:uid="{00000000-0005-0000-0000-0000812E0000}"/>
    <cellStyle name="Separador de milhares 14 3 2 3" xfId="8816" xr:uid="{00000000-0005-0000-0000-0000822E0000}"/>
    <cellStyle name="Separador de milhares 14 3 2 4" xfId="12028" xr:uid="{00000000-0005-0000-0000-0000832E0000}"/>
    <cellStyle name="Separador de milhares 14 3 2 5" xfId="13634" xr:uid="{00000000-0005-0000-0000-0000842E0000}"/>
    <cellStyle name="Separador de milhares 14 3 3" xfId="4179" xr:uid="{00000000-0005-0000-0000-0000852E0000}"/>
    <cellStyle name="Separador de milhares 14 3 3 2" xfId="10400" xr:uid="{00000000-0005-0000-0000-0000862E0000}"/>
    <cellStyle name="Separador de milhares 14 3 3 3" xfId="8817" xr:uid="{00000000-0005-0000-0000-0000872E0000}"/>
    <cellStyle name="Separador de milhares 14 3 3 4" xfId="12029" xr:uid="{00000000-0005-0000-0000-0000882E0000}"/>
    <cellStyle name="Separador de milhares 14 3 3 5" xfId="13635" xr:uid="{00000000-0005-0000-0000-0000892E0000}"/>
    <cellStyle name="Separador de milhares 14 3 4" xfId="4180" xr:uid="{00000000-0005-0000-0000-00008A2E0000}"/>
    <cellStyle name="Separador de milhares 14 3 4 2" xfId="10401" xr:uid="{00000000-0005-0000-0000-00008B2E0000}"/>
    <cellStyle name="Separador de milhares 14 3 4 3" xfId="8818" xr:uid="{00000000-0005-0000-0000-00008C2E0000}"/>
    <cellStyle name="Separador de milhares 14 3 4 4" xfId="12030" xr:uid="{00000000-0005-0000-0000-00008D2E0000}"/>
    <cellStyle name="Separador de milhares 14 3 4 5" xfId="13636" xr:uid="{00000000-0005-0000-0000-00008E2E0000}"/>
    <cellStyle name="Separador de milhares 14 3 5" xfId="10398" xr:uid="{00000000-0005-0000-0000-00008F2E0000}"/>
    <cellStyle name="Separador de milhares 14 3 6" xfId="8815" xr:uid="{00000000-0005-0000-0000-0000902E0000}"/>
    <cellStyle name="Separador de milhares 14 3 7" xfId="12027" xr:uid="{00000000-0005-0000-0000-0000912E0000}"/>
    <cellStyle name="Separador de milhares 14 3 8" xfId="13633" xr:uid="{00000000-0005-0000-0000-0000922E0000}"/>
    <cellStyle name="Separador de milhares 14 4" xfId="4181" xr:uid="{00000000-0005-0000-0000-0000932E0000}"/>
    <cellStyle name="Separador de milhares 14 4 2" xfId="10402" xr:uid="{00000000-0005-0000-0000-0000942E0000}"/>
    <cellStyle name="Separador de milhares 14 4 3" xfId="8819" xr:uid="{00000000-0005-0000-0000-0000952E0000}"/>
    <cellStyle name="Separador de milhares 14 4 4" xfId="12031" xr:uid="{00000000-0005-0000-0000-0000962E0000}"/>
    <cellStyle name="Separador de milhares 14 4 5" xfId="13637" xr:uid="{00000000-0005-0000-0000-0000972E0000}"/>
    <cellStyle name="Separador de milhares 14 5" xfId="4182" xr:uid="{00000000-0005-0000-0000-0000982E0000}"/>
    <cellStyle name="Separador de milhares 14 5 2" xfId="10403" xr:uid="{00000000-0005-0000-0000-0000992E0000}"/>
    <cellStyle name="Separador de milhares 14 5 3" xfId="8820" xr:uid="{00000000-0005-0000-0000-00009A2E0000}"/>
    <cellStyle name="Separador de milhares 14 5 4" xfId="12032" xr:uid="{00000000-0005-0000-0000-00009B2E0000}"/>
    <cellStyle name="Separador de milhares 14 5 5" xfId="13638" xr:uid="{00000000-0005-0000-0000-00009C2E0000}"/>
    <cellStyle name="Separador de milhares 14 6" xfId="4183" xr:uid="{00000000-0005-0000-0000-00009D2E0000}"/>
    <cellStyle name="Separador de milhares 14 6 2" xfId="10404" xr:uid="{00000000-0005-0000-0000-00009E2E0000}"/>
    <cellStyle name="Separador de milhares 14 6 3" xfId="8821" xr:uid="{00000000-0005-0000-0000-00009F2E0000}"/>
    <cellStyle name="Separador de milhares 14 6 4" xfId="12033" xr:uid="{00000000-0005-0000-0000-0000A02E0000}"/>
    <cellStyle name="Separador de milhares 14 6 5" xfId="13639" xr:uid="{00000000-0005-0000-0000-0000A12E0000}"/>
    <cellStyle name="Separador de milhares 14 7" xfId="10397" xr:uid="{00000000-0005-0000-0000-0000A22E0000}"/>
    <cellStyle name="Separador de milhares 14 8" xfId="8811" xr:uid="{00000000-0005-0000-0000-0000A32E0000}"/>
    <cellStyle name="Separador de milhares 14 9" xfId="12023" xr:uid="{00000000-0005-0000-0000-0000A42E0000}"/>
    <cellStyle name="Separador de milhares 15" xfId="4184" xr:uid="{00000000-0005-0000-0000-0000A52E0000}"/>
    <cellStyle name="Separador de milhares 15 2" xfId="4185" xr:uid="{00000000-0005-0000-0000-0000A62E0000}"/>
    <cellStyle name="Separador de milhares 15 2 2" xfId="10406" xr:uid="{00000000-0005-0000-0000-0000A72E0000}"/>
    <cellStyle name="Separador de milhares 15 2 3" xfId="8823" xr:uid="{00000000-0005-0000-0000-0000A82E0000}"/>
    <cellStyle name="Separador de milhares 15 2 4" xfId="12035" xr:uid="{00000000-0005-0000-0000-0000A92E0000}"/>
    <cellStyle name="Separador de milhares 15 2 5" xfId="13641" xr:uid="{00000000-0005-0000-0000-0000AA2E0000}"/>
    <cellStyle name="Separador de milhares 15 3" xfId="10405" xr:uid="{00000000-0005-0000-0000-0000AB2E0000}"/>
    <cellStyle name="Separador de milhares 15 4" xfId="8822" xr:uid="{00000000-0005-0000-0000-0000AC2E0000}"/>
    <cellStyle name="Separador de milhares 15 5" xfId="12034" xr:uid="{00000000-0005-0000-0000-0000AD2E0000}"/>
    <cellStyle name="Separador de milhares 15 6" xfId="13640" xr:uid="{00000000-0005-0000-0000-0000AE2E0000}"/>
    <cellStyle name="Separador de milhares 16" xfId="4186" xr:uid="{00000000-0005-0000-0000-0000AF2E0000}"/>
    <cellStyle name="Separador de milhares 16 2" xfId="4187" xr:uid="{00000000-0005-0000-0000-0000B02E0000}"/>
    <cellStyle name="Separador de milhares 16 2 2" xfId="4188" xr:uid="{00000000-0005-0000-0000-0000B12E0000}"/>
    <cellStyle name="Separador de milhares 16 2 2 2" xfId="8825" xr:uid="{00000000-0005-0000-0000-0000B22E0000}"/>
    <cellStyle name="Separador de milhares 16 2 2 3" xfId="12037" xr:uid="{00000000-0005-0000-0000-0000B32E0000}"/>
    <cellStyle name="Separador de milhares 16 2 2 4" xfId="13643" xr:uid="{00000000-0005-0000-0000-0000B42E0000}"/>
    <cellStyle name="Separador de milhares 16 2 3" xfId="4189" xr:uid="{00000000-0005-0000-0000-0000B52E0000}"/>
    <cellStyle name="Separador de milhares 16 2 3 2" xfId="8826" xr:uid="{00000000-0005-0000-0000-0000B62E0000}"/>
    <cellStyle name="Separador de milhares 16 2 3 3" xfId="12038" xr:uid="{00000000-0005-0000-0000-0000B72E0000}"/>
    <cellStyle name="Separador de milhares 16 2 3 4" xfId="13644" xr:uid="{00000000-0005-0000-0000-0000B82E0000}"/>
    <cellStyle name="Separador de milhares 16 2 4" xfId="8824" xr:uid="{00000000-0005-0000-0000-0000B92E0000}"/>
    <cellStyle name="Separador de milhares 16 2 5" xfId="12036" xr:uid="{00000000-0005-0000-0000-0000BA2E0000}"/>
    <cellStyle name="Separador de milhares 16 2 6" xfId="13642" xr:uid="{00000000-0005-0000-0000-0000BB2E0000}"/>
    <cellStyle name="Separador de milhares 16 3" xfId="4190" xr:uid="{00000000-0005-0000-0000-0000BC2E0000}"/>
    <cellStyle name="Separador de milhares 16 3 2" xfId="10407" xr:uid="{00000000-0005-0000-0000-0000BD2E0000}"/>
    <cellStyle name="Separador de milhares 16 3 3" xfId="8827" xr:uid="{00000000-0005-0000-0000-0000BE2E0000}"/>
    <cellStyle name="Separador de milhares 16 3 4" xfId="12039" xr:uid="{00000000-0005-0000-0000-0000BF2E0000}"/>
    <cellStyle name="Separador de milhares 16 3 5" xfId="13645" xr:uid="{00000000-0005-0000-0000-0000C02E0000}"/>
    <cellStyle name="Separador de milhares 17" xfId="4191" xr:uid="{00000000-0005-0000-0000-0000C12E0000}"/>
    <cellStyle name="Separador de milhares 17 2" xfId="10408" xr:uid="{00000000-0005-0000-0000-0000C22E0000}"/>
    <cellStyle name="Separador de milhares 17 3" xfId="8828" xr:uid="{00000000-0005-0000-0000-0000C32E0000}"/>
    <cellStyle name="Separador de milhares 17 4" xfId="12040" xr:uid="{00000000-0005-0000-0000-0000C42E0000}"/>
    <cellStyle name="Separador de milhares 17 5" xfId="13646" xr:uid="{00000000-0005-0000-0000-0000C52E0000}"/>
    <cellStyle name="Separador de milhares 18" xfId="4885" xr:uid="{00000000-0005-0000-0000-0000C62E0000}"/>
    <cellStyle name="Separador de milhares 18 2" xfId="4192" xr:uid="{00000000-0005-0000-0000-0000C72E0000}"/>
    <cellStyle name="Separador de milhares 18 2 2" xfId="4193" xr:uid="{00000000-0005-0000-0000-0000C82E0000}"/>
    <cellStyle name="Separador de milhares 18 2 2 2" xfId="8830" xr:uid="{00000000-0005-0000-0000-0000C92E0000}"/>
    <cellStyle name="Separador de milhares 18 2 2 3" xfId="12042" xr:uid="{00000000-0005-0000-0000-0000CA2E0000}"/>
    <cellStyle name="Separador de milhares 18 2 2 4" xfId="13648" xr:uid="{00000000-0005-0000-0000-0000CB2E0000}"/>
    <cellStyle name="Separador de milhares 18 2 3" xfId="4194" xr:uid="{00000000-0005-0000-0000-0000CC2E0000}"/>
    <cellStyle name="Separador de milhares 18 2 3 2" xfId="8831" xr:uid="{00000000-0005-0000-0000-0000CD2E0000}"/>
    <cellStyle name="Separador de milhares 18 2 3 3" xfId="12043" xr:uid="{00000000-0005-0000-0000-0000CE2E0000}"/>
    <cellStyle name="Separador de milhares 18 2 3 4" xfId="13649" xr:uid="{00000000-0005-0000-0000-0000CF2E0000}"/>
    <cellStyle name="Separador de milhares 18 2 4" xfId="8829" xr:uid="{00000000-0005-0000-0000-0000D02E0000}"/>
    <cellStyle name="Separador de milhares 18 2 5" xfId="12041" xr:uid="{00000000-0005-0000-0000-0000D12E0000}"/>
    <cellStyle name="Separador de milhares 18 2 6" xfId="13647" xr:uid="{00000000-0005-0000-0000-0000D22E0000}"/>
    <cellStyle name="Separador de milhares 19" xfId="4195" xr:uid="{00000000-0005-0000-0000-0000D32E0000}"/>
    <cellStyle name="Separador de milhares 19 10" xfId="8832" xr:uid="{00000000-0005-0000-0000-0000D42E0000}"/>
    <cellStyle name="Separador de milhares 19 11" xfId="12044" xr:uid="{00000000-0005-0000-0000-0000D52E0000}"/>
    <cellStyle name="Separador de milhares 19 12" xfId="13650" xr:uid="{00000000-0005-0000-0000-0000D62E0000}"/>
    <cellStyle name="Separador de milhares 19 2" xfId="4196" xr:uid="{00000000-0005-0000-0000-0000D72E0000}"/>
    <cellStyle name="Separador de milhares 19 2 2" xfId="4197" xr:uid="{00000000-0005-0000-0000-0000D82E0000}"/>
    <cellStyle name="Separador de milhares 19 2 2 2" xfId="8834" xr:uid="{00000000-0005-0000-0000-0000D92E0000}"/>
    <cellStyle name="Separador de milhares 19 2 2 3" xfId="12046" xr:uid="{00000000-0005-0000-0000-0000DA2E0000}"/>
    <cellStyle name="Separador de milhares 19 2 2 4" xfId="13652" xr:uid="{00000000-0005-0000-0000-0000DB2E0000}"/>
    <cellStyle name="Separador de milhares 19 2 3" xfId="4198" xr:uid="{00000000-0005-0000-0000-0000DC2E0000}"/>
    <cellStyle name="Separador de milhares 19 2 3 2" xfId="8835" xr:uid="{00000000-0005-0000-0000-0000DD2E0000}"/>
    <cellStyle name="Separador de milhares 19 2 3 3" xfId="12047" xr:uid="{00000000-0005-0000-0000-0000DE2E0000}"/>
    <cellStyle name="Separador de milhares 19 2 3 4" xfId="13653" xr:uid="{00000000-0005-0000-0000-0000DF2E0000}"/>
    <cellStyle name="Separador de milhares 19 2 4" xfId="8833" xr:uid="{00000000-0005-0000-0000-0000E02E0000}"/>
    <cellStyle name="Separador de milhares 19 2 5" xfId="12045" xr:uid="{00000000-0005-0000-0000-0000E12E0000}"/>
    <cellStyle name="Separador de milhares 19 2 6" xfId="13651" xr:uid="{00000000-0005-0000-0000-0000E22E0000}"/>
    <cellStyle name="Separador de milhares 19 3" xfId="4199" xr:uid="{00000000-0005-0000-0000-0000E32E0000}"/>
    <cellStyle name="Separador de milhares 19 3 2" xfId="4200" xr:uid="{00000000-0005-0000-0000-0000E42E0000}"/>
    <cellStyle name="Separador de milhares 19 3 2 2" xfId="8837" xr:uid="{00000000-0005-0000-0000-0000E52E0000}"/>
    <cellStyle name="Separador de milhares 19 3 2 3" xfId="12049" xr:uid="{00000000-0005-0000-0000-0000E62E0000}"/>
    <cellStyle name="Separador de milhares 19 3 2 4" xfId="13655" xr:uid="{00000000-0005-0000-0000-0000E72E0000}"/>
    <cellStyle name="Separador de milhares 19 3 3" xfId="4201" xr:uid="{00000000-0005-0000-0000-0000E82E0000}"/>
    <cellStyle name="Separador de milhares 19 3 3 2" xfId="8838" xr:uid="{00000000-0005-0000-0000-0000E92E0000}"/>
    <cellStyle name="Separador de milhares 19 3 3 3" xfId="12050" xr:uid="{00000000-0005-0000-0000-0000EA2E0000}"/>
    <cellStyle name="Separador de milhares 19 3 3 4" xfId="13656" xr:uid="{00000000-0005-0000-0000-0000EB2E0000}"/>
    <cellStyle name="Separador de milhares 19 3 4" xfId="8836" xr:uid="{00000000-0005-0000-0000-0000EC2E0000}"/>
    <cellStyle name="Separador de milhares 19 3 5" xfId="12048" xr:uid="{00000000-0005-0000-0000-0000ED2E0000}"/>
    <cellStyle name="Separador de milhares 19 3 6" xfId="13654" xr:uid="{00000000-0005-0000-0000-0000EE2E0000}"/>
    <cellStyle name="Separador de milhares 19 4" xfId="4202" xr:uid="{00000000-0005-0000-0000-0000EF2E0000}"/>
    <cellStyle name="Separador de milhares 19 4 2" xfId="4203" xr:uid="{00000000-0005-0000-0000-0000F02E0000}"/>
    <cellStyle name="Separador de milhares 19 4 2 2" xfId="8840" xr:uid="{00000000-0005-0000-0000-0000F12E0000}"/>
    <cellStyle name="Separador de milhares 19 4 2 3" xfId="12052" xr:uid="{00000000-0005-0000-0000-0000F22E0000}"/>
    <cellStyle name="Separador de milhares 19 4 2 4" xfId="13658" xr:uid="{00000000-0005-0000-0000-0000F32E0000}"/>
    <cellStyle name="Separador de milhares 19 4 3" xfId="4204" xr:uid="{00000000-0005-0000-0000-0000F42E0000}"/>
    <cellStyle name="Separador de milhares 19 4 3 2" xfId="8841" xr:uid="{00000000-0005-0000-0000-0000F52E0000}"/>
    <cellStyle name="Separador de milhares 19 4 3 3" xfId="12053" xr:uid="{00000000-0005-0000-0000-0000F62E0000}"/>
    <cellStyle name="Separador de milhares 19 4 3 4" xfId="13659" xr:uid="{00000000-0005-0000-0000-0000F72E0000}"/>
    <cellStyle name="Separador de milhares 19 4 4" xfId="8839" xr:uid="{00000000-0005-0000-0000-0000F82E0000}"/>
    <cellStyle name="Separador de milhares 19 4 5" xfId="12051" xr:uid="{00000000-0005-0000-0000-0000F92E0000}"/>
    <cellStyle name="Separador de milhares 19 4 6" xfId="13657" xr:uid="{00000000-0005-0000-0000-0000FA2E0000}"/>
    <cellStyle name="Separador de milhares 19 5" xfId="4205" xr:uid="{00000000-0005-0000-0000-0000FB2E0000}"/>
    <cellStyle name="Separador de milhares 19 5 2" xfId="4206" xr:uid="{00000000-0005-0000-0000-0000FC2E0000}"/>
    <cellStyle name="Separador de milhares 19 5 2 2" xfId="8843" xr:uid="{00000000-0005-0000-0000-0000FD2E0000}"/>
    <cellStyle name="Separador de milhares 19 5 2 3" xfId="12055" xr:uid="{00000000-0005-0000-0000-0000FE2E0000}"/>
    <cellStyle name="Separador de milhares 19 5 2 4" xfId="13661" xr:uid="{00000000-0005-0000-0000-0000FF2E0000}"/>
    <cellStyle name="Separador de milhares 19 5 3" xfId="4207" xr:uid="{00000000-0005-0000-0000-0000002F0000}"/>
    <cellStyle name="Separador de milhares 19 5 3 2" xfId="8844" xr:uid="{00000000-0005-0000-0000-0000012F0000}"/>
    <cellStyle name="Separador de milhares 19 5 3 3" xfId="12056" xr:uid="{00000000-0005-0000-0000-0000022F0000}"/>
    <cellStyle name="Separador de milhares 19 5 3 4" xfId="13662" xr:uid="{00000000-0005-0000-0000-0000032F0000}"/>
    <cellStyle name="Separador de milhares 19 5 4" xfId="8842" xr:uid="{00000000-0005-0000-0000-0000042F0000}"/>
    <cellStyle name="Separador de milhares 19 5 5" xfId="12054" xr:uid="{00000000-0005-0000-0000-0000052F0000}"/>
    <cellStyle name="Separador de milhares 19 5 6" xfId="13660" xr:uid="{00000000-0005-0000-0000-0000062F0000}"/>
    <cellStyle name="Separador de milhares 19 6" xfId="4208" xr:uid="{00000000-0005-0000-0000-0000072F0000}"/>
    <cellStyle name="Separador de milhares 19 6 2" xfId="4209" xr:uid="{00000000-0005-0000-0000-0000082F0000}"/>
    <cellStyle name="Separador de milhares 19 6 2 2" xfId="8846" xr:uid="{00000000-0005-0000-0000-0000092F0000}"/>
    <cellStyle name="Separador de milhares 19 6 2 3" xfId="12058" xr:uid="{00000000-0005-0000-0000-00000A2F0000}"/>
    <cellStyle name="Separador de milhares 19 6 2 4" xfId="13664" xr:uid="{00000000-0005-0000-0000-00000B2F0000}"/>
    <cellStyle name="Separador de milhares 19 6 3" xfId="4210" xr:uid="{00000000-0005-0000-0000-00000C2F0000}"/>
    <cellStyle name="Separador de milhares 19 6 3 2" xfId="8847" xr:uid="{00000000-0005-0000-0000-00000D2F0000}"/>
    <cellStyle name="Separador de milhares 19 6 3 3" xfId="12059" xr:uid="{00000000-0005-0000-0000-00000E2F0000}"/>
    <cellStyle name="Separador de milhares 19 6 3 4" xfId="13665" xr:uid="{00000000-0005-0000-0000-00000F2F0000}"/>
    <cellStyle name="Separador de milhares 19 6 4" xfId="8845" xr:uid="{00000000-0005-0000-0000-0000102F0000}"/>
    <cellStyle name="Separador de milhares 19 6 5" xfId="12057" xr:uid="{00000000-0005-0000-0000-0000112F0000}"/>
    <cellStyle name="Separador de milhares 19 6 6" xfId="13663" xr:uid="{00000000-0005-0000-0000-0000122F0000}"/>
    <cellStyle name="Separador de milhares 19 7" xfId="4211" xr:uid="{00000000-0005-0000-0000-0000132F0000}"/>
    <cellStyle name="Separador de milhares 19 7 2" xfId="8848" xr:uid="{00000000-0005-0000-0000-0000142F0000}"/>
    <cellStyle name="Separador de milhares 19 7 3" xfId="12060" xr:uid="{00000000-0005-0000-0000-0000152F0000}"/>
    <cellStyle name="Separador de milhares 19 7 4" xfId="13666" xr:uid="{00000000-0005-0000-0000-0000162F0000}"/>
    <cellStyle name="Separador de milhares 19 8" xfId="4212" xr:uid="{00000000-0005-0000-0000-0000172F0000}"/>
    <cellStyle name="Separador de milhares 19 8 2" xfId="8849" xr:uid="{00000000-0005-0000-0000-0000182F0000}"/>
    <cellStyle name="Separador de milhares 19 8 3" xfId="12061" xr:uid="{00000000-0005-0000-0000-0000192F0000}"/>
    <cellStyle name="Separador de milhares 19 8 4" xfId="13667" xr:uid="{00000000-0005-0000-0000-00001A2F0000}"/>
    <cellStyle name="Separador de milhares 19 9" xfId="4213" xr:uid="{00000000-0005-0000-0000-00001B2F0000}"/>
    <cellStyle name="Separador de milhares 19 9 2" xfId="8850" xr:uid="{00000000-0005-0000-0000-00001C2F0000}"/>
    <cellStyle name="Separador de milhares 19 9 3" xfId="12062" xr:uid="{00000000-0005-0000-0000-00001D2F0000}"/>
    <cellStyle name="Separador de milhares 19 9 4" xfId="13668" xr:uid="{00000000-0005-0000-0000-00001E2F0000}"/>
    <cellStyle name="Separador de milhares 2" xfId="79" xr:uid="{00000000-0005-0000-0000-00001F2F0000}"/>
    <cellStyle name="Separador de milhares 2 10" xfId="4215" xr:uid="{00000000-0005-0000-0000-0000202F0000}"/>
    <cellStyle name="Separador de milhares 2 10 2" xfId="5580" xr:uid="{00000000-0005-0000-0000-0000212F0000}"/>
    <cellStyle name="Separador de milhares 2 10 3" xfId="8852" xr:uid="{00000000-0005-0000-0000-0000222F0000}"/>
    <cellStyle name="Separador de milhares 2 10 4" xfId="12064" xr:uid="{00000000-0005-0000-0000-0000232F0000}"/>
    <cellStyle name="Separador de milhares 2 10 5" xfId="13670" xr:uid="{00000000-0005-0000-0000-0000242F0000}"/>
    <cellStyle name="Separador de milhares 2 11" xfId="4216" xr:uid="{00000000-0005-0000-0000-0000252F0000}"/>
    <cellStyle name="Separador de milhares 2 11 2" xfId="8853" xr:uid="{00000000-0005-0000-0000-0000262F0000}"/>
    <cellStyle name="Separador de milhares 2 11 3" xfId="12065" xr:uid="{00000000-0005-0000-0000-0000272F0000}"/>
    <cellStyle name="Separador de milhares 2 11 4" xfId="13671" xr:uid="{00000000-0005-0000-0000-0000282F0000}"/>
    <cellStyle name="Separador de milhares 2 12" xfId="4217" xr:uid="{00000000-0005-0000-0000-0000292F0000}"/>
    <cellStyle name="Separador de milhares 2 12 2" xfId="5596" xr:uid="{00000000-0005-0000-0000-00002A2F0000}"/>
    <cellStyle name="Separador de milhares 2 12 2 2" xfId="10410" xr:uid="{00000000-0005-0000-0000-00002B2F0000}"/>
    <cellStyle name="Separador de milhares 2 12 3" xfId="8854" xr:uid="{00000000-0005-0000-0000-00002C2F0000}"/>
    <cellStyle name="Separador de milhares 2 12 4" xfId="12066" xr:uid="{00000000-0005-0000-0000-00002D2F0000}"/>
    <cellStyle name="Separador de milhares 2 12 5" xfId="13672" xr:uid="{00000000-0005-0000-0000-00002E2F0000}"/>
    <cellStyle name="Separador de milhares 2 13" xfId="4887" xr:uid="{00000000-0005-0000-0000-00002F2F0000}"/>
    <cellStyle name="Separador de milhares 2 13 2" xfId="5625" xr:uid="{00000000-0005-0000-0000-0000302F0000}"/>
    <cellStyle name="Separador de milhares 2 14" xfId="4214" xr:uid="{00000000-0005-0000-0000-0000312F0000}"/>
    <cellStyle name="Separador de milhares 2 14 2" xfId="5623" xr:uid="{00000000-0005-0000-0000-0000322F0000}"/>
    <cellStyle name="Separador de milhares 2 14 3" xfId="10409" xr:uid="{00000000-0005-0000-0000-0000332F0000}"/>
    <cellStyle name="Separador de milhares 2 14 4" xfId="12063" xr:uid="{00000000-0005-0000-0000-0000342F0000}"/>
    <cellStyle name="Separador de milhares 2 15" xfId="5734" xr:uid="{00000000-0005-0000-0000-0000352F0000}"/>
    <cellStyle name="Separador de milhares 2 16" xfId="5690" xr:uid="{00000000-0005-0000-0000-0000362F0000}"/>
    <cellStyle name="Separador de milhares 2 17" xfId="7013" xr:uid="{00000000-0005-0000-0000-0000372F0000}"/>
    <cellStyle name="Separador de milhares 2 18" xfId="8851" xr:uid="{00000000-0005-0000-0000-0000382F0000}"/>
    <cellStyle name="Separador de milhares 2 19" xfId="10498" xr:uid="{00000000-0005-0000-0000-0000392F0000}"/>
    <cellStyle name="Separador de milhares 2 2" xfId="94" xr:uid="{00000000-0005-0000-0000-00003A2F0000}"/>
    <cellStyle name="Separador de milhares 2 2 2" xfId="128" xr:uid="{00000000-0005-0000-0000-00003B2F0000}"/>
    <cellStyle name="Separador de milhares 2 2 2 2" xfId="4220" xr:uid="{00000000-0005-0000-0000-00003C2F0000}"/>
    <cellStyle name="Separador de milhares 2 2 2 2 2" xfId="8855" xr:uid="{00000000-0005-0000-0000-00003D2F0000}"/>
    <cellStyle name="Separador de milhares 2 2 2 2 3" xfId="12067" xr:uid="{00000000-0005-0000-0000-00003E2F0000}"/>
    <cellStyle name="Separador de milhares 2 2 2 2 4" xfId="13673" xr:uid="{00000000-0005-0000-0000-00003F2F0000}"/>
    <cellStyle name="Separador de milhares 2 2 2 3" xfId="4221" xr:uid="{00000000-0005-0000-0000-0000402F0000}"/>
    <cellStyle name="Separador de milhares 2 2 2 3 2" xfId="8856" xr:uid="{00000000-0005-0000-0000-0000412F0000}"/>
    <cellStyle name="Separador de milhares 2 2 2 3 3" xfId="12068" xr:uid="{00000000-0005-0000-0000-0000422F0000}"/>
    <cellStyle name="Separador de milhares 2 2 2 3 4" xfId="13674" xr:uid="{00000000-0005-0000-0000-0000432F0000}"/>
    <cellStyle name="Separador de milhares 2 2 2 4" xfId="4219" xr:uid="{00000000-0005-0000-0000-0000442F0000}"/>
    <cellStyle name="Separador de milhares 2 2 2 5" xfId="7374" xr:uid="{00000000-0005-0000-0000-0000452F0000}"/>
    <cellStyle name="Separador de milhares 2 2 2 6" xfId="10614" xr:uid="{00000000-0005-0000-0000-0000462F0000}"/>
    <cellStyle name="Separador de milhares 2 2 3" xfId="4222" xr:uid="{00000000-0005-0000-0000-0000472F0000}"/>
    <cellStyle name="Separador de milhares 2 2 3 2" xfId="4223" xr:uid="{00000000-0005-0000-0000-0000482F0000}"/>
    <cellStyle name="Separador de milhares 2 2 3 2 2" xfId="8857" xr:uid="{00000000-0005-0000-0000-0000492F0000}"/>
    <cellStyle name="Separador de milhares 2 2 3 2 3" xfId="12069" xr:uid="{00000000-0005-0000-0000-00004A2F0000}"/>
    <cellStyle name="Separador de milhares 2 2 3 2 4" xfId="13675" xr:uid="{00000000-0005-0000-0000-00004B2F0000}"/>
    <cellStyle name="Separador de milhares 2 2 4" xfId="4224" xr:uid="{00000000-0005-0000-0000-00004C2F0000}"/>
    <cellStyle name="Separador de milhares 2 2 4 2" xfId="8858" xr:uid="{00000000-0005-0000-0000-00004D2F0000}"/>
    <cellStyle name="Separador de milhares 2 2 4 3" xfId="12070" xr:uid="{00000000-0005-0000-0000-00004E2F0000}"/>
    <cellStyle name="Separador de milhares 2 2 4 4" xfId="13676" xr:uid="{00000000-0005-0000-0000-00004F2F0000}"/>
    <cellStyle name="Separador de milhares 2 2 5" xfId="4225" xr:uid="{00000000-0005-0000-0000-0000502F0000}"/>
    <cellStyle name="Separador de milhares 2 2 5 2" xfId="8859" xr:uid="{00000000-0005-0000-0000-0000512F0000}"/>
    <cellStyle name="Separador de milhares 2 2 5 3" xfId="12071" xr:uid="{00000000-0005-0000-0000-0000522F0000}"/>
    <cellStyle name="Separador de milhares 2 2 5 4" xfId="13677" xr:uid="{00000000-0005-0000-0000-0000532F0000}"/>
    <cellStyle name="Separador de milhares 2 2 6" xfId="4218" xr:uid="{00000000-0005-0000-0000-0000542F0000}"/>
    <cellStyle name="Separador de milhares 2 2 7" xfId="10604" xr:uid="{00000000-0005-0000-0000-0000552F0000}"/>
    <cellStyle name="Separador de milhares 2 20" xfId="10599" xr:uid="{00000000-0005-0000-0000-0000562F0000}"/>
    <cellStyle name="Separador de milhares 2 21" xfId="13669" xr:uid="{00000000-0005-0000-0000-0000572F0000}"/>
    <cellStyle name="Separador de milhares 2 3" xfId="114" xr:uid="{00000000-0005-0000-0000-0000582F0000}"/>
    <cellStyle name="Separador de milhares 2 3 2" xfId="4227" xr:uid="{00000000-0005-0000-0000-0000592F0000}"/>
    <cellStyle name="Separador de milhares 2 3 2 2" xfId="8860" xr:uid="{00000000-0005-0000-0000-00005A2F0000}"/>
    <cellStyle name="Separador de milhares 2 3 2 3" xfId="12072" xr:uid="{00000000-0005-0000-0000-00005B2F0000}"/>
    <cellStyle name="Separador de milhares 2 3 2 4" xfId="13678" xr:uid="{00000000-0005-0000-0000-00005C2F0000}"/>
    <cellStyle name="Separador de milhares 2 3 3" xfId="4228" xr:uid="{00000000-0005-0000-0000-00005D2F0000}"/>
    <cellStyle name="Separador de milhares 2 3 3 2" xfId="8861" xr:uid="{00000000-0005-0000-0000-00005E2F0000}"/>
    <cellStyle name="Separador de milhares 2 3 3 3" xfId="12073" xr:uid="{00000000-0005-0000-0000-00005F2F0000}"/>
    <cellStyle name="Separador de milhares 2 3 3 4" xfId="13679" xr:uid="{00000000-0005-0000-0000-0000602F0000}"/>
    <cellStyle name="Separador de milhares 2 3 4" xfId="4894" xr:uid="{00000000-0005-0000-0000-0000612F0000}"/>
    <cellStyle name="Separador de milhares 2 3 4 2" xfId="10444" xr:uid="{00000000-0005-0000-0000-0000622F0000}"/>
    <cellStyle name="Separador de milhares 2 3 4 3" xfId="9030" xr:uid="{00000000-0005-0000-0000-0000632F0000}"/>
    <cellStyle name="Separador de milhares 2 3 4 4" xfId="12235" xr:uid="{00000000-0005-0000-0000-0000642F0000}"/>
    <cellStyle name="Separador de milhares 2 3 4 5" xfId="13844" xr:uid="{00000000-0005-0000-0000-0000652F0000}"/>
    <cellStyle name="Separador de milhares 2 3 5" xfId="4226" xr:uid="{00000000-0005-0000-0000-0000662F0000}"/>
    <cellStyle name="Separador de milhares 2 3 6" xfId="10609" xr:uid="{00000000-0005-0000-0000-0000672F0000}"/>
    <cellStyle name="Separador de milhares 2 4" xfId="96" xr:uid="{00000000-0005-0000-0000-0000682F0000}"/>
    <cellStyle name="Separador de milhares 2 4 2" xfId="4230" xr:uid="{00000000-0005-0000-0000-0000692F0000}"/>
    <cellStyle name="Separador de milhares 2 4 2 2" xfId="8863" xr:uid="{00000000-0005-0000-0000-00006A2F0000}"/>
    <cellStyle name="Separador de milhares 2 4 2 3" xfId="12075" xr:uid="{00000000-0005-0000-0000-00006B2F0000}"/>
    <cellStyle name="Separador de milhares 2 4 2 4" xfId="13681" xr:uid="{00000000-0005-0000-0000-00006C2F0000}"/>
    <cellStyle name="Separador de milhares 2 4 3" xfId="4231" xr:uid="{00000000-0005-0000-0000-00006D2F0000}"/>
    <cellStyle name="Separador de milhares 2 4 3 2" xfId="8864" xr:uid="{00000000-0005-0000-0000-00006E2F0000}"/>
    <cellStyle name="Separador de milhares 2 4 3 3" xfId="12076" xr:uid="{00000000-0005-0000-0000-00006F2F0000}"/>
    <cellStyle name="Separador de milhares 2 4 3 4" xfId="13682" xr:uid="{00000000-0005-0000-0000-0000702F0000}"/>
    <cellStyle name="Separador de milhares 2 4 4" xfId="4229" xr:uid="{00000000-0005-0000-0000-0000712F0000}"/>
    <cellStyle name="Separador de milhares 2 4 4 2" xfId="10411" xr:uid="{00000000-0005-0000-0000-0000722F0000}"/>
    <cellStyle name="Separador de milhares 2 4 4 3" xfId="12074" xr:uid="{00000000-0005-0000-0000-0000732F0000}"/>
    <cellStyle name="Separador de milhares 2 4 5" xfId="8862" xr:uid="{00000000-0005-0000-0000-0000742F0000}"/>
    <cellStyle name="Separador de milhares 2 4 6" xfId="10606" xr:uid="{00000000-0005-0000-0000-0000752F0000}"/>
    <cellStyle name="Separador de milhares 2 4 7" xfId="13680" xr:uid="{00000000-0005-0000-0000-0000762F0000}"/>
    <cellStyle name="Separador de milhares 2 5" xfId="4232" xr:uid="{00000000-0005-0000-0000-0000772F0000}"/>
    <cellStyle name="Separador de milhares 2 5 2" xfId="4233" xr:uid="{00000000-0005-0000-0000-0000782F0000}"/>
    <cellStyle name="Separador de milhares 2 5 2 2" xfId="8866" xr:uid="{00000000-0005-0000-0000-0000792F0000}"/>
    <cellStyle name="Separador de milhares 2 5 2 3" xfId="12078" xr:uid="{00000000-0005-0000-0000-00007A2F0000}"/>
    <cellStyle name="Separador de milhares 2 5 2 4" xfId="13684" xr:uid="{00000000-0005-0000-0000-00007B2F0000}"/>
    <cellStyle name="Separador de milhares 2 5 3" xfId="8865" xr:uid="{00000000-0005-0000-0000-00007C2F0000}"/>
    <cellStyle name="Separador de milhares 2 5 4" xfId="12077" xr:uid="{00000000-0005-0000-0000-00007D2F0000}"/>
    <cellStyle name="Separador de milhares 2 5 5" xfId="13683" xr:uid="{00000000-0005-0000-0000-00007E2F0000}"/>
    <cellStyle name="Separador de milhares 2 6" xfId="4234" xr:uid="{00000000-0005-0000-0000-00007F2F0000}"/>
    <cellStyle name="Separador de milhares 2 6 2" xfId="4235" xr:uid="{00000000-0005-0000-0000-0000802F0000}"/>
    <cellStyle name="Separador de milhares 2 6 2 2" xfId="8868" xr:uid="{00000000-0005-0000-0000-0000812F0000}"/>
    <cellStyle name="Separador de milhares 2 6 2 3" xfId="12080" xr:uid="{00000000-0005-0000-0000-0000822F0000}"/>
    <cellStyle name="Separador de milhares 2 6 2 4" xfId="13686" xr:uid="{00000000-0005-0000-0000-0000832F0000}"/>
    <cellStyle name="Separador de milhares 2 6 3" xfId="8867" xr:uid="{00000000-0005-0000-0000-0000842F0000}"/>
    <cellStyle name="Separador de milhares 2 6 4" xfId="12079" xr:uid="{00000000-0005-0000-0000-0000852F0000}"/>
    <cellStyle name="Separador de milhares 2 6 5" xfId="13685" xr:uid="{00000000-0005-0000-0000-0000862F0000}"/>
    <cellStyle name="Separador de milhares 2 7" xfId="4236" xr:uid="{00000000-0005-0000-0000-0000872F0000}"/>
    <cellStyle name="Separador de milhares 2 7 2" xfId="4237" xr:uid="{00000000-0005-0000-0000-0000882F0000}"/>
    <cellStyle name="Separador de milhares 2 7 2 2" xfId="8870" xr:uid="{00000000-0005-0000-0000-0000892F0000}"/>
    <cellStyle name="Separador de milhares 2 7 2 3" xfId="12082" xr:uid="{00000000-0005-0000-0000-00008A2F0000}"/>
    <cellStyle name="Separador de milhares 2 7 2 4" xfId="13688" xr:uid="{00000000-0005-0000-0000-00008B2F0000}"/>
    <cellStyle name="Separador de milhares 2 7 3" xfId="8869" xr:uid="{00000000-0005-0000-0000-00008C2F0000}"/>
    <cellStyle name="Separador de milhares 2 7 4" xfId="12081" xr:uid="{00000000-0005-0000-0000-00008D2F0000}"/>
    <cellStyle name="Separador de milhares 2 7 5" xfId="13687" xr:uid="{00000000-0005-0000-0000-00008E2F0000}"/>
    <cellStyle name="Separador de milhares 2 8" xfId="4238" xr:uid="{00000000-0005-0000-0000-00008F2F0000}"/>
    <cellStyle name="Separador de milhares 2 8 2" xfId="4239" xr:uid="{00000000-0005-0000-0000-0000902F0000}"/>
    <cellStyle name="Separador de milhares 2 8 2 2" xfId="8872" xr:uid="{00000000-0005-0000-0000-0000912F0000}"/>
    <cellStyle name="Separador de milhares 2 8 2 3" xfId="12084" xr:uid="{00000000-0005-0000-0000-0000922F0000}"/>
    <cellStyle name="Separador de milhares 2 8 2 4" xfId="13690" xr:uid="{00000000-0005-0000-0000-0000932F0000}"/>
    <cellStyle name="Separador de milhares 2 8 3" xfId="8871" xr:uid="{00000000-0005-0000-0000-0000942F0000}"/>
    <cellStyle name="Separador de milhares 2 8 4" xfId="12083" xr:uid="{00000000-0005-0000-0000-0000952F0000}"/>
    <cellStyle name="Separador de milhares 2 8 5" xfId="13689" xr:uid="{00000000-0005-0000-0000-0000962F0000}"/>
    <cellStyle name="Separador de milhares 2 9" xfId="4240" xr:uid="{00000000-0005-0000-0000-0000972F0000}"/>
    <cellStyle name="Separador de milhares 2 9 2" xfId="4241" xr:uid="{00000000-0005-0000-0000-0000982F0000}"/>
    <cellStyle name="Separador de milhares 2 9 2 2" xfId="8874" xr:uid="{00000000-0005-0000-0000-0000992F0000}"/>
    <cellStyle name="Separador de milhares 2 9 2 3" xfId="12086" xr:uid="{00000000-0005-0000-0000-00009A2F0000}"/>
    <cellStyle name="Separador de milhares 2 9 2 4" xfId="13692" xr:uid="{00000000-0005-0000-0000-00009B2F0000}"/>
    <cellStyle name="Separador de milhares 2 9 3" xfId="8873" xr:uid="{00000000-0005-0000-0000-00009C2F0000}"/>
    <cellStyle name="Separador de milhares 2 9 4" xfId="12085" xr:uid="{00000000-0005-0000-0000-00009D2F0000}"/>
    <cellStyle name="Separador de milhares 2 9 5" xfId="13691" xr:uid="{00000000-0005-0000-0000-00009E2F0000}"/>
    <cellStyle name="Separador de milhares 20" xfId="4242" xr:uid="{00000000-0005-0000-0000-00009F2F0000}"/>
    <cellStyle name="Separador de milhares 20 2" xfId="4243" xr:uid="{00000000-0005-0000-0000-0000A02F0000}"/>
    <cellStyle name="Separador de milhares 20 2 2" xfId="8876" xr:uid="{00000000-0005-0000-0000-0000A12F0000}"/>
    <cellStyle name="Separador de milhares 20 2 3" xfId="12088" xr:uid="{00000000-0005-0000-0000-0000A22F0000}"/>
    <cellStyle name="Separador de milhares 20 2 4" xfId="13694" xr:uid="{00000000-0005-0000-0000-0000A32F0000}"/>
    <cellStyle name="Separador de milhares 20 3" xfId="4244" xr:uid="{00000000-0005-0000-0000-0000A42F0000}"/>
    <cellStyle name="Separador de milhares 20 3 2" xfId="8877" xr:uid="{00000000-0005-0000-0000-0000A52F0000}"/>
    <cellStyle name="Separador de milhares 20 3 3" xfId="12089" xr:uid="{00000000-0005-0000-0000-0000A62F0000}"/>
    <cellStyle name="Separador de milhares 20 3 4" xfId="13695" xr:uid="{00000000-0005-0000-0000-0000A72F0000}"/>
    <cellStyle name="Separador de milhares 20 4" xfId="8875" xr:uid="{00000000-0005-0000-0000-0000A82F0000}"/>
    <cellStyle name="Separador de milhares 20 5" xfId="12087" xr:uid="{00000000-0005-0000-0000-0000A92F0000}"/>
    <cellStyle name="Separador de milhares 20 6" xfId="13693" xr:uid="{00000000-0005-0000-0000-0000AA2F0000}"/>
    <cellStyle name="Separador de milhares 3" xfId="90" xr:uid="{00000000-0005-0000-0000-0000AB2F0000}"/>
    <cellStyle name="Separador de milhares 3 2" xfId="93" xr:uid="{00000000-0005-0000-0000-0000AC2F0000}"/>
    <cellStyle name="Separador de milhares 3 2 2" xfId="4245" xr:uid="{00000000-0005-0000-0000-0000AD2F0000}"/>
    <cellStyle name="Separador de milhares 3 2 2 2" xfId="7014" xr:uid="{00000000-0005-0000-0000-0000AE2F0000}"/>
    <cellStyle name="Separador de milhares 3 2 2 3" xfId="8880" xr:uid="{00000000-0005-0000-0000-0000AF2F0000}"/>
    <cellStyle name="Separador de milhares 3 2 2 4" xfId="12090" xr:uid="{00000000-0005-0000-0000-0000B02F0000}"/>
    <cellStyle name="Separador de milhares 3 2 2 5" xfId="13698" xr:uid="{00000000-0005-0000-0000-0000B12F0000}"/>
    <cellStyle name="Separador de milhares 3 2 3" xfId="4907" xr:uid="{00000000-0005-0000-0000-0000B22F0000}"/>
    <cellStyle name="Separador de milhares 3 2 3 2" xfId="10448" xr:uid="{00000000-0005-0000-0000-0000B32F0000}"/>
    <cellStyle name="Separador de milhares 3 2 3 3" xfId="9036" xr:uid="{00000000-0005-0000-0000-0000B42F0000}"/>
    <cellStyle name="Separador de milhares 3 2 3 4" xfId="12241" xr:uid="{00000000-0005-0000-0000-0000B52F0000}"/>
    <cellStyle name="Separador de milhares 3 2 3 5" xfId="13850" xr:uid="{00000000-0005-0000-0000-0000B62F0000}"/>
    <cellStyle name="Separador de milhares 3 2 4" xfId="8879" xr:uid="{00000000-0005-0000-0000-0000B72F0000}"/>
    <cellStyle name="Separador de milhares 3 2 5" xfId="10603" xr:uid="{00000000-0005-0000-0000-0000B82F0000}"/>
    <cellStyle name="Separador de milhares 3 2 6" xfId="13697" xr:uid="{00000000-0005-0000-0000-0000B92F0000}"/>
    <cellStyle name="Separador de milhares 3 3" xfId="4246" xr:uid="{00000000-0005-0000-0000-0000BA2F0000}"/>
    <cellStyle name="Separador de milhares 3 3 2" xfId="4247" xr:uid="{00000000-0005-0000-0000-0000BB2F0000}"/>
    <cellStyle name="Separador de milhares 3 3 2 2" xfId="8882" xr:uid="{00000000-0005-0000-0000-0000BC2F0000}"/>
    <cellStyle name="Separador de milhares 3 3 2 3" xfId="12092" xr:uid="{00000000-0005-0000-0000-0000BD2F0000}"/>
    <cellStyle name="Separador de milhares 3 3 2 4" xfId="13700" xr:uid="{00000000-0005-0000-0000-0000BE2F0000}"/>
    <cellStyle name="Separador de milhares 3 3 3" xfId="4248" xr:uid="{00000000-0005-0000-0000-0000BF2F0000}"/>
    <cellStyle name="Separador de milhares 3 3 3 2" xfId="8883" xr:uid="{00000000-0005-0000-0000-0000C02F0000}"/>
    <cellStyle name="Separador de milhares 3 3 3 3" xfId="12093" xr:uid="{00000000-0005-0000-0000-0000C12F0000}"/>
    <cellStyle name="Separador de milhares 3 3 3 4" xfId="13701" xr:uid="{00000000-0005-0000-0000-0000C22F0000}"/>
    <cellStyle name="Separador de milhares 3 3 4" xfId="4249" xr:uid="{00000000-0005-0000-0000-0000C32F0000}"/>
    <cellStyle name="Separador de milhares 3 3 4 2" xfId="8884" xr:uid="{00000000-0005-0000-0000-0000C42F0000}"/>
    <cellStyle name="Separador de milhares 3 3 4 3" xfId="12094" xr:uid="{00000000-0005-0000-0000-0000C52F0000}"/>
    <cellStyle name="Separador de milhares 3 3 4 4" xfId="13702" xr:uid="{00000000-0005-0000-0000-0000C62F0000}"/>
    <cellStyle name="Separador de milhares 3 3 5" xfId="8881" xr:uid="{00000000-0005-0000-0000-0000C72F0000}"/>
    <cellStyle name="Separador de milhares 3 3 6" xfId="12091" xr:uid="{00000000-0005-0000-0000-0000C82F0000}"/>
    <cellStyle name="Separador de milhares 3 3 7" xfId="13699" xr:uid="{00000000-0005-0000-0000-0000C92F0000}"/>
    <cellStyle name="Separador de milhares 3 4" xfId="4250" xr:uid="{00000000-0005-0000-0000-0000CA2F0000}"/>
    <cellStyle name="Separador de milhares 3 4 2" xfId="4251" xr:uid="{00000000-0005-0000-0000-0000CB2F0000}"/>
    <cellStyle name="Separador de milhares 3 4 2 2" xfId="8885" xr:uid="{00000000-0005-0000-0000-0000CC2F0000}"/>
    <cellStyle name="Separador de milhares 3 4 2 3" xfId="12095" xr:uid="{00000000-0005-0000-0000-0000CD2F0000}"/>
    <cellStyle name="Separador de milhares 3 4 2 4" xfId="13703" xr:uid="{00000000-0005-0000-0000-0000CE2F0000}"/>
    <cellStyle name="Separador de milhares 3 4 3" xfId="5810" xr:uid="{00000000-0005-0000-0000-0000CF2F0000}"/>
    <cellStyle name="Separador de milhares 3 5" xfId="4252" xr:uid="{00000000-0005-0000-0000-0000D02F0000}"/>
    <cellStyle name="Separador de milhares 3 5 2" xfId="8886" xr:uid="{00000000-0005-0000-0000-0000D12F0000}"/>
    <cellStyle name="Separador de milhares 3 5 3" xfId="12096" xr:uid="{00000000-0005-0000-0000-0000D22F0000}"/>
    <cellStyle name="Separador de milhares 3 5 4" xfId="13704" xr:uid="{00000000-0005-0000-0000-0000D32F0000}"/>
    <cellStyle name="Separador de milhares 3 6" xfId="4253" xr:uid="{00000000-0005-0000-0000-0000D42F0000}"/>
    <cellStyle name="Separador de milhares 3 6 2" xfId="8887" xr:uid="{00000000-0005-0000-0000-0000D52F0000}"/>
    <cellStyle name="Separador de milhares 3 6 3" xfId="12097" xr:uid="{00000000-0005-0000-0000-0000D62F0000}"/>
    <cellStyle name="Separador de milhares 3 6 4" xfId="13705" xr:uid="{00000000-0005-0000-0000-0000D72F0000}"/>
    <cellStyle name="Separador de milhares 3 7" xfId="4254" xr:uid="{00000000-0005-0000-0000-0000D82F0000}"/>
    <cellStyle name="Separador de milhares 3 7 2" xfId="8888" xr:uid="{00000000-0005-0000-0000-0000D92F0000}"/>
    <cellStyle name="Separador de milhares 3 7 3" xfId="12098" xr:uid="{00000000-0005-0000-0000-0000DA2F0000}"/>
    <cellStyle name="Separador de milhares 3 7 4" xfId="13706" xr:uid="{00000000-0005-0000-0000-0000DB2F0000}"/>
    <cellStyle name="Separador de milhares 3 8" xfId="8878" xr:uid="{00000000-0005-0000-0000-0000DC2F0000}"/>
    <cellStyle name="Separador de milhares 3 9" xfId="13696" xr:uid="{00000000-0005-0000-0000-0000DD2F0000}"/>
    <cellStyle name="Separador de milhares 3_Anápolis" xfId="4255" xr:uid="{00000000-0005-0000-0000-0000DE2F0000}"/>
    <cellStyle name="Separador de milhares 32" xfId="4256" xr:uid="{00000000-0005-0000-0000-0000DF2F0000}"/>
    <cellStyle name="Separador de milhares 32 2" xfId="8889" xr:uid="{00000000-0005-0000-0000-0000E02F0000}"/>
    <cellStyle name="Separador de milhares 32 3" xfId="12099" xr:uid="{00000000-0005-0000-0000-0000E12F0000}"/>
    <cellStyle name="Separador de milhares 32 4" xfId="13707" xr:uid="{00000000-0005-0000-0000-0000E22F0000}"/>
    <cellStyle name="Separador de milhares 4" xfId="4257" xr:uid="{00000000-0005-0000-0000-0000E32F0000}"/>
    <cellStyle name="Separador de milhares 4 2" xfId="4258" xr:uid="{00000000-0005-0000-0000-0000E42F0000}"/>
    <cellStyle name="Separador de milhares 4 2 2" xfId="4259" xr:uid="{00000000-0005-0000-0000-0000E52F0000}"/>
    <cellStyle name="Separador de milhares 4 2 2 2" xfId="4260" xr:uid="{00000000-0005-0000-0000-0000E62F0000}"/>
    <cellStyle name="Separador de milhares 4 2 2 2 2" xfId="8893" xr:uid="{00000000-0005-0000-0000-0000E72F0000}"/>
    <cellStyle name="Separador de milhares 4 2 2 2 3" xfId="12103" xr:uid="{00000000-0005-0000-0000-0000E82F0000}"/>
    <cellStyle name="Separador de milhares 4 2 2 2 4" xfId="13711" xr:uid="{00000000-0005-0000-0000-0000E92F0000}"/>
    <cellStyle name="Separador de milhares 4 2 2 3" xfId="8892" xr:uid="{00000000-0005-0000-0000-0000EA2F0000}"/>
    <cellStyle name="Separador de milhares 4 2 2 4" xfId="12102" xr:uid="{00000000-0005-0000-0000-0000EB2F0000}"/>
    <cellStyle name="Separador de milhares 4 2 2 5" xfId="13710" xr:uid="{00000000-0005-0000-0000-0000EC2F0000}"/>
    <cellStyle name="Separador de milhares 4 2 3" xfId="4261" xr:uid="{00000000-0005-0000-0000-0000ED2F0000}"/>
    <cellStyle name="Separador de milhares 4 2 3 2" xfId="8894" xr:uid="{00000000-0005-0000-0000-0000EE2F0000}"/>
    <cellStyle name="Separador de milhares 4 2 3 3" xfId="12104" xr:uid="{00000000-0005-0000-0000-0000EF2F0000}"/>
    <cellStyle name="Separador de milhares 4 2 3 4" xfId="13712" xr:uid="{00000000-0005-0000-0000-0000F02F0000}"/>
    <cellStyle name="Separador de milhares 4 2 4" xfId="7394" xr:uid="{00000000-0005-0000-0000-0000F12F0000}"/>
    <cellStyle name="Separador de milhares 4 2 5" xfId="8891" xr:uid="{00000000-0005-0000-0000-0000F22F0000}"/>
    <cellStyle name="Separador de milhares 4 2 6" xfId="12101" xr:uid="{00000000-0005-0000-0000-0000F32F0000}"/>
    <cellStyle name="Separador de milhares 4 2 7" xfId="13709" xr:uid="{00000000-0005-0000-0000-0000F42F0000}"/>
    <cellStyle name="Separador de milhares 4 3" xfId="4262" xr:uid="{00000000-0005-0000-0000-0000F52F0000}"/>
    <cellStyle name="Separador de milhares 4 3 2" xfId="8895" xr:uid="{00000000-0005-0000-0000-0000F62F0000}"/>
    <cellStyle name="Separador de milhares 4 3 3" xfId="12105" xr:uid="{00000000-0005-0000-0000-0000F72F0000}"/>
    <cellStyle name="Separador de milhares 4 3 4" xfId="13713" xr:uid="{00000000-0005-0000-0000-0000F82F0000}"/>
    <cellStyle name="Separador de milhares 4 4" xfId="4263" xr:uid="{00000000-0005-0000-0000-0000F92F0000}"/>
    <cellStyle name="Separador de milhares 4 4 2" xfId="8896" xr:uid="{00000000-0005-0000-0000-0000FA2F0000}"/>
    <cellStyle name="Separador de milhares 4 4 3" xfId="12106" xr:uid="{00000000-0005-0000-0000-0000FB2F0000}"/>
    <cellStyle name="Separador de milhares 4 4 4" xfId="13714" xr:uid="{00000000-0005-0000-0000-0000FC2F0000}"/>
    <cellStyle name="Separador de milhares 4 5" xfId="4264" xr:uid="{00000000-0005-0000-0000-0000FD2F0000}"/>
    <cellStyle name="Separador de milhares 4 5 2" xfId="8897" xr:uid="{00000000-0005-0000-0000-0000FE2F0000}"/>
    <cellStyle name="Separador de milhares 4 5 3" xfId="12107" xr:uid="{00000000-0005-0000-0000-0000FF2F0000}"/>
    <cellStyle name="Separador de milhares 4 5 4" xfId="13715" xr:uid="{00000000-0005-0000-0000-000000300000}"/>
    <cellStyle name="Separador de milhares 4 6" xfId="8890" xr:uid="{00000000-0005-0000-0000-000001300000}"/>
    <cellStyle name="Separador de milhares 4 7" xfId="12100" xr:uid="{00000000-0005-0000-0000-000002300000}"/>
    <cellStyle name="Separador de milhares 4 8" xfId="13708" xr:uid="{00000000-0005-0000-0000-000003300000}"/>
    <cellStyle name="Separador de milhares 5" xfId="4265" xr:uid="{00000000-0005-0000-0000-000004300000}"/>
    <cellStyle name="Separador de milhares 5 10" xfId="4266" xr:uid="{00000000-0005-0000-0000-000005300000}"/>
    <cellStyle name="Separador de milhares 5 10 2" xfId="8899" xr:uid="{00000000-0005-0000-0000-000006300000}"/>
    <cellStyle name="Separador de milhares 5 10 3" xfId="12109" xr:uid="{00000000-0005-0000-0000-000007300000}"/>
    <cellStyle name="Separador de milhares 5 10 4" xfId="13717" xr:uid="{00000000-0005-0000-0000-000008300000}"/>
    <cellStyle name="Separador de milhares 5 11" xfId="4267" xr:uid="{00000000-0005-0000-0000-000009300000}"/>
    <cellStyle name="Separador de milhares 5 11 2" xfId="8900" xr:uid="{00000000-0005-0000-0000-00000A300000}"/>
    <cellStyle name="Separador de milhares 5 11 3" xfId="12110" xr:uid="{00000000-0005-0000-0000-00000B300000}"/>
    <cellStyle name="Separador de milhares 5 11 4" xfId="13718" xr:uid="{00000000-0005-0000-0000-00000C300000}"/>
    <cellStyle name="Separador de milhares 5 12" xfId="4268" xr:uid="{00000000-0005-0000-0000-00000D300000}"/>
    <cellStyle name="Separador de milhares 5 12 2" xfId="8901" xr:uid="{00000000-0005-0000-0000-00000E300000}"/>
    <cellStyle name="Separador de milhares 5 12 3" xfId="12111" xr:uid="{00000000-0005-0000-0000-00000F300000}"/>
    <cellStyle name="Separador de milhares 5 12 4" xfId="13719" xr:uid="{00000000-0005-0000-0000-000010300000}"/>
    <cellStyle name="Separador de milhares 5 13" xfId="4269" xr:uid="{00000000-0005-0000-0000-000011300000}"/>
    <cellStyle name="Separador de milhares 5 13 2" xfId="8902" xr:uid="{00000000-0005-0000-0000-000012300000}"/>
    <cellStyle name="Separador de milhares 5 13 3" xfId="12112" xr:uid="{00000000-0005-0000-0000-000013300000}"/>
    <cellStyle name="Separador de milhares 5 13 4" xfId="13720" xr:uid="{00000000-0005-0000-0000-000014300000}"/>
    <cellStyle name="Separador de milhares 5 14" xfId="8898" xr:uid="{00000000-0005-0000-0000-000015300000}"/>
    <cellStyle name="Separador de milhares 5 15" xfId="12108" xr:uid="{00000000-0005-0000-0000-000016300000}"/>
    <cellStyle name="Separador de milhares 5 16" xfId="13716" xr:uid="{00000000-0005-0000-0000-000017300000}"/>
    <cellStyle name="Separador de milhares 5 2" xfId="4270" xr:uid="{00000000-0005-0000-0000-000018300000}"/>
    <cellStyle name="Separador de milhares 5 2 2" xfId="4271" xr:uid="{00000000-0005-0000-0000-000019300000}"/>
    <cellStyle name="Separador de milhares 5 2 2 2" xfId="8904" xr:uid="{00000000-0005-0000-0000-00001A300000}"/>
    <cellStyle name="Separador de milhares 5 2 2 3" xfId="12114" xr:uid="{00000000-0005-0000-0000-00001B300000}"/>
    <cellStyle name="Separador de milhares 5 2 2 4" xfId="13722" xr:uid="{00000000-0005-0000-0000-00001C300000}"/>
    <cellStyle name="Separador de milhares 5 2 3" xfId="4272" xr:uid="{00000000-0005-0000-0000-00001D300000}"/>
    <cellStyle name="Separador de milhares 5 2 3 2" xfId="8905" xr:uid="{00000000-0005-0000-0000-00001E300000}"/>
    <cellStyle name="Separador de milhares 5 2 3 3" xfId="12115" xr:uid="{00000000-0005-0000-0000-00001F300000}"/>
    <cellStyle name="Separador de milhares 5 2 3 4" xfId="13723" xr:uid="{00000000-0005-0000-0000-000020300000}"/>
    <cellStyle name="Separador de milhares 5 2 4" xfId="4273" xr:uid="{00000000-0005-0000-0000-000021300000}"/>
    <cellStyle name="Separador de milhares 5 2 4 2" xfId="4274" xr:uid="{00000000-0005-0000-0000-000022300000}"/>
    <cellStyle name="Separador de milhares 5 2 4 2 2" xfId="8907" xr:uid="{00000000-0005-0000-0000-000023300000}"/>
    <cellStyle name="Separador de milhares 5 2 4 2 3" xfId="12117" xr:uid="{00000000-0005-0000-0000-000024300000}"/>
    <cellStyle name="Separador de milhares 5 2 4 2 4" xfId="13725" xr:uid="{00000000-0005-0000-0000-000025300000}"/>
    <cellStyle name="Separador de milhares 5 2 4 3" xfId="4275" xr:uid="{00000000-0005-0000-0000-000026300000}"/>
    <cellStyle name="Separador de milhares 5 2 4 3 2" xfId="8908" xr:uid="{00000000-0005-0000-0000-000027300000}"/>
    <cellStyle name="Separador de milhares 5 2 4 3 3" xfId="12118" xr:uid="{00000000-0005-0000-0000-000028300000}"/>
    <cellStyle name="Separador de milhares 5 2 4 3 4" xfId="13726" xr:uid="{00000000-0005-0000-0000-000029300000}"/>
    <cellStyle name="Separador de milhares 5 2 4 4" xfId="4276" xr:uid="{00000000-0005-0000-0000-00002A300000}"/>
    <cellStyle name="Separador de milhares 5 2 4 4 2" xfId="8909" xr:uid="{00000000-0005-0000-0000-00002B300000}"/>
    <cellStyle name="Separador de milhares 5 2 4 4 3" xfId="12119" xr:uid="{00000000-0005-0000-0000-00002C300000}"/>
    <cellStyle name="Separador de milhares 5 2 4 4 4" xfId="13727" xr:uid="{00000000-0005-0000-0000-00002D300000}"/>
    <cellStyle name="Separador de milhares 5 2 4 5" xfId="8906" xr:uid="{00000000-0005-0000-0000-00002E300000}"/>
    <cellStyle name="Separador de milhares 5 2 4 6" xfId="12116" xr:uid="{00000000-0005-0000-0000-00002F300000}"/>
    <cellStyle name="Separador de milhares 5 2 4 7" xfId="13724" xr:uid="{00000000-0005-0000-0000-000030300000}"/>
    <cellStyle name="Separador de milhares 5 2 5" xfId="4277" xr:uid="{00000000-0005-0000-0000-000031300000}"/>
    <cellStyle name="Separador de milhares 5 2 5 2" xfId="8910" xr:uid="{00000000-0005-0000-0000-000032300000}"/>
    <cellStyle name="Separador de milhares 5 2 5 3" xfId="12120" xr:uid="{00000000-0005-0000-0000-000033300000}"/>
    <cellStyle name="Separador de milhares 5 2 5 4" xfId="13728" xr:uid="{00000000-0005-0000-0000-000034300000}"/>
    <cellStyle name="Separador de milhares 5 2 6" xfId="4278" xr:uid="{00000000-0005-0000-0000-000035300000}"/>
    <cellStyle name="Separador de milhares 5 2 6 2" xfId="8911" xr:uid="{00000000-0005-0000-0000-000036300000}"/>
    <cellStyle name="Separador de milhares 5 2 6 3" xfId="12121" xr:uid="{00000000-0005-0000-0000-000037300000}"/>
    <cellStyle name="Separador de milhares 5 2 6 4" xfId="13729" xr:uid="{00000000-0005-0000-0000-000038300000}"/>
    <cellStyle name="Separador de milhares 5 2 7" xfId="8903" xr:uid="{00000000-0005-0000-0000-000039300000}"/>
    <cellStyle name="Separador de milhares 5 2 8" xfId="12113" xr:uid="{00000000-0005-0000-0000-00003A300000}"/>
    <cellStyle name="Separador de milhares 5 2 9" xfId="13721" xr:uid="{00000000-0005-0000-0000-00003B300000}"/>
    <cellStyle name="Separador de milhares 5 3" xfId="4279" xr:uid="{00000000-0005-0000-0000-00003C300000}"/>
    <cellStyle name="Separador de milhares 5 3 2" xfId="4280" xr:uid="{00000000-0005-0000-0000-00003D300000}"/>
    <cellStyle name="Separador de milhares 5 3 2 2" xfId="8913" xr:uid="{00000000-0005-0000-0000-00003E300000}"/>
    <cellStyle name="Separador de milhares 5 3 2 3" xfId="12123" xr:uid="{00000000-0005-0000-0000-00003F300000}"/>
    <cellStyle name="Separador de milhares 5 3 2 4" xfId="13731" xr:uid="{00000000-0005-0000-0000-000040300000}"/>
    <cellStyle name="Separador de milhares 5 3 3" xfId="8912" xr:uid="{00000000-0005-0000-0000-000041300000}"/>
    <cellStyle name="Separador de milhares 5 3 4" xfId="12122" xr:uid="{00000000-0005-0000-0000-000042300000}"/>
    <cellStyle name="Separador de milhares 5 3 5" xfId="13730" xr:uid="{00000000-0005-0000-0000-000043300000}"/>
    <cellStyle name="Separador de milhares 5 4" xfId="4281" xr:uid="{00000000-0005-0000-0000-000044300000}"/>
    <cellStyle name="Separador de milhares 5 4 2" xfId="4282" xr:uid="{00000000-0005-0000-0000-000045300000}"/>
    <cellStyle name="Separador de milhares 5 4 2 2" xfId="8915" xr:uid="{00000000-0005-0000-0000-000046300000}"/>
    <cellStyle name="Separador de milhares 5 4 2 3" xfId="12125" xr:uid="{00000000-0005-0000-0000-000047300000}"/>
    <cellStyle name="Separador de milhares 5 4 2 4" xfId="13733" xr:uid="{00000000-0005-0000-0000-000048300000}"/>
    <cellStyle name="Separador de milhares 5 4 3" xfId="8914" xr:uid="{00000000-0005-0000-0000-000049300000}"/>
    <cellStyle name="Separador de milhares 5 4 4" xfId="12124" xr:uid="{00000000-0005-0000-0000-00004A300000}"/>
    <cellStyle name="Separador de milhares 5 4 5" xfId="13732" xr:uid="{00000000-0005-0000-0000-00004B300000}"/>
    <cellStyle name="Separador de milhares 5 5" xfId="4283" xr:uid="{00000000-0005-0000-0000-00004C300000}"/>
    <cellStyle name="Separador de milhares 5 5 2" xfId="4284" xr:uid="{00000000-0005-0000-0000-00004D300000}"/>
    <cellStyle name="Separador de milhares 5 5 2 2" xfId="8917" xr:uid="{00000000-0005-0000-0000-00004E300000}"/>
    <cellStyle name="Separador de milhares 5 5 2 3" xfId="12127" xr:uid="{00000000-0005-0000-0000-00004F300000}"/>
    <cellStyle name="Separador de milhares 5 5 2 4" xfId="13735" xr:uid="{00000000-0005-0000-0000-000050300000}"/>
    <cellStyle name="Separador de milhares 5 5 3" xfId="8916" xr:uid="{00000000-0005-0000-0000-000051300000}"/>
    <cellStyle name="Separador de milhares 5 5 4" xfId="12126" xr:uid="{00000000-0005-0000-0000-000052300000}"/>
    <cellStyle name="Separador de milhares 5 5 5" xfId="13734" xr:uid="{00000000-0005-0000-0000-000053300000}"/>
    <cellStyle name="Separador de milhares 5 6" xfId="4285" xr:uid="{00000000-0005-0000-0000-000054300000}"/>
    <cellStyle name="Separador de milhares 5 6 2" xfId="4286" xr:uid="{00000000-0005-0000-0000-000055300000}"/>
    <cellStyle name="Separador de milhares 5 6 2 2" xfId="8919" xr:uid="{00000000-0005-0000-0000-000056300000}"/>
    <cellStyle name="Separador de milhares 5 6 2 3" xfId="12129" xr:uid="{00000000-0005-0000-0000-000057300000}"/>
    <cellStyle name="Separador de milhares 5 6 2 4" xfId="13737" xr:uid="{00000000-0005-0000-0000-000058300000}"/>
    <cellStyle name="Separador de milhares 5 6 3" xfId="8918" xr:uid="{00000000-0005-0000-0000-000059300000}"/>
    <cellStyle name="Separador de milhares 5 6 4" xfId="12128" xr:uid="{00000000-0005-0000-0000-00005A300000}"/>
    <cellStyle name="Separador de milhares 5 6 5" xfId="13736" xr:uid="{00000000-0005-0000-0000-00005B300000}"/>
    <cellStyle name="Separador de milhares 5 7" xfId="4287" xr:uid="{00000000-0005-0000-0000-00005C300000}"/>
    <cellStyle name="Separador de milhares 5 7 2" xfId="4288" xr:uid="{00000000-0005-0000-0000-00005D300000}"/>
    <cellStyle name="Separador de milhares 5 7 2 2" xfId="8921" xr:uid="{00000000-0005-0000-0000-00005E300000}"/>
    <cellStyle name="Separador de milhares 5 7 2 3" xfId="12131" xr:uid="{00000000-0005-0000-0000-00005F300000}"/>
    <cellStyle name="Separador de milhares 5 7 2 4" xfId="13739" xr:uid="{00000000-0005-0000-0000-000060300000}"/>
    <cellStyle name="Separador de milhares 5 7 3" xfId="4289" xr:uid="{00000000-0005-0000-0000-000061300000}"/>
    <cellStyle name="Separador de milhares 5 7 3 2" xfId="8922" xr:uid="{00000000-0005-0000-0000-000062300000}"/>
    <cellStyle name="Separador de milhares 5 7 3 3" xfId="12132" xr:uid="{00000000-0005-0000-0000-000063300000}"/>
    <cellStyle name="Separador de milhares 5 7 3 4" xfId="13740" xr:uid="{00000000-0005-0000-0000-000064300000}"/>
    <cellStyle name="Separador de milhares 5 7 4" xfId="8920" xr:uid="{00000000-0005-0000-0000-000065300000}"/>
    <cellStyle name="Separador de milhares 5 7 5" xfId="12130" xr:uid="{00000000-0005-0000-0000-000066300000}"/>
    <cellStyle name="Separador de milhares 5 7 6" xfId="13738" xr:uid="{00000000-0005-0000-0000-000067300000}"/>
    <cellStyle name="Separador de milhares 5 8" xfId="4290" xr:uid="{00000000-0005-0000-0000-000068300000}"/>
    <cellStyle name="Separador de milhares 5 8 2" xfId="8923" xr:uid="{00000000-0005-0000-0000-000069300000}"/>
    <cellStyle name="Separador de milhares 5 8 3" xfId="12133" xr:uid="{00000000-0005-0000-0000-00006A300000}"/>
    <cellStyle name="Separador de milhares 5 8 4" xfId="13741" xr:uid="{00000000-0005-0000-0000-00006B300000}"/>
    <cellStyle name="Separador de milhares 5 9" xfId="4291" xr:uid="{00000000-0005-0000-0000-00006C300000}"/>
    <cellStyle name="Separador de milhares 5 9 2" xfId="8924" xr:uid="{00000000-0005-0000-0000-00006D300000}"/>
    <cellStyle name="Separador de milhares 5 9 3" xfId="12134" xr:uid="{00000000-0005-0000-0000-00006E300000}"/>
    <cellStyle name="Separador de milhares 5 9 4" xfId="13742" xr:uid="{00000000-0005-0000-0000-00006F300000}"/>
    <cellStyle name="Separador de milhares 6" xfId="4292" xr:uid="{00000000-0005-0000-0000-000070300000}"/>
    <cellStyle name="Separador de milhares 6 10" xfId="4293" xr:uid="{00000000-0005-0000-0000-000071300000}"/>
    <cellStyle name="Separador de milhares 6 10 2" xfId="8926" xr:uid="{00000000-0005-0000-0000-000072300000}"/>
    <cellStyle name="Separador de milhares 6 10 3" xfId="12136" xr:uid="{00000000-0005-0000-0000-000073300000}"/>
    <cellStyle name="Separador de milhares 6 10 4" xfId="13744" xr:uid="{00000000-0005-0000-0000-000074300000}"/>
    <cellStyle name="Separador de milhares 6 11" xfId="4294" xr:uid="{00000000-0005-0000-0000-000075300000}"/>
    <cellStyle name="Separador de milhares 6 11 2" xfId="8927" xr:uid="{00000000-0005-0000-0000-000076300000}"/>
    <cellStyle name="Separador de milhares 6 11 3" xfId="12137" xr:uid="{00000000-0005-0000-0000-000077300000}"/>
    <cellStyle name="Separador de milhares 6 11 4" xfId="13745" xr:uid="{00000000-0005-0000-0000-000078300000}"/>
    <cellStyle name="Separador de milhares 6 12" xfId="5121" xr:uid="{00000000-0005-0000-0000-000079300000}"/>
    <cellStyle name="Separador de milhares 6 13" xfId="8925" xr:uid="{00000000-0005-0000-0000-00007A300000}"/>
    <cellStyle name="Separador de milhares 6 14" xfId="12135" xr:uid="{00000000-0005-0000-0000-00007B300000}"/>
    <cellStyle name="Separador de milhares 6 15" xfId="13743" xr:uid="{00000000-0005-0000-0000-00007C300000}"/>
    <cellStyle name="Separador de milhares 6 2" xfId="4295" xr:uid="{00000000-0005-0000-0000-00007D300000}"/>
    <cellStyle name="Separador de milhares 6 2 10" xfId="13746" xr:uid="{00000000-0005-0000-0000-00007E300000}"/>
    <cellStyle name="Separador de milhares 6 2 2" xfId="4296" xr:uid="{00000000-0005-0000-0000-00007F300000}"/>
    <cellStyle name="Separador de milhares 6 2 2 2" xfId="4297" xr:uid="{00000000-0005-0000-0000-000080300000}"/>
    <cellStyle name="Separador de milhares 6 2 2 2 2" xfId="8929" xr:uid="{00000000-0005-0000-0000-000081300000}"/>
    <cellStyle name="Separador de milhares 6 2 2 2 3" xfId="12139" xr:uid="{00000000-0005-0000-0000-000082300000}"/>
    <cellStyle name="Separador de milhares 6 2 2 2 4" xfId="13747" xr:uid="{00000000-0005-0000-0000-000083300000}"/>
    <cellStyle name="Separador de milhares 6 2 2 3" xfId="4298" xr:uid="{00000000-0005-0000-0000-000084300000}"/>
    <cellStyle name="Separador de milhares 6 2 2 3 2" xfId="8930" xr:uid="{00000000-0005-0000-0000-000085300000}"/>
    <cellStyle name="Separador de milhares 6 2 2 3 3" xfId="12140" xr:uid="{00000000-0005-0000-0000-000086300000}"/>
    <cellStyle name="Separador de milhares 6 2 2 3 4" xfId="13748" xr:uid="{00000000-0005-0000-0000-000087300000}"/>
    <cellStyle name="Separador de milhares 6 2 2 4" xfId="4299" xr:uid="{00000000-0005-0000-0000-000088300000}"/>
    <cellStyle name="Separador de milhares 6 2 2 4 2" xfId="8931" xr:uid="{00000000-0005-0000-0000-000089300000}"/>
    <cellStyle name="Separador de milhares 6 2 2 4 3" xfId="12141" xr:uid="{00000000-0005-0000-0000-00008A300000}"/>
    <cellStyle name="Separador de milhares 6 2 2 4 4" xfId="13749" xr:uid="{00000000-0005-0000-0000-00008B300000}"/>
    <cellStyle name="Separador de milhares 6 2 2 5" xfId="4300" xr:uid="{00000000-0005-0000-0000-00008C300000}"/>
    <cellStyle name="Separador de milhares 6 2 2 5 2" xfId="8932" xr:uid="{00000000-0005-0000-0000-00008D300000}"/>
    <cellStyle name="Separador de milhares 6 2 2 5 3" xfId="12142" xr:uid="{00000000-0005-0000-0000-00008E300000}"/>
    <cellStyle name="Separador de milhares 6 2 2 5 4" xfId="13750" xr:uid="{00000000-0005-0000-0000-00008F300000}"/>
    <cellStyle name="Separador de milhares 6 2 2 6" xfId="4301" xr:uid="{00000000-0005-0000-0000-000090300000}"/>
    <cellStyle name="Separador de milhares 6 2 2 6 2" xfId="8933" xr:uid="{00000000-0005-0000-0000-000091300000}"/>
    <cellStyle name="Separador de milhares 6 2 2 6 3" xfId="12143" xr:uid="{00000000-0005-0000-0000-000092300000}"/>
    <cellStyle name="Separador de milhares 6 2 2 6 4" xfId="13751" xr:uid="{00000000-0005-0000-0000-000093300000}"/>
    <cellStyle name="Separador de milhares 6 2 2 7" xfId="4302" xr:uid="{00000000-0005-0000-0000-000094300000}"/>
    <cellStyle name="Separador de milhares 6 2 2 7 2" xfId="8934" xr:uid="{00000000-0005-0000-0000-000095300000}"/>
    <cellStyle name="Separador de milhares 6 2 2 7 3" xfId="12144" xr:uid="{00000000-0005-0000-0000-000096300000}"/>
    <cellStyle name="Separador de milhares 6 2 2 7 4" xfId="13752" xr:uid="{00000000-0005-0000-0000-000097300000}"/>
    <cellStyle name="Separador de milhares 6 2 2 8" xfId="4303" xr:uid="{00000000-0005-0000-0000-000098300000}"/>
    <cellStyle name="Separador de milhares 6 2 2 8 2" xfId="8935" xr:uid="{00000000-0005-0000-0000-000099300000}"/>
    <cellStyle name="Separador de milhares 6 2 2 8 3" xfId="12145" xr:uid="{00000000-0005-0000-0000-00009A300000}"/>
    <cellStyle name="Separador de milhares 6 2 2 8 4" xfId="13753" xr:uid="{00000000-0005-0000-0000-00009B300000}"/>
    <cellStyle name="Separador de milhares 6 2 3" xfId="4304" xr:uid="{00000000-0005-0000-0000-00009C300000}"/>
    <cellStyle name="Separador de milhares 6 2 3 2" xfId="8936" xr:uid="{00000000-0005-0000-0000-00009D300000}"/>
    <cellStyle name="Separador de milhares 6 2 3 3" xfId="12146" xr:uid="{00000000-0005-0000-0000-00009E300000}"/>
    <cellStyle name="Separador de milhares 6 2 3 4" xfId="13754" xr:uid="{00000000-0005-0000-0000-00009F300000}"/>
    <cellStyle name="Separador de milhares 6 2 4" xfId="4305" xr:uid="{00000000-0005-0000-0000-0000A0300000}"/>
    <cellStyle name="Separador de milhares 6 2 4 2" xfId="4306" xr:uid="{00000000-0005-0000-0000-0000A1300000}"/>
    <cellStyle name="Separador de milhares 6 2 4 2 2" xfId="8938" xr:uid="{00000000-0005-0000-0000-0000A2300000}"/>
    <cellStyle name="Separador de milhares 6 2 4 2 3" xfId="12148" xr:uid="{00000000-0005-0000-0000-0000A3300000}"/>
    <cellStyle name="Separador de milhares 6 2 4 2 4" xfId="13756" xr:uid="{00000000-0005-0000-0000-0000A4300000}"/>
    <cellStyle name="Separador de milhares 6 2 4 3" xfId="4307" xr:uid="{00000000-0005-0000-0000-0000A5300000}"/>
    <cellStyle name="Separador de milhares 6 2 4 3 2" xfId="8939" xr:uid="{00000000-0005-0000-0000-0000A6300000}"/>
    <cellStyle name="Separador de milhares 6 2 4 3 3" xfId="12149" xr:uid="{00000000-0005-0000-0000-0000A7300000}"/>
    <cellStyle name="Separador de milhares 6 2 4 3 4" xfId="13757" xr:uid="{00000000-0005-0000-0000-0000A8300000}"/>
    <cellStyle name="Separador de milhares 6 2 4 4" xfId="4308" xr:uid="{00000000-0005-0000-0000-0000A9300000}"/>
    <cellStyle name="Separador de milhares 6 2 4 4 2" xfId="8940" xr:uid="{00000000-0005-0000-0000-0000AA300000}"/>
    <cellStyle name="Separador de milhares 6 2 4 4 3" xfId="12150" xr:uid="{00000000-0005-0000-0000-0000AB300000}"/>
    <cellStyle name="Separador de milhares 6 2 4 4 4" xfId="13758" xr:uid="{00000000-0005-0000-0000-0000AC300000}"/>
    <cellStyle name="Separador de milhares 6 2 4 5" xfId="8937" xr:uid="{00000000-0005-0000-0000-0000AD300000}"/>
    <cellStyle name="Separador de milhares 6 2 4 6" xfId="12147" xr:uid="{00000000-0005-0000-0000-0000AE300000}"/>
    <cellStyle name="Separador de milhares 6 2 4 7" xfId="13755" xr:uid="{00000000-0005-0000-0000-0000AF300000}"/>
    <cellStyle name="Separador de milhares 6 2 5" xfId="4309" xr:uid="{00000000-0005-0000-0000-0000B0300000}"/>
    <cellStyle name="Separador de milhares 6 2 5 2" xfId="4310" xr:uid="{00000000-0005-0000-0000-0000B1300000}"/>
    <cellStyle name="Separador de milhares 6 2 5 2 2" xfId="8942" xr:uid="{00000000-0005-0000-0000-0000B2300000}"/>
    <cellStyle name="Separador de milhares 6 2 5 2 3" xfId="12152" xr:uid="{00000000-0005-0000-0000-0000B3300000}"/>
    <cellStyle name="Separador de milhares 6 2 5 2 4" xfId="13760" xr:uid="{00000000-0005-0000-0000-0000B4300000}"/>
    <cellStyle name="Separador de milhares 6 2 5 3" xfId="4311" xr:uid="{00000000-0005-0000-0000-0000B5300000}"/>
    <cellStyle name="Separador de milhares 6 2 5 3 2" xfId="8943" xr:uid="{00000000-0005-0000-0000-0000B6300000}"/>
    <cellStyle name="Separador de milhares 6 2 5 3 3" xfId="12153" xr:uid="{00000000-0005-0000-0000-0000B7300000}"/>
    <cellStyle name="Separador de milhares 6 2 5 3 4" xfId="13761" xr:uid="{00000000-0005-0000-0000-0000B8300000}"/>
    <cellStyle name="Separador de milhares 6 2 5 4" xfId="4312" xr:uid="{00000000-0005-0000-0000-0000B9300000}"/>
    <cellStyle name="Separador de milhares 6 2 5 4 2" xfId="8944" xr:uid="{00000000-0005-0000-0000-0000BA300000}"/>
    <cellStyle name="Separador de milhares 6 2 5 4 3" xfId="12154" xr:uid="{00000000-0005-0000-0000-0000BB300000}"/>
    <cellStyle name="Separador de milhares 6 2 5 4 4" xfId="13762" xr:uid="{00000000-0005-0000-0000-0000BC300000}"/>
    <cellStyle name="Separador de milhares 6 2 5 5" xfId="8941" xr:uid="{00000000-0005-0000-0000-0000BD300000}"/>
    <cellStyle name="Separador de milhares 6 2 5 6" xfId="12151" xr:uid="{00000000-0005-0000-0000-0000BE300000}"/>
    <cellStyle name="Separador de milhares 6 2 5 7" xfId="13759" xr:uid="{00000000-0005-0000-0000-0000BF300000}"/>
    <cellStyle name="Separador de milhares 6 2 6" xfId="4313" xr:uid="{00000000-0005-0000-0000-0000C0300000}"/>
    <cellStyle name="Separador de milhares 6 2 6 2" xfId="8945" xr:uid="{00000000-0005-0000-0000-0000C1300000}"/>
    <cellStyle name="Separador de milhares 6 2 6 3" xfId="12155" xr:uid="{00000000-0005-0000-0000-0000C2300000}"/>
    <cellStyle name="Separador de milhares 6 2 6 4" xfId="13763" xr:uid="{00000000-0005-0000-0000-0000C3300000}"/>
    <cellStyle name="Separador de milhares 6 2 7" xfId="10412" xr:uid="{00000000-0005-0000-0000-0000C4300000}"/>
    <cellStyle name="Separador de milhares 6 2 8" xfId="8928" xr:uid="{00000000-0005-0000-0000-0000C5300000}"/>
    <cellStyle name="Separador de milhares 6 2 9" xfId="12138" xr:uid="{00000000-0005-0000-0000-0000C6300000}"/>
    <cellStyle name="Separador de milhares 6 3" xfId="4314" xr:uid="{00000000-0005-0000-0000-0000C7300000}"/>
    <cellStyle name="Separador de milhares 6 3 2" xfId="4315" xr:uid="{00000000-0005-0000-0000-0000C8300000}"/>
    <cellStyle name="Separador de milhares 6 3 2 2" xfId="8946" xr:uid="{00000000-0005-0000-0000-0000C9300000}"/>
    <cellStyle name="Separador de milhares 6 3 2 3" xfId="12156" xr:uid="{00000000-0005-0000-0000-0000CA300000}"/>
    <cellStyle name="Separador de milhares 6 3 2 4" xfId="13764" xr:uid="{00000000-0005-0000-0000-0000CB300000}"/>
    <cellStyle name="Separador de milhares 6 3 3" xfId="4316" xr:uid="{00000000-0005-0000-0000-0000CC300000}"/>
    <cellStyle name="Separador de milhares 6 3 3 2" xfId="8947" xr:uid="{00000000-0005-0000-0000-0000CD300000}"/>
    <cellStyle name="Separador de milhares 6 3 3 3" xfId="12157" xr:uid="{00000000-0005-0000-0000-0000CE300000}"/>
    <cellStyle name="Separador de milhares 6 3 3 4" xfId="13765" xr:uid="{00000000-0005-0000-0000-0000CF300000}"/>
    <cellStyle name="Separador de milhares 6 4" xfId="4317" xr:uid="{00000000-0005-0000-0000-0000D0300000}"/>
    <cellStyle name="Separador de milhares 6 4 2" xfId="4318" xr:uid="{00000000-0005-0000-0000-0000D1300000}"/>
    <cellStyle name="Separador de milhares 6 4 2 2" xfId="8948" xr:uid="{00000000-0005-0000-0000-0000D2300000}"/>
    <cellStyle name="Separador de milhares 6 4 2 3" xfId="12158" xr:uid="{00000000-0005-0000-0000-0000D3300000}"/>
    <cellStyle name="Separador de milhares 6 4 2 4" xfId="13766" xr:uid="{00000000-0005-0000-0000-0000D4300000}"/>
    <cellStyle name="Separador de milhares 6 4 3" xfId="4319" xr:uid="{00000000-0005-0000-0000-0000D5300000}"/>
    <cellStyle name="Separador de milhares 6 4 3 2" xfId="8949" xr:uid="{00000000-0005-0000-0000-0000D6300000}"/>
    <cellStyle name="Separador de milhares 6 4 3 3" xfId="12159" xr:uid="{00000000-0005-0000-0000-0000D7300000}"/>
    <cellStyle name="Separador de milhares 6 4 3 4" xfId="13767" xr:uid="{00000000-0005-0000-0000-0000D8300000}"/>
    <cellStyle name="Separador de milhares 6 5" xfId="4320" xr:uid="{00000000-0005-0000-0000-0000D9300000}"/>
    <cellStyle name="Separador de milhares 6 5 2" xfId="4321" xr:uid="{00000000-0005-0000-0000-0000DA300000}"/>
    <cellStyle name="Separador de milhares 6 5 2 2" xfId="8950" xr:uid="{00000000-0005-0000-0000-0000DB300000}"/>
    <cellStyle name="Separador de milhares 6 5 2 3" xfId="12160" xr:uid="{00000000-0005-0000-0000-0000DC300000}"/>
    <cellStyle name="Separador de milhares 6 5 2 4" xfId="13768" xr:uid="{00000000-0005-0000-0000-0000DD300000}"/>
    <cellStyle name="Separador de milhares 6 5 3" xfId="4322" xr:uid="{00000000-0005-0000-0000-0000DE300000}"/>
    <cellStyle name="Separador de milhares 6 5 3 2" xfId="8951" xr:uid="{00000000-0005-0000-0000-0000DF300000}"/>
    <cellStyle name="Separador de milhares 6 5 3 3" xfId="12161" xr:uid="{00000000-0005-0000-0000-0000E0300000}"/>
    <cellStyle name="Separador de milhares 6 5 3 4" xfId="13769" xr:uid="{00000000-0005-0000-0000-0000E1300000}"/>
    <cellStyle name="Separador de milhares 6 6" xfId="4323" xr:uid="{00000000-0005-0000-0000-0000E2300000}"/>
    <cellStyle name="Separador de milhares 6 6 2" xfId="4324" xr:uid="{00000000-0005-0000-0000-0000E3300000}"/>
    <cellStyle name="Separador de milhares 6 6 2 2" xfId="8952" xr:uid="{00000000-0005-0000-0000-0000E4300000}"/>
    <cellStyle name="Separador de milhares 6 6 2 3" xfId="12162" xr:uid="{00000000-0005-0000-0000-0000E5300000}"/>
    <cellStyle name="Separador de milhares 6 6 2 4" xfId="13770" xr:uid="{00000000-0005-0000-0000-0000E6300000}"/>
    <cellStyle name="Separador de milhares 6 6 3" xfId="4325" xr:uid="{00000000-0005-0000-0000-0000E7300000}"/>
    <cellStyle name="Separador de milhares 6 6 3 2" xfId="8953" xr:uid="{00000000-0005-0000-0000-0000E8300000}"/>
    <cellStyle name="Separador de milhares 6 6 3 3" xfId="12163" xr:uid="{00000000-0005-0000-0000-0000E9300000}"/>
    <cellStyle name="Separador de milhares 6 6 3 4" xfId="13771" xr:uid="{00000000-0005-0000-0000-0000EA300000}"/>
    <cellStyle name="Separador de milhares 6 7" xfId="4326" xr:uid="{00000000-0005-0000-0000-0000EB300000}"/>
    <cellStyle name="Separador de milhares 6 7 2" xfId="4327" xr:uid="{00000000-0005-0000-0000-0000EC300000}"/>
    <cellStyle name="Separador de milhares 6 7 2 2" xfId="8954" xr:uid="{00000000-0005-0000-0000-0000ED300000}"/>
    <cellStyle name="Separador de milhares 6 7 2 3" xfId="12164" xr:uid="{00000000-0005-0000-0000-0000EE300000}"/>
    <cellStyle name="Separador de milhares 6 7 2 4" xfId="13772" xr:uid="{00000000-0005-0000-0000-0000EF300000}"/>
    <cellStyle name="Separador de milhares 6 7 3" xfId="4328" xr:uid="{00000000-0005-0000-0000-0000F0300000}"/>
    <cellStyle name="Separador de milhares 6 7 3 2" xfId="8955" xr:uid="{00000000-0005-0000-0000-0000F1300000}"/>
    <cellStyle name="Separador de milhares 6 7 3 3" xfId="12165" xr:uid="{00000000-0005-0000-0000-0000F2300000}"/>
    <cellStyle name="Separador de milhares 6 7 3 4" xfId="13773" xr:uid="{00000000-0005-0000-0000-0000F3300000}"/>
    <cellStyle name="Separador de milhares 6 7 4" xfId="4329" xr:uid="{00000000-0005-0000-0000-0000F4300000}"/>
    <cellStyle name="Separador de milhares 6 7 4 2" xfId="8956" xr:uid="{00000000-0005-0000-0000-0000F5300000}"/>
    <cellStyle name="Separador de milhares 6 7 4 3" xfId="12166" xr:uid="{00000000-0005-0000-0000-0000F6300000}"/>
    <cellStyle name="Separador de milhares 6 7 4 4" xfId="13774" xr:uid="{00000000-0005-0000-0000-0000F7300000}"/>
    <cellStyle name="Separador de milhares 6 7 5" xfId="4330" xr:uid="{00000000-0005-0000-0000-0000F8300000}"/>
    <cellStyle name="Separador de milhares 6 7 5 2" xfId="8957" xr:uid="{00000000-0005-0000-0000-0000F9300000}"/>
    <cellStyle name="Separador de milhares 6 7 5 3" xfId="12167" xr:uid="{00000000-0005-0000-0000-0000FA300000}"/>
    <cellStyle name="Separador de milhares 6 7 5 4" xfId="13775" xr:uid="{00000000-0005-0000-0000-0000FB300000}"/>
    <cellStyle name="Separador de milhares 6 8" xfId="4331" xr:uid="{00000000-0005-0000-0000-0000FC300000}"/>
    <cellStyle name="Separador de milhares 6 8 2" xfId="8958" xr:uid="{00000000-0005-0000-0000-0000FD300000}"/>
    <cellStyle name="Separador de milhares 6 8 3" xfId="12168" xr:uid="{00000000-0005-0000-0000-0000FE300000}"/>
    <cellStyle name="Separador de milhares 6 8 4" xfId="13776" xr:uid="{00000000-0005-0000-0000-0000FF300000}"/>
    <cellStyle name="Separador de milhares 6 9" xfId="4332" xr:uid="{00000000-0005-0000-0000-000000310000}"/>
    <cellStyle name="Separador de milhares 6 9 2" xfId="8959" xr:uid="{00000000-0005-0000-0000-000001310000}"/>
    <cellStyle name="Separador de milhares 6 9 3" xfId="12169" xr:uid="{00000000-0005-0000-0000-000002310000}"/>
    <cellStyle name="Separador de milhares 6 9 4" xfId="13777" xr:uid="{00000000-0005-0000-0000-000003310000}"/>
    <cellStyle name="Separador de milhares 7" xfId="4333" xr:uid="{00000000-0005-0000-0000-000004310000}"/>
    <cellStyle name="Separador de milhares 7 10" xfId="4334" xr:uid="{00000000-0005-0000-0000-000005310000}"/>
    <cellStyle name="Separador de milhares 7 10 2" xfId="4335" xr:uid="{00000000-0005-0000-0000-000006310000}"/>
    <cellStyle name="Separador de milhares 7 10 3" xfId="4336" xr:uid="{00000000-0005-0000-0000-000007310000}"/>
    <cellStyle name="Separador de milhares 7 10 4" xfId="4337" xr:uid="{00000000-0005-0000-0000-000008310000}"/>
    <cellStyle name="Separador de milhares 7 10 5" xfId="4338" xr:uid="{00000000-0005-0000-0000-000009310000}"/>
    <cellStyle name="Separador de milhares 7 10 6" xfId="4339" xr:uid="{00000000-0005-0000-0000-00000A310000}"/>
    <cellStyle name="Separador de milhares 7 10 7" xfId="4340" xr:uid="{00000000-0005-0000-0000-00000B310000}"/>
    <cellStyle name="Separador de milhares 7 11" xfId="4341" xr:uid="{00000000-0005-0000-0000-00000C310000}"/>
    <cellStyle name="Separador de milhares 7 11 2" xfId="4342" xr:uid="{00000000-0005-0000-0000-00000D310000}"/>
    <cellStyle name="Separador de milhares 7 11 2 2" xfId="10413" xr:uid="{00000000-0005-0000-0000-00000E310000}"/>
    <cellStyle name="Separador de milhares 7 11 2 3" xfId="8961" xr:uid="{00000000-0005-0000-0000-00000F310000}"/>
    <cellStyle name="Separador de milhares 7 11 2 4" xfId="12171" xr:uid="{00000000-0005-0000-0000-000010310000}"/>
    <cellStyle name="Separador de milhares 7 11 2 5" xfId="13779" xr:uid="{00000000-0005-0000-0000-000011310000}"/>
    <cellStyle name="Separador de milhares 7 11 3" xfId="4343" xr:uid="{00000000-0005-0000-0000-000012310000}"/>
    <cellStyle name="Separador de milhares 7 11 4" xfId="4344" xr:uid="{00000000-0005-0000-0000-000013310000}"/>
    <cellStyle name="Separador de milhares 7 11 5" xfId="4345" xr:uid="{00000000-0005-0000-0000-000014310000}"/>
    <cellStyle name="Separador de milhares 7 11 6" xfId="4346" xr:uid="{00000000-0005-0000-0000-000015310000}"/>
    <cellStyle name="Separador de milhares 7 11 7" xfId="4347" xr:uid="{00000000-0005-0000-0000-000016310000}"/>
    <cellStyle name="Separador de milhares 7 12" xfId="4348" xr:uid="{00000000-0005-0000-0000-000017310000}"/>
    <cellStyle name="Separador de milhares 7 13" xfId="4349" xr:uid="{00000000-0005-0000-0000-000018310000}"/>
    <cellStyle name="Separador de milhares 7 14" xfId="4350" xr:uid="{00000000-0005-0000-0000-000019310000}"/>
    <cellStyle name="Separador de milhares 7 14 2" xfId="4351" xr:uid="{00000000-0005-0000-0000-00001A310000}"/>
    <cellStyle name="Separador de milhares 7 14 2 2" xfId="10414" xr:uid="{00000000-0005-0000-0000-00001B310000}"/>
    <cellStyle name="Separador de milhares 7 14 2 3" xfId="8962" xr:uid="{00000000-0005-0000-0000-00001C310000}"/>
    <cellStyle name="Separador de milhares 7 14 2 4" xfId="12172" xr:uid="{00000000-0005-0000-0000-00001D310000}"/>
    <cellStyle name="Separador de milhares 7 14 2 5" xfId="13780" xr:uid="{00000000-0005-0000-0000-00001E310000}"/>
    <cellStyle name="Separador de milhares 7 15" xfId="4352" xr:uid="{00000000-0005-0000-0000-00001F310000}"/>
    <cellStyle name="Separador de milhares 7 15 2" xfId="10415" xr:uid="{00000000-0005-0000-0000-000020310000}"/>
    <cellStyle name="Separador de milhares 7 15 3" xfId="8963" xr:uid="{00000000-0005-0000-0000-000021310000}"/>
    <cellStyle name="Separador de milhares 7 15 4" xfId="12173" xr:uid="{00000000-0005-0000-0000-000022310000}"/>
    <cellStyle name="Separador de milhares 7 15 5" xfId="13781" xr:uid="{00000000-0005-0000-0000-000023310000}"/>
    <cellStyle name="Separador de milhares 7 16" xfId="4353" xr:uid="{00000000-0005-0000-0000-000024310000}"/>
    <cellStyle name="Separador de milhares 7 17" xfId="4354" xr:uid="{00000000-0005-0000-0000-000025310000}"/>
    <cellStyle name="Separador de milhares 7 18" xfId="4355" xr:uid="{00000000-0005-0000-0000-000026310000}"/>
    <cellStyle name="Separador de milhares 7 18 2" xfId="10416" xr:uid="{00000000-0005-0000-0000-000027310000}"/>
    <cellStyle name="Separador de milhares 7 18 3" xfId="8964" xr:uid="{00000000-0005-0000-0000-000028310000}"/>
    <cellStyle name="Separador de milhares 7 18 4" xfId="12174" xr:uid="{00000000-0005-0000-0000-000029310000}"/>
    <cellStyle name="Separador de milhares 7 18 5" xfId="13782" xr:uid="{00000000-0005-0000-0000-00002A310000}"/>
    <cellStyle name="Separador de milhares 7 19" xfId="8960" xr:uid="{00000000-0005-0000-0000-00002B310000}"/>
    <cellStyle name="Separador de milhares 7 2" xfId="4356" xr:uid="{00000000-0005-0000-0000-00002C310000}"/>
    <cellStyle name="Separador de milhares 7 2 2" xfId="4357" xr:uid="{00000000-0005-0000-0000-00002D310000}"/>
    <cellStyle name="Separador de milhares 7 2 2 10" xfId="12175" xr:uid="{00000000-0005-0000-0000-00002E310000}"/>
    <cellStyle name="Separador de milhares 7 2 2 11" xfId="13783" xr:uid="{00000000-0005-0000-0000-00002F310000}"/>
    <cellStyle name="Separador de milhares 7 2 2 2" xfId="4358" xr:uid="{00000000-0005-0000-0000-000030310000}"/>
    <cellStyle name="Separador de milhares 7 2 2 2 2" xfId="8966" xr:uid="{00000000-0005-0000-0000-000031310000}"/>
    <cellStyle name="Separador de milhares 7 2 2 2 3" xfId="12176" xr:uid="{00000000-0005-0000-0000-000032310000}"/>
    <cellStyle name="Separador de milhares 7 2 2 2 4" xfId="13784" xr:uid="{00000000-0005-0000-0000-000033310000}"/>
    <cellStyle name="Separador de milhares 7 2 2 3" xfId="4359" xr:uid="{00000000-0005-0000-0000-000034310000}"/>
    <cellStyle name="Separador de milhares 7 2 2 3 2" xfId="8967" xr:uid="{00000000-0005-0000-0000-000035310000}"/>
    <cellStyle name="Separador de milhares 7 2 2 3 3" xfId="12177" xr:uid="{00000000-0005-0000-0000-000036310000}"/>
    <cellStyle name="Separador de milhares 7 2 2 3 4" xfId="13785" xr:uid="{00000000-0005-0000-0000-000037310000}"/>
    <cellStyle name="Separador de milhares 7 2 2 4" xfId="4360" xr:uid="{00000000-0005-0000-0000-000038310000}"/>
    <cellStyle name="Separador de milhares 7 2 2 4 2" xfId="8968" xr:uid="{00000000-0005-0000-0000-000039310000}"/>
    <cellStyle name="Separador de milhares 7 2 2 4 3" xfId="12178" xr:uid="{00000000-0005-0000-0000-00003A310000}"/>
    <cellStyle name="Separador de milhares 7 2 2 4 4" xfId="13786" xr:uid="{00000000-0005-0000-0000-00003B310000}"/>
    <cellStyle name="Separador de milhares 7 2 2 5" xfId="4361" xr:uid="{00000000-0005-0000-0000-00003C310000}"/>
    <cellStyle name="Separador de milhares 7 2 2 5 2" xfId="8969" xr:uid="{00000000-0005-0000-0000-00003D310000}"/>
    <cellStyle name="Separador de milhares 7 2 2 5 3" xfId="12179" xr:uid="{00000000-0005-0000-0000-00003E310000}"/>
    <cellStyle name="Separador de milhares 7 2 2 5 4" xfId="13787" xr:uid="{00000000-0005-0000-0000-00003F310000}"/>
    <cellStyle name="Separador de milhares 7 2 2 6" xfId="4362" xr:uid="{00000000-0005-0000-0000-000040310000}"/>
    <cellStyle name="Separador de milhares 7 2 2 6 2" xfId="8970" xr:uid="{00000000-0005-0000-0000-000041310000}"/>
    <cellStyle name="Separador de milhares 7 2 2 6 3" xfId="12180" xr:uid="{00000000-0005-0000-0000-000042310000}"/>
    <cellStyle name="Separador de milhares 7 2 2 6 4" xfId="13788" xr:uid="{00000000-0005-0000-0000-000043310000}"/>
    <cellStyle name="Separador de milhares 7 2 2 7" xfId="4363" xr:uid="{00000000-0005-0000-0000-000044310000}"/>
    <cellStyle name="Separador de milhares 7 2 2 7 2" xfId="8971" xr:uid="{00000000-0005-0000-0000-000045310000}"/>
    <cellStyle name="Separador de milhares 7 2 2 7 3" xfId="12181" xr:uid="{00000000-0005-0000-0000-000046310000}"/>
    <cellStyle name="Separador de milhares 7 2 2 7 4" xfId="13789" xr:uid="{00000000-0005-0000-0000-000047310000}"/>
    <cellStyle name="Separador de milhares 7 2 2 8" xfId="10417" xr:uid="{00000000-0005-0000-0000-000048310000}"/>
    <cellStyle name="Separador de milhares 7 2 2 9" xfId="8965" xr:uid="{00000000-0005-0000-0000-000049310000}"/>
    <cellStyle name="Separador de milhares 7 2 3" xfId="4364" xr:uid="{00000000-0005-0000-0000-00004A310000}"/>
    <cellStyle name="Separador de milhares 7 2 4" xfId="4365" xr:uid="{00000000-0005-0000-0000-00004B310000}"/>
    <cellStyle name="Separador de milhares 7 2 4 2" xfId="10418" xr:uid="{00000000-0005-0000-0000-00004C310000}"/>
    <cellStyle name="Separador de milhares 7 2 4 3" xfId="8972" xr:uid="{00000000-0005-0000-0000-00004D310000}"/>
    <cellStyle name="Separador de milhares 7 2 4 4" xfId="12182" xr:uid="{00000000-0005-0000-0000-00004E310000}"/>
    <cellStyle name="Separador de milhares 7 2 4 5" xfId="13790" xr:uid="{00000000-0005-0000-0000-00004F310000}"/>
    <cellStyle name="Separador de milhares 7 2 5" xfId="4366" xr:uid="{00000000-0005-0000-0000-000050310000}"/>
    <cellStyle name="Separador de milhares 7 2 6" xfId="4367" xr:uid="{00000000-0005-0000-0000-000051310000}"/>
    <cellStyle name="Separador de milhares 7 2 7" xfId="4368" xr:uid="{00000000-0005-0000-0000-000052310000}"/>
    <cellStyle name="Separador de milhares 7 2 8" xfId="4369" xr:uid="{00000000-0005-0000-0000-000053310000}"/>
    <cellStyle name="Separador de milhares 7 2 9" xfId="4370" xr:uid="{00000000-0005-0000-0000-000054310000}"/>
    <cellStyle name="Separador de milhares 7 2 9 2" xfId="8973" xr:uid="{00000000-0005-0000-0000-000055310000}"/>
    <cellStyle name="Separador de milhares 7 2 9 3" xfId="12183" xr:uid="{00000000-0005-0000-0000-000056310000}"/>
    <cellStyle name="Separador de milhares 7 2 9 4" xfId="13791" xr:uid="{00000000-0005-0000-0000-000057310000}"/>
    <cellStyle name="Separador de milhares 7 20" xfId="12170" xr:uid="{00000000-0005-0000-0000-000058310000}"/>
    <cellStyle name="Separador de milhares 7 21" xfId="13778" xr:uid="{00000000-0005-0000-0000-000059310000}"/>
    <cellStyle name="Separador de milhares 7 3" xfId="4371" xr:uid="{00000000-0005-0000-0000-00005A310000}"/>
    <cellStyle name="Separador de milhares 7 3 10" xfId="8974" xr:uid="{00000000-0005-0000-0000-00005B310000}"/>
    <cellStyle name="Separador de milhares 7 3 11" xfId="12184" xr:uid="{00000000-0005-0000-0000-00005C310000}"/>
    <cellStyle name="Separador de milhares 7 3 12" xfId="13792" xr:uid="{00000000-0005-0000-0000-00005D310000}"/>
    <cellStyle name="Separador de milhares 7 3 2" xfId="4372" xr:uid="{00000000-0005-0000-0000-00005E310000}"/>
    <cellStyle name="Separador de milhares 7 3 3" xfId="4373" xr:uid="{00000000-0005-0000-0000-00005F310000}"/>
    <cellStyle name="Separador de milhares 7 3 4" xfId="4374" xr:uid="{00000000-0005-0000-0000-000060310000}"/>
    <cellStyle name="Separador de milhares 7 3 5" xfId="4375" xr:uid="{00000000-0005-0000-0000-000061310000}"/>
    <cellStyle name="Separador de milhares 7 3 6" xfId="4376" xr:uid="{00000000-0005-0000-0000-000062310000}"/>
    <cellStyle name="Separador de milhares 7 3 7" xfId="4377" xr:uid="{00000000-0005-0000-0000-000063310000}"/>
    <cellStyle name="Separador de milhares 7 3 8" xfId="4378" xr:uid="{00000000-0005-0000-0000-000064310000}"/>
    <cellStyle name="Separador de milhares 7 3 8 2" xfId="8975" xr:uid="{00000000-0005-0000-0000-000065310000}"/>
    <cellStyle name="Separador de milhares 7 3 8 3" xfId="12185" xr:uid="{00000000-0005-0000-0000-000066310000}"/>
    <cellStyle name="Separador de milhares 7 3 8 4" xfId="13793" xr:uid="{00000000-0005-0000-0000-000067310000}"/>
    <cellStyle name="Separador de milhares 7 3 9" xfId="10419" xr:uid="{00000000-0005-0000-0000-000068310000}"/>
    <cellStyle name="Separador de milhares 7 4" xfId="4379" xr:uid="{00000000-0005-0000-0000-000069310000}"/>
    <cellStyle name="Separador de milhares 7 4 10" xfId="8976" xr:uid="{00000000-0005-0000-0000-00006A310000}"/>
    <cellStyle name="Separador de milhares 7 4 11" xfId="12186" xr:uid="{00000000-0005-0000-0000-00006B310000}"/>
    <cellStyle name="Separador de milhares 7 4 12" xfId="13794" xr:uid="{00000000-0005-0000-0000-00006C310000}"/>
    <cellStyle name="Separador de milhares 7 4 2" xfId="4380" xr:uid="{00000000-0005-0000-0000-00006D310000}"/>
    <cellStyle name="Separador de milhares 7 4 3" xfId="4381" xr:uid="{00000000-0005-0000-0000-00006E310000}"/>
    <cellStyle name="Separador de milhares 7 4 4" xfId="4382" xr:uid="{00000000-0005-0000-0000-00006F310000}"/>
    <cellStyle name="Separador de milhares 7 4 5" xfId="4383" xr:uid="{00000000-0005-0000-0000-000070310000}"/>
    <cellStyle name="Separador de milhares 7 4 6" xfId="4384" xr:uid="{00000000-0005-0000-0000-000071310000}"/>
    <cellStyle name="Separador de milhares 7 4 7" xfId="4385" xr:uid="{00000000-0005-0000-0000-000072310000}"/>
    <cellStyle name="Separador de milhares 7 4 8" xfId="4386" xr:uid="{00000000-0005-0000-0000-000073310000}"/>
    <cellStyle name="Separador de milhares 7 4 8 2" xfId="8977" xr:uid="{00000000-0005-0000-0000-000074310000}"/>
    <cellStyle name="Separador de milhares 7 4 8 3" xfId="12187" xr:uid="{00000000-0005-0000-0000-000075310000}"/>
    <cellStyle name="Separador de milhares 7 4 8 4" xfId="13795" xr:uid="{00000000-0005-0000-0000-000076310000}"/>
    <cellStyle name="Separador de milhares 7 4 9" xfId="10420" xr:uid="{00000000-0005-0000-0000-000077310000}"/>
    <cellStyle name="Separador de milhares 7 5" xfId="4387" xr:uid="{00000000-0005-0000-0000-000078310000}"/>
    <cellStyle name="Separador de milhares 7 5 2" xfId="4388" xr:uid="{00000000-0005-0000-0000-000079310000}"/>
    <cellStyle name="Separador de milhares 7 5 2 2" xfId="10421" xr:uid="{00000000-0005-0000-0000-00007A310000}"/>
    <cellStyle name="Separador de milhares 7 5 2 3" xfId="8978" xr:uid="{00000000-0005-0000-0000-00007B310000}"/>
    <cellStyle name="Separador de milhares 7 5 2 4" xfId="12188" xr:uid="{00000000-0005-0000-0000-00007C310000}"/>
    <cellStyle name="Separador de milhares 7 5 2 5" xfId="13796" xr:uid="{00000000-0005-0000-0000-00007D310000}"/>
    <cellStyle name="Separador de milhares 7 5 3" xfId="4389" xr:uid="{00000000-0005-0000-0000-00007E310000}"/>
    <cellStyle name="Separador de milhares 7 5 3 2" xfId="10422" xr:uid="{00000000-0005-0000-0000-00007F310000}"/>
    <cellStyle name="Separador de milhares 7 5 3 3" xfId="8979" xr:uid="{00000000-0005-0000-0000-000080310000}"/>
    <cellStyle name="Separador de milhares 7 5 3 4" xfId="12189" xr:uid="{00000000-0005-0000-0000-000081310000}"/>
    <cellStyle name="Separador de milhares 7 5 3 5" xfId="13797" xr:uid="{00000000-0005-0000-0000-000082310000}"/>
    <cellStyle name="Separador de milhares 7 5 4" xfId="4390" xr:uid="{00000000-0005-0000-0000-000083310000}"/>
    <cellStyle name="Separador de milhares 7 5 5" xfId="4391" xr:uid="{00000000-0005-0000-0000-000084310000}"/>
    <cellStyle name="Separador de milhares 7 5 6" xfId="4392" xr:uid="{00000000-0005-0000-0000-000085310000}"/>
    <cellStyle name="Separador de milhares 7 5 7" xfId="4393" xr:uid="{00000000-0005-0000-0000-000086310000}"/>
    <cellStyle name="Separador de milhares 7 5 8" xfId="4394" xr:uid="{00000000-0005-0000-0000-000087310000}"/>
    <cellStyle name="Separador de milhares 7 5 8 2" xfId="8980" xr:uid="{00000000-0005-0000-0000-000088310000}"/>
    <cellStyle name="Separador de milhares 7 5 8 3" xfId="12190" xr:uid="{00000000-0005-0000-0000-000089310000}"/>
    <cellStyle name="Separador de milhares 7 5 8 4" xfId="13798" xr:uid="{00000000-0005-0000-0000-00008A310000}"/>
    <cellStyle name="Separador de milhares 7 6" xfId="4395" xr:uid="{00000000-0005-0000-0000-00008B310000}"/>
    <cellStyle name="Separador de milhares 7 6 10" xfId="8981" xr:uid="{00000000-0005-0000-0000-00008C310000}"/>
    <cellStyle name="Separador de milhares 7 6 11" xfId="12191" xr:uid="{00000000-0005-0000-0000-00008D310000}"/>
    <cellStyle name="Separador de milhares 7 6 12" xfId="13799" xr:uid="{00000000-0005-0000-0000-00008E310000}"/>
    <cellStyle name="Separador de milhares 7 6 2" xfId="4396" xr:uid="{00000000-0005-0000-0000-00008F310000}"/>
    <cellStyle name="Separador de milhares 7 6 2 2" xfId="10424" xr:uid="{00000000-0005-0000-0000-000090310000}"/>
    <cellStyle name="Separador de milhares 7 6 2 3" xfId="8982" xr:uid="{00000000-0005-0000-0000-000091310000}"/>
    <cellStyle name="Separador de milhares 7 6 2 4" xfId="12192" xr:uid="{00000000-0005-0000-0000-000092310000}"/>
    <cellStyle name="Separador de milhares 7 6 2 5" xfId="13800" xr:uid="{00000000-0005-0000-0000-000093310000}"/>
    <cellStyle name="Separador de milhares 7 6 3" xfId="4397" xr:uid="{00000000-0005-0000-0000-000094310000}"/>
    <cellStyle name="Separador de milhares 7 6 4" xfId="4398" xr:uid="{00000000-0005-0000-0000-000095310000}"/>
    <cellStyle name="Separador de milhares 7 6 5" xfId="4399" xr:uid="{00000000-0005-0000-0000-000096310000}"/>
    <cellStyle name="Separador de milhares 7 6 6" xfId="4400" xr:uid="{00000000-0005-0000-0000-000097310000}"/>
    <cellStyle name="Separador de milhares 7 6 7" xfId="4401" xr:uid="{00000000-0005-0000-0000-000098310000}"/>
    <cellStyle name="Separador de milhares 7 6 8" xfId="4402" xr:uid="{00000000-0005-0000-0000-000099310000}"/>
    <cellStyle name="Separador de milhares 7 6 8 2" xfId="8983" xr:uid="{00000000-0005-0000-0000-00009A310000}"/>
    <cellStyle name="Separador de milhares 7 6 8 3" xfId="12193" xr:uid="{00000000-0005-0000-0000-00009B310000}"/>
    <cellStyle name="Separador de milhares 7 6 8 4" xfId="13801" xr:uid="{00000000-0005-0000-0000-00009C310000}"/>
    <cellStyle name="Separador de milhares 7 6 9" xfId="10423" xr:uid="{00000000-0005-0000-0000-00009D310000}"/>
    <cellStyle name="Separador de milhares 7 7" xfId="4403" xr:uid="{00000000-0005-0000-0000-00009E310000}"/>
    <cellStyle name="Separador de milhares 7 7 10" xfId="12194" xr:uid="{00000000-0005-0000-0000-00009F310000}"/>
    <cellStyle name="Separador de milhares 7 7 11" xfId="13802" xr:uid="{00000000-0005-0000-0000-0000A0310000}"/>
    <cellStyle name="Separador de milhares 7 7 2" xfId="4404" xr:uid="{00000000-0005-0000-0000-0000A1310000}"/>
    <cellStyle name="Separador de milhares 7 7 3" xfId="4405" xr:uid="{00000000-0005-0000-0000-0000A2310000}"/>
    <cellStyle name="Separador de milhares 7 7 4" xfId="4406" xr:uid="{00000000-0005-0000-0000-0000A3310000}"/>
    <cellStyle name="Separador de milhares 7 7 5" xfId="4407" xr:uid="{00000000-0005-0000-0000-0000A4310000}"/>
    <cellStyle name="Separador de milhares 7 7 6" xfId="4408" xr:uid="{00000000-0005-0000-0000-0000A5310000}"/>
    <cellStyle name="Separador de milhares 7 7 7" xfId="4409" xr:uid="{00000000-0005-0000-0000-0000A6310000}"/>
    <cellStyle name="Separador de milhares 7 7 8" xfId="10425" xr:uid="{00000000-0005-0000-0000-0000A7310000}"/>
    <cellStyle name="Separador de milhares 7 7 9" xfId="8984" xr:uid="{00000000-0005-0000-0000-0000A8310000}"/>
    <cellStyle name="Separador de milhares 7 8" xfId="4410" xr:uid="{00000000-0005-0000-0000-0000A9310000}"/>
    <cellStyle name="Separador de milhares 7 8 10" xfId="12195" xr:uid="{00000000-0005-0000-0000-0000AA310000}"/>
    <cellStyle name="Separador de milhares 7 8 11" xfId="13803" xr:uid="{00000000-0005-0000-0000-0000AB310000}"/>
    <cellStyle name="Separador de milhares 7 8 2" xfId="4411" xr:uid="{00000000-0005-0000-0000-0000AC310000}"/>
    <cellStyle name="Separador de milhares 7 8 2 2" xfId="8986" xr:uid="{00000000-0005-0000-0000-0000AD310000}"/>
    <cellStyle name="Separador de milhares 7 8 2 3" xfId="12196" xr:uid="{00000000-0005-0000-0000-0000AE310000}"/>
    <cellStyle name="Separador de milhares 7 8 2 4" xfId="13804" xr:uid="{00000000-0005-0000-0000-0000AF310000}"/>
    <cellStyle name="Separador de milhares 7 8 3" xfId="4412" xr:uid="{00000000-0005-0000-0000-0000B0310000}"/>
    <cellStyle name="Separador de milhares 7 8 3 2" xfId="8987" xr:uid="{00000000-0005-0000-0000-0000B1310000}"/>
    <cellStyle name="Separador de milhares 7 8 3 3" xfId="12197" xr:uid="{00000000-0005-0000-0000-0000B2310000}"/>
    <cellStyle name="Separador de milhares 7 8 3 4" xfId="13805" xr:uid="{00000000-0005-0000-0000-0000B3310000}"/>
    <cellStyle name="Separador de milhares 7 8 4" xfId="4413" xr:uid="{00000000-0005-0000-0000-0000B4310000}"/>
    <cellStyle name="Separador de milhares 7 8 4 2" xfId="8988" xr:uid="{00000000-0005-0000-0000-0000B5310000}"/>
    <cellStyle name="Separador de milhares 7 8 4 3" xfId="12198" xr:uid="{00000000-0005-0000-0000-0000B6310000}"/>
    <cellStyle name="Separador de milhares 7 8 4 4" xfId="13806" xr:uid="{00000000-0005-0000-0000-0000B7310000}"/>
    <cellStyle name="Separador de milhares 7 8 5" xfId="4414" xr:uid="{00000000-0005-0000-0000-0000B8310000}"/>
    <cellStyle name="Separador de milhares 7 8 5 2" xfId="8989" xr:uid="{00000000-0005-0000-0000-0000B9310000}"/>
    <cellStyle name="Separador de milhares 7 8 5 3" xfId="12199" xr:uid="{00000000-0005-0000-0000-0000BA310000}"/>
    <cellStyle name="Separador de milhares 7 8 5 4" xfId="13807" xr:uid="{00000000-0005-0000-0000-0000BB310000}"/>
    <cellStyle name="Separador de milhares 7 8 6" xfId="4415" xr:uid="{00000000-0005-0000-0000-0000BC310000}"/>
    <cellStyle name="Separador de milhares 7 8 6 2" xfId="8990" xr:uid="{00000000-0005-0000-0000-0000BD310000}"/>
    <cellStyle name="Separador de milhares 7 8 6 3" xfId="12200" xr:uid="{00000000-0005-0000-0000-0000BE310000}"/>
    <cellStyle name="Separador de milhares 7 8 6 4" xfId="13808" xr:uid="{00000000-0005-0000-0000-0000BF310000}"/>
    <cellStyle name="Separador de milhares 7 8 7" xfId="4416" xr:uid="{00000000-0005-0000-0000-0000C0310000}"/>
    <cellStyle name="Separador de milhares 7 8 7 2" xfId="8991" xr:uid="{00000000-0005-0000-0000-0000C1310000}"/>
    <cellStyle name="Separador de milhares 7 8 7 3" xfId="12201" xr:uid="{00000000-0005-0000-0000-0000C2310000}"/>
    <cellStyle name="Separador de milhares 7 8 7 4" xfId="13809" xr:uid="{00000000-0005-0000-0000-0000C3310000}"/>
    <cellStyle name="Separador de milhares 7 8 8" xfId="10426" xr:uid="{00000000-0005-0000-0000-0000C4310000}"/>
    <cellStyle name="Separador de milhares 7 8 9" xfId="8985" xr:uid="{00000000-0005-0000-0000-0000C5310000}"/>
    <cellStyle name="Separador de milhares 7 9" xfId="4417" xr:uid="{00000000-0005-0000-0000-0000C6310000}"/>
    <cellStyle name="Separador de milhares 7 9 2" xfId="4418" xr:uid="{00000000-0005-0000-0000-0000C7310000}"/>
    <cellStyle name="Separador de milhares 7 9 2 2" xfId="10427" xr:uid="{00000000-0005-0000-0000-0000C8310000}"/>
    <cellStyle name="Separador de milhares 7 9 2 3" xfId="8992" xr:uid="{00000000-0005-0000-0000-0000C9310000}"/>
    <cellStyle name="Separador de milhares 7 9 2 4" xfId="12202" xr:uid="{00000000-0005-0000-0000-0000CA310000}"/>
    <cellStyle name="Separador de milhares 7 9 2 5" xfId="13810" xr:uid="{00000000-0005-0000-0000-0000CB310000}"/>
    <cellStyle name="Separador de milhares 7 9 3" xfId="4419" xr:uid="{00000000-0005-0000-0000-0000CC310000}"/>
    <cellStyle name="Separador de milhares 7 9 4" xfId="4420" xr:uid="{00000000-0005-0000-0000-0000CD310000}"/>
    <cellStyle name="Separador de milhares 7 9 5" xfId="4421" xr:uid="{00000000-0005-0000-0000-0000CE310000}"/>
    <cellStyle name="Separador de milhares 7 9 6" xfId="4422" xr:uid="{00000000-0005-0000-0000-0000CF310000}"/>
    <cellStyle name="Separador de milhares 7 9 7" xfId="4423" xr:uid="{00000000-0005-0000-0000-0000D0310000}"/>
    <cellStyle name="Separador de milhares 8" xfId="4424" xr:uid="{00000000-0005-0000-0000-0000D1310000}"/>
    <cellStyle name="Separador de milhares 8 2" xfId="4425" xr:uid="{00000000-0005-0000-0000-0000D2310000}"/>
    <cellStyle name="Separador de milhares 8 2 10" xfId="13812" xr:uid="{00000000-0005-0000-0000-0000D3310000}"/>
    <cellStyle name="Separador de milhares 8 2 2" xfId="4426" xr:uid="{00000000-0005-0000-0000-0000D4310000}"/>
    <cellStyle name="Separador de milhares 8 2 2 2" xfId="4427" xr:uid="{00000000-0005-0000-0000-0000D5310000}"/>
    <cellStyle name="Separador de milhares 8 2 2 2 2" xfId="10430" xr:uid="{00000000-0005-0000-0000-0000D6310000}"/>
    <cellStyle name="Separador de milhares 8 2 2 2 3" xfId="8996" xr:uid="{00000000-0005-0000-0000-0000D7310000}"/>
    <cellStyle name="Separador de milhares 8 2 2 2 4" xfId="12206" xr:uid="{00000000-0005-0000-0000-0000D8310000}"/>
    <cellStyle name="Separador de milhares 8 2 2 2 5" xfId="13814" xr:uid="{00000000-0005-0000-0000-0000D9310000}"/>
    <cellStyle name="Separador de milhares 8 2 2 3" xfId="4428" xr:uid="{00000000-0005-0000-0000-0000DA310000}"/>
    <cellStyle name="Separador de milhares 8 2 2 3 2" xfId="10431" xr:uid="{00000000-0005-0000-0000-0000DB310000}"/>
    <cellStyle name="Separador de milhares 8 2 2 3 3" xfId="8997" xr:uid="{00000000-0005-0000-0000-0000DC310000}"/>
    <cellStyle name="Separador de milhares 8 2 2 3 4" xfId="12207" xr:uid="{00000000-0005-0000-0000-0000DD310000}"/>
    <cellStyle name="Separador de milhares 8 2 2 3 5" xfId="13815" xr:uid="{00000000-0005-0000-0000-0000DE310000}"/>
    <cellStyle name="Separador de milhares 8 2 2 4" xfId="4429" xr:uid="{00000000-0005-0000-0000-0000DF310000}"/>
    <cellStyle name="Separador de milhares 8 2 2 4 2" xfId="10432" xr:uid="{00000000-0005-0000-0000-0000E0310000}"/>
    <cellStyle name="Separador de milhares 8 2 2 4 3" xfId="8998" xr:uid="{00000000-0005-0000-0000-0000E1310000}"/>
    <cellStyle name="Separador de milhares 8 2 2 4 4" xfId="12208" xr:uid="{00000000-0005-0000-0000-0000E2310000}"/>
    <cellStyle name="Separador de milhares 8 2 2 4 5" xfId="13816" xr:uid="{00000000-0005-0000-0000-0000E3310000}"/>
    <cellStyle name="Separador de milhares 8 2 2 5" xfId="8995" xr:uid="{00000000-0005-0000-0000-0000E4310000}"/>
    <cellStyle name="Separador de milhares 8 2 2 6" xfId="12205" xr:uid="{00000000-0005-0000-0000-0000E5310000}"/>
    <cellStyle name="Separador de milhares 8 2 2 7" xfId="13813" xr:uid="{00000000-0005-0000-0000-0000E6310000}"/>
    <cellStyle name="Separador de milhares 8 2 3" xfId="4430" xr:uid="{00000000-0005-0000-0000-0000E7310000}"/>
    <cellStyle name="Separador de milhares 8 2 3 2" xfId="10433" xr:uid="{00000000-0005-0000-0000-0000E8310000}"/>
    <cellStyle name="Separador de milhares 8 2 3 3" xfId="8999" xr:uid="{00000000-0005-0000-0000-0000E9310000}"/>
    <cellStyle name="Separador de milhares 8 2 3 4" xfId="12209" xr:uid="{00000000-0005-0000-0000-0000EA310000}"/>
    <cellStyle name="Separador de milhares 8 2 3 5" xfId="13817" xr:uid="{00000000-0005-0000-0000-0000EB310000}"/>
    <cellStyle name="Separador de milhares 8 2 4" xfId="4431" xr:uid="{00000000-0005-0000-0000-0000EC310000}"/>
    <cellStyle name="Separador de milhares 8 2 4 2" xfId="9000" xr:uid="{00000000-0005-0000-0000-0000ED310000}"/>
    <cellStyle name="Separador de milhares 8 2 4 3" xfId="12210" xr:uid="{00000000-0005-0000-0000-0000EE310000}"/>
    <cellStyle name="Separador de milhares 8 2 4 4" xfId="13818" xr:uid="{00000000-0005-0000-0000-0000EF310000}"/>
    <cellStyle name="Separador de milhares 8 2 5" xfId="4432" xr:uid="{00000000-0005-0000-0000-0000F0310000}"/>
    <cellStyle name="Separador de milhares 8 2 5 2" xfId="9001" xr:uid="{00000000-0005-0000-0000-0000F1310000}"/>
    <cellStyle name="Separador de milhares 8 2 5 3" xfId="12211" xr:uid="{00000000-0005-0000-0000-0000F2310000}"/>
    <cellStyle name="Separador de milhares 8 2 5 4" xfId="13819" xr:uid="{00000000-0005-0000-0000-0000F3310000}"/>
    <cellStyle name="Separador de milhares 8 2 6" xfId="4433" xr:uid="{00000000-0005-0000-0000-0000F4310000}"/>
    <cellStyle name="Separador de milhares 8 2 6 2" xfId="10434" xr:uid="{00000000-0005-0000-0000-0000F5310000}"/>
    <cellStyle name="Separador de milhares 8 2 6 3" xfId="9002" xr:uid="{00000000-0005-0000-0000-0000F6310000}"/>
    <cellStyle name="Separador de milhares 8 2 6 4" xfId="12212" xr:uid="{00000000-0005-0000-0000-0000F7310000}"/>
    <cellStyle name="Separador de milhares 8 2 6 5" xfId="13820" xr:uid="{00000000-0005-0000-0000-0000F8310000}"/>
    <cellStyle name="Separador de milhares 8 2 7" xfId="10429" xr:uid="{00000000-0005-0000-0000-0000F9310000}"/>
    <cellStyle name="Separador de milhares 8 2 8" xfId="8994" xr:uid="{00000000-0005-0000-0000-0000FA310000}"/>
    <cellStyle name="Separador de milhares 8 2 9" xfId="12204" xr:uid="{00000000-0005-0000-0000-0000FB310000}"/>
    <cellStyle name="Separador de milhares 8 3" xfId="4434" xr:uid="{00000000-0005-0000-0000-0000FC310000}"/>
    <cellStyle name="Separador de milhares 8 3 2" xfId="4435" xr:uid="{00000000-0005-0000-0000-0000FD310000}"/>
    <cellStyle name="Separador de milhares 8 3 2 2" xfId="10436" xr:uid="{00000000-0005-0000-0000-0000FE310000}"/>
    <cellStyle name="Separador de milhares 8 3 2 3" xfId="9004" xr:uid="{00000000-0005-0000-0000-0000FF310000}"/>
    <cellStyle name="Separador de milhares 8 3 2 4" xfId="12214" xr:uid="{00000000-0005-0000-0000-000000320000}"/>
    <cellStyle name="Separador de milhares 8 3 2 5" xfId="13822" xr:uid="{00000000-0005-0000-0000-000001320000}"/>
    <cellStyle name="Separador de milhares 8 3 3" xfId="4436" xr:uid="{00000000-0005-0000-0000-000002320000}"/>
    <cellStyle name="Separador de milhares 8 3 3 2" xfId="10437" xr:uid="{00000000-0005-0000-0000-000003320000}"/>
    <cellStyle name="Separador de milhares 8 3 3 3" xfId="9005" xr:uid="{00000000-0005-0000-0000-000004320000}"/>
    <cellStyle name="Separador de milhares 8 3 3 4" xfId="12215" xr:uid="{00000000-0005-0000-0000-000005320000}"/>
    <cellStyle name="Separador de milhares 8 3 3 5" xfId="13823" xr:uid="{00000000-0005-0000-0000-000006320000}"/>
    <cellStyle name="Separador de milhares 8 3 4" xfId="4437" xr:uid="{00000000-0005-0000-0000-000007320000}"/>
    <cellStyle name="Separador de milhares 8 3 4 2" xfId="10438" xr:uid="{00000000-0005-0000-0000-000008320000}"/>
    <cellStyle name="Separador de milhares 8 3 4 3" xfId="9006" xr:uid="{00000000-0005-0000-0000-000009320000}"/>
    <cellStyle name="Separador de milhares 8 3 4 4" xfId="12216" xr:uid="{00000000-0005-0000-0000-00000A320000}"/>
    <cellStyle name="Separador de milhares 8 3 4 5" xfId="13824" xr:uid="{00000000-0005-0000-0000-00000B320000}"/>
    <cellStyle name="Separador de milhares 8 3 5" xfId="10435" xr:uid="{00000000-0005-0000-0000-00000C320000}"/>
    <cellStyle name="Separador de milhares 8 3 6" xfId="9003" xr:uid="{00000000-0005-0000-0000-00000D320000}"/>
    <cellStyle name="Separador de milhares 8 3 7" xfId="12213" xr:uid="{00000000-0005-0000-0000-00000E320000}"/>
    <cellStyle name="Separador de milhares 8 3 8" xfId="13821" xr:uid="{00000000-0005-0000-0000-00000F320000}"/>
    <cellStyle name="Separador de milhares 8 4" xfId="4438" xr:uid="{00000000-0005-0000-0000-000010320000}"/>
    <cellStyle name="Separador de milhares 8 4 2" xfId="9007" xr:uid="{00000000-0005-0000-0000-000011320000}"/>
    <cellStyle name="Separador de milhares 8 4 3" xfId="12217" xr:uid="{00000000-0005-0000-0000-000012320000}"/>
    <cellStyle name="Separador de milhares 8 4 4" xfId="13825" xr:uid="{00000000-0005-0000-0000-000013320000}"/>
    <cellStyle name="Separador de milhares 8 5" xfId="4439" xr:uid="{00000000-0005-0000-0000-000014320000}"/>
    <cellStyle name="Separador de milhares 8 5 2" xfId="9008" xr:uid="{00000000-0005-0000-0000-000015320000}"/>
    <cellStyle name="Separador de milhares 8 5 3" xfId="12218" xr:uid="{00000000-0005-0000-0000-000016320000}"/>
    <cellStyle name="Separador de milhares 8 5 4" xfId="13826" xr:uid="{00000000-0005-0000-0000-000017320000}"/>
    <cellStyle name="Separador de milhares 8 6" xfId="5188" xr:uid="{00000000-0005-0000-0000-000018320000}"/>
    <cellStyle name="Separador de milhares 8 6 2" xfId="10428" xr:uid="{00000000-0005-0000-0000-000019320000}"/>
    <cellStyle name="Separador de milhares 8 7" xfId="8993" xr:uid="{00000000-0005-0000-0000-00001A320000}"/>
    <cellStyle name="Separador de milhares 8 8" xfId="12203" xr:uid="{00000000-0005-0000-0000-00001B320000}"/>
    <cellStyle name="Separador de milhares 8 9" xfId="13811" xr:uid="{00000000-0005-0000-0000-00001C320000}"/>
    <cellStyle name="Separador de milhares 9" xfId="129" xr:uid="{00000000-0005-0000-0000-00001D320000}"/>
    <cellStyle name="Separador de milhares 9 10" xfId="4440" xr:uid="{00000000-0005-0000-0000-00001E320000}"/>
    <cellStyle name="Separador de milhares 9 10 2" xfId="10439" xr:uid="{00000000-0005-0000-0000-00001F320000}"/>
    <cellStyle name="Separador de milhares 9 10 3" xfId="12219" xr:uid="{00000000-0005-0000-0000-000020320000}"/>
    <cellStyle name="Separador de milhares 9 11" xfId="10455" xr:uid="{00000000-0005-0000-0000-000021320000}"/>
    <cellStyle name="Separador de milhares 9 12" xfId="9009" xr:uid="{00000000-0005-0000-0000-000022320000}"/>
    <cellStyle name="Separador de milhares 9 13" xfId="10491" xr:uid="{00000000-0005-0000-0000-000023320000}"/>
    <cellStyle name="Separador de milhares 9 14" xfId="10615" xr:uid="{00000000-0005-0000-0000-000024320000}"/>
    <cellStyle name="Separador de milhares 9 15" xfId="13827" xr:uid="{00000000-0005-0000-0000-000025320000}"/>
    <cellStyle name="Separador de milhares 9 2" xfId="4441" xr:uid="{00000000-0005-0000-0000-000026320000}"/>
    <cellStyle name="Separador de milhares 9 2 2" xfId="4442" xr:uid="{00000000-0005-0000-0000-000027320000}"/>
    <cellStyle name="Separador de milhares 9 2 2 2" xfId="9010" xr:uid="{00000000-0005-0000-0000-000028320000}"/>
    <cellStyle name="Separador de milhares 9 2 2 3" xfId="12220" xr:uid="{00000000-0005-0000-0000-000029320000}"/>
    <cellStyle name="Separador de milhares 9 2 2 4" xfId="13828" xr:uid="{00000000-0005-0000-0000-00002A320000}"/>
    <cellStyle name="Separador de milhares 9 3" xfId="4443" xr:uid="{00000000-0005-0000-0000-00002B320000}"/>
    <cellStyle name="Separador de milhares 9 3 2" xfId="4444" xr:uid="{00000000-0005-0000-0000-00002C320000}"/>
    <cellStyle name="Separador de milhares 9 3 2 2" xfId="4445" xr:uid="{00000000-0005-0000-0000-00002D320000}"/>
    <cellStyle name="Separador de milhares 9 3 3" xfId="4446" xr:uid="{00000000-0005-0000-0000-00002E320000}"/>
    <cellStyle name="Separador de milhares 9 3 4" xfId="4447" xr:uid="{00000000-0005-0000-0000-00002F320000}"/>
    <cellStyle name="Separador de milhares 9 3 4 2" xfId="9011" xr:uid="{00000000-0005-0000-0000-000030320000}"/>
    <cellStyle name="Separador de milhares 9 3 4 3" xfId="12221" xr:uid="{00000000-0005-0000-0000-000031320000}"/>
    <cellStyle name="Separador de milhares 9 3 4 4" xfId="13829" xr:uid="{00000000-0005-0000-0000-000032320000}"/>
    <cellStyle name="Separador de milhares 9 4" xfId="4448" xr:uid="{00000000-0005-0000-0000-000033320000}"/>
    <cellStyle name="Separador de milhares 9 4 2" xfId="4449" xr:uid="{00000000-0005-0000-0000-000034320000}"/>
    <cellStyle name="Separador de milhares 9 4 2 2" xfId="4450" xr:uid="{00000000-0005-0000-0000-000035320000}"/>
    <cellStyle name="Separador de milhares 9 4 2 2 2" xfId="13832" xr:uid="{00000000-0005-0000-0000-000036320000}"/>
    <cellStyle name="Separador de milhares 9 4 2 3" xfId="13831" xr:uid="{00000000-0005-0000-0000-000037320000}"/>
    <cellStyle name="Separador de milhares 9 4 3" xfId="4451" xr:uid="{00000000-0005-0000-0000-000038320000}"/>
    <cellStyle name="Separador de milhares 9 4 3 2" xfId="9012" xr:uid="{00000000-0005-0000-0000-000039320000}"/>
    <cellStyle name="Separador de milhares 9 4 3 3" xfId="12222" xr:uid="{00000000-0005-0000-0000-00003A320000}"/>
    <cellStyle name="Separador de milhares 9 4 3 4" xfId="13833" xr:uid="{00000000-0005-0000-0000-00003B320000}"/>
    <cellStyle name="Separador de milhares 9 4 4" xfId="13830" xr:uid="{00000000-0005-0000-0000-00003C320000}"/>
    <cellStyle name="Separador de milhares 9 5" xfId="4452" xr:uid="{00000000-0005-0000-0000-00003D320000}"/>
    <cellStyle name="Separador de milhares 9 5 2" xfId="9013" xr:uid="{00000000-0005-0000-0000-00003E320000}"/>
    <cellStyle name="Separador de milhares 9 5 3" xfId="12223" xr:uid="{00000000-0005-0000-0000-00003F320000}"/>
    <cellStyle name="Separador de milhares 9 5 4" xfId="13834" xr:uid="{00000000-0005-0000-0000-000040320000}"/>
    <cellStyle name="Separador de milhares 9 6" xfId="4453" xr:uid="{00000000-0005-0000-0000-000041320000}"/>
    <cellStyle name="Separador de milhares 9 6 2" xfId="9014" xr:uid="{00000000-0005-0000-0000-000042320000}"/>
    <cellStyle name="Separador de milhares 9 6 3" xfId="12224" xr:uid="{00000000-0005-0000-0000-000043320000}"/>
    <cellStyle name="Separador de milhares 9 6 4" xfId="13835" xr:uid="{00000000-0005-0000-0000-000044320000}"/>
    <cellStyle name="Separador de milhares 9 7" xfId="4454" xr:uid="{00000000-0005-0000-0000-000045320000}"/>
    <cellStyle name="Separador de milhares 9 7 2" xfId="9015" xr:uid="{00000000-0005-0000-0000-000046320000}"/>
    <cellStyle name="Separador de milhares 9 7 3" xfId="12225" xr:uid="{00000000-0005-0000-0000-000047320000}"/>
    <cellStyle name="Separador de milhares 9 7 4" xfId="13836" xr:uid="{00000000-0005-0000-0000-000048320000}"/>
    <cellStyle name="Separador de milhares 9 8" xfId="4455" xr:uid="{00000000-0005-0000-0000-000049320000}"/>
    <cellStyle name="Separador de milhares 9 8 2" xfId="9016" xr:uid="{00000000-0005-0000-0000-00004A320000}"/>
    <cellStyle name="Separador de milhares 9 8 3" xfId="12226" xr:uid="{00000000-0005-0000-0000-00004B320000}"/>
    <cellStyle name="Separador de milhares 9 8 4" xfId="13837" xr:uid="{00000000-0005-0000-0000-00004C320000}"/>
    <cellStyle name="Separador de milhares 9 9" xfId="4456" xr:uid="{00000000-0005-0000-0000-00004D320000}"/>
    <cellStyle name="Separador de milhares 9 9 2" xfId="9017" xr:uid="{00000000-0005-0000-0000-00004E320000}"/>
    <cellStyle name="Separador de milhares 9 9 3" xfId="12227" xr:uid="{00000000-0005-0000-0000-00004F320000}"/>
    <cellStyle name="Separador de milhares 9 9 4" xfId="13838" xr:uid="{00000000-0005-0000-0000-000050320000}"/>
    <cellStyle name="Shading" xfId="5122" xr:uid="{00000000-0005-0000-0000-000051320000}"/>
    <cellStyle name="SHEET2!Normal" xfId="5123" xr:uid="{00000000-0005-0000-0000-000052320000}"/>
    <cellStyle name="Sombra" xfId="4457" xr:uid="{00000000-0005-0000-0000-000053320000}"/>
    <cellStyle name="Sombra 10" xfId="4458" xr:uid="{00000000-0005-0000-0000-000054320000}"/>
    <cellStyle name="Sombra 11" xfId="4459" xr:uid="{00000000-0005-0000-0000-000055320000}"/>
    <cellStyle name="Sombra 12" xfId="4460" xr:uid="{00000000-0005-0000-0000-000056320000}"/>
    <cellStyle name="Sombra 13" xfId="4461" xr:uid="{00000000-0005-0000-0000-000057320000}"/>
    <cellStyle name="Sombra 14" xfId="4462" xr:uid="{00000000-0005-0000-0000-000058320000}"/>
    <cellStyle name="Sombra 15" xfId="4463" xr:uid="{00000000-0005-0000-0000-000059320000}"/>
    <cellStyle name="Sombra 16" xfId="4464" xr:uid="{00000000-0005-0000-0000-00005A320000}"/>
    <cellStyle name="Sombra 17" xfId="4465" xr:uid="{00000000-0005-0000-0000-00005B320000}"/>
    <cellStyle name="Sombra 18" xfId="4466" xr:uid="{00000000-0005-0000-0000-00005C320000}"/>
    <cellStyle name="Sombra 19" xfId="4467" xr:uid="{00000000-0005-0000-0000-00005D320000}"/>
    <cellStyle name="Sombra 2" xfId="4468" xr:uid="{00000000-0005-0000-0000-00005E320000}"/>
    <cellStyle name="Sombra 20" xfId="4469" xr:uid="{00000000-0005-0000-0000-00005F320000}"/>
    <cellStyle name="Sombra 21" xfId="4470" xr:uid="{00000000-0005-0000-0000-000060320000}"/>
    <cellStyle name="Sombra 22" xfId="4471" xr:uid="{00000000-0005-0000-0000-000061320000}"/>
    <cellStyle name="Sombra 23" xfId="4472" xr:uid="{00000000-0005-0000-0000-000062320000}"/>
    <cellStyle name="Sombra 24" xfId="4473" xr:uid="{00000000-0005-0000-0000-000063320000}"/>
    <cellStyle name="Sombra 25" xfId="4474" xr:uid="{00000000-0005-0000-0000-000064320000}"/>
    <cellStyle name="Sombra 26" xfId="4475" xr:uid="{00000000-0005-0000-0000-000065320000}"/>
    <cellStyle name="Sombra 27" xfId="4476" xr:uid="{00000000-0005-0000-0000-000066320000}"/>
    <cellStyle name="Sombra 28" xfId="4477" xr:uid="{00000000-0005-0000-0000-000067320000}"/>
    <cellStyle name="Sombra 29" xfId="4478" xr:uid="{00000000-0005-0000-0000-000068320000}"/>
    <cellStyle name="Sombra 3" xfId="4479" xr:uid="{00000000-0005-0000-0000-000069320000}"/>
    <cellStyle name="Sombra 30" xfId="4480" xr:uid="{00000000-0005-0000-0000-00006A320000}"/>
    <cellStyle name="Sombra 31" xfId="4481" xr:uid="{00000000-0005-0000-0000-00006B320000}"/>
    <cellStyle name="Sombra 32" xfId="4482" xr:uid="{00000000-0005-0000-0000-00006C320000}"/>
    <cellStyle name="Sombra 33" xfId="4483" xr:uid="{00000000-0005-0000-0000-00006D320000}"/>
    <cellStyle name="Sombra 34" xfId="4484" xr:uid="{00000000-0005-0000-0000-00006E320000}"/>
    <cellStyle name="Sombra 35" xfId="4485" xr:uid="{00000000-0005-0000-0000-00006F320000}"/>
    <cellStyle name="Sombra 36" xfId="4486" xr:uid="{00000000-0005-0000-0000-000070320000}"/>
    <cellStyle name="Sombra 37" xfId="4487" xr:uid="{00000000-0005-0000-0000-000071320000}"/>
    <cellStyle name="Sombra 38" xfId="4488" xr:uid="{00000000-0005-0000-0000-000072320000}"/>
    <cellStyle name="Sombra 39" xfId="4489" xr:uid="{00000000-0005-0000-0000-000073320000}"/>
    <cellStyle name="Sombra 4" xfId="4490" xr:uid="{00000000-0005-0000-0000-000074320000}"/>
    <cellStyle name="Sombra 40" xfId="4491" xr:uid="{00000000-0005-0000-0000-000075320000}"/>
    <cellStyle name="Sombra 5" xfId="4492" xr:uid="{00000000-0005-0000-0000-000076320000}"/>
    <cellStyle name="Sombra 6" xfId="4493" xr:uid="{00000000-0005-0000-0000-000077320000}"/>
    <cellStyle name="Sombra 7" xfId="4494" xr:uid="{00000000-0005-0000-0000-000078320000}"/>
    <cellStyle name="Sombra 8" xfId="4495" xr:uid="{00000000-0005-0000-0000-000079320000}"/>
    <cellStyle name="Sombra 9" xfId="4496" xr:uid="{00000000-0005-0000-0000-00007A320000}"/>
    <cellStyle name="ssubtitulo" xfId="4497" xr:uid="{00000000-0005-0000-0000-00007B320000}"/>
    <cellStyle name="Standaard_Blad1" xfId="4498" xr:uid="{00000000-0005-0000-0000-00007C320000}"/>
    <cellStyle name="Standard_Anlagenbuchhaltung" xfId="4499" xr:uid="{00000000-0005-0000-0000-00007D320000}"/>
    <cellStyle name="Style 1" xfId="5124" xr:uid="{00000000-0005-0000-0000-00007E320000}"/>
    <cellStyle name="Style 100" xfId="4500" xr:uid="{00000000-0005-0000-0000-00007F320000}"/>
    <cellStyle name="Style 101" xfId="4501" xr:uid="{00000000-0005-0000-0000-000080320000}"/>
    <cellStyle name="Style 102" xfId="4502" xr:uid="{00000000-0005-0000-0000-000081320000}"/>
    <cellStyle name="Style 103" xfId="4503" xr:uid="{00000000-0005-0000-0000-000082320000}"/>
    <cellStyle name="Style 104" xfId="4504" xr:uid="{00000000-0005-0000-0000-000083320000}"/>
    <cellStyle name="Style 105" xfId="4505" xr:uid="{00000000-0005-0000-0000-000084320000}"/>
    <cellStyle name="Style 106" xfId="4506" xr:uid="{00000000-0005-0000-0000-000085320000}"/>
    <cellStyle name="Style 107" xfId="4507" xr:uid="{00000000-0005-0000-0000-000086320000}"/>
    <cellStyle name="Style 108" xfId="4508" xr:uid="{00000000-0005-0000-0000-000087320000}"/>
    <cellStyle name="Style 109" xfId="4509" xr:uid="{00000000-0005-0000-0000-000088320000}"/>
    <cellStyle name="Style 110" xfId="4510" xr:uid="{00000000-0005-0000-0000-000089320000}"/>
    <cellStyle name="Style 111" xfId="4511" xr:uid="{00000000-0005-0000-0000-00008A320000}"/>
    <cellStyle name="Style 112" xfId="4512" xr:uid="{00000000-0005-0000-0000-00008B320000}"/>
    <cellStyle name="Style 113" xfId="4513" xr:uid="{00000000-0005-0000-0000-00008C320000}"/>
    <cellStyle name="Style 114" xfId="4514" xr:uid="{00000000-0005-0000-0000-00008D320000}"/>
    <cellStyle name="Style 115" xfId="4515" xr:uid="{00000000-0005-0000-0000-00008E320000}"/>
    <cellStyle name="Style 116" xfId="4516" xr:uid="{00000000-0005-0000-0000-00008F320000}"/>
    <cellStyle name="Style 117" xfId="4517" xr:uid="{00000000-0005-0000-0000-000090320000}"/>
    <cellStyle name="Style 118" xfId="4518" xr:uid="{00000000-0005-0000-0000-000091320000}"/>
    <cellStyle name="Style 119" xfId="4519" xr:uid="{00000000-0005-0000-0000-000092320000}"/>
    <cellStyle name="Style 120" xfId="4520" xr:uid="{00000000-0005-0000-0000-000093320000}"/>
    <cellStyle name="Style 121" xfId="4521" xr:uid="{00000000-0005-0000-0000-000094320000}"/>
    <cellStyle name="Style 122" xfId="4522" xr:uid="{00000000-0005-0000-0000-000095320000}"/>
    <cellStyle name="Style 123" xfId="4523" xr:uid="{00000000-0005-0000-0000-000096320000}"/>
    <cellStyle name="Style 124" xfId="4524" xr:uid="{00000000-0005-0000-0000-000097320000}"/>
    <cellStyle name="Style 125" xfId="4525" xr:uid="{00000000-0005-0000-0000-000098320000}"/>
    <cellStyle name="Style 126" xfId="4526" xr:uid="{00000000-0005-0000-0000-000099320000}"/>
    <cellStyle name="Style 127" xfId="4527" xr:uid="{00000000-0005-0000-0000-00009A320000}"/>
    <cellStyle name="Style 128" xfId="4528" xr:uid="{00000000-0005-0000-0000-00009B320000}"/>
    <cellStyle name="Style 129" xfId="4529" xr:uid="{00000000-0005-0000-0000-00009C320000}"/>
    <cellStyle name="Style 130" xfId="4530" xr:uid="{00000000-0005-0000-0000-00009D320000}"/>
    <cellStyle name="Style 131" xfId="4531" xr:uid="{00000000-0005-0000-0000-00009E320000}"/>
    <cellStyle name="Style 132" xfId="4532" xr:uid="{00000000-0005-0000-0000-00009F320000}"/>
    <cellStyle name="Style 133" xfId="4533" xr:uid="{00000000-0005-0000-0000-0000A0320000}"/>
    <cellStyle name="Style 134" xfId="4534" xr:uid="{00000000-0005-0000-0000-0000A1320000}"/>
    <cellStyle name="Style 135" xfId="4535" xr:uid="{00000000-0005-0000-0000-0000A2320000}"/>
    <cellStyle name="Style 136" xfId="4536" xr:uid="{00000000-0005-0000-0000-0000A3320000}"/>
    <cellStyle name="Style 137" xfId="4537" xr:uid="{00000000-0005-0000-0000-0000A4320000}"/>
    <cellStyle name="Style 138" xfId="4538" xr:uid="{00000000-0005-0000-0000-0000A5320000}"/>
    <cellStyle name="Style 139" xfId="4539" xr:uid="{00000000-0005-0000-0000-0000A6320000}"/>
    <cellStyle name="Style 140" xfId="4540" xr:uid="{00000000-0005-0000-0000-0000A7320000}"/>
    <cellStyle name="Style 141" xfId="4541" xr:uid="{00000000-0005-0000-0000-0000A8320000}"/>
    <cellStyle name="Style 142" xfId="4542" xr:uid="{00000000-0005-0000-0000-0000A9320000}"/>
    <cellStyle name="Style 143" xfId="4543" xr:uid="{00000000-0005-0000-0000-0000AA320000}"/>
    <cellStyle name="Style 144" xfId="4544" xr:uid="{00000000-0005-0000-0000-0000AB320000}"/>
    <cellStyle name="Style 145" xfId="4545" xr:uid="{00000000-0005-0000-0000-0000AC320000}"/>
    <cellStyle name="Style 146" xfId="4546" xr:uid="{00000000-0005-0000-0000-0000AD320000}"/>
    <cellStyle name="Style 147" xfId="4547" xr:uid="{00000000-0005-0000-0000-0000AE320000}"/>
    <cellStyle name="Style 149" xfId="4548" xr:uid="{00000000-0005-0000-0000-0000AF320000}"/>
    <cellStyle name="Style 151" xfId="4549" xr:uid="{00000000-0005-0000-0000-0000B0320000}"/>
    <cellStyle name="Style 153" xfId="4550" xr:uid="{00000000-0005-0000-0000-0000B1320000}"/>
    <cellStyle name="Style 155" xfId="4551" xr:uid="{00000000-0005-0000-0000-0000B2320000}"/>
    <cellStyle name="Style 157" xfId="4552" xr:uid="{00000000-0005-0000-0000-0000B3320000}"/>
    <cellStyle name="Style 159" xfId="4553" xr:uid="{00000000-0005-0000-0000-0000B4320000}"/>
    <cellStyle name="Style 161" xfId="4554" xr:uid="{00000000-0005-0000-0000-0000B5320000}"/>
    <cellStyle name="Style 2" xfId="5125" xr:uid="{00000000-0005-0000-0000-0000B6320000}"/>
    <cellStyle name="Style 21" xfId="4555" xr:uid="{00000000-0005-0000-0000-0000B7320000}"/>
    <cellStyle name="Style 22" xfId="4556" xr:uid="{00000000-0005-0000-0000-0000B8320000}"/>
    <cellStyle name="Style 23" xfId="4557" xr:uid="{00000000-0005-0000-0000-0000B9320000}"/>
    <cellStyle name="Style 24" xfId="4558" xr:uid="{00000000-0005-0000-0000-0000BA320000}"/>
    <cellStyle name="Style 25" xfId="4559" xr:uid="{00000000-0005-0000-0000-0000BB320000}"/>
    <cellStyle name="Style 26" xfId="4560" xr:uid="{00000000-0005-0000-0000-0000BC320000}"/>
    <cellStyle name="Style 27" xfId="4561" xr:uid="{00000000-0005-0000-0000-0000BD320000}"/>
    <cellStyle name="Style 27 2" xfId="5126" xr:uid="{00000000-0005-0000-0000-0000BE320000}"/>
    <cellStyle name="Style 28" xfId="4562" xr:uid="{00000000-0005-0000-0000-0000BF320000}"/>
    <cellStyle name="Style 29" xfId="4563" xr:uid="{00000000-0005-0000-0000-0000C0320000}"/>
    <cellStyle name="Style 30" xfId="4564" xr:uid="{00000000-0005-0000-0000-0000C1320000}"/>
    <cellStyle name="Style 31" xfId="4565" xr:uid="{00000000-0005-0000-0000-0000C2320000}"/>
    <cellStyle name="Style 32" xfId="4566" xr:uid="{00000000-0005-0000-0000-0000C3320000}"/>
    <cellStyle name="Style 32 2" xfId="4908" xr:uid="{00000000-0005-0000-0000-0000C4320000}"/>
    <cellStyle name="Style 32 3" xfId="12228" xr:uid="{00000000-0005-0000-0000-0000C5320000}"/>
    <cellStyle name="Style 33" xfId="4567" xr:uid="{00000000-0005-0000-0000-0000C6320000}"/>
    <cellStyle name="Style 34" xfId="4568" xr:uid="{00000000-0005-0000-0000-0000C7320000}"/>
    <cellStyle name="Style 34 2" xfId="4909" xr:uid="{00000000-0005-0000-0000-0000C8320000}"/>
    <cellStyle name="Style 34 3" xfId="12229" xr:uid="{00000000-0005-0000-0000-0000C9320000}"/>
    <cellStyle name="Style 35" xfId="4569" xr:uid="{00000000-0005-0000-0000-0000CA320000}"/>
    <cellStyle name="Style 36" xfId="4570" xr:uid="{00000000-0005-0000-0000-0000CB320000}"/>
    <cellStyle name="Style 37" xfId="4571" xr:uid="{00000000-0005-0000-0000-0000CC320000}"/>
    <cellStyle name="Style 38" xfId="4572" xr:uid="{00000000-0005-0000-0000-0000CD320000}"/>
    <cellStyle name="Style 39" xfId="4573" xr:uid="{00000000-0005-0000-0000-0000CE320000}"/>
    <cellStyle name="Style 39 2" xfId="5127" xr:uid="{00000000-0005-0000-0000-0000CF320000}"/>
    <cellStyle name="Style 40" xfId="4574" xr:uid="{00000000-0005-0000-0000-0000D0320000}"/>
    <cellStyle name="Style 40 2" xfId="5128" xr:uid="{00000000-0005-0000-0000-0000D1320000}"/>
    <cellStyle name="Style 41" xfId="4575" xr:uid="{00000000-0005-0000-0000-0000D2320000}"/>
    <cellStyle name="Style 41 2" xfId="5129" xr:uid="{00000000-0005-0000-0000-0000D3320000}"/>
    <cellStyle name="Style 42" xfId="4576" xr:uid="{00000000-0005-0000-0000-0000D4320000}"/>
    <cellStyle name="Style 42 2" xfId="5130" xr:uid="{00000000-0005-0000-0000-0000D5320000}"/>
    <cellStyle name="Style 43" xfId="4577" xr:uid="{00000000-0005-0000-0000-0000D6320000}"/>
    <cellStyle name="Style 43 2" xfId="5131" xr:uid="{00000000-0005-0000-0000-0000D7320000}"/>
    <cellStyle name="Style 44" xfId="4578" xr:uid="{00000000-0005-0000-0000-0000D8320000}"/>
    <cellStyle name="Style 44 2" xfId="5132" xr:uid="{00000000-0005-0000-0000-0000D9320000}"/>
    <cellStyle name="Style 45" xfId="4579" xr:uid="{00000000-0005-0000-0000-0000DA320000}"/>
    <cellStyle name="Style 45 2" xfId="5133" xr:uid="{00000000-0005-0000-0000-0000DB320000}"/>
    <cellStyle name="Style 46" xfId="4580" xr:uid="{00000000-0005-0000-0000-0000DC320000}"/>
    <cellStyle name="Style 46 2" xfId="5134" xr:uid="{00000000-0005-0000-0000-0000DD320000}"/>
    <cellStyle name="Style 47" xfId="4581" xr:uid="{00000000-0005-0000-0000-0000DE320000}"/>
    <cellStyle name="Style 47 2" xfId="5135" xr:uid="{00000000-0005-0000-0000-0000DF320000}"/>
    <cellStyle name="Style 48" xfId="4582" xr:uid="{00000000-0005-0000-0000-0000E0320000}"/>
    <cellStyle name="Style 48 2" xfId="5136" xr:uid="{00000000-0005-0000-0000-0000E1320000}"/>
    <cellStyle name="Style 49" xfId="4583" xr:uid="{00000000-0005-0000-0000-0000E2320000}"/>
    <cellStyle name="Style 49 2" xfId="5137" xr:uid="{00000000-0005-0000-0000-0000E3320000}"/>
    <cellStyle name="Style 50" xfId="4584" xr:uid="{00000000-0005-0000-0000-0000E4320000}"/>
    <cellStyle name="Style 50 2" xfId="5138" xr:uid="{00000000-0005-0000-0000-0000E5320000}"/>
    <cellStyle name="Style 51" xfId="4585" xr:uid="{00000000-0005-0000-0000-0000E6320000}"/>
    <cellStyle name="Style 51 2" xfId="5139" xr:uid="{00000000-0005-0000-0000-0000E7320000}"/>
    <cellStyle name="Style 52" xfId="4586" xr:uid="{00000000-0005-0000-0000-0000E8320000}"/>
    <cellStyle name="Style 52 2" xfId="5140" xr:uid="{00000000-0005-0000-0000-0000E9320000}"/>
    <cellStyle name="Style 53" xfId="4587" xr:uid="{00000000-0005-0000-0000-0000EA320000}"/>
    <cellStyle name="Style 53 2" xfId="5141" xr:uid="{00000000-0005-0000-0000-0000EB320000}"/>
    <cellStyle name="Style 54" xfId="4588" xr:uid="{00000000-0005-0000-0000-0000EC320000}"/>
    <cellStyle name="Style 54 2" xfId="5142" xr:uid="{00000000-0005-0000-0000-0000ED320000}"/>
    <cellStyle name="Style 55" xfId="4589" xr:uid="{00000000-0005-0000-0000-0000EE320000}"/>
    <cellStyle name="Style 55 2" xfId="5143" xr:uid="{00000000-0005-0000-0000-0000EF320000}"/>
    <cellStyle name="Style 56" xfId="4590" xr:uid="{00000000-0005-0000-0000-0000F0320000}"/>
    <cellStyle name="Style 57" xfId="4591" xr:uid="{00000000-0005-0000-0000-0000F1320000}"/>
    <cellStyle name="Style 58" xfId="4592" xr:uid="{00000000-0005-0000-0000-0000F2320000}"/>
    <cellStyle name="Style 58 2" xfId="4593" xr:uid="{00000000-0005-0000-0000-0000F3320000}"/>
    <cellStyle name="Style 58 2 2" xfId="4594" xr:uid="{00000000-0005-0000-0000-0000F4320000}"/>
    <cellStyle name="Style 58 2 2 2" xfId="10586" xr:uid="{00000000-0005-0000-0000-0000F5320000}"/>
    <cellStyle name="Style 58 2 3" xfId="10585" xr:uid="{00000000-0005-0000-0000-0000F6320000}"/>
    <cellStyle name="Style 58 3" xfId="4595" xr:uid="{00000000-0005-0000-0000-0000F7320000}"/>
    <cellStyle name="Style 58 3 2" xfId="4596" xr:uid="{00000000-0005-0000-0000-0000F8320000}"/>
    <cellStyle name="Style 58 3 2 2" xfId="10588" xr:uid="{00000000-0005-0000-0000-0000F9320000}"/>
    <cellStyle name="Style 58 3 3" xfId="10587" xr:uid="{00000000-0005-0000-0000-0000FA320000}"/>
    <cellStyle name="Style 58 4" xfId="4597" xr:uid="{00000000-0005-0000-0000-0000FB320000}"/>
    <cellStyle name="Style 58 4 2" xfId="10589" xr:uid="{00000000-0005-0000-0000-0000FC320000}"/>
    <cellStyle name="Style 58 5" xfId="10584" xr:uid="{00000000-0005-0000-0000-0000FD320000}"/>
    <cellStyle name="Style 59" xfId="4598" xr:uid="{00000000-0005-0000-0000-0000FE320000}"/>
    <cellStyle name="Style 60" xfId="4599" xr:uid="{00000000-0005-0000-0000-0000FF320000}"/>
    <cellStyle name="Style 61" xfId="4600" xr:uid="{00000000-0005-0000-0000-000000330000}"/>
    <cellStyle name="Style 62" xfId="4601" xr:uid="{00000000-0005-0000-0000-000001330000}"/>
    <cellStyle name="Style 63" xfId="4602" xr:uid="{00000000-0005-0000-0000-000002330000}"/>
    <cellStyle name="Style 64" xfId="4603" xr:uid="{00000000-0005-0000-0000-000003330000}"/>
    <cellStyle name="Style 65" xfId="4604" xr:uid="{00000000-0005-0000-0000-000004330000}"/>
    <cellStyle name="Style 66" xfId="4605" xr:uid="{00000000-0005-0000-0000-000005330000}"/>
    <cellStyle name="Style 67" xfId="4606" xr:uid="{00000000-0005-0000-0000-000006330000}"/>
    <cellStyle name="Style 68" xfId="4607" xr:uid="{00000000-0005-0000-0000-000007330000}"/>
    <cellStyle name="Style 69" xfId="4608" xr:uid="{00000000-0005-0000-0000-000008330000}"/>
    <cellStyle name="Style 70" xfId="4609" xr:uid="{00000000-0005-0000-0000-000009330000}"/>
    <cellStyle name="Style 71" xfId="4610" xr:uid="{00000000-0005-0000-0000-00000A330000}"/>
    <cellStyle name="Style 72" xfId="4611" xr:uid="{00000000-0005-0000-0000-00000B330000}"/>
    <cellStyle name="Style 73" xfId="4612" xr:uid="{00000000-0005-0000-0000-00000C330000}"/>
    <cellStyle name="Style 74" xfId="4613" xr:uid="{00000000-0005-0000-0000-00000D330000}"/>
    <cellStyle name="Style 83" xfId="4614" xr:uid="{00000000-0005-0000-0000-00000E330000}"/>
    <cellStyle name="Style 84" xfId="4615" xr:uid="{00000000-0005-0000-0000-00000F330000}"/>
    <cellStyle name="Style 85" xfId="4616" xr:uid="{00000000-0005-0000-0000-000010330000}"/>
    <cellStyle name="Style 86" xfId="4617" xr:uid="{00000000-0005-0000-0000-000011330000}"/>
    <cellStyle name="Style 87" xfId="4618" xr:uid="{00000000-0005-0000-0000-000012330000}"/>
    <cellStyle name="Style 88" xfId="4619" xr:uid="{00000000-0005-0000-0000-000013330000}"/>
    <cellStyle name="Style 89" xfId="4620" xr:uid="{00000000-0005-0000-0000-000014330000}"/>
    <cellStyle name="Style 90" xfId="4621" xr:uid="{00000000-0005-0000-0000-000015330000}"/>
    <cellStyle name="Style 91" xfId="4622" xr:uid="{00000000-0005-0000-0000-000016330000}"/>
    <cellStyle name="Style 92" xfId="4623" xr:uid="{00000000-0005-0000-0000-000017330000}"/>
    <cellStyle name="Style 93" xfId="4624" xr:uid="{00000000-0005-0000-0000-000018330000}"/>
    <cellStyle name="Style 94" xfId="4625" xr:uid="{00000000-0005-0000-0000-000019330000}"/>
    <cellStyle name="Style 95" xfId="4626" xr:uid="{00000000-0005-0000-0000-00001A330000}"/>
    <cellStyle name="Style 96" xfId="4627" xr:uid="{00000000-0005-0000-0000-00001B330000}"/>
    <cellStyle name="Style 97" xfId="4628" xr:uid="{00000000-0005-0000-0000-00001C330000}"/>
    <cellStyle name="Style 98" xfId="4629" xr:uid="{00000000-0005-0000-0000-00001D330000}"/>
    <cellStyle name="Style 99" xfId="4630" xr:uid="{00000000-0005-0000-0000-00001E330000}"/>
    <cellStyle name="subtitulo" xfId="4631" xr:uid="{00000000-0005-0000-0000-00001F330000}"/>
    <cellStyle name="Subtotal" xfId="4632" xr:uid="{00000000-0005-0000-0000-000020330000}"/>
    <cellStyle name="Subtotal 2" xfId="5144" xr:uid="{00000000-0005-0000-0000-000021330000}"/>
    <cellStyle name="Table Col Head" xfId="4633" xr:uid="{00000000-0005-0000-0000-000022330000}"/>
    <cellStyle name="Table Head" xfId="4634" xr:uid="{00000000-0005-0000-0000-000023330000}"/>
    <cellStyle name="Table Head 2" xfId="5145" xr:uid="{00000000-0005-0000-0000-000024330000}"/>
    <cellStyle name="Table Head Aligned" xfId="5146" xr:uid="{00000000-0005-0000-0000-000025330000}"/>
    <cellStyle name="Table Head Blue" xfId="5147" xr:uid="{00000000-0005-0000-0000-000026330000}"/>
    <cellStyle name="Table Head Green" xfId="5148" xr:uid="{00000000-0005-0000-0000-000027330000}"/>
    <cellStyle name="Table Head_pldt" xfId="5149" xr:uid="{00000000-0005-0000-0000-000028330000}"/>
    <cellStyle name="Table Heading" xfId="4635" xr:uid="{00000000-0005-0000-0000-000029330000}"/>
    <cellStyle name="Table Source" xfId="5150" xr:uid="{00000000-0005-0000-0000-00002A330000}"/>
    <cellStyle name="Table Text" xfId="5151" xr:uid="{00000000-0005-0000-0000-00002B330000}"/>
    <cellStyle name="Table Title" xfId="4636" xr:uid="{00000000-0005-0000-0000-00002C330000}"/>
    <cellStyle name="Table Title 2" xfId="5152" xr:uid="{00000000-0005-0000-0000-00002D330000}"/>
    <cellStyle name="Table Units" xfId="4637" xr:uid="{00000000-0005-0000-0000-00002E330000}"/>
    <cellStyle name="Table Units 2" xfId="4638" xr:uid="{00000000-0005-0000-0000-00002F330000}"/>
    <cellStyle name="Table Units 3" xfId="4639" xr:uid="{00000000-0005-0000-0000-000030330000}"/>
    <cellStyle name="Table Units 4" xfId="5153" xr:uid="{00000000-0005-0000-0000-000031330000}"/>
    <cellStyle name="Table_Header" xfId="5154" xr:uid="{00000000-0005-0000-0000-000032330000}"/>
    <cellStyle name="TEXT" xfId="4640" xr:uid="{00000000-0005-0000-0000-000033330000}"/>
    <cellStyle name="Text 1" xfId="5155" xr:uid="{00000000-0005-0000-0000-000034330000}"/>
    <cellStyle name="Text 2" xfId="5156" xr:uid="{00000000-0005-0000-0000-000035330000}"/>
    <cellStyle name="Text Head 1" xfId="5157" xr:uid="{00000000-0005-0000-0000-000036330000}"/>
    <cellStyle name="Text Head 2" xfId="5158" xr:uid="{00000000-0005-0000-0000-000037330000}"/>
    <cellStyle name="Text Indent 1" xfId="5159" xr:uid="{00000000-0005-0000-0000-000038330000}"/>
    <cellStyle name="Text Indent 2" xfId="5160" xr:uid="{00000000-0005-0000-0000-000039330000}"/>
    <cellStyle name="Text Indent A" xfId="5161" xr:uid="{00000000-0005-0000-0000-00003A330000}"/>
    <cellStyle name="Text Indent B" xfId="5162" xr:uid="{00000000-0005-0000-0000-00003B330000}"/>
    <cellStyle name="Text Indent C" xfId="5163" xr:uid="{00000000-0005-0000-0000-00003C330000}"/>
    <cellStyle name="TEXTO" xfId="4641" xr:uid="{00000000-0005-0000-0000-00003D330000}"/>
    <cellStyle name="TEXTO 10" xfId="4642" xr:uid="{00000000-0005-0000-0000-00003E330000}"/>
    <cellStyle name="TEXTO 11" xfId="4643" xr:uid="{00000000-0005-0000-0000-00003F330000}"/>
    <cellStyle name="TEXTO 12" xfId="4644" xr:uid="{00000000-0005-0000-0000-000040330000}"/>
    <cellStyle name="TEXTO 13" xfId="4645" xr:uid="{00000000-0005-0000-0000-000041330000}"/>
    <cellStyle name="TEXTO 14" xfId="4646" xr:uid="{00000000-0005-0000-0000-000042330000}"/>
    <cellStyle name="TEXTO 15" xfId="4647" xr:uid="{00000000-0005-0000-0000-000043330000}"/>
    <cellStyle name="TEXTO 16" xfId="4648" xr:uid="{00000000-0005-0000-0000-000044330000}"/>
    <cellStyle name="TEXTO 17" xfId="4649" xr:uid="{00000000-0005-0000-0000-000045330000}"/>
    <cellStyle name="TEXTO 18" xfId="4650" xr:uid="{00000000-0005-0000-0000-000046330000}"/>
    <cellStyle name="TEXTO 19" xfId="4651" xr:uid="{00000000-0005-0000-0000-000047330000}"/>
    <cellStyle name="TEXTO 2" xfId="4652" xr:uid="{00000000-0005-0000-0000-000048330000}"/>
    <cellStyle name="TEXTO 20" xfId="4653" xr:uid="{00000000-0005-0000-0000-000049330000}"/>
    <cellStyle name="TEXTO 21" xfId="4654" xr:uid="{00000000-0005-0000-0000-00004A330000}"/>
    <cellStyle name="TEXTO 22" xfId="4655" xr:uid="{00000000-0005-0000-0000-00004B330000}"/>
    <cellStyle name="TEXTO 23" xfId="4656" xr:uid="{00000000-0005-0000-0000-00004C330000}"/>
    <cellStyle name="TEXTO 24" xfId="4657" xr:uid="{00000000-0005-0000-0000-00004D330000}"/>
    <cellStyle name="TEXTO 25" xfId="4658" xr:uid="{00000000-0005-0000-0000-00004E330000}"/>
    <cellStyle name="TEXTO 26" xfId="4659" xr:uid="{00000000-0005-0000-0000-00004F330000}"/>
    <cellStyle name="TEXTO 27" xfId="4660" xr:uid="{00000000-0005-0000-0000-000050330000}"/>
    <cellStyle name="TEXTO 28" xfId="4661" xr:uid="{00000000-0005-0000-0000-000051330000}"/>
    <cellStyle name="TEXTO 29" xfId="4662" xr:uid="{00000000-0005-0000-0000-000052330000}"/>
    <cellStyle name="TEXTO 3" xfId="4663" xr:uid="{00000000-0005-0000-0000-000053330000}"/>
    <cellStyle name="TEXTO 30" xfId="4664" xr:uid="{00000000-0005-0000-0000-000054330000}"/>
    <cellStyle name="TEXTO 31" xfId="4665" xr:uid="{00000000-0005-0000-0000-000055330000}"/>
    <cellStyle name="TEXTO 32" xfId="4666" xr:uid="{00000000-0005-0000-0000-000056330000}"/>
    <cellStyle name="TEXTO 33" xfId="4667" xr:uid="{00000000-0005-0000-0000-000057330000}"/>
    <cellStyle name="TEXTO 34" xfId="4668" xr:uid="{00000000-0005-0000-0000-000058330000}"/>
    <cellStyle name="TEXTO 35" xfId="4669" xr:uid="{00000000-0005-0000-0000-000059330000}"/>
    <cellStyle name="TEXTO 36" xfId="4670" xr:uid="{00000000-0005-0000-0000-00005A330000}"/>
    <cellStyle name="TEXTO 37" xfId="4671" xr:uid="{00000000-0005-0000-0000-00005B330000}"/>
    <cellStyle name="TEXTO 38" xfId="4672" xr:uid="{00000000-0005-0000-0000-00005C330000}"/>
    <cellStyle name="TEXTO 39" xfId="4673" xr:uid="{00000000-0005-0000-0000-00005D330000}"/>
    <cellStyle name="TEXTO 4" xfId="4674" xr:uid="{00000000-0005-0000-0000-00005E330000}"/>
    <cellStyle name="TEXTO 40" xfId="4675" xr:uid="{00000000-0005-0000-0000-00005F330000}"/>
    <cellStyle name="TEXTO 5" xfId="4676" xr:uid="{00000000-0005-0000-0000-000060330000}"/>
    <cellStyle name="TEXTO 6" xfId="4677" xr:uid="{00000000-0005-0000-0000-000061330000}"/>
    <cellStyle name="TEXTO 7" xfId="4678" xr:uid="{00000000-0005-0000-0000-000062330000}"/>
    <cellStyle name="TEXTO 8" xfId="4679" xr:uid="{00000000-0005-0000-0000-000063330000}"/>
    <cellStyle name="TEXTO 9" xfId="4680" xr:uid="{00000000-0005-0000-0000-000064330000}"/>
    <cellStyle name="Texto de advertencia" xfId="4681" xr:uid="{00000000-0005-0000-0000-000065330000}"/>
    <cellStyle name="Texto de Aviso" xfId="80" xr:uid="{00000000-0005-0000-0000-000066330000}"/>
    <cellStyle name="Texto de Aviso 10" xfId="5608" xr:uid="{00000000-0005-0000-0000-000067330000}"/>
    <cellStyle name="Texto de Aviso 11" xfId="5637" xr:uid="{00000000-0005-0000-0000-000068330000}"/>
    <cellStyle name="Texto de Aviso 12" xfId="5657" xr:uid="{00000000-0005-0000-0000-000069330000}"/>
    <cellStyle name="Texto de Aviso 13" xfId="5670" xr:uid="{00000000-0005-0000-0000-00006A330000}"/>
    <cellStyle name="Texto de Aviso 14" xfId="5677" xr:uid="{00000000-0005-0000-0000-00006B330000}"/>
    <cellStyle name="Texto de Aviso 15" xfId="5753" xr:uid="{00000000-0005-0000-0000-00006C330000}"/>
    <cellStyle name="Texto de Aviso 16" xfId="5760" xr:uid="{00000000-0005-0000-0000-00006D330000}"/>
    <cellStyle name="Texto de Aviso 17" xfId="5781" xr:uid="{00000000-0005-0000-0000-00006E330000}"/>
    <cellStyle name="Texto de Aviso 2" xfId="5164" xr:uid="{00000000-0005-0000-0000-00006F330000}"/>
    <cellStyle name="Texto de Aviso 2 2" xfId="7016" xr:uid="{00000000-0005-0000-0000-000070330000}"/>
    <cellStyle name="Texto de Aviso 2 2 2" xfId="7017" xr:uid="{00000000-0005-0000-0000-000071330000}"/>
    <cellStyle name="Texto de Aviso 2 2 2 2" xfId="7018" xr:uid="{00000000-0005-0000-0000-000072330000}"/>
    <cellStyle name="Texto de Aviso 2 2 2 2 2" xfId="7019" xr:uid="{00000000-0005-0000-0000-000073330000}"/>
    <cellStyle name="Texto de Aviso 2 2 2 2 2 2" xfId="7020" xr:uid="{00000000-0005-0000-0000-000074330000}"/>
    <cellStyle name="Texto de Aviso 2 2 2 2 2 2 2" xfId="7021" xr:uid="{00000000-0005-0000-0000-000075330000}"/>
    <cellStyle name="Texto de Aviso 2 2 2 2 2 2 2 2" xfId="7022" xr:uid="{00000000-0005-0000-0000-000076330000}"/>
    <cellStyle name="Texto de Aviso 2 2 2 2 2 2 3" xfId="7023" xr:uid="{00000000-0005-0000-0000-000077330000}"/>
    <cellStyle name="Texto de Aviso 2 2 2 2 2 3" xfId="7024" xr:uid="{00000000-0005-0000-0000-000078330000}"/>
    <cellStyle name="Texto de Aviso 2 2 2 2 2 3 2" xfId="7025" xr:uid="{00000000-0005-0000-0000-000079330000}"/>
    <cellStyle name="Texto de Aviso 2 2 2 2 3" xfId="7026" xr:uid="{00000000-0005-0000-0000-00007A330000}"/>
    <cellStyle name="Texto de Aviso 2 2 2 2 3 2" xfId="7027" xr:uid="{00000000-0005-0000-0000-00007B330000}"/>
    <cellStyle name="Texto de Aviso 2 2 2 3" xfId="7028" xr:uid="{00000000-0005-0000-0000-00007C330000}"/>
    <cellStyle name="Texto de Aviso 2 2 2 4" xfId="7029" xr:uid="{00000000-0005-0000-0000-00007D330000}"/>
    <cellStyle name="Texto de Aviso 2 2 2 4 2" xfId="7030" xr:uid="{00000000-0005-0000-0000-00007E330000}"/>
    <cellStyle name="Texto de Aviso 2 2 3" xfId="7031" xr:uid="{00000000-0005-0000-0000-00007F330000}"/>
    <cellStyle name="Texto de Aviso 2 2 4" xfId="7032" xr:uid="{00000000-0005-0000-0000-000080330000}"/>
    <cellStyle name="Texto de Aviso 2 2 4 2" xfId="7033" xr:uid="{00000000-0005-0000-0000-000081330000}"/>
    <cellStyle name="Texto de Aviso 2 3" xfId="7034" xr:uid="{00000000-0005-0000-0000-000082330000}"/>
    <cellStyle name="Texto de Aviso 2 4" xfId="7035" xr:uid="{00000000-0005-0000-0000-000083330000}"/>
    <cellStyle name="Texto de Aviso 2 5" xfId="7036" xr:uid="{00000000-0005-0000-0000-000084330000}"/>
    <cellStyle name="Texto de Aviso 2 6" xfId="7037" xr:uid="{00000000-0005-0000-0000-000085330000}"/>
    <cellStyle name="Texto de Aviso 2 6 2" xfId="7038" xr:uid="{00000000-0005-0000-0000-000086330000}"/>
    <cellStyle name="Texto de Aviso 2 7" xfId="7015" xr:uid="{00000000-0005-0000-0000-000087330000}"/>
    <cellStyle name="Texto de Aviso 3" xfId="5344" xr:uid="{00000000-0005-0000-0000-000088330000}"/>
    <cellStyle name="Texto de Aviso 3 2" xfId="7040" xr:uid="{00000000-0005-0000-0000-000089330000}"/>
    <cellStyle name="Texto de Aviso 3 3" xfId="7041" xr:uid="{00000000-0005-0000-0000-00008A330000}"/>
    <cellStyle name="Texto de Aviso 3 4" xfId="7042" xr:uid="{00000000-0005-0000-0000-00008B330000}"/>
    <cellStyle name="Texto de Aviso 3 5" xfId="7039" xr:uid="{00000000-0005-0000-0000-00008C330000}"/>
    <cellStyle name="Texto de Aviso 4" xfId="5373" xr:uid="{00000000-0005-0000-0000-00008D330000}"/>
    <cellStyle name="Texto de Aviso 4 2" xfId="7044" xr:uid="{00000000-0005-0000-0000-00008E330000}"/>
    <cellStyle name="Texto de Aviso 4 3" xfId="7045" xr:uid="{00000000-0005-0000-0000-00008F330000}"/>
    <cellStyle name="Texto de Aviso 4 4" xfId="7043" xr:uid="{00000000-0005-0000-0000-000090330000}"/>
    <cellStyle name="Texto de Aviso 5" xfId="5401" xr:uid="{00000000-0005-0000-0000-000091330000}"/>
    <cellStyle name="Texto de Aviso 5 2" xfId="7047" xr:uid="{00000000-0005-0000-0000-000092330000}"/>
    <cellStyle name="Texto de Aviso 5 3" xfId="7046" xr:uid="{00000000-0005-0000-0000-000093330000}"/>
    <cellStyle name="Texto de Aviso 6" xfId="5428" xr:uid="{00000000-0005-0000-0000-000094330000}"/>
    <cellStyle name="Texto de Aviso 6 2" xfId="7049" xr:uid="{00000000-0005-0000-0000-000095330000}"/>
    <cellStyle name="Texto de Aviso 6 3" xfId="7375" xr:uid="{00000000-0005-0000-0000-000096330000}"/>
    <cellStyle name="Texto de Aviso 6 4" xfId="7048" xr:uid="{00000000-0005-0000-0000-000097330000}"/>
    <cellStyle name="Texto de Aviso 7" xfId="5448" xr:uid="{00000000-0005-0000-0000-000098330000}"/>
    <cellStyle name="Texto de Aviso 7 2" xfId="7376" xr:uid="{00000000-0005-0000-0000-000099330000}"/>
    <cellStyle name="Texto de Aviso 7 3" xfId="7050" xr:uid="{00000000-0005-0000-0000-00009A330000}"/>
    <cellStyle name="Texto de Aviso 8" xfId="5461" xr:uid="{00000000-0005-0000-0000-00009B330000}"/>
    <cellStyle name="Texto de Aviso 9" xfId="5468" xr:uid="{00000000-0005-0000-0000-00009C330000}"/>
    <cellStyle name="Texto Explicativo" xfId="81" xr:uid="{00000000-0005-0000-0000-00009D330000}"/>
    <cellStyle name="Texto Explicativo 10" xfId="5609" xr:uid="{00000000-0005-0000-0000-00009E330000}"/>
    <cellStyle name="Texto Explicativo 11" xfId="5638" xr:uid="{00000000-0005-0000-0000-00009F330000}"/>
    <cellStyle name="Texto Explicativo 12" xfId="5658" xr:uid="{00000000-0005-0000-0000-0000A0330000}"/>
    <cellStyle name="Texto Explicativo 13" xfId="5671" xr:uid="{00000000-0005-0000-0000-0000A1330000}"/>
    <cellStyle name="Texto Explicativo 14" xfId="5678" xr:uid="{00000000-0005-0000-0000-0000A2330000}"/>
    <cellStyle name="Texto Explicativo 15" xfId="5754" xr:uid="{00000000-0005-0000-0000-0000A3330000}"/>
    <cellStyle name="Texto Explicativo 16" xfId="5761" xr:uid="{00000000-0005-0000-0000-0000A4330000}"/>
    <cellStyle name="Texto Explicativo 17" xfId="5782" xr:uid="{00000000-0005-0000-0000-0000A5330000}"/>
    <cellStyle name="Texto Explicativo 2" xfId="5165" xr:uid="{00000000-0005-0000-0000-0000A6330000}"/>
    <cellStyle name="Texto Explicativo 2 2" xfId="7052" xr:uid="{00000000-0005-0000-0000-0000A7330000}"/>
    <cellStyle name="Texto Explicativo 2 2 2" xfId="7053" xr:uid="{00000000-0005-0000-0000-0000A8330000}"/>
    <cellStyle name="Texto Explicativo 2 2 2 2" xfId="7054" xr:uid="{00000000-0005-0000-0000-0000A9330000}"/>
    <cellStyle name="Texto Explicativo 2 2 2 2 2" xfId="7055" xr:uid="{00000000-0005-0000-0000-0000AA330000}"/>
    <cellStyle name="Texto Explicativo 2 2 2 2 2 2" xfId="7056" xr:uid="{00000000-0005-0000-0000-0000AB330000}"/>
    <cellStyle name="Texto Explicativo 2 2 2 2 2 2 2" xfId="7057" xr:uid="{00000000-0005-0000-0000-0000AC330000}"/>
    <cellStyle name="Texto Explicativo 2 2 2 2 2 2 2 2" xfId="7058" xr:uid="{00000000-0005-0000-0000-0000AD330000}"/>
    <cellStyle name="Texto Explicativo 2 2 2 2 2 2 3" xfId="7059" xr:uid="{00000000-0005-0000-0000-0000AE330000}"/>
    <cellStyle name="Texto Explicativo 2 2 2 2 2 3" xfId="7060" xr:uid="{00000000-0005-0000-0000-0000AF330000}"/>
    <cellStyle name="Texto Explicativo 2 2 2 2 2 3 2" xfId="7061" xr:uid="{00000000-0005-0000-0000-0000B0330000}"/>
    <cellStyle name="Texto Explicativo 2 2 2 2 3" xfId="7062" xr:uid="{00000000-0005-0000-0000-0000B1330000}"/>
    <cellStyle name="Texto Explicativo 2 2 2 2 3 2" xfId="7063" xr:uid="{00000000-0005-0000-0000-0000B2330000}"/>
    <cellStyle name="Texto Explicativo 2 2 2 3" xfId="7064" xr:uid="{00000000-0005-0000-0000-0000B3330000}"/>
    <cellStyle name="Texto Explicativo 2 2 2 4" xfId="7065" xr:uid="{00000000-0005-0000-0000-0000B4330000}"/>
    <cellStyle name="Texto Explicativo 2 2 2 4 2" xfId="7066" xr:uid="{00000000-0005-0000-0000-0000B5330000}"/>
    <cellStyle name="Texto Explicativo 2 2 3" xfId="7067" xr:uid="{00000000-0005-0000-0000-0000B6330000}"/>
    <cellStyle name="Texto Explicativo 2 2 4" xfId="7068" xr:uid="{00000000-0005-0000-0000-0000B7330000}"/>
    <cellStyle name="Texto Explicativo 2 2 4 2" xfId="7069" xr:uid="{00000000-0005-0000-0000-0000B8330000}"/>
    <cellStyle name="Texto Explicativo 2 3" xfId="7070" xr:uid="{00000000-0005-0000-0000-0000B9330000}"/>
    <cellStyle name="Texto Explicativo 2 4" xfId="7071" xr:uid="{00000000-0005-0000-0000-0000BA330000}"/>
    <cellStyle name="Texto Explicativo 2 5" xfId="7072" xr:uid="{00000000-0005-0000-0000-0000BB330000}"/>
    <cellStyle name="Texto Explicativo 2 6" xfId="7073" xr:uid="{00000000-0005-0000-0000-0000BC330000}"/>
    <cellStyle name="Texto Explicativo 2 6 2" xfId="7074" xr:uid="{00000000-0005-0000-0000-0000BD330000}"/>
    <cellStyle name="Texto Explicativo 2 7" xfId="7051" xr:uid="{00000000-0005-0000-0000-0000BE330000}"/>
    <cellStyle name="Texto Explicativo 3" xfId="5345" xr:uid="{00000000-0005-0000-0000-0000BF330000}"/>
    <cellStyle name="Texto Explicativo 3 2" xfId="7076" xr:uid="{00000000-0005-0000-0000-0000C0330000}"/>
    <cellStyle name="Texto Explicativo 3 3" xfId="7077" xr:uid="{00000000-0005-0000-0000-0000C1330000}"/>
    <cellStyle name="Texto Explicativo 3 4" xfId="7078" xr:uid="{00000000-0005-0000-0000-0000C2330000}"/>
    <cellStyle name="Texto Explicativo 3 5" xfId="7075" xr:uid="{00000000-0005-0000-0000-0000C3330000}"/>
    <cellStyle name="Texto Explicativo 4" xfId="5374" xr:uid="{00000000-0005-0000-0000-0000C4330000}"/>
    <cellStyle name="Texto Explicativo 4 2" xfId="7080" xr:uid="{00000000-0005-0000-0000-0000C5330000}"/>
    <cellStyle name="Texto Explicativo 4 3" xfId="7081" xr:uid="{00000000-0005-0000-0000-0000C6330000}"/>
    <cellStyle name="Texto Explicativo 4 4" xfId="7079" xr:uid="{00000000-0005-0000-0000-0000C7330000}"/>
    <cellStyle name="Texto Explicativo 5" xfId="5402" xr:uid="{00000000-0005-0000-0000-0000C8330000}"/>
    <cellStyle name="Texto Explicativo 5 2" xfId="7083" xr:uid="{00000000-0005-0000-0000-0000C9330000}"/>
    <cellStyle name="Texto Explicativo 5 3" xfId="7082" xr:uid="{00000000-0005-0000-0000-0000CA330000}"/>
    <cellStyle name="Texto Explicativo 6" xfId="5429" xr:uid="{00000000-0005-0000-0000-0000CB330000}"/>
    <cellStyle name="Texto Explicativo 6 2" xfId="7085" xr:uid="{00000000-0005-0000-0000-0000CC330000}"/>
    <cellStyle name="Texto Explicativo 6 3" xfId="7377" xr:uid="{00000000-0005-0000-0000-0000CD330000}"/>
    <cellStyle name="Texto Explicativo 6 4" xfId="7084" xr:uid="{00000000-0005-0000-0000-0000CE330000}"/>
    <cellStyle name="Texto Explicativo 7" xfId="5449" xr:uid="{00000000-0005-0000-0000-0000CF330000}"/>
    <cellStyle name="Texto Explicativo 7 2" xfId="7378" xr:uid="{00000000-0005-0000-0000-0000D0330000}"/>
    <cellStyle name="Texto Explicativo 7 3" xfId="7086" xr:uid="{00000000-0005-0000-0000-0000D1330000}"/>
    <cellStyle name="Texto Explicativo 8" xfId="5462" xr:uid="{00000000-0005-0000-0000-0000D2330000}"/>
    <cellStyle name="Texto Explicativo 9" xfId="5469" xr:uid="{00000000-0005-0000-0000-0000D3330000}"/>
    <cellStyle name="texto2" xfId="4682" xr:uid="{00000000-0005-0000-0000-0000D4330000}"/>
    <cellStyle name="texto2 10" xfId="4683" xr:uid="{00000000-0005-0000-0000-0000D5330000}"/>
    <cellStyle name="texto2 11" xfId="4684" xr:uid="{00000000-0005-0000-0000-0000D6330000}"/>
    <cellStyle name="texto2 12" xfId="4685" xr:uid="{00000000-0005-0000-0000-0000D7330000}"/>
    <cellStyle name="texto2 13" xfId="4686" xr:uid="{00000000-0005-0000-0000-0000D8330000}"/>
    <cellStyle name="texto2 14" xfId="4687" xr:uid="{00000000-0005-0000-0000-0000D9330000}"/>
    <cellStyle name="texto2 15" xfId="4688" xr:uid="{00000000-0005-0000-0000-0000DA330000}"/>
    <cellStyle name="texto2 16" xfId="4689" xr:uid="{00000000-0005-0000-0000-0000DB330000}"/>
    <cellStyle name="texto2 17" xfId="4690" xr:uid="{00000000-0005-0000-0000-0000DC330000}"/>
    <cellStyle name="texto2 18" xfId="4691" xr:uid="{00000000-0005-0000-0000-0000DD330000}"/>
    <cellStyle name="texto2 19" xfId="4692" xr:uid="{00000000-0005-0000-0000-0000DE330000}"/>
    <cellStyle name="texto2 2" xfId="4693" xr:uid="{00000000-0005-0000-0000-0000DF330000}"/>
    <cellStyle name="texto2 20" xfId="4694" xr:uid="{00000000-0005-0000-0000-0000E0330000}"/>
    <cellStyle name="texto2 21" xfId="4695" xr:uid="{00000000-0005-0000-0000-0000E1330000}"/>
    <cellStyle name="texto2 22" xfId="4696" xr:uid="{00000000-0005-0000-0000-0000E2330000}"/>
    <cellStyle name="texto2 23" xfId="4697" xr:uid="{00000000-0005-0000-0000-0000E3330000}"/>
    <cellStyle name="texto2 24" xfId="4698" xr:uid="{00000000-0005-0000-0000-0000E4330000}"/>
    <cellStyle name="texto2 25" xfId="4699" xr:uid="{00000000-0005-0000-0000-0000E5330000}"/>
    <cellStyle name="texto2 26" xfId="4700" xr:uid="{00000000-0005-0000-0000-0000E6330000}"/>
    <cellStyle name="texto2 27" xfId="4701" xr:uid="{00000000-0005-0000-0000-0000E7330000}"/>
    <cellStyle name="texto2 28" xfId="4702" xr:uid="{00000000-0005-0000-0000-0000E8330000}"/>
    <cellStyle name="texto2 29" xfId="4703" xr:uid="{00000000-0005-0000-0000-0000E9330000}"/>
    <cellStyle name="texto2 3" xfId="4704" xr:uid="{00000000-0005-0000-0000-0000EA330000}"/>
    <cellStyle name="texto2 30" xfId="4705" xr:uid="{00000000-0005-0000-0000-0000EB330000}"/>
    <cellStyle name="texto2 31" xfId="4706" xr:uid="{00000000-0005-0000-0000-0000EC330000}"/>
    <cellStyle name="texto2 32" xfId="4707" xr:uid="{00000000-0005-0000-0000-0000ED330000}"/>
    <cellStyle name="texto2 33" xfId="4708" xr:uid="{00000000-0005-0000-0000-0000EE330000}"/>
    <cellStyle name="texto2 34" xfId="4709" xr:uid="{00000000-0005-0000-0000-0000EF330000}"/>
    <cellStyle name="texto2 35" xfId="4710" xr:uid="{00000000-0005-0000-0000-0000F0330000}"/>
    <cellStyle name="texto2 36" xfId="4711" xr:uid="{00000000-0005-0000-0000-0000F1330000}"/>
    <cellStyle name="texto2 37" xfId="4712" xr:uid="{00000000-0005-0000-0000-0000F2330000}"/>
    <cellStyle name="texto2 38" xfId="4713" xr:uid="{00000000-0005-0000-0000-0000F3330000}"/>
    <cellStyle name="texto2 39" xfId="4714" xr:uid="{00000000-0005-0000-0000-0000F4330000}"/>
    <cellStyle name="texto2 4" xfId="4715" xr:uid="{00000000-0005-0000-0000-0000F5330000}"/>
    <cellStyle name="texto2 40" xfId="4716" xr:uid="{00000000-0005-0000-0000-0000F6330000}"/>
    <cellStyle name="texto2 5" xfId="4717" xr:uid="{00000000-0005-0000-0000-0000F7330000}"/>
    <cellStyle name="texto2 6" xfId="4718" xr:uid="{00000000-0005-0000-0000-0000F8330000}"/>
    <cellStyle name="texto2 7" xfId="4719" xr:uid="{00000000-0005-0000-0000-0000F9330000}"/>
    <cellStyle name="texto2 8" xfId="4720" xr:uid="{00000000-0005-0000-0000-0000FA330000}"/>
    <cellStyle name="texto2 9" xfId="4721" xr:uid="{00000000-0005-0000-0000-0000FB330000}"/>
    <cellStyle name="TFCF" xfId="4722" xr:uid="{00000000-0005-0000-0000-0000FC330000}"/>
    <cellStyle name="Times12" xfId="4723" xr:uid="{00000000-0005-0000-0000-0000FD330000}"/>
    <cellStyle name="Times12 10" xfId="4724" xr:uid="{00000000-0005-0000-0000-0000FE330000}"/>
    <cellStyle name="Times12 11" xfId="4725" xr:uid="{00000000-0005-0000-0000-0000FF330000}"/>
    <cellStyle name="Times12 12" xfId="4726" xr:uid="{00000000-0005-0000-0000-000000340000}"/>
    <cellStyle name="Times12 13" xfId="4727" xr:uid="{00000000-0005-0000-0000-000001340000}"/>
    <cellStyle name="Times12 14" xfId="4728" xr:uid="{00000000-0005-0000-0000-000002340000}"/>
    <cellStyle name="Times12 15" xfId="4729" xr:uid="{00000000-0005-0000-0000-000003340000}"/>
    <cellStyle name="Times12 16" xfId="4730" xr:uid="{00000000-0005-0000-0000-000004340000}"/>
    <cellStyle name="Times12 17" xfId="4731" xr:uid="{00000000-0005-0000-0000-000005340000}"/>
    <cellStyle name="Times12 18" xfId="4732" xr:uid="{00000000-0005-0000-0000-000006340000}"/>
    <cellStyle name="Times12 19" xfId="4733" xr:uid="{00000000-0005-0000-0000-000007340000}"/>
    <cellStyle name="Times12 2" xfId="4734" xr:uid="{00000000-0005-0000-0000-000008340000}"/>
    <cellStyle name="Times12 20" xfId="4735" xr:uid="{00000000-0005-0000-0000-000009340000}"/>
    <cellStyle name="Times12 21" xfId="4736" xr:uid="{00000000-0005-0000-0000-00000A340000}"/>
    <cellStyle name="Times12 22" xfId="4737" xr:uid="{00000000-0005-0000-0000-00000B340000}"/>
    <cellStyle name="Times12 23" xfId="4738" xr:uid="{00000000-0005-0000-0000-00000C340000}"/>
    <cellStyle name="Times12 24" xfId="4739" xr:uid="{00000000-0005-0000-0000-00000D340000}"/>
    <cellStyle name="Times12 25" xfId="4740" xr:uid="{00000000-0005-0000-0000-00000E340000}"/>
    <cellStyle name="Times12 26" xfId="4741" xr:uid="{00000000-0005-0000-0000-00000F340000}"/>
    <cellStyle name="Times12 27" xfId="4742" xr:uid="{00000000-0005-0000-0000-000010340000}"/>
    <cellStyle name="Times12 28" xfId="4743" xr:uid="{00000000-0005-0000-0000-000011340000}"/>
    <cellStyle name="Times12 29" xfId="4744" xr:uid="{00000000-0005-0000-0000-000012340000}"/>
    <cellStyle name="Times12 3" xfId="4745" xr:uid="{00000000-0005-0000-0000-000013340000}"/>
    <cellStyle name="Times12 30" xfId="4746" xr:uid="{00000000-0005-0000-0000-000014340000}"/>
    <cellStyle name="Times12 31" xfId="4747" xr:uid="{00000000-0005-0000-0000-000015340000}"/>
    <cellStyle name="Times12 32" xfId="4748" xr:uid="{00000000-0005-0000-0000-000016340000}"/>
    <cellStyle name="Times12 33" xfId="4749" xr:uid="{00000000-0005-0000-0000-000017340000}"/>
    <cellStyle name="Times12 34" xfId="4750" xr:uid="{00000000-0005-0000-0000-000018340000}"/>
    <cellStyle name="Times12 35" xfId="4751" xr:uid="{00000000-0005-0000-0000-000019340000}"/>
    <cellStyle name="Times12 36" xfId="4752" xr:uid="{00000000-0005-0000-0000-00001A340000}"/>
    <cellStyle name="Times12 37" xfId="4753" xr:uid="{00000000-0005-0000-0000-00001B340000}"/>
    <cellStyle name="Times12 38" xfId="4754" xr:uid="{00000000-0005-0000-0000-00001C340000}"/>
    <cellStyle name="Times12 39" xfId="4755" xr:uid="{00000000-0005-0000-0000-00001D340000}"/>
    <cellStyle name="Times12 4" xfId="4756" xr:uid="{00000000-0005-0000-0000-00001E340000}"/>
    <cellStyle name="Times12 40" xfId="4757" xr:uid="{00000000-0005-0000-0000-00001F340000}"/>
    <cellStyle name="Times12 5" xfId="4758" xr:uid="{00000000-0005-0000-0000-000020340000}"/>
    <cellStyle name="Times12 6" xfId="4759" xr:uid="{00000000-0005-0000-0000-000021340000}"/>
    <cellStyle name="Times12 7" xfId="4760" xr:uid="{00000000-0005-0000-0000-000022340000}"/>
    <cellStyle name="Times12 8" xfId="4761" xr:uid="{00000000-0005-0000-0000-000023340000}"/>
    <cellStyle name="Times12 9" xfId="4762" xr:uid="{00000000-0005-0000-0000-000024340000}"/>
    <cellStyle name="Times20" xfId="4763" xr:uid="{00000000-0005-0000-0000-000025340000}"/>
    <cellStyle name="Times20 10" xfId="4764" xr:uid="{00000000-0005-0000-0000-000026340000}"/>
    <cellStyle name="Times20 11" xfId="4765" xr:uid="{00000000-0005-0000-0000-000027340000}"/>
    <cellStyle name="Times20 12" xfId="4766" xr:uid="{00000000-0005-0000-0000-000028340000}"/>
    <cellStyle name="Times20 13" xfId="4767" xr:uid="{00000000-0005-0000-0000-000029340000}"/>
    <cellStyle name="Times20 14" xfId="4768" xr:uid="{00000000-0005-0000-0000-00002A340000}"/>
    <cellStyle name="Times20 15" xfId="4769" xr:uid="{00000000-0005-0000-0000-00002B340000}"/>
    <cellStyle name="Times20 16" xfId="4770" xr:uid="{00000000-0005-0000-0000-00002C340000}"/>
    <cellStyle name="Times20 17" xfId="4771" xr:uid="{00000000-0005-0000-0000-00002D340000}"/>
    <cellStyle name="Times20 18" xfId="4772" xr:uid="{00000000-0005-0000-0000-00002E340000}"/>
    <cellStyle name="Times20 19" xfId="4773" xr:uid="{00000000-0005-0000-0000-00002F340000}"/>
    <cellStyle name="Times20 2" xfId="4774" xr:uid="{00000000-0005-0000-0000-000030340000}"/>
    <cellStyle name="Times20 20" xfId="4775" xr:uid="{00000000-0005-0000-0000-000031340000}"/>
    <cellStyle name="Times20 21" xfId="4776" xr:uid="{00000000-0005-0000-0000-000032340000}"/>
    <cellStyle name="Times20 22" xfId="4777" xr:uid="{00000000-0005-0000-0000-000033340000}"/>
    <cellStyle name="Times20 23" xfId="4778" xr:uid="{00000000-0005-0000-0000-000034340000}"/>
    <cellStyle name="Times20 24" xfId="4779" xr:uid="{00000000-0005-0000-0000-000035340000}"/>
    <cellStyle name="Times20 25" xfId="4780" xr:uid="{00000000-0005-0000-0000-000036340000}"/>
    <cellStyle name="Times20 26" xfId="4781" xr:uid="{00000000-0005-0000-0000-000037340000}"/>
    <cellStyle name="Times20 27" xfId="4782" xr:uid="{00000000-0005-0000-0000-000038340000}"/>
    <cellStyle name="Times20 28" xfId="4783" xr:uid="{00000000-0005-0000-0000-000039340000}"/>
    <cellStyle name="Times20 29" xfId="4784" xr:uid="{00000000-0005-0000-0000-00003A340000}"/>
    <cellStyle name="Times20 3" xfId="4785" xr:uid="{00000000-0005-0000-0000-00003B340000}"/>
    <cellStyle name="Times20 30" xfId="4786" xr:uid="{00000000-0005-0000-0000-00003C340000}"/>
    <cellStyle name="Times20 31" xfId="4787" xr:uid="{00000000-0005-0000-0000-00003D340000}"/>
    <cellStyle name="Times20 32" xfId="4788" xr:uid="{00000000-0005-0000-0000-00003E340000}"/>
    <cellStyle name="Times20 33" xfId="4789" xr:uid="{00000000-0005-0000-0000-00003F340000}"/>
    <cellStyle name="Times20 34" xfId="4790" xr:uid="{00000000-0005-0000-0000-000040340000}"/>
    <cellStyle name="Times20 35" xfId="4791" xr:uid="{00000000-0005-0000-0000-000041340000}"/>
    <cellStyle name="Times20 36" xfId="4792" xr:uid="{00000000-0005-0000-0000-000042340000}"/>
    <cellStyle name="Times20 37" xfId="4793" xr:uid="{00000000-0005-0000-0000-000043340000}"/>
    <cellStyle name="Times20 38" xfId="4794" xr:uid="{00000000-0005-0000-0000-000044340000}"/>
    <cellStyle name="Times20 39" xfId="4795" xr:uid="{00000000-0005-0000-0000-000045340000}"/>
    <cellStyle name="Times20 4" xfId="4796" xr:uid="{00000000-0005-0000-0000-000046340000}"/>
    <cellStyle name="Times20 40" xfId="4797" xr:uid="{00000000-0005-0000-0000-000047340000}"/>
    <cellStyle name="Times20 5" xfId="4798" xr:uid="{00000000-0005-0000-0000-000048340000}"/>
    <cellStyle name="Times20 6" xfId="4799" xr:uid="{00000000-0005-0000-0000-000049340000}"/>
    <cellStyle name="Times20 7" xfId="4800" xr:uid="{00000000-0005-0000-0000-00004A340000}"/>
    <cellStyle name="Times20 8" xfId="4801" xr:uid="{00000000-0005-0000-0000-00004B340000}"/>
    <cellStyle name="Times20 9" xfId="4802" xr:uid="{00000000-0005-0000-0000-00004C340000}"/>
    <cellStyle name="Title" xfId="82" xr:uid="{00000000-0005-0000-0000-00004D340000}"/>
    <cellStyle name="Titulo" xfId="4803" xr:uid="{00000000-0005-0000-0000-00004E340000}"/>
    <cellStyle name="Título" xfId="83" xr:uid="{00000000-0005-0000-0000-00004F340000}"/>
    <cellStyle name="Título 1" xfId="84" xr:uid="{00000000-0005-0000-0000-000050340000}"/>
    <cellStyle name="Título 1 10" xfId="5612" xr:uid="{00000000-0005-0000-0000-000051340000}"/>
    <cellStyle name="Título 1 11" xfId="5641" xr:uid="{00000000-0005-0000-0000-000052340000}"/>
    <cellStyle name="Título 1 12" xfId="5660" xr:uid="{00000000-0005-0000-0000-000053340000}"/>
    <cellStyle name="Título 1 13" xfId="5673" xr:uid="{00000000-0005-0000-0000-000054340000}"/>
    <cellStyle name="Título 1 14" xfId="5680" xr:uid="{00000000-0005-0000-0000-000055340000}"/>
    <cellStyle name="Título 1 15" xfId="5756" xr:uid="{00000000-0005-0000-0000-000056340000}"/>
    <cellStyle name="Título 1 16" xfId="5763" xr:uid="{00000000-0005-0000-0000-000057340000}"/>
    <cellStyle name="Título 1 17" xfId="5770" xr:uid="{00000000-0005-0000-0000-000058340000}"/>
    <cellStyle name="Título 1 18" xfId="10600" xr:uid="{00000000-0005-0000-0000-000059340000}"/>
    <cellStyle name="Título 1 2" xfId="5167" xr:uid="{00000000-0005-0000-0000-00005A340000}"/>
    <cellStyle name="Título 1 2 2" xfId="7088" xr:uid="{00000000-0005-0000-0000-00005B340000}"/>
    <cellStyle name="Título 1 2 2 2" xfId="7089" xr:uid="{00000000-0005-0000-0000-00005C340000}"/>
    <cellStyle name="Título 1 2 2 2 2" xfId="7090" xr:uid="{00000000-0005-0000-0000-00005D340000}"/>
    <cellStyle name="Título 1 2 2 2 2 2" xfId="7091" xr:uid="{00000000-0005-0000-0000-00005E340000}"/>
    <cellStyle name="Título 1 2 2 2 2 2 2" xfId="7092" xr:uid="{00000000-0005-0000-0000-00005F340000}"/>
    <cellStyle name="Título 1 2 2 2 2 2 2 2" xfId="7093" xr:uid="{00000000-0005-0000-0000-000060340000}"/>
    <cellStyle name="Título 1 2 2 2 2 2 2 2 2" xfId="7094" xr:uid="{00000000-0005-0000-0000-000061340000}"/>
    <cellStyle name="Título 1 2 2 2 2 2 2 3" xfId="7095" xr:uid="{00000000-0005-0000-0000-000062340000}"/>
    <cellStyle name="Título 1 2 2 2 2 2 3" xfId="7096" xr:uid="{00000000-0005-0000-0000-000063340000}"/>
    <cellStyle name="Título 1 2 2 2 2 2 3 2" xfId="7097" xr:uid="{00000000-0005-0000-0000-000064340000}"/>
    <cellStyle name="Título 1 2 2 2 2 3" xfId="7098" xr:uid="{00000000-0005-0000-0000-000065340000}"/>
    <cellStyle name="Título 1 2 2 2 2 3 2" xfId="7099" xr:uid="{00000000-0005-0000-0000-000066340000}"/>
    <cellStyle name="Título 1 2 2 2 3" xfId="7100" xr:uid="{00000000-0005-0000-0000-000067340000}"/>
    <cellStyle name="Título 1 2 2 2 4" xfId="7101" xr:uid="{00000000-0005-0000-0000-000068340000}"/>
    <cellStyle name="Título 1 2 2 2 4 2" xfId="7102" xr:uid="{00000000-0005-0000-0000-000069340000}"/>
    <cellStyle name="Título 1 2 2 3" xfId="7103" xr:uid="{00000000-0005-0000-0000-00006A340000}"/>
    <cellStyle name="Título 1 2 2 4" xfId="7104" xr:uid="{00000000-0005-0000-0000-00006B340000}"/>
    <cellStyle name="Título 1 2 2 4 2" xfId="7105" xr:uid="{00000000-0005-0000-0000-00006C340000}"/>
    <cellStyle name="Título 1 2 3" xfId="7106" xr:uid="{00000000-0005-0000-0000-00006D340000}"/>
    <cellStyle name="Título 1 2 4" xfId="7107" xr:uid="{00000000-0005-0000-0000-00006E340000}"/>
    <cellStyle name="Título 1 2 5" xfId="7108" xr:uid="{00000000-0005-0000-0000-00006F340000}"/>
    <cellStyle name="Título 1 2 6" xfId="7109" xr:uid="{00000000-0005-0000-0000-000070340000}"/>
    <cellStyle name="Título 1 2 6 2" xfId="7110" xr:uid="{00000000-0005-0000-0000-000071340000}"/>
    <cellStyle name="Título 1 2 7" xfId="7087" xr:uid="{00000000-0005-0000-0000-000072340000}"/>
    <cellStyle name="Título 1 3" xfId="5348" xr:uid="{00000000-0005-0000-0000-000073340000}"/>
    <cellStyle name="Título 1 3 2" xfId="7112" xr:uid="{00000000-0005-0000-0000-000074340000}"/>
    <cellStyle name="Título 1 3 3" xfId="7113" xr:uid="{00000000-0005-0000-0000-000075340000}"/>
    <cellStyle name="Título 1 3 4" xfId="7114" xr:uid="{00000000-0005-0000-0000-000076340000}"/>
    <cellStyle name="Título 1 3 5" xfId="7111" xr:uid="{00000000-0005-0000-0000-000077340000}"/>
    <cellStyle name="Título 1 4" xfId="5377" xr:uid="{00000000-0005-0000-0000-000078340000}"/>
    <cellStyle name="Título 1 4 2" xfId="7116" xr:uid="{00000000-0005-0000-0000-000079340000}"/>
    <cellStyle name="Título 1 4 3" xfId="7117" xr:uid="{00000000-0005-0000-0000-00007A340000}"/>
    <cellStyle name="Título 1 4 4" xfId="7115" xr:uid="{00000000-0005-0000-0000-00007B340000}"/>
    <cellStyle name="Título 1 5" xfId="5405" xr:uid="{00000000-0005-0000-0000-00007C340000}"/>
    <cellStyle name="Título 1 5 2" xfId="7119" xr:uid="{00000000-0005-0000-0000-00007D340000}"/>
    <cellStyle name="Título 1 5 3" xfId="7118" xr:uid="{00000000-0005-0000-0000-00007E340000}"/>
    <cellStyle name="Título 1 6" xfId="5432" xr:uid="{00000000-0005-0000-0000-00007F340000}"/>
    <cellStyle name="Título 1 6 2" xfId="7121" xr:uid="{00000000-0005-0000-0000-000080340000}"/>
    <cellStyle name="Título 1 6 3" xfId="7379" xr:uid="{00000000-0005-0000-0000-000081340000}"/>
    <cellStyle name="Título 1 6 4" xfId="7120" xr:uid="{00000000-0005-0000-0000-000082340000}"/>
    <cellStyle name="Título 1 7" xfId="5451" xr:uid="{00000000-0005-0000-0000-000083340000}"/>
    <cellStyle name="Título 1 7 2" xfId="7380" xr:uid="{00000000-0005-0000-0000-000084340000}"/>
    <cellStyle name="Título 1 7 3" xfId="7122" xr:uid="{00000000-0005-0000-0000-000085340000}"/>
    <cellStyle name="Título 1 8" xfId="5464" xr:uid="{00000000-0005-0000-0000-000086340000}"/>
    <cellStyle name="Título 1 9" xfId="5471" xr:uid="{00000000-0005-0000-0000-000087340000}"/>
    <cellStyle name="TITULO 10" xfId="4804" xr:uid="{00000000-0005-0000-0000-000088340000}"/>
    <cellStyle name="Título 10" xfId="5450" xr:uid="{00000000-0005-0000-0000-000089340000}"/>
    <cellStyle name="Título 10 2" xfId="7381" xr:uid="{00000000-0005-0000-0000-00008A340000}"/>
    <cellStyle name="Título 10 3" xfId="7123" xr:uid="{00000000-0005-0000-0000-00008B340000}"/>
    <cellStyle name="TITULO 11" xfId="4805" xr:uid="{00000000-0005-0000-0000-00008C340000}"/>
    <cellStyle name="Título 11" xfId="5463" xr:uid="{00000000-0005-0000-0000-00008D340000}"/>
    <cellStyle name="TITULO 12" xfId="4806" xr:uid="{00000000-0005-0000-0000-00008E340000}"/>
    <cellStyle name="Título 12" xfId="5470" xr:uid="{00000000-0005-0000-0000-00008F340000}"/>
    <cellStyle name="TITULO 13" xfId="4807" xr:uid="{00000000-0005-0000-0000-000090340000}"/>
    <cellStyle name="Título 13" xfId="5611" xr:uid="{00000000-0005-0000-0000-000091340000}"/>
    <cellStyle name="TITULO 14" xfId="4808" xr:uid="{00000000-0005-0000-0000-000092340000}"/>
    <cellStyle name="Título 14" xfId="5640" xr:uid="{00000000-0005-0000-0000-000093340000}"/>
    <cellStyle name="TITULO 15" xfId="4809" xr:uid="{00000000-0005-0000-0000-000094340000}"/>
    <cellStyle name="Título 15" xfId="5659" xr:uid="{00000000-0005-0000-0000-000095340000}"/>
    <cellStyle name="TITULO 16" xfId="4810" xr:uid="{00000000-0005-0000-0000-000096340000}"/>
    <cellStyle name="Título 16" xfId="5672" xr:uid="{00000000-0005-0000-0000-000097340000}"/>
    <cellStyle name="TITULO 17" xfId="4811" xr:uid="{00000000-0005-0000-0000-000098340000}"/>
    <cellStyle name="Título 17" xfId="5679" xr:uid="{00000000-0005-0000-0000-000099340000}"/>
    <cellStyle name="TITULO 18" xfId="4812" xr:uid="{00000000-0005-0000-0000-00009A340000}"/>
    <cellStyle name="Título 18" xfId="5755" xr:uid="{00000000-0005-0000-0000-00009B340000}"/>
    <cellStyle name="TITULO 19" xfId="4813" xr:uid="{00000000-0005-0000-0000-00009C340000}"/>
    <cellStyle name="Título 19" xfId="5762" xr:uid="{00000000-0005-0000-0000-00009D340000}"/>
    <cellStyle name="titulo 2" xfId="4814" xr:uid="{00000000-0005-0000-0000-00009E340000}"/>
    <cellStyle name="Título 2" xfId="85" xr:uid="{00000000-0005-0000-0000-00009F340000}"/>
    <cellStyle name="Título 2 10" xfId="5613" xr:uid="{00000000-0005-0000-0000-0000A0340000}"/>
    <cellStyle name="Título 2 11" xfId="5642" xr:uid="{00000000-0005-0000-0000-0000A1340000}"/>
    <cellStyle name="Título 2 12" xfId="5661" xr:uid="{00000000-0005-0000-0000-0000A2340000}"/>
    <cellStyle name="Título 2 13" xfId="5674" xr:uid="{00000000-0005-0000-0000-0000A3340000}"/>
    <cellStyle name="Título 2 14" xfId="5681" xr:uid="{00000000-0005-0000-0000-0000A4340000}"/>
    <cellStyle name="Título 2 15" xfId="5757" xr:uid="{00000000-0005-0000-0000-0000A5340000}"/>
    <cellStyle name="Título 2 16" xfId="5764" xr:uid="{00000000-0005-0000-0000-0000A6340000}"/>
    <cellStyle name="Título 2 17" xfId="5771" xr:uid="{00000000-0005-0000-0000-0000A7340000}"/>
    <cellStyle name="Título 2 18" xfId="10601" xr:uid="{00000000-0005-0000-0000-0000A8340000}"/>
    <cellStyle name="TITULO 2 2" xfId="4815" xr:uid="{00000000-0005-0000-0000-0000A9340000}"/>
    <cellStyle name="Título 2 2" xfId="5168" xr:uid="{00000000-0005-0000-0000-0000AA340000}"/>
    <cellStyle name="Título 2 2 2" xfId="7125" xr:uid="{00000000-0005-0000-0000-0000AB340000}"/>
    <cellStyle name="Título 2 2 2 2" xfId="7126" xr:uid="{00000000-0005-0000-0000-0000AC340000}"/>
    <cellStyle name="Título 2 2 2 2 2" xfId="7127" xr:uid="{00000000-0005-0000-0000-0000AD340000}"/>
    <cellStyle name="Título 2 2 2 2 2 2" xfId="7128" xr:uid="{00000000-0005-0000-0000-0000AE340000}"/>
    <cellStyle name="Título 2 2 2 2 2 2 2" xfId="7129" xr:uid="{00000000-0005-0000-0000-0000AF340000}"/>
    <cellStyle name="Título 2 2 2 2 2 2 2 2" xfId="7130" xr:uid="{00000000-0005-0000-0000-0000B0340000}"/>
    <cellStyle name="Título 2 2 2 2 2 2 2 2 2" xfId="7131" xr:uid="{00000000-0005-0000-0000-0000B1340000}"/>
    <cellStyle name="Título 2 2 2 2 2 2 2 3" xfId="7132" xr:uid="{00000000-0005-0000-0000-0000B2340000}"/>
    <cellStyle name="Título 2 2 2 2 2 2 3" xfId="7133" xr:uid="{00000000-0005-0000-0000-0000B3340000}"/>
    <cellStyle name="Título 2 2 2 2 2 2 3 2" xfId="7134" xr:uid="{00000000-0005-0000-0000-0000B4340000}"/>
    <cellStyle name="Título 2 2 2 2 2 3" xfId="7135" xr:uid="{00000000-0005-0000-0000-0000B5340000}"/>
    <cellStyle name="Título 2 2 2 2 2 3 2" xfId="7136" xr:uid="{00000000-0005-0000-0000-0000B6340000}"/>
    <cellStyle name="Título 2 2 2 2 3" xfId="7137" xr:uid="{00000000-0005-0000-0000-0000B7340000}"/>
    <cellStyle name="Título 2 2 2 2 4" xfId="7138" xr:uid="{00000000-0005-0000-0000-0000B8340000}"/>
    <cellStyle name="Título 2 2 2 2 4 2" xfId="7139" xr:uid="{00000000-0005-0000-0000-0000B9340000}"/>
    <cellStyle name="Título 2 2 2 3" xfId="7140" xr:uid="{00000000-0005-0000-0000-0000BA340000}"/>
    <cellStyle name="Título 2 2 2 4" xfId="7141" xr:uid="{00000000-0005-0000-0000-0000BB340000}"/>
    <cellStyle name="Título 2 2 2 4 2" xfId="7142" xr:uid="{00000000-0005-0000-0000-0000BC340000}"/>
    <cellStyle name="Título 2 2 3" xfId="7143" xr:uid="{00000000-0005-0000-0000-0000BD340000}"/>
    <cellStyle name="Título 2 2 4" xfId="7144" xr:uid="{00000000-0005-0000-0000-0000BE340000}"/>
    <cellStyle name="Título 2 2 5" xfId="7145" xr:uid="{00000000-0005-0000-0000-0000BF340000}"/>
    <cellStyle name="Título 2 2 6" xfId="7146" xr:uid="{00000000-0005-0000-0000-0000C0340000}"/>
    <cellStyle name="Título 2 2 6 2" xfId="7147" xr:uid="{00000000-0005-0000-0000-0000C1340000}"/>
    <cellStyle name="Título 2 2 7" xfId="7124" xr:uid="{00000000-0005-0000-0000-0000C2340000}"/>
    <cellStyle name="Título 2 3" xfId="5349" xr:uid="{00000000-0005-0000-0000-0000C3340000}"/>
    <cellStyle name="Título 2 3 2" xfId="7149" xr:uid="{00000000-0005-0000-0000-0000C4340000}"/>
    <cellStyle name="Título 2 3 3" xfId="7150" xr:uid="{00000000-0005-0000-0000-0000C5340000}"/>
    <cellStyle name="Título 2 3 4" xfId="7151" xr:uid="{00000000-0005-0000-0000-0000C6340000}"/>
    <cellStyle name="Título 2 3 5" xfId="7148" xr:uid="{00000000-0005-0000-0000-0000C7340000}"/>
    <cellStyle name="Título 2 4" xfId="5378" xr:uid="{00000000-0005-0000-0000-0000C8340000}"/>
    <cellStyle name="Título 2 4 2" xfId="7153" xr:uid="{00000000-0005-0000-0000-0000C9340000}"/>
    <cellStyle name="Título 2 4 3" xfId="7154" xr:uid="{00000000-0005-0000-0000-0000CA340000}"/>
    <cellStyle name="Título 2 4 4" xfId="7152" xr:uid="{00000000-0005-0000-0000-0000CB340000}"/>
    <cellStyle name="Título 2 5" xfId="5406" xr:uid="{00000000-0005-0000-0000-0000CC340000}"/>
    <cellStyle name="Título 2 5 2" xfId="7156" xr:uid="{00000000-0005-0000-0000-0000CD340000}"/>
    <cellStyle name="Título 2 5 3" xfId="7155" xr:uid="{00000000-0005-0000-0000-0000CE340000}"/>
    <cellStyle name="Título 2 6" xfId="5433" xr:uid="{00000000-0005-0000-0000-0000CF340000}"/>
    <cellStyle name="Título 2 6 2" xfId="7158" xr:uid="{00000000-0005-0000-0000-0000D0340000}"/>
    <cellStyle name="Título 2 6 3" xfId="7382" xr:uid="{00000000-0005-0000-0000-0000D1340000}"/>
    <cellStyle name="Título 2 6 4" xfId="7157" xr:uid="{00000000-0005-0000-0000-0000D2340000}"/>
    <cellStyle name="Título 2 7" xfId="5452" xr:uid="{00000000-0005-0000-0000-0000D3340000}"/>
    <cellStyle name="Título 2 7 2" xfId="7383" xr:uid="{00000000-0005-0000-0000-0000D4340000}"/>
    <cellStyle name="Título 2 7 3" xfId="7159" xr:uid="{00000000-0005-0000-0000-0000D5340000}"/>
    <cellStyle name="Título 2 8" xfId="5465" xr:uid="{00000000-0005-0000-0000-0000D6340000}"/>
    <cellStyle name="Título 2 9" xfId="5472" xr:uid="{00000000-0005-0000-0000-0000D7340000}"/>
    <cellStyle name="TITULO 20" xfId="4816" xr:uid="{00000000-0005-0000-0000-0000D8340000}"/>
    <cellStyle name="Título 20" xfId="7392" xr:uid="{00000000-0005-0000-0000-0000D9340000}"/>
    <cellStyle name="TITULO 21" xfId="4817" xr:uid="{00000000-0005-0000-0000-0000DA340000}"/>
    <cellStyle name="TITULO 22" xfId="4818" xr:uid="{00000000-0005-0000-0000-0000DB340000}"/>
    <cellStyle name="TITULO 23" xfId="4819" xr:uid="{00000000-0005-0000-0000-0000DC340000}"/>
    <cellStyle name="TITULO 24" xfId="4820" xr:uid="{00000000-0005-0000-0000-0000DD340000}"/>
    <cellStyle name="TITULO 25" xfId="4821" xr:uid="{00000000-0005-0000-0000-0000DE340000}"/>
    <cellStyle name="TITULO 26" xfId="4822" xr:uid="{00000000-0005-0000-0000-0000DF340000}"/>
    <cellStyle name="TITULO 27" xfId="4823" xr:uid="{00000000-0005-0000-0000-0000E0340000}"/>
    <cellStyle name="TITULO 28" xfId="4824" xr:uid="{00000000-0005-0000-0000-0000E1340000}"/>
    <cellStyle name="TITULO 29" xfId="4825" xr:uid="{00000000-0005-0000-0000-0000E2340000}"/>
    <cellStyle name="TITULO 3" xfId="4826" xr:uid="{00000000-0005-0000-0000-0000E3340000}"/>
    <cellStyle name="Título 3" xfId="86" xr:uid="{00000000-0005-0000-0000-0000E4340000}"/>
    <cellStyle name="Título 3 10" xfId="5614" xr:uid="{00000000-0005-0000-0000-0000E5340000}"/>
    <cellStyle name="Título 3 11" xfId="5643" xr:uid="{00000000-0005-0000-0000-0000E6340000}"/>
    <cellStyle name="Título 3 12" xfId="5662" xr:uid="{00000000-0005-0000-0000-0000E7340000}"/>
    <cellStyle name="Título 3 13" xfId="5675" xr:uid="{00000000-0005-0000-0000-0000E8340000}"/>
    <cellStyle name="Título 3 14" xfId="5682" xr:uid="{00000000-0005-0000-0000-0000E9340000}"/>
    <cellStyle name="Título 3 15" xfId="5758" xr:uid="{00000000-0005-0000-0000-0000EA340000}"/>
    <cellStyle name="Título 3 16" xfId="5765" xr:uid="{00000000-0005-0000-0000-0000EB340000}"/>
    <cellStyle name="Título 3 17" xfId="5772" xr:uid="{00000000-0005-0000-0000-0000EC340000}"/>
    <cellStyle name="Título 3 2" xfId="5169" xr:uid="{00000000-0005-0000-0000-0000ED340000}"/>
    <cellStyle name="Título 3 2 2" xfId="7161" xr:uid="{00000000-0005-0000-0000-0000EE340000}"/>
    <cellStyle name="Título 3 2 2 2" xfId="7162" xr:uid="{00000000-0005-0000-0000-0000EF340000}"/>
    <cellStyle name="Título 3 2 2 2 2" xfId="7163" xr:uid="{00000000-0005-0000-0000-0000F0340000}"/>
    <cellStyle name="Título 3 2 2 2 2 2" xfId="7164" xr:uid="{00000000-0005-0000-0000-0000F1340000}"/>
    <cellStyle name="Título 3 2 2 2 2 2 2" xfId="7165" xr:uid="{00000000-0005-0000-0000-0000F2340000}"/>
    <cellStyle name="Título 3 2 2 2 2 2 2 2" xfId="7166" xr:uid="{00000000-0005-0000-0000-0000F3340000}"/>
    <cellStyle name="Título 3 2 2 2 2 2 2 2 2" xfId="7167" xr:uid="{00000000-0005-0000-0000-0000F4340000}"/>
    <cellStyle name="Título 3 2 2 2 2 2 2 3" xfId="7168" xr:uid="{00000000-0005-0000-0000-0000F5340000}"/>
    <cellStyle name="Título 3 2 2 2 2 2 3" xfId="7169" xr:uid="{00000000-0005-0000-0000-0000F6340000}"/>
    <cellStyle name="Título 3 2 2 2 2 2 3 2" xfId="7170" xr:uid="{00000000-0005-0000-0000-0000F7340000}"/>
    <cellStyle name="Título 3 2 2 2 2 3" xfId="7171" xr:uid="{00000000-0005-0000-0000-0000F8340000}"/>
    <cellStyle name="Título 3 2 2 2 2 3 2" xfId="7172" xr:uid="{00000000-0005-0000-0000-0000F9340000}"/>
    <cellStyle name="Título 3 2 2 2 3" xfId="7173" xr:uid="{00000000-0005-0000-0000-0000FA340000}"/>
    <cellStyle name="Título 3 2 2 2 4" xfId="7174" xr:uid="{00000000-0005-0000-0000-0000FB340000}"/>
    <cellStyle name="Título 3 2 2 2 4 2" xfId="7175" xr:uid="{00000000-0005-0000-0000-0000FC340000}"/>
    <cellStyle name="Título 3 2 2 3" xfId="7176" xr:uid="{00000000-0005-0000-0000-0000FD340000}"/>
    <cellStyle name="Título 3 2 2 4" xfId="7177" xr:uid="{00000000-0005-0000-0000-0000FE340000}"/>
    <cellStyle name="Título 3 2 2 4 2" xfId="7178" xr:uid="{00000000-0005-0000-0000-0000FF340000}"/>
    <cellStyle name="Título 3 2 3" xfId="7179" xr:uid="{00000000-0005-0000-0000-000000350000}"/>
    <cellStyle name="Título 3 2 4" xfId="7180" xr:uid="{00000000-0005-0000-0000-000001350000}"/>
    <cellStyle name="Título 3 2 5" xfId="7181" xr:uid="{00000000-0005-0000-0000-000002350000}"/>
    <cellStyle name="Título 3 2 6" xfId="7182" xr:uid="{00000000-0005-0000-0000-000003350000}"/>
    <cellStyle name="Título 3 2 6 2" xfId="7183" xr:uid="{00000000-0005-0000-0000-000004350000}"/>
    <cellStyle name="Título 3 2 7" xfId="7160" xr:uid="{00000000-0005-0000-0000-000005350000}"/>
    <cellStyle name="Título 3 3" xfId="5350" xr:uid="{00000000-0005-0000-0000-000006350000}"/>
    <cellStyle name="Título 3 3 2" xfId="7185" xr:uid="{00000000-0005-0000-0000-000007350000}"/>
    <cellStyle name="Título 3 3 3" xfId="7186" xr:uid="{00000000-0005-0000-0000-000008350000}"/>
    <cellStyle name="Título 3 3 4" xfId="7187" xr:uid="{00000000-0005-0000-0000-000009350000}"/>
    <cellStyle name="Título 3 3 5" xfId="7184" xr:uid="{00000000-0005-0000-0000-00000A350000}"/>
    <cellStyle name="Título 3 4" xfId="5379" xr:uid="{00000000-0005-0000-0000-00000B350000}"/>
    <cellStyle name="Título 3 4 2" xfId="7189" xr:uid="{00000000-0005-0000-0000-00000C350000}"/>
    <cellStyle name="Título 3 4 3" xfId="7190" xr:uid="{00000000-0005-0000-0000-00000D350000}"/>
    <cellStyle name="Título 3 4 4" xfId="7188" xr:uid="{00000000-0005-0000-0000-00000E350000}"/>
    <cellStyle name="Título 3 5" xfId="5407" xr:uid="{00000000-0005-0000-0000-00000F350000}"/>
    <cellStyle name="Título 3 5 2" xfId="7192" xr:uid="{00000000-0005-0000-0000-000010350000}"/>
    <cellStyle name="Título 3 5 3" xfId="7191" xr:uid="{00000000-0005-0000-0000-000011350000}"/>
    <cellStyle name="Título 3 6" xfId="5434" xr:uid="{00000000-0005-0000-0000-000012350000}"/>
    <cellStyle name="Título 3 6 2" xfId="7194" xr:uid="{00000000-0005-0000-0000-000013350000}"/>
    <cellStyle name="Título 3 6 3" xfId="7384" xr:uid="{00000000-0005-0000-0000-000014350000}"/>
    <cellStyle name="Título 3 6 4" xfId="7193" xr:uid="{00000000-0005-0000-0000-000015350000}"/>
    <cellStyle name="Título 3 7" xfId="5453" xr:uid="{00000000-0005-0000-0000-000016350000}"/>
    <cellStyle name="Título 3 7 2" xfId="7385" xr:uid="{00000000-0005-0000-0000-000017350000}"/>
    <cellStyle name="Título 3 7 3" xfId="7195" xr:uid="{00000000-0005-0000-0000-000018350000}"/>
    <cellStyle name="Título 3 8" xfId="5466" xr:uid="{00000000-0005-0000-0000-000019350000}"/>
    <cellStyle name="Título 3 9" xfId="5473" xr:uid="{00000000-0005-0000-0000-00001A350000}"/>
    <cellStyle name="TITULO 30" xfId="4827" xr:uid="{00000000-0005-0000-0000-00001B350000}"/>
    <cellStyle name="TITULO 31" xfId="4828" xr:uid="{00000000-0005-0000-0000-00001C350000}"/>
    <cellStyle name="TITULO 32" xfId="4829" xr:uid="{00000000-0005-0000-0000-00001D350000}"/>
    <cellStyle name="TITULO 33" xfId="4830" xr:uid="{00000000-0005-0000-0000-00001E350000}"/>
    <cellStyle name="TITULO 34" xfId="4831" xr:uid="{00000000-0005-0000-0000-00001F350000}"/>
    <cellStyle name="TITULO 35" xfId="4832" xr:uid="{00000000-0005-0000-0000-000020350000}"/>
    <cellStyle name="TITULO 36" xfId="4833" xr:uid="{00000000-0005-0000-0000-000021350000}"/>
    <cellStyle name="TITULO 37" xfId="4834" xr:uid="{00000000-0005-0000-0000-000022350000}"/>
    <cellStyle name="TITULO 38" xfId="4835" xr:uid="{00000000-0005-0000-0000-000023350000}"/>
    <cellStyle name="TITULO 39" xfId="4836" xr:uid="{00000000-0005-0000-0000-000024350000}"/>
    <cellStyle name="TITULO 4" xfId="4837" xr:uid="{00000000-0005-0000-0000-000025350000}"/>
    <cellStyle name="Título 4" xfId="87" xr:uid="{00000000-0005-0000-0000-000026350000}"/>
    <cellStyle name="Título 4 10" xfId="5615" xr:uid="{00000000-0005-0000-0000-000027350000}"/>
    <cellStyle name="Título 4 11" xfId="5644" xr:uid="{00000000-0005-0000-0000-000028350000}"/>
    <cellStyle name="Título 4 12" xfId="5663" xr:uid="{00000000-0005-0000-0000-000029350000}"/>
    <cellStyle name="Título 4 13" xfId="5676" xr:uid="{00000000-0005-0000-0000-00002A350000}"/>
    <cellStyle name="Título 4 14" xfId="5683" xr:uid="{00000000-0005-0000-0000-00002B350000}"/>
    <cellStyle name="Título 4 15" xfId="5759" xr:uid="{00000000-0005-0000-0000-00002C350000}"/>
    <cellStyle name="Título 4 16" xfId="5766" xr:uid="{00000000-0005-0000-0000-00002D350000}"/>
    <cellStyle name="Título 4 17" xfId="5773" xr:uid="{00000000-0005-0000-0000-00002E350000}"/>
    <cellStyle name="Título 4 2" xfId="5170" xr:uid="{00000000-0005-0000-0000-00002F350000}"/>
    <cellStyle name="Título 4 2 2" xfId="7197" xr:uid="{00000000-0005-0000-0000-000030350000}"/>
    <cellStyle name="Título 4 2 2 2" xfId="7198" xr:uid="{00000000-0005-0000-0000-000031350000}"/>
    <cellStyle name="Título 4 2 2 2 2" xfId="7199" xr:uid="{00000000-0005-0000-0000-000032350000}"/>
    <cellStyle name="Título 4 2 2 2 2 2" xfId="7200" xr:uid="{00000000-0005-0000-0000-000033350000}"/>
    <cellStyle name="Título 4 2 2 2 2 2 2" xfId="7201" xr:uid="{00000000-0005-0000-0000-000034350000}"/>
    <cellStyle name="Título 4 2 2 2 2 2 2 2" xfId="7202" xr:uid="{00000000-0005-0000-0000-000035350000}"/>
    <cellStyle name="Título 4 2 2 2 2 2 2 2 2" xfId="7203" xr:uid="{00000000-0005-0000-0000-000036350000}"/>
    <cellStyle name="Título 4 2 2 2 2 2 2 3" xfId="7204" xr:uid="{00000000-0005-0000-0000-000037350000}"/>
    <cellStyle name="Título 4 2 2 2 2 2 3" xfId="7205" xr:uid="{00000000-0005-0000-0000-000038350000}"/>
    <cellStyle name="Título 4 2 2 2 2 2 3 2" xfId="7206" xr:uid="{00000000-0005-0000-0000-000039350000}"/>
    <cellStyle name="Título 4 2 2 2 2 3" xfId="7207" xr:uid="{00000000-0005-0000-0000-00003A350000}"/>
    <cellStyle name="Título 4 2 2 2 2 3 2" xfId="7208" xr:uid="{00000000-0005-0000-0000-00003B350000}"/>
    <cellStyle name="Título 4 2 2 2 3" xfId="7209" xr:uid="{00000000-0005-0000-0000-00003C350000}"/>
    <cellStyle name="Título 4 2 2 2 4" xfId="7210" xr:uid="{00000000-0005-0000-0000-00003D350000}"/>
    <cellStyle name="Título 4 2 2 2 4 2" xfId="7211" xr:uid="{00000000-0005-0000-0000-00003E350000}"/>
    <cellStyle name="Título 4 2 2 3" xfId="7212" xr:uid="{00000000-0005-0000-0000-00003F350000}"/>
    <cellStyle name="Título 4 2 2 4" xfId="7213" xr:uid="{00000000-0005-0000-0000-000040350000}"/>
    <cellStyle name="Título 4 2 2 4 2" xfId="7214" xr:uid="{00000000-0005-0000-0000-000041350000}"/>
    <cellStyle name="Título 4 2 3" xfId="7215" xr:uid="{00000000-0005-0000-0000-000042350000}"/>
    <cellStyle name="Título 4 2 4" xfId="7216" xr:uid="{00000000-0005-0000-0000-000043350000}"/>
    <cellStyle name="Título 4 2 5" xfId="7217" xr:uid="{00000000-0005-0000-0000-000044350000}"/>
    <cellStyle name="Título 4 2 6" xfId="7218" xr:uid="{00000000-0005-0000-0000-000045350000}"/>
    <cellStyle name="Título 4 2 6 2" xfId="7219" xr:uid="{00000000-0005-0000-0000-000046350000}"/>
    <cellStyle name="Título 4 2 7" xfId="7196" xr:uid="{00000000-0005-0000-0000-000047350000}"/>
    <cellStyle name="Título 4 3" xfId="5351" xr:uid="{00000000-0005-0000-0000-000048350000}"/>
    <cellStyle name="Título 4 3 2" xfId="7221" xr:uid="{00000000-0005-0000-0000-000049350000}"/>
    <cellStyle name="Título 4 3 3" xfId="7222" xr:uid="{00000000-0005-0000-0000-00004A350000}"/>
    <cellStyle name="Título 4 3 4" xfId="7223" xr:uid="{00000000-0005-0000-0000-00004B350000}"/>
    <cellStyle name="Título 4 3 5" xfId="7220" xr:uid="{00000000-0005-0000-0000-00004C350000}"/>
    <cellStyle name="Título 4 4" xfId="5380" xr:uid="{00000000-0005-0000-0000-00004D350000}"/>
    <cellStyle name="Título 4 4 2" xfId="7225" xr:uid="{00000000-0005-0000-0000-00004E350000}"/>
    <cellStyle name="Título 4 4 3" xfId="7226" xr:uid="{00000000-0005-0000-0000-00004F350000}"/>
    <cellStyle name="Título 4 4 4" xfId="7224" xr:uid="{00000000-0005-0000-0000-000050350000}"/>
    <cellStyle name="Título 4 5" xfId="5408" xr:uid="{00000000-0005-0000-0000-000051350000}"/>
    <cellStyle name="Título 4 5 2" xfId="7228" xr:uid="{00000000-0005-0000-0000-000052350000}"/>
    <cellStyle name="Título 4 5 3" xfId="7227" xr:uid="{00000000-0005-0000-0000-000053350000}"/>
    <cellStyle name="Título 4 6" xfId="5435" xr:uid="{00000000-0005-0000-0000-000054350000}"/>
    <cellStyle name="Título 4 6 2" xfId="7230" xr:uid="{00000000-0005-0000-0000-000055350000}"/>
    <cellStyle name="Título 4 6 3" xfId="7386" xr:uid="{00000000-0005-0000-0000-000056350000}"/>
    <cellStyle name="Título 4 6 4" xfId="7229" xr:uid="{00000000-0005-0000-0000-000057350000}"/>
    <cellStyle name="Título 4 7" xfId="5454" xr:uid="{00000000-0005-0000-0000-000058350000}"/>
    <cellStyle name="Título 4 7 2" xfId="7387" xr:uid="{00000000-0005-0000-0000-000059350000}"/>
    <cellStyle name="Título 4 7 3" xfId="7231" xr:uid="{00000000-0005-0000-0000-00005A350000}"/>
    <cellStyle name="Título 4 8" xfId="5467" xr:uid="{00000000-0005-0000-0000-00005B350000}"/>
    <cellStyle name="Título 4 9" xfId="5474" xr:uid="{00000000-0005-0000-0000-00005C350000}"/>
    <cellStyle name="TITULO 40" xfId="4838" xr:uid="{00000000-0005-0000-0000-00005D350000}"/>
    <cellStyle name="TITULO 41" xfId="4839" xr:uid="{00000000-0005-0000-0000-00005E350000}"/>
    <cellStyle name="TITULO 42" xfId="4840" xr:uid="{00000000-0005-0000-0000-00005F350000}"/>
    <cellStyle name="TITULO 43" xfId="4841" xr:uid="{00000000-0005-0000-0000-000060350000}"/>
    <cellStyle name="TITULO 44" xfId="4842" xr:uid="{00000000-0005-0000-0000-000061350000}"/>
    <cellStyle name="TITULO 45" xfId="4843" xr:uid="{00000000-0005-0000-0000-000062350000}"/>
    <cellStyle name="TITULO 46" xfId="4844" xr:uid="{00000000-0005-0000-0000-000063350000}"/>
    <cellStyle name="TITULO 47" xfId="4845" xr:uid="{00000000-0005-0000-0000-000064350000}"/>
    <cellStyle name="TITULO 48" xfId="4846" xr:uid="{00000000-0005-0000-0000-000065350000}"/>
    <cellStyle name="TITULO 49" xfId="4847" xr:uid="{00000000-0005-0000-0000-000066350000}"/>
    <cellStyle name="TITULO 5" xfId="4848" xr:uid="{00000000-0005-0000-0000-000067350000}"/>
    <cellStyle name="Título 5" xfId="5166" xr:uid="{00000000-0005-0000-0000-000068350000}"/>
    <cellStyle name="Título 5 2" xfId="7233" xr:uid="{00000000-0005-0000-0000-000069350000}"/>
    <cellStyle name="Título 5 2 2" xfId="7234" xr:uid="{00000000-0005-0000-0000-00006A350000}"/>
    <cellStyle name="Título 5 2 2 2" xfId="7235" xr:uid="{00000000-0005-0000-0000-00006B350000}"/>
    <cellStyle name="Título 5 2 2 2 2" xfId="7236" xr:uid="{00000000-0005-0000-0000-00006C350000}"/>
    <cellStyle name="Título 5 2 2 2 2 2" xfId="7237" xr:uid="{00000000-0005-0000-0000-00006D350000}"/>
    <cellStyle name="Título 5 2 2 2 2 2 2" xfId="7238" xr:uid="{00000000-0005-0000-0000-00006E350000}"/>
    <cellStyle name="Título 5 2 2 2 2 2 2 2" xfId="7239" xr:uid="{00000000-0005-0000-0000-00006F350000}"/>
    <cellStyle name="Título 5 2 2 2 2 2 3" xfId="7240" xr:uid="{00000000-0005-0000-0000-000070350000}"/>
    <cellStyle name="Título 5 2 2 2 2 3" xfId="7241" xr:uid="{00000000-0005-0000-0000-000071350000}"/>
    <cellStyle name="Título 5 2 2 2 2 3 2" xfId="7242" xr:uid="{00000000-0005-0000-0000-000072350000}"/>
    <cellStyle name="Título 5 2 2 2 3" xfId="7243" xr:uid="{00000000-0005-0000-0000-000073350000}"/>
    <cellStyle name="Título 5 2 2 2 3 2" xfId="7244" xr:uid="{00000000-0005-0000-0000-000074350000}"/>
    <cellStyle name="Título 5 2 2 3" xfId="7245" xr:uid="{00000000-0005-0000-0000-000075350000}"/>
    <cellStyle name="Título 5 2 2 4" xfId="7246" xr:uid="{00000000-0005-0000-0000-000076350000}"/>
    <cellStyle name="Título 5 2 2 4 2" xfId="7247" xr:uid="{00000000-0005-0000-0000-000077350000}"/>
    <cellStyle name="Título 5 2 3" xfId="7248" xr:uid="{00000000-0005-0000-0000-000078350000}"/>
    <cellStyle name="Título 5 2 4" xfId="7249" xr:uid="{00000000-0005-0000-0000-000079350000}"/>
    <cellStyle name="Título 5 2 4 2" xfId="7250" xr:uid="{00000000-0005-0000-0000-00007A350000}"/>
    <cellStyle name="Título 5 3" xfId="7251" xr:uid="{00000000-0005-0000-0000-00007B350000}"/>
    <cellStyle name="Título 5 4" xfId="7252" xr:uid="{00000000-0005-0000-0000-00007C350000}"/>
    <cellStyle name="Título 5 5" xfId="7253" xr:uid="{00000000-0005-0000-0000-00007D350000}"/>
    <cellStyle name="Título 5 6" xfId="7254" xr:uid="{00000000-0005-0000-0000-00007E350000}"/>
    <cellStyle name="Título 5 6 2" xfId="7255" xr:uid="{00000000-0005-0000-0000-00007F350000}"/>
    <cellStyle name="Título 5 7" xfId="7232" xr:uid="{00000000-0005-0000-0000-000080350000}"/>
    <cellStyle name="TITULO 50" xfId="4849" xr:uid="{00000000-0005-0000-0000-000081350000}"/>
    <cellStyle name="TITULO 51" xfId="4850" xr:uid="{00000000-0005-0000-0000-000082350000}"/>
    <cellStyle name="TITULO 52" xfId="4851" xr:uid="{00000000-0005-0000-0000-000083350000}"/>
    <cellStyle name="TITULO 53" xfId="4852" xr:uid="{00000000-0005-0000-0000-000084350000}"/>
    <cellStyle name="TITULO 54" xfId="4853" xr:uid="{00000000-0005-0000-0000-000085350000}"/>
    <cellStyle name="TITULO 55" xfId="4854" xr:uid="{00000000-0005-0000-0000-000086350000}"/>
    <cellStyle name="TITULO 56" xfId="4855" xr:uid="{00000000-0005-0000-0000-000087350000}"/>
    <cellStyle name="TITULO 6" xfId="4856" xr:uid="{00000000-0005-0000-0000-000088350000}"/>
    <cellStyle name="Título 6" xfId="5347" xr:uid="{00000000-0005-0000-0000-000089350000}"/>
    <cellStyle name="Título 6 2" xfId="7257" xr:uid="{00000000-0005-0000-0000-00008A350000}"/>
    <cellStyle name="Título 6 3" xfId="7258" xr:uid="{00000000-0005-0000-0000-00008B350000}"/>
    <cellStyle name="Título 6 4" xfId="7259" xr:uid="{00000000-0005-0000-0000-00008C350000}"/>
    <cellStyle name="Título 6 5" xfId="7256" xr:uid="{00000000-0005-0000-0000-00008D350000}"/>
    <cellStyle name="TITULO 7" xfId="4857" xr:uid="{00000000-0005-0000-0000-00008E350000}"/>
    <cellStyle name="Título 7" xfId="5376" xr:uid="{00000000-0005-0000-0000-00008F350000}"/>
    <cellStyle name="Título 7 2" xfId="7261" xr:uid="{00000000-0005-0000-0000-000090350000}"/>
    <cellStyle name="Título 7 3" xfId="7262" xr:uid="{00000000-0005-0000-0000-000091350000}"/>
    <cellStyle name="Título 7 4" xfId="7260" xr:uid="{00000000-0005-0000-0000-000092350000}"/>
    <cellStyle name="TITULO 8" xfId="4858" xr:uid="{00000000-0005-0000-0000-000093350000}"/>
    <cellStyle name="Título 8" xfId="5404" xr:uid="{00000000-0005-0000-0000-000094350000}"/>
    <cellStyle name="Título 8 2" xfId="7264" xr:uid="{00000000-0005-0000-0000-000095350000}"/>
    <cellStyle name="Título 8 3" xfId="7263" xr:uid="{00000000-0005-0000-0000-000096350000}"/>
    <cellStyle name="TITULO 9" xfId="4859" xr:uid="{00000000-0005-0000-0000-000097350000}"/>
    <cellStyle name="Título 9" xfId="5431" xr:uid="{00000000-0005-0000-0000-000098350000}"/>
    <cellStyle name="Título 9 2" xfId="7266" xr:uid="{00000000-0005-0000-0000-000099350000}"/>
    <cellStyle name="Título 9 3" xfId="7388" xr:uid="{00000000-0005-0000-0000-00009A350000}"/>
    <cellStyle name="Título 9 4" xfId="7265" xr:uid="{00000000-0005-0000-0000-00009B350000}"/>
    <cellStyle name="Titulo de conta" xfId="4860" xr:uid="{00000000-0005-0000-0000-00009C350000}"/>
    <cellStyle name="Titulo de conta 2" xfId="9020" xr:uid="{00000000-0005-0000-0000-00009D350000}"/>
    <cellStyle name="TITULO_Novos quadros - SBSA" xfId="4861" xr:uid="{00000000-0005-0000-0000-00009E350000}"/>
    <cellStyle name="Titulo1" xfId="5171" xr:uid="{00000000-0005-0000-0000-00009F350000}"/>
    <cellStyle name="Titulo2" xfId="5172" xr:uid="{00000000-0005-0000-0000-0000A0350000}"/>
    <cellStyle name="titulomov" xfId="4862" xr:uid="{00000000-0005-0000-0000-0000A1350000}"/>
    <cellStyle name="titulomov 2" xfId="9021" xr:uid="{00000000-0005-0000-0000-0000A2350000}"/>
    <cellStyle name="TOC 1" xfId="5173" xr:uid="{00000000-0005-0000-0000-0000A3350000}"/>
    <cellStyle name="TOC 2" xfId="5174" xr:uid="{00000000-0005-0000-0000-0000A4350000}"/>
    <cellStyle name="Todos" xfId="4863" xr:uid="{00000000-0005-0000-0000-0000A5350000}"/>
    <cellStyle name="tons" xfId="4864" xr:uid="{00000000-0005-0000-0000-0000A6350000}"/>
    <cellStyle name="Total" xfId="4912" builtinId="25" customBuiltin="1"/>
    <cellStyle name="Total 2" xfId="7268" xr:uid="{00000000-0005-0000-0000-0000A8350000}"/>
    <cellStyle name="Total 2 2" xfId="7269" xr:uid="{00000000-0005-0000-0000-0000A9350000}"/>
    <cellStyle name="Total 2 2 2" xfId="7270" xr:uid="{00000000-0005-0000-0000-0000AA350000}"/>
    <cellStyle name="Total 2 2 2 2" xfId="7271" xr:uid="{00000000-0005-0000-0000-0000AB350000}"/>
    <cellStyle name="Total 2 2 2 2 2" xfId="7272" xr:uid="{00000000-0005-0000-0000-0000AC350000}"/>
    <cellStyle name="Total 2 2 2 2 2 2" xfId="7273" xr:uid="{00000000-0005-0000-0000-0000AD350000}"/>
    <cellStyle name="Total 2 2 2 2 2 2 2" xfId="7274" xr:uid="{00000000-0005-0000-0000-0000AE350000}"/>
    <cellStyle name="Total 2 2 2 2 2 2 2 2" xfId="7275" xr:uid="{00000000-0005-0000-0000-0000AF350000}"/>
    <cellStyle name="Total 2 2 2 2 2 2 3" xfId="7276" xr:uid="{00000000-0005-0000-0000-0000B0350000}"/>
    <cellStyle name="Total 2 2 2 2 2 3" xfId="7277" xr:uid="{00000000-0005-0000-0000-0000B1350000}"/>
    <cellStyle name="Total 2 2 2 2 2 3 2" xfId="7278" xr:uid="{00000000-0005-0000-0000-0000B2350000}"/>
    <cellStyle name="Total 2 2 2 2 3" xfId="7279" xr:uid="{00000000-0005-0000-0000-0000B3350000}"/>
    <cellStyle name="Total 2 2 2 2 3 2" xfId="7280" xr:uid="{00000000-0005-0000-0000-0000B4350000}"/>
    <cellStyle name="Total 2 2 2 3" xfId="7281" xr:uid="{00000000-0005-0000-0000-0000B5350000}"/>
    <cellStyle name="Total 2 2 2 4" xfId="7282" xr:uid="{00000000-0005-0000-0000-0000B6350000}"/>
    <cellStyle name="Total 2 2 2 4 2" xfId="7283" xr:uid="{00000000-0005-0000-0000-0000B7350000}"/>
    <cellStyle name="Total 2 2 3" xfId="7284" xr:uid="{00000000-0005-0000-0000-0000B8350000}"/>
    <cellStyle name="Total 2 2 4" xfId="7285" xr:uid="{00000000-0005-0000-0000-0000B9350000}"/>
    <cellStyle name="Total 2 2 4 2" xfId="7286" xr:uid="{00000000-0005-0000-0000-0000BA350000}"/>
    <cellStyle name="Total 2 3" xfId="7287" xr:uid="{00000000-0005-0000-0000-0000BB350000}"/>
    <cellStyle name="Total 2 4" xfId="7288" xr:uid="{00000000-0005-0000-0000-0000BC350000}"/>
    <cellStyle name="Total 2 5" xfId="7289" xr:uid="{00000000-0005-0000-0000-0000BD350000}"/>
    <cellStyle name="Total 2 6" xfId="7290" xr:uid="{00000000-0005-0000-0000-0000BE350000}"/>
    <cellStyle name="Total 2 6 2" xfId="7291" xr:uid="{00000000-0005-0000-0000-0000BF350000}"/>
    <cellStyle name="Total 3" xfId="7292" xr:uid="{00000000-0005-0000-0000-0000C0350000}"/>
    <cellStyle name="Total 3 2" xfId="7293" xr:uid="{00000000-0005-0000-0000-0000C1350000}"/>
    <cellStyle name="Total 3 3" xfId="7294" xr:uid="{00000000-0005-0000-0000-0000C2350000}"/>
    <cellStyle name="Total 3 4" xfId="7295" xr:uid="{00000000-0005-0000-0000-0000C3350000}"/>
    <cellStyle name="Total 4" xfId="7296" xr:uid="{00000000-0005-0000-0000-0000C4350000}"/>
    <cellStyle name="Total 4 2" xfId="7297" xr:uid="{00000000-0005-0000-0000-0000C5350000}"/>
    <cellStyle name="Total 4 3" xfId="7298" xr:uid="{00000000-0005-0000-0000-0000C6350000}"/>
    <cellStyle name="Total 5" xfId="7299" xr:uid="{00000000-0005-0000-0000-0000C7350000}"/>
    <cellStyle name="Total 5 2" xfId="7300" xr:uid="{00000000-0005-0000-0000-0000C8350000}"/>
    <cellStyle name="Total 6" xfId="7301" xr:uid="{00000000-0005-0000-0000-0000C9350000}"/>
    <cellStyle name="Total 6 2" xfId="7302" xr:uid="{00000000-0005-0000-0000-0000CA350000}"/>
    <cellStyle name="Total 6 3" xfId="7390" xr:uid="{00000000-0005-0000-0000-0000CB350000}"/>
    <cellStyle name="Total 7" xfId="7303" xr:uid="{00000000-0005-0000-0000-0000CC350000}"/>
    <cellStyle name="Total 7 2" xfId="7391" xr:uid="{00000000-0005-0000-0000-0000CD350000}"/>
    <cellStyle name="Total 8" xfId="7389" xr:uid="{00000000-0005-0000-0000-0000CE350000}"/>
    <cellStyle name="Total 9" xfId="7267" xr:uid="{00000000-0005-0000-0000-0000CF350000}"/>
    <cellStyle name="totalbalan" xfId="4865" xr:uid="{00000000-0005-0000-0000-0000D0350000}"/>
    <cellStyle name="Underline_Double" xfId="5175" xr:uid="{00000000-0005-0000-0000-0000D1350000}"/>
    <cellStyle name="Unprot" xfId="4866" xr:uid="{00000000-0005-0000-0000-0000D2350000}"/>
    <cellStyle name="Unprot$" xfId="4867" xr:uid="{00000000-0005-0000-0000-0000D3350000}"/>
    <cellStyle name="Unprotect" xfId="4868" xr:uid="{00000000-0005-0000-0000-0000D4350000}"/>
    <cellStyle name="UNPROTECTED" xfId="4869" xr:uid="{00000000-0005-0000-0000-0000D5350000}"/>
    <cellStyle name="Validation" xfId="5176" xr:uid="{00000000-0005-0000-0000-0000D6350000}"/>
    <cellStyle name="Valuta [0]_Blad1" xfId="4870" xr:uid="{00000000-0005-0000-0000-0000D7350000}"/>
    <cellStyle name="Valuta_Blad1" xfId="4871" xr:uid="{00000000-0005-0000-0000-0000D8350000}"/>
    <cellStyle name="Vírgula 10" xfId="13839" xr:uid="{00000000-0005-0000-0000-0000DA350000}"/>
    <cellStyle name="Vírgula 2" xfId="89" xr:uid="{00000000-0005-0000-0000-0000DB350000}"/>
    <cellStyle name="Vírgula 2 2" xfId="95" xr:uid="{00000000-0005-0000-0000-0000DC350000}"/>
    <cellStyle name="Vírgula 2 2 2" xfId="4905" xr:uid="{00000000-0005-0000-0000-0000DD350000}"/>
    <cellStyle name="Vírgula 2 2 2 2" xfId="9035" xr:uid="{00000000-0005-0000-0000-0000DE350000}"/>
    <cellStyle name="Vírgula 2 2 2 3" xfId="12240" xr:uid="{00000000-0005-0000-0000-0000DF350000}"/>
    <cellStyle name="Vírgula 2 2 2 4" xfId="13849" xr:uid="{00000000-0005-0000-0000-0000E0350000}"/>
    <cellStyle name="Vírgula 2 2 3" xfId="4889" xr:uid="{00000000-0005-0000-0000-0000E1350000}"/>
    <cellStyle name="Vírgula 2 2 3 2" xfId="9028" xr:uid="{00000000-0005-0000-0000-0000E2350000}"/>
    <cellStyle name="Vírgula 2 2 3 3" xfId="12233" xr:uid="{00000000-0005-0000-0000-0000E3350000}"/>
    <cellStyle name="Vírgula 2 2 4" xfId="10442" xr:uid="{00000000-0005-0000-0000-0000E4350000}"/>
    <cellStyle name="Vírgula 2 2 5" xfId="10605" xr:uid="{00000000-0005-0000-0000-0000E5350000}"/>
    <cellStyle name="Vírgula 2 2 6" xfId="13842" xr:uid="{00000000-0005-0000-0000-0000E6350000}"/>
    <cellStyle name="Vírgula 2 3" xfId="115" xr:uid="{00000000-0005-0000-0000-0000E7350000}"/>
    <cellStyle name="Vírgula 2 3 2" xfId="4899" xr:uid="{00000000-0005-0000-0000-0000E8350000}"/>
    <cellStyle name="Vírgula 2 3 2 2" xfId="12238" xr:uid="{00000000-0005-0000-0000-0000E9350000}"/>
    <cellStyle name="Vírgula 2 3 3" xfId="9033" xr:uid="{00000000-0005-0000-0000-0000EA350000}"/>
    <cellStyle name="Vírgula 2 3 4" xfId="10610" xr:uid="{00000000-0005-0000-0000-0000EB350000}"/>
    <cellStyle name="Vírgula 2 3 5" xfId="13847" xr:uid="{00000000-0005-0000-0000-0000EC350000}"/>
    <cellStyle name="Vírgula 2 4" xfId="137" xr:uid="{00000000-0005-0000-0000-0000ED350000}"/>
    <cellStyle name="Vírgula 2 4 2" xfId="9027" xr:uid="{00000000-0005-0000-0000-0000EE350000}"/>
    <cellStyle name="Vírgula 2 4 3" xfId="10620" xr:uid="{00000000-0005-0000-0000-0000EF350000}"/>
    <cellStyle name="Vírgula 2 4 4" xfId="13851" xr:uid="{00000000-0005-0000-0000-0000F0350000}"/>
    <cellStyle name="Vírgula 2 5" xfId="5768" xr:uid="{00000000-0005-0000-0000-0000F1350000}"/>
    <cellStyle name="Vírgula 2 5 2" xfId="10462" xr:uid="{00000000-0005-0000-0000-0000F2350000}"/>
    <cellStyle name="Vírgula 2 6" xfId="13841" xr:uid="{00000000-0005-0000-0000-0000F3350000}"/>
    <cellStyle name="Vírgula 3" xfId="113" xr:uid="{00000000-0005-0000-0000-0000F4350000}"/>
    <cellStyle name="Vírgula 3 2" xfId="4891" xr:uid="{00000000-0005-0000-0000-0000F5350000}"/>
    <cellStyle name="Vírgula 3 2 2" xfId="9029" xr:uid="{00000000-0005-0000-0000-0000F6350000}"/>
    <cellStyle name="Vírgula 3 2 3" xfId="12234" xr:uid="{00000000-0005-0000-0000-0000F7350000}"/>
    <cellStyle name="Vírgula 3 3" xfId="5808" xr:uid="{00000000-0005-0000-0000-0000F8350000}"/>
    <cellStyle name="Vírgula 3 3 2" xfId="10443" xr:uid="{00000000-0005-0000-0000-0000F9350000}"/>
    <cellStyle name="Vírgula 3 4" xfId="7413" xr:uid="{00000000-0005-0000-0000-0000FA350000}"/>
    <cellStyle name="Vírgula 3 5" xfId="10608" xr:uid="{00000000-0005-0000-0000-0000FB350000}"/>
    <cellStyle name="Vírgula 3 6" xfId="13843" xr:uid="{00000000-0005-0000-0000-0000FC350000}"/>
    <cellStyle name="Vírgula 4" xfId="98" xr:uid="{00000000-0005-0000-0000-0000FD350000}"/>
    <cellStyle name="Vírgula 4 2" xfId="7397" xr:uid="{00000000-0005-0000-0000-0000FE350000}"/>
    <cellStyle name="Vírgula 4 3" xfId="7415" xr:uid="{00000000-0005-0000-0000-0000FF350000}"/>
    <cellStyle name="Vírgula 4 4" xfId="10607" xr:uid="{00000000-0005-0000-0000-000000360000}"/>
    <cellStyle name="Vírgula 5" xfId="118" xr:uid="{00000000-0005-0000-0000-000001360000}"/>
    <cellStyle name="Vírgula 5 2" xfId="9024" xr:uid="{00000000-0005-0000-0000-000002360000}"/>
    <cellStyle name="Vírgula 5 3" xfId="7416" xr:uid="{00000000-0005-0000-0000-000003360000}"/>
    <cellStyle name="Vírgula 5 4" xfId="10612" xr:uid="{00000000-0005-0000-0000-000004360000}"/>
    <cellStyle name="Vírgula 6" xfId="4882" xr:uid="{00000000-0005-0000-0000-000005360000}"/>
    <cellStyle name="Vírgula 6 2" xfId="10441" xr:uid="{00000000-0005-0000-0000-000006360000}"/>
    <cellStyle name="Vírgula 6 3" xfId="12231" xr:uid="{00000000-0005-0000-0000-000007360000}"/>
    <cellStyle name="Vírgula 7" xfId="4914" xr:uid="{00000000-0005-0000-0000-000008360000}"/>
    <cellStyle name="Vírgula 8" xfId="7410" xr:uid="{00000000-0005-0000-0000-000009360000}"/>
    <cellStyle name="Vírgula 9" xfId="10598" xr:uid="{00000000-0005-0000-0000-00000A360000}"/>
    <cellStyle name="Währung [0]_Anlagenbuchhaltung" xfId="4872" xr:uid="{00000000-0005-0000-0000-00000B360000}"/>
    <cellStyle name="Währung_Anlagenbuchhaltung" xfId="4873" xr:uid="{00000000-0005-0000-0000-00000C360000}"/>
    <cellStyle name="Warning Text" xfId="88" xr:uid="{00000000-0005-0000-0000-00000D360000}"/>
    <cellStyle name="WhiteCells" xfId="5178" xr:uid="{00000000-0005-0000-0000-00000E360000}"/>
    <cellStyle name="WingDing" xfId="5179" xr:uid="{00000000-0005-0000-0000-00000F360000}"/>
    <cellStyle name="wrap" xfId="4875" xr:uid="{00000000-0005-0000-0000-000010360000}"/>
    <cellStyle name="year" xfId="4876" xr:uid="{00000000-0005-0000-0000-000011360000}"/>
    <cellStyle name="YEARS" xfId="4877" xr:uid="{00000000-0005-0000-0000-000012360000}"/>
    <cellStyle name="Yellow" xfId="5180" xr:uid="{00000000-0005-0000-0000-000013360000}"/>
    <cellStyle name="백분율_Sheet13" xfId="5181" xr:uid="{00000000-0005-0000-0000-000014360000}"/>
    <cellStyle name="콤마 [0]_97MBO" xfId="5182" xr:uid="{00000000-0005-0000-0000-000015360000}"/>
    <cellStyle name="콤마_97MBO" xfId="5183" xr:uid="{00000000-0005-0000-0000-000016360000}"/>
    <cellStyle name="통화 [0]_97MBO" xfId="5184" xr:uid="{00000000-0005-0000-0000-000017360000}"/>
    <cellStyle name="통화_97MBO" xfId="5185" xr:uid="{00000000-0005-0000-0000-000018360000}"/>
    <cellStyle name="표준_9708" xfId="5186" xr:uid="{00000000-0005-0000-0000-000019360000}"/>
    <cellStyle name="千位分隔[0]_2000_Budgetnew" xfId="4878" xr:uid="{00000000-0005-0000-0000-00001A360000}"/>
    <cellStyle name="千位分隔_2000_Budgetnew" xfId="4879" xr:uid="{00000000-0005-0000-0000-00001B360000}"/>
    <cellStyle name="標準_（１）－②経営数値（製造子会社用）ＤＬＩＮＣ" xfId="5187" xr:uid="{00000000-0005-0000-0000-00001C360000}"/>
    <cellStyle name="货币[0]_Yangpu1" xfId="4880" xr:uid="{00000000-0005-0000-0000-00001D360000}"/>
    <cellStyle name="货币_Yangpu1" xfId="4881" xr:uid="{00000000-0005-0000-0000-00001E360000}"/>
  </cellStyles>
  <dxfs count="459">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
      <font>
        <b/>
        <i val="0"/>
        <color rgb="FFC00000"/>
      </font>
    </dxf>
    <dxf>
      <font>
        <b/>
        <i val="0"/>
        <color rgb="FFFF0000"/>
      </font>
    </dxf>
    <dxf>
      <font>
        <b/>
        <i val="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CC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C814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3</xdr:col>
      <xdr:colOff>546935</xdr:colOff>
      <xdr:row>1</xdr:row>
      <xdr:rowOff>91241</xdr:rowOff>
    </xdr:from>
    <xdr:to>
      <xdr:col>11</xdr:col>
      <xdr:colOff>137862</xdr:colOff>
      <xdr:row>4</xdr:row>
      <xdr:rowOff>153024</xdr:rowOff>
    </xdr:to>
    <xdr:pic>
      <xdr:nvPicPr>
        <xdr:cNvPr id="3" name="Imagem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40830" y="181478"/>
          <a:ext cx="3631532" cy="10644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285750</xdr:colOff>
      <xdr:row>1</xdr:row>
      <xdr:rowOff>119417</xdr:rowOff>
    </xdr:from>
    <xdr:to>
      <xdr:col>13</xdr:col>
      <xdr:colOff>101247</xdr:colOff>
      <xdr:row>21</xdr:row>
      <xdr:rowOff>76200</xdr:rowOff>
    </xdr:to>
    <xdr:pic>
      <xdr:nvPicPr>
        <xdr:cNvPr id="12" name="Imagem 11">
          <a:extLst>
            <a:ext uri="{FF2B5EF4-FFF2-40B4-BE49-F238E27FC236}">
              <a16:creationId xmlns:a16="http://schemas.microsoft.com/office/drawing/2014/main" id="{7870E59B-6433-4A92-AC24-2905C36AEA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281342"/>
          <a:ext cx="7740297" cy="3195283"/>
        </a:xfrm>
        <a:prstGeom prst="rect">
          <a:avLst/>
        </a:prstGeom>
      </xdr:spPr>
    </xdr:pic>
    <xdr:clientData/>
  </xdr:twoCellAnchor>
  <xdr:twoCellAnchor editAs="oneCell">
    <xdr:from>
      <xdr:col>0</xdr:col>
      <xdr:colOff>95250</xdr:colOff>
      <xdr:row>22</xdr:row>
      <xdr:rowOff>96196</xdr:rowOff>
    </xdr:from>
    <xdr:to>
      <xdr:col>12</xdr:col>
      <xdr:colOff>590550</xdr:colOff>
      <xdr:row>50</xdr:row>
      <xdr:rowOff>358</xdr:rowOff>
    </xdr:to>
    <xdr:pic>
      <xdr:nvPicPr>
        <xdr:cNvPr id="14" name="Imagem 13">
          <a:extLst>
            <a:ext uri="{FF2B5EF4-FFF2-40B4-BE49-F238E27FC236}">
              <a16:creationId xmlns:a16="http://schemas.microsoft.com/office/drawing/2014/main" id="{C4973ABE-9A2B-4696-8B47-3689F9B606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0" y="3658546"/>
          <a:ext cx="7810500" cy="4438062"/>
        </a:xfrm>
        <a:prstGeom prst="rect">
          <a:avLst/>
        </a:prstGeom>
      </xdr:spPr>
    </xdr:pic>
    <xdr:clientData/>
  </xdr:twoCellAnchor>
  <xdr:twoCellAnchor editAs="oneCell">
    <xdr:from>
      <xdr:col>0</xdr:col>
      <xdr:colOff>142875</xdr:colOff>
      <xdr:row>51</xdr:row>
      <xdr:rowOff>57149</xdr:rowOff>
    </xdr:from>
    <xdr:to>
      <xdr:col>10</xdr:col>
      <xdr:colOff>84069</xdr:colOff>
      <xdr:row>73</xdr:row>
      <xdr:rowOff>55562</xdr:rowOff>
    </xdr:to>
    <xdr:pic>
      <xdr:nvPicPr>
        <xdr:cNvPr id="16" name="Imagem 15">
          <a:extLst>
            <a:ext uri="{FF2B5EF4-FFF2-40B4-BE49-F238E27FC236}">
              <a16:creationId xmlns:a16="http://schemas.microsoft.com/office/drawing/2014/main" id="{2CB1ED56-A63C-49A2-9CBA-3C80FED8B86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75" y="8315324"/>
          <a:ext cx="6037194" cy="3560763"/>
        </a:xfrm>
        <a:prstGeom prst="rect">
          <a:avLst/>
        </a:prstGeom>
      </xdr:spPr>
    </xdr:pic>
    <xdr:clientData/>
  </xdr:twoCellAnchor>
  <xdr:twoCellAnchor editAs="oneCell">
    <xdr:from>
      <xdr:col>0</xdr:col>
      <xdr:colOff>0</xdr:colOff>
      <xdr:row>75</xdr:row>
      <xdr:rowOff>85725</xdr:rowOff>
    </xdr:from>
    <xdr:to>
      <xdr:col>11</xdr:col>
      <xdr:colOff>355092</xdr:colOff>
      <xdr:row>98</xdr:row>
      <xdr:rowOff>130502</xdr:rowOff>
    </xdr:to>
    <xdr:pic>
      <xdr:nvPicPr>
        <xdr:cNvPr id="18" name="Imagem 17">
          <a:extLst>
            <a:ext uri="{FF2B5EF4-FFF2-40B4-BE49-F238E27FC236}">
              <a16:creationId xmlns:a16="http://schemas.microsoft.com/office/drawing/2014/main" id="{05B84DFD-BDED-4899-BCAC-CD1392889D2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2230100"/>
          <a:ext cx="7060692" cy="3769052"/>
        </a:xfrm>
        <a:prstGeom prst="rect">
          <a:avLst/>
        </a:prstGeom>
      </xdr:spPr>
    </xdr:pic>
    <xdr:clientData/>
  </xdr:twoCellAnchor>
  <xdr:twoCellAnchor editAs="oneCell">
    <xdr:from>
      <xdr:col>0</xdr:col>
      <xdr:colOff>66675</xdr:colOff>
      <xdr:row>101</xdr:row>
      <xdr:rowOff>19050</xdr:rowOff>
    </xdr:from>
    <xdr:to>
      <xdr:col>12</xdr:col>
      <xdr:colOff>108132</xdr:colOff>
      <xdr:row>122</xdr:row>
      <xdr:rowOff>94036</xdr:rowOff>
    </xdr:to>
    <xdr:pic>
      <xdr:nvPicPr>
        <xdr:cNvPr id="20" name="Imagem 19">
          <a:extLst>
            <a:ext uri="{FF2B5EF4-FFF2-40B4-BE49-F238E27FC236}">
              <a16:creationId xmlns:a16="http://schemas.microsoft.com/office/drawing/2014/main" id="{8F533CDC-842B-4EE2-8CEB-2B79863289E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6675" y="16373475"/>
          <a:ext cx="7356657" cy="3475411"/>
        </a:xfrm>
        <a:prstGeom prst="rect">
          <a:avLst/>
        </a:prstGeom>
      </xdr:spPr>
    </xdr:pic>
    <xdr:clientData/>
  </xdr:twoCellAnchor>
  <xdr:twoCellAnchor editAs="oneCell">
    <xdr:from>
      <xdr:col>0</xdr:col>
      <xdr:colOff>9525</xdr:colOff>
      <xdr:row>124</xdr:row>
      <xdr:rowOff>51280</xdr:rowOff>
    </xdr:from>
    <xdr:to>
      <xdr:col>14</xdr:col>
      <xdr:colOff>447675</xdr:colOff>
      <xdr:row>159</xdr:row>
      <xdr:rowOff>2280</xdr:rowOff>
    </xdr:to>
    <xdr:pic>
      <xdr:nvPicPr>
        <xdr:cNvPr id="22" name="Imagem 21">
          <a:extLst>
            <a:ext uri="{FF2B5EF4-FFF2-40B4-BE49-F238E27FC236}">
              <a16:creationId xmlns:a16="http://schemas.microsoft.com/office/drawing/2014/main" id="{BB3BE27B-7989-4B13-AB60-9599868E377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525" y="20129980"/>
          <a:ext cx="8972550" cy="5618375"/>
        </a:xfrm>
        <a:prstGeom prst="rect">
          <a:avLst/>
        </a:prstGeom>
      </xdr:spPr>
    </xdr:pic>
    <xdr:clientData/>
  </xdr:twoCellAnchor>
  <xdr:twoCellAnchor editAs="oneCell">
    <xdr:from>
      <xdr:col>0</xdr:col>
      <xdr:colOff>0</xdr:colOff>
      <xdr:row>163</xdr:row>
      <xdr:rowOff>51459</xdr:rowOff>
    </xdr:from>
    <xdr:to>
      <xdr:col>15</xdr:col>
      <xdr:colOff>257175</xdr:colOff>
      <xdr:row>196</xdr:row>
      <xdr:rowOff>76486</xdr:rowOff>
    </xdr:to>
    <xdr:pic>
      <xdr:nvPicPr>
        <xdr:cNvPr id="24" name="Imagem 23">
          <a:extLst>
            <a:ext uri="{FF2B5EF4-FFF2-40B4-BE49-F238E27FC236}">
              <a16:creationId xmlns:a16="http://schemas.microsoft.com/office/drawing/2014/main" id="{B161CE25-1EFB-4A14-BA57-C03DA81277C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26445234"/>
          <a:ext cx="9401175" cy="536855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leandro\mcons\irpj9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eandro/mcons/irpj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ontroladoria\contabilidade\DFP\2004_2005_inf.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ntroladoria/contabilidade/DFP/2004_2005_inf.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X:\planejar\lsoc\orcam\orrl200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IR_DIFERIDO"/>
      <sheetName val="MÚTUO"/>
      <sheetName val="JAN"/>
      <sheetName val="FEV"/>
      <sheetName val="MAR"/>
      <sheetName val="MAR_AJUSTADO"/>
      <sheetName val="ABR"/>
      <sheetName val="ABR_01"/>
      <sheetName val="MAI"/>
      <sheetName val="JUN"/>
      <sheetName val="PROJ_0299"/>
      <sheetName val="DEM_PGTO_01"/>
      <sheetName val="DARF"/>
      <sheetName val="CONC_0399"/>
      <sheetName val="CONC_0499"/>
      <sheetName val="CONC_0599"/>
      <sheetName val="CONC_0699"/>
    </sheetNames>
    <sheetDataSet>
      <sheetData sheetId="0">
        <row r="7">
          <cell r="E7">
            <v>1999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IR_DIFERIDO"/>
      <sheetName val="MÚTUO"/>
      <sheetName val="JAN"/>
      <sheetName val="FEV"/>
      <sheetName val="MAR"/>
      <sheetName val="MAR_AJUSTADO"/>
      <sheetName val="ABR"/>
      <sheetName val="ABR_01"/>
      <sheetName val="MAI"/>
      <sheetName val="JUN"/>
      <sheetName val="PROJ_0299"/>
      <sheetName val="DEM_PGTO_01"/>
      <sheetName val="DARF"/>
      <sheetName val="CONC_0399"/>
      <sheetName val="CONC_0499"/>
      <sheetName val="CONC_0599"/>
      <sheetName val="CONC_0699"/>
      <sheetName val="Journal"/>
    </sheetNames>
    <sheetDataSet>
      <sheetData sheetId="0" refreshError="1">
        <row r="7">
          <cell r="E7">
            <v>1999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as"/>
      <sheetName val="JCPENNEY_LOAN"/>
      <sheetName val="balanco"/>
      <sheetName val="Resultado"/>
      <sheetName val="EBITDA"/>
      <sheetName val="Conc. EBITDA"/>
      <sheetName val="fluxocaixa"/>
      <sheetName val="fluxo_caixa"/>
      <sheetName val="Balance Sheet"/>
      <sheetName val="Income Statement_itr"/>
      <sheetName val="cp"/>
      <sheetName val="resm"/>
      <sheetName val="Resumo"/>
      <sheetName val="Riscos_div"/>
      <sheetName val="rel"/>
      <sheetName val="Veículos"/>
      <sheetName val="nota-IR_CS"/>
      <sheetName val="Imp JC Penney 2004"/>
    </sheetNames>
    <sheetDataSet>
      <sheetData sheetId="0" refreshError="1"/>
      <sheetData sheetId="1" refreshError="1"/>
      <sheetData sheetId="2" refreshError="1"/>
      <sheetData sheetId="3">
        <row r="1">
          <cell r="A1" t="str">
            <v>Lojas Renner S.A.</v>
          </cell>
        </row>
        <row r="3">
          <cell r="A3" t="str">
            <v>Companhia aberta</v>
          </cell>
        </row>
        <row r="5">
          <cell r="A5" t="str">
            <v>Demonstrações do resultado</v>
          </cell>
        </row>
        <row r="7">
          <cell r="A7" t="str">
            <v>Trimestres e nove meses findos em 30 de setembro de 2005 e 2004</v>
          </cell>
        </row>
        <row r="13">
          <cell r="E13" t="str">
            <v>Consolidado</v>
          </cell>
        </row>
        <row r="14">
          <cell r="E14" t="str">
            <v>3T05</v>
          </cell>
          <cell r="G14" t="str">
            <v>3T05</v>
          </cell>
          <cell r="I14" t="str">
            <v>9M05</v>
          </cell>
          <cell r="K14" t="str">
            <v>3T04</v>
          </cell>
        </row>
        <row r="16">
          <cell r="A16" t="str">
            <v>Receita operacional bruta</v>
          </cell>
          <cell r="E16">
            <v>344395</v>
          </cell>
          <cell r="G16">
            <v>344395</v>
          </cell>
          <cell r="I16">
            <v>985537</v>
          </cell>
          <cell r="K16">
            <v>283436</v>
          </cell>
        </row>
        <row r="18">
          <cell r="B18" t="str">
            <v>Deduções</v>
          </cell>
          <cell r="E18">
            <v>-88982</v>
          </cell>
          <cell r="G18">
            <v>-88982</v>
          </cell>
          <cell r="I18">
            <v>-252964</v>
          </cell>
          <cell r="K18">
            <v>-73481</v>
          </cell>
        </row>
        <row r="20">
          <cell r="A20" t="str">
            <v>Receita operacional líquida</v>
          </cell>
          <cell r="E20">
            <v>255413</v>
          </cell>
          <cell r="G20">
            <v>255413</v>
          </cell>
          <cell r="I20">
            <v>732573</v>
          </cell>
          <cell r="K20">
            <v>209955</v>
          </cell>
        </row>
        <row r="22">
          <cell r="A22" t="str">
            <v>Custos das vendas</v>
          </cell>
          <cell r="E22">
            <v>-141824</v>
          </cell>
          <cell r="G22">
            <v>-141824</v>
          </cell>
          <cell r="I22">
            <v>-395808</v>
          </cell>
          <cell r="K22">
            <v>-115478</v>
          </cell>
        </row>
        <row r="24">
          <cell r="A24" t="str">
            <v>Lucro bruto</v>
          </cell>
          <cell r="E24">
            <v>113589</v>
          </cell>
          <cell r="G24">
            <v>113589</v>
          </cell>
          <cell r="I24">
            <v>336765</v>
          </cell>
          <cell r="K24">
            <v>94477</v>
          </cell>
        </row>
        <row r="26">
          <cell r="A26" t="str">
            <v>(Despesas) outras receitas operacionais</v>
          </cell>
        </row>
        <row r="27">
          <cell r="B27" t="str">
            <v>Vendas</v>
          </cell>
          <cell r="E27">
            <v>-68948</v>
          </cell>
          <cell r="G27">
            <v>-69582</v>
          </cell>
          <cell r="I27">
            <v>-201296</v>
          </cell>
          <cell r="K27">
            <v>-58677</v>
          </cell>
        </row>
        <row r="28">
          <cell r="B28" t="str">
            <v>Administrativas e gerais</v>
          </cell>
          <cell r="E28">
            <v>-24046</v>
          </cell>
          <cell r="G28">
            <v>-24045.332009999998</v>
          </cell>
          <cell r="I28">
            <v>-67160</v>
          </cell>
          <cell r="K28">
            <v>-19602</v>
          </cell>
        </row>
        <row r="29">
          <cell r="B29" t="str">
            <v>Remuneração dos administradores</v>
          </cell>
          <cell r="E29">
            <v>-726</v>
          </cell>
          <cell r="G29">
            <v>-726</v>
          </cell>
          <cell r="I29">
            <v>-1753</v>
          </cell>
          <cell r="K29">
            <v>-221</v>
          </cell>
        </row>
        <row r="30">
          <cell r="B30" t="str">
            <v>Tributárias</v>
          </cell>
          <cell r="E30">
            <v>-4226</v>
          </cell>
          <cell r="G30">
            <v>-4226</v>
          </cell>
          <cell r="I30">
            <v>-11196</v>
          </cell>
          <cell r="K30">
            <v>-3467</v>
          </cell>
        </row>
        <row r="31">
          <cell r="B31" t="str">
            <v>Financeiras, líquidas</v>
          </cell>
          <cell r="E31">
            <v>-1845</v>
          </cell>
          <cell r="G31">
            <v>-1845</v>
          </cell>
          <cell r="I31">
            <v>13830</v>
          </cell>
          <cell r="K31">
            <v>13614</v>
          </cell>
        </row>
        <row r="32">
          <cell r="B32" t="str">
            <v>Amortização de ágio</v>
          </cell>
          <cell r="E32">
            <v>-29</v>
          </cell>
          <cell r="G32">
            <v>-29</v>
          </cell>
          <cell r="I32">
            <v>-2836</v>
          </cell>
          <cell r="K32">
            <v>-5328</v>
          </cell>
        </row>
        <row r="33">
          <cell r="B33" t="str">
            <v>Depreciações</v>
          </cell>
          <cell r="E33">
            <v>-7991</v>
          </cell>
          <cell r="G33">
            <v>-7917</v>
          </cell>
          <cell r="I33">
            <v>-22809</v>
          </cell>
          <cell r="K33">
            <v>-6894</v>
          </cell>
        </row>
        <row r="34">
          <cell r="B34" t="str">
            <v>Outras receitas/ despesas operacionais</v>
          </cell>
          <cell r="E34">
            <v>10463</v>
          </cell>
          <cell r="G34">
            <v>10463</v>
          </cell>
          <cell r="I34">
            <v>26961</v>
          </cell>
          <cell r="K34">
            <v>6360</v>
          </cell>
        </row>
        <row r="35">
          <cell r="B35" t="str">
            <v>Resultado em participações societárias</v>
          </cell>
          <cell r="E35">
            <v>10</v>
          </cell>
          <cell r="G35">
            <v>504</v>
          </cell>
          <cell r="I35">
            <v>1412</v>
          </cell>
          <cell r="K35">
            <v>0</v>
          </cell>
        </row>
        <row r="36">
          <cell r="B36" t="str">
            <v>Despesas extraordinárias</v>
          </cell>
          <cell r="E36">
            <v>-16350</v>
          </cell>
          <cell r="G36">
            <v>-16350</v>
          </cell>
          <cell r="I36">
            <v>-18613</v>
          </cell>
          <cell r="K36">
            <v>0</v>
          </cell>
        </row>
        <row r="37">
          <cell r="E37">
            <v>-113688</v>
          </cell>
          <cell r="G37">
            <v>-113753.33201</v>
          </cell>
          <cell r="I37">
            <v>-283460</v>
          </cell>
          <cell r="K37">
            <v>-74215</v>
          </cell>
        </row>
        <row r="39">
          <cell r="A39" t="str">
            <v>Lucro operacional</v>
          </cell>
          <cell r="E39">
            <v>-99</v>
          </cell>
          <cell r="G39">
            <v>-164.33200999999826</v>
          </cell>
          <cell r="I39">
            <v>53305</v>
          </cell>
          <cell r="K39">
            <v>20262</v>
          </cell>
        </row>
        <row r="41">
          <cell r="B41" t="str">
            <v>Resultado não operacional</v>
          </cell>
          <cell r="E41">
            <v>-225</v>
          </cell>
          <cell r="G41">
            <v>-225</v>
          </cell>
          <cell r="I41">
            <v>-534</v>
          </cell>
          <cell r="K41">
            <v>31</v>
          </cell>
        </row>
        <row r="43">
          <cell r="A43" t="str">
            <v>Lucro antes do imposto de renda e da contribuição social</v>
          </cell>
          <cell r="E43">
            <v>-324</v>
          </cell>
          <cell r="G43">
            <v>-389.33200999999826</v>
          </cell>
          <cell r="I43">
            <v>52771</v>
          </cell>
          <cell r="K43">
            <v>20293</v>
          </cell>
        </row>
        <row r="45">
          <cell r="B45" t="str">
            <v xml:space="preserve">Imposto de renda e contribuição social, corrente e diferido </v>
          </cell>
          <cell r="E45">
            <v>-302</v>
          </cell>
          <cell r="G45">
            <v>-237</v>
          </cell>
          <cell r="I45">
            <v>-18191</v>
          </cell>
          <cell r="K45">
            <v>-240</v>
          </cell>
        </row>
        <row r="47">
          <cell r="B47" t="str">
            <v>Participações Minoritárias</v>
          </cell>
          <cell r="E47">
            <v>0</v>
          </cell>
          <cell r="G47">
            <v>0</v>
          </cell>
          <cell r="I47">
            <v>0</v>
          </cell>
          <cell r="K47">
            <v>0</v>
          </cell>
        </row>
        <row r="49">
          <cell r="A49" t="str">
            <v xml:space="preserve"> Lucro líquido do exercício</v>
          </cell>
          <cell r="E49">
            <v>-626</v>
          </cell>
          <cell r="G49">
            <v>-626.33200999999826</v>
          </cell>
          <cell r="I49">
            <v>34580</v>
          </cell>
          <cell r="K49">
            <v>20053</v>
          </cell>
        </row>
        <row r="51">
          <cell r="A51" t="str">
            <v xml:space="preserve"> Lucro líquido por  ação - R$</v>
          </cell>
          <cell r="E51">
            <v>-2.5769800757451014E-2</v>
          </cell>
          <cell r="G51">
            <v>-2.5783468219990047E-2</v>
          </cell>
          <cell r="I51">
            <v>1.4235139140457764</v>
          </cell>
          <cell r="K51">
            <v>5.2775996909184128E-3</v>
          </cell>
        </row>
        <row r="53">
          <cell r="A53" t="str">
            <v>Quantidade de ações ao final do exercício (em milhares)</v>
          </cell>
          <cell r="E53">
            <v>24292</v>
          </cell>
          <cell r="G53">
            <v>24292</v>
          </cell>
          <cell r="I53">
            <v>24292</v>
          </cell>
          <cell r="K53">
            <v>3799644</v>
          </cell>
        </row>
        <row r="56">
          <cell r="A56" t="str">
            <v>As notas explicativas são parte integrante das demonstrações financeiras.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as"/>
      <sheetName val="JCPENNEY_LOAN"/>
      <sheetName val="balanco"/>
      <sheetName val="Resultado"/>
      <sheetName val="EBITDA"/>
      <sheetName val="Conc. EBITDA"/>
      <sheetName val="fluxocaixa"/>
      <sheetName val="fluxo_caixa"/>
      <sheetName val="Balance Sheet"/>
      <sheetName val="Income Statement_itr"/>
      <sheetName val="cp"/>
      <sheetName val="resm"/>
      <sheetName val="Resumo"/>
      <sheetName val="Riscos_div"/>
      <sheetName val="rel"/>
      <sheetName val="Veículos"/>
      <sheetName val="nota-IR_CS"/>
      <sheetName val="Imp JC Penney 2004"/>
      <sheetName val="inteiros"/>
    </sheetNames>
    <sheetDataSet>
      <sheetData sheetId="0" refreshError="1"/>
      <sheetData sheetId="1" refreshError="1"/>
      <sheetData sheetId="2" refreshError="1"/>
      <sheetData sheetId="3" refreshError="1">
        <row r="1">
          <cell r="A1" t="str">
            <v>Lojas Renner S.A.</v>
          </cell>
        </row>
        <row r="3">
          <cell r="A3" t="str">
            <v>Companhia aberta</v>
          </cell>
        </row>
        <row r="5">
          <cell r="A5" t="str">
            <v>Demonstrações do resultado</v>
          </cell>
        </row>
        <row r="7">
          <cell r="A7" t="str">
            <v>Trimestres e nove meses findos em 30 de setembro de 2005 e 2004</v>
          </cell>
        </row>
        <row r="13">
          <cell r="E13" t="str">
            <v>Consolidado</v>
          </cell>
        </row>
        <row r="14">
          <cell r="E14" t="str">
            <v>3T05</v>
          </cell>
          <cell r="G14" t="str">
            <v>3T05</v>
          </cell>
          <cell r="I14" t="str">
            <v>9M05</v>
          </cell>
          <cell r="K14" t="str">
            <v>3T04</v>
          </cell>
        </row>
        <row r="16">
          <cell r="A16" t="str">
            <v>Receita operacional bruta</v>
          </cell>
          <cell r="E16">
            <v>344395</v>
          </cell>
          <cell r="G16">
            <v>344395</v>
          </cell>
          <cell r="I16">
            <v>985537</v>
          </cell>
          <cell r="K16">
            <v>283436</v>
          </cell>
        </row>
        <row r="18">
          <cell r="B18" t="str">
            <v>Deduções</v>
          </cell>
          <cell r="E18">
            <v>-88982</v>
          </cell>
          <cell r="G18">
            <v>-88982</v>
          </cell>
          <cell r="I18">
            <v>-252964</v>
          </cell>
          <cell r="K18">
            <v>-73481</v>
          </cell>
        </row>
        <row r="20">
          <cell r="A20" t="str">
            <v>Receita operacional líquida</v>
          </cell>
          <cell r="E20">
            <v>255413</v>
          </cell>
          <cell r="G20">
            <v>255413</v>
          </cell>
          <cell r="I20">
            <v>732573</v>
          </cell>
          <cell r="K20">
            <v>209955</v>
          </cell>
        </row>
        <row r="22">
          <cell r="A22" t="str">
            <v>Custos das vendas</v>
          </cell>
          <cell r="E22">
            <v>-141824</v>
          </cell>
          <cell r="G22">
            <v>-141824</v>
          </cell>
          <cell r="I22">
            <v>-395808</v>
          </cell>
          <cell r="K22">
            <v>-115478</v>
          </cell>
        </row>
        <row r="24">
          <cell r="A24" t="str">
            <v>Lucro bruto</v>
          </cell>
          <cell r="E24">
            <v>113589</v>
          </cell>
          <cell r="G24">
            <v>113589</v>
          </cell>
          <cell r="I24">
            <v>336765</v>
          </cell>
          <cell r="K24">
            <v>94477</v>
          </cell>
        </row>
        <row r="26">
          <cell r="A26" t="str">
            <v>(Despesas) outras receitas operacionais</v>
          </cell>
        </row>
        <row r="27">
          <cell r="B27" t="str">
            <v>Vendas</v>
          </cell>
          <cell r="E27">
            <v>-68948</v>
          </cell>
          <cell r="G27">
            <v>-69582</v>
          </cell>
          <cell r="I27">
            <v>-201296</v>
          </cell>
          <cell r="K27">
            <v>-58677</v>
          </cell>
        </row>
        <row r="28">
          <cell r="B28" t="str">
            <v>Administrativas e gerais</v>
          </cell>
          <cell r="E28">
            <v>-24046</v>
          </cell>
          <cell r="G28">
            <v>-24045.332009999998</v>
          </cell>
          <cell r="I28">
            <v>-67160</v>
          </cell>
          <cell r="K28">
            <v>-19602</v>
          </cell>
        </row>
        <row r="29">
          <cell r="B29" t="str">
            <v>Remuneração dos administradores</v>
          </cell>
          <cell r="E29">
            <v>-726</v>
          </cell>
          <cell r="G29">
            <v>-726</v>
          </cell>
          <cell r="I29">
            <v>-1753</v>
          </cell>
          <cell r="K29">
            <v>-221</v>
          </cell>
        </row>
        <row r="30">
          <cell r="B30" t="str">
            <v>Tributárias</v>
          </cell>
          <cell r="E30">
            <v>-4226</v>
          </cell>
          <cell r="G30">
            <v>-4226</v>
          </cell>
          <cell r="I30">
            <v>-11196</v>
          </cell>
          <cell r="K30">
            <v>-3467</v>
          </cell>
        </row>
        <row r="31">
          <cell r="B31" t="str">
            <v>Financeiras, líquidas</v>
          </cell>
          <cell r="E31">
            <v>-1845</v>
          </cell>
          <cell r="G31">
            <v>-1845</v>
          </cell>
          <cell r="I31">
            <v>13830</v>
          </cell>
          <cell r="K31">
            <v>13614</v>
          </cell>
        </row>
        <row r="32">
          <cell r="B32" t="str">
            <v>Amortização de ágio</v>
          </cell>
          <cell r="E32">
            <v>-29</v>
          </cell>
          <cell r="G32">
            <v>-29</v>
          </cell>
          <cell r="I32">
            <v>-2836</v>
          </cell>
          <cell r="K32">
            <v>-5328</v>
          </cell>
        </row>
        <row r="33">
          <cell r="B33" t="str">
            <v>Depreciações</v>
          </cell>
          <cell r="E33">
            <v>-7991</v>
          </cell>
          <cell r="G33">
            <v>-7917</v>
          </cell>
          <cell r="I33">
            <v>-22809</v>
          </cell>
          <cell r="K33">
            <v>-6894</v>
          </cell>
        </row>
        <row r="34">
          <cell r="B34" t="str">
            <v>Outras receitas/ despesas operacionais</v>
          </cell>
          <cell r="E34">
            <v>10463</v>
          </cell>
          <cell r="G34">
            <v>10463</v>
          </cell>
          <cell r="I34">
            <v>26961</v>
          </cell>
          <cell r="K34">
            <v>6360</v>
          </cell>
        </row>
        <row r="35">
          <cell r="B35" t="str">
            <v>Resultado em participações societárias</v>
          </cell>
          <cell r="E35">
            <v>10</v>
          </cell>
          <cell r="G35">
            <v>504</v>
          </cell>
          <cell r="I35">
            <v>1412</v>
          </cell>
          <cell r="K35">
            <v>0</v>
          </cell>
        </row>
        <row r="36">
          <cell r="B36" t="str">
            <v>Despesas extraordinárias</v>
          </cell>
          <cell r="E36">
            <v>-16350</v>
          </cell>
          <cell r="G36">
            <v>-16350</v>
          </cell>
          <cell r="I36">
            <v>-18613</v>
          </cell>
          <cell r="K36">
            <v>0</v>
          </cell>
        </row>
        <row r="37">
          <cell r="E37">
            <v>-113688</v>
          </cell>
          <cell r="G37">
            <v>-113753.33201</v>
          </cell>
          <cell r="I37">
            <v>-283460</v>
          </cell>
          <cell r="K37">
            <v>-74215</v>
          </cell>
        </row>
        <row r="39">
          <cell r="A39" t="str">
            <v>Lucro operacional</v>
          </cell>
          <cell r="E39">
            <v>-99</v>
          </cell>
          <cell r="G39">
            <v>-164.33200999999826</v>
          </cell>
          <cell r="I39">
            <v>53305</v>
          </cell>
          <cell r="K39">
            <v>20262</v>
          </cell>
        </row>
        <row r="41">
          <cell r="B41" t="str">
            <v>Resultado não operacional</v>
          </cell>
          <cell r="E41">
            <v>-225</v>
          </cell>
          <cell r="G41">
            <v>-225</v>
          </cell>
          <cell r="I41">
            <v>-534</v>
          </cell>
          <cell r="K41">
            <v>31</v>
          </cell>
        </row>
        <row r="43">
          <cell r="A43" t="str">
            <v>Lucro antes do imposto de renda e da contribuição social</v>
          </cell>
          <cell r="E43">
            <v>-324</v>
          </cell>
          <cell r="G43">
            <v>-389.33200999999826</v>
          </cell>
          <cell r="I43">
            <v>52771</v>
          </cell>
          <cell r="K43">
            <v>20293</v>
          </cell>
        </row>
        <row r="45">
          <cell r="B45" t="str">
            <v xml:space="preserve">Imposto de renda e contribuição social, corrente e diferido </v>
          </cell>
          <cell r="E45">
            <v>-302</v>
          </cell>
          <cell r="G45">
            <v>-237</v>
          </cell>
          <cell r="I45">
            <v>-18191</v>
          </cell>
          <cell r="K45">
            <v>-240</v>
          </cell>
        </row>
        <row r="47">
          <cell r="B47" t="str">
            <v>Participações Minoritárias</v>
          </cell>
          <cell r="E47">
            <v>0</v>
          </cell>
          <cell r="G47">
            <v>0</v>
          </cell>
          <cell r="I47">
            <v>0</v>
          </cell>
          <cell r="K47">
            <v>0</v>
          </cell>
        </row>
        <row r="49">
          <cell r="A49" t="str">
            <v xml:space="preserve"> Lucro líquido do exercício</v>
          </cell>
          <cell r="E49">
            <v>-626</v>
          </cell>
          <cell r="G49">
            <v>-626.33200999999826</v>
          </cell>
          <cell r="I49">
            <v>34580</v>
          </cell>
          <cell r="K49">
            <v>20053</v>
          </cell>
        </row>
        <row r="51">
          <cell r="A51" t="str">
            <v xml:space="preserve"> Lucro líquido por  ação - R$</v>
          </cell>
          <cell r="E51">
            <v>-2.5769800757451014E-2</v>
          </cell>
          <cell r="G51">
            <v>-2.5783468219990047E-2</v>
          </cell>
          <cell r="I51">
            <v>1.4235139140457764</v>
          </cell>
          <cell r="K51">
            <v>5.2775996909184128E-3</v>
          </cell>
        </row>
        <row r="53">
          <cell r="A53" t="str">
            <v>Quantidade de ações ao final do exercício (em milhares)</v>
          </cell>
          <cell r="E53">
            <v>24292</v>
          </cell>
          <cell r="G53">
            <v>24292</v>
          </cell>
          <cell r="I53">
            <v>24292</v>
          </cell>
          <cell r="K53">
            <v>3799644</v>
          </cell>
        </row>
        <row r="56">
          <cell r="A56" t="str">
            <v>As notas explicativas são parte integrante das demonstrações financeiras.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EIRO"/>
      <sheetName val="FEVEREIRO"/>
      <sheetName val="MARÇO"/>
      <sheetName val="ABRIL"/>
      <sheetName val="MAIO"/>
      <sheetName val="JUNHO"/>
      <sheetName val="JULHO"/>
      <sheetName val="AGOSTO"/>
      <sheetName val="SETEMBRO"/>
      <sheetName val="OUTUBRO"/>
      <sheetName val="NOVEMBRO"/>
      <sheetName val="DEZEMBRO"/>
      <sheetName val="1SEM"/>
      <sheetName val="2SEM"/>
      <sheetName val="ACUMULADO"/>
      <sheetName val="JUROS"/>
      <sheetName val="VENDAS"/>
      <sheetName val="Comentário"/>
      <sheetName val="Dad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persons/person.xml><?xml version="1.0" encoding="utf-8"?>
<personList xmlns="http://schemas.microsoft.com/office/spreadsheetml/2018/threadedcomments" xmlns:x="http://schemas.openxmlformats.org/spreadsheetml/2006/main">
  <person displayName="Mauricio Martinbianco Toller" id="{FE36E607-E6C2-4A51-B53F-C306540483AD}" userId="S::mauricio.toller@lojasrenner.com.br::b0204067-1804-4b16-9d4a-01af67e2272a"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file:///E:\Book_2005_2010.xls" TargetMode="External"/><Relationship Id="rId7" Type="http://schemas.openxmlformats.org/officeDocument/2006/relationships/comments" Target="../comments3.xml"/><Relationship Id="rId2" Type="http://schemas.openxmlformats.org/officeDocument/2006/relationships/hyperlink" Target="file:///E:\Book_2005_2010.xls" TargetMode="External"/><Relationship Id="rId1" Type="http://schemas.openxmlformats.org/officeDocument/2006/relationships/hyperlink" Target="file:///E:\Book_2005_2010.xls" TargetMode="External"/><Relationship Id="rId6" Type="http://schemas.openxmlformats.org/officeDocument/2006/relationships/vmlDrawing" Target="../drawings/vmlDrawing4.vml"/><Relationship Id="rId5" Type="http://schemas.openxmlformats.org/officeDocument/2006/relationships/printerSettings" Target="../printerSettings/printerSettings7.bin"/><Relationship Id="rId4" Type="http://schemas.openxmlformats.org/officeDocument/2006/relationships/hyperlink" Target="file:///E:\Book_2005_2010.xls"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file:///E:\Book_2005_2010.xls"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tabColor theme="1" tint="0.34998626667073579"/>
  </sheetPr>
  <dimension ref="B1:M25"/>
  <sheetViews>
    <sheetView showGridLines="0" zoomScale="95" zoomScaleNormal="100" workbookViewId="0">
      <selection activeCell="B3" sqref="B3:G3"/>
    </sheetView>
  </sheetViews>
  <sheetFormatPr defaultRowHeight="13.5"/>
  <cols>
    <col min="1" max="1" width="5.85546875" style="263" customWidth="1"/>
    <col min="2" max="2" width="9.140625" style="263"/>
    <col min="3" max="3" width="64.42578125" style="263" customWidth="1"/>
    <col min="4" max="4" width="11.140625" style="263" customWidth="1"/>
    <col min="5" max="5" width="9.140625" style="263" hidden="1" customWidth="1"/>
    <col min="6" max="7" width="9.140625" style="263"/>
    <col min="8" max="8" width="3.5703125" style="263" customWidth="1"/>
    <col min="9" max="11" width="9.140625" style="263"/>
    <col min="12" max="12" width="7" style="263" customWidth="1"/>
    <col min="13" max="13" width="3.42578125" style="263" customWidth="1"/>
    <col min="14" max="16384" width="9.140625" style="263"/>
  </cols>
  <sheetData>
    <row r="1" spans="2:13" ht="6.75" customHeight="1"/>
    <row r="2" spans="2:13" s="261" customFormat="1" ht="37.5" customHeight="1">
      <c r="B2" s="601" t="s">
        <v>1109</v>
      </c>
      <c r="C2" s="602"/>
      <c r="D2" s="602"/>
      <c r="E2" s="602"/>
      <c r="F2" s="602"/>
      <c r="G2" s="602"/>
      <c r="H2" s="602"/>
      <c r="I2" s="602"/>
      <c r="J2" s="365"/>
      <c r="K2" s="365"/>
      <c r="L2" s="365"/>
      <c r="M2" s="366"/>
    </row>
    <row r="3" spans="2:13" s="261" customFormat="1" ht="24">
      <c r="B3" s="603"/>
      <c r="C3" s="604"/>
      <c r="D3" s="604"/>
      <c r="E3" s="604"/>
      <c r="F3" s="604"/>
      <c r="G3" s="604"/>
      <c r="M3" s="367"/>
    </row>
    <row r="4" spans="2:13" ht="17.25" customHeight="1">
      <c r="B4" s="368"/>
      <c r="C4" s="262"/>
      <c r="D4" s="262"/>
      <c r="E4" s="262"/>
      <c r="F4" s="262"/>
      <c r="G4" s="262"/>
      <c r="M4" s="369"/>
    </row>
    <row r="5" spans="2:13" s="261" customFormat="1" ht="24" customHeight="1">
      <c r="B5" s="609" t="s">
        <v>1108</v>
      </c>
      <c r="C5" s="610"/>
      <c r="D5" s="610"/>
      <c r="E5" s="610"/>
      <c r="F5" s="610"/>
      <c r="G5" s="610"/>
      <c r="I5" s="364"/>
      <c r="J5" s="364"/>
      <c r="K5" s="364"/>
      <c r="M5" s="367"/>
    </row>
    <row r="6" spans="2:13" s="261" customFormat="1" ht="14.25" customHeight="1">
      <c r="B6" s="607"/>
      <c r="C6" s="608"/>
      <c r="D6" s="608"/>
      <c r="E6" s="608"/>
      <c r="F6" s="608"/>
      <c r="G6" s="608"/>
      <c r="H6" s="375"/>
      <c r="I6" s="375"/>
      <c r="J6" s="375"/>
      <c r="K6" s="375"/>
      <c r="L6" s="376"/>
      <c r="M6" s="367"/>
    </row>
    <row r="7" spans="2:13" ht="15" customHeight="1">
      <c r="B7" s="605" t="s">
        <v>1101</v>
      </c>
      <c r="C7" s="606"/>
      <c r="D7" s="377"/>
      <c r="E7" s="377"/>
      <c r="F7" s="377"/>
      <c r="G7" s="611" t="s">
        <v>1520</v>
      </c>
      <c r="H7" s="611"/>
      <c r="I7" s="611"/>
      <c r="J7" s="611"/>
      <c r="K7" s="611"/>
      <c r="L7" s="611"/>
      <c r="M7" s="369"/>
    </row>
    <row r="8" spans="2:13" ht="9" customHeight="1">
      <c r="B8" s="378"/>
      <c r="C8" s="379"/>
      <c r="D8" s="377"/>
      <c r="E8" s="377"/>
      <c r="F8" s="377"/>
      <c r="G8" s="611"/>
      <c r="H8" s="611"/>
      <c r="I8" s="611"/>
      <c r="J8" s="611"/>
      <c r="K8" s="611"/>
      <c r="L8" s="611"/>
      <c r="M8" s="369"/>
    </row>
    <row r="9" spans="2:13" ht="15" customHeight="1">
      <c r="B9" s="538" t="s">
        <v>1107</v>
      </c>
      <c r="C9" s="381"/>
      <c r="D9" s="382"/>
      <c r="E9" s="382"/>
      <c r="F9" s="383"/>
      <c r="G9" s="611"/>
      <c r="H9" s="611"/>
      <c r="I9" s="611"/>
      <c r="J9" s="611"/>
      <c r="K9" s="611"/>
      <c r="L9" s="611"/>
      <c r="M9" s="369"/>
    </row>
    <row r="10" spans="2:13" ht="9" customHeight="1">
      <c r="B10" s="384"/>
      <c r="C10" s="383"/>
      <c r="D10" s="377"/>
      <c r="E10" s="377"/>
      <c r="F10" s="383"/>
      <c r="G10" s="611"/>
      <c r="H10" s="611"/>
      <c r="I10" s="611"/>
      <c r="J10" s="611"/>
      <c r="K10" s="611"/>
      <c r="L10" s="611"/>
      <c r="M10" s="369"/>
    </row>
    <row r="11" spans="2:13" ht="15" customHeight="1">
      <c r="B11" s="538" t="s">
        <v>1102</v>
      </c>
      <c r="C11" s="385"/>
      <c r="D11" s="381"/>
      <c r="E11" s="381"/>
      <c r="F11" s="381"/>
      <c r="G11" s="3" t="s">
        <v>1525</v>
      </c>
      <c r="H11" s="3"/>
      <c r="I11" s="3"/>
      <c r="J11" s="3"/>
      <c r="K11" s="3"/>
      <c r="L11" s="3"/>
      <c r="M11" s="369"/>
    </row>
    <row r="12" spans="2:13" ht="9" customHeight="1">
      <c r="B12" s="378"/>
      <c r="C12" s="379"/>
      <c r="D12" s="377"/>
      <c r="E12" s="377"/>
      <c r="F12" s="383"/>
      <c r="G12" s="3"/>
      <c r="H12" s="3"/>
      <c r="I12" s="3"/>
      <c r="J12" s="3"/>
      <c r="K12" s="3"/>
      <c r="L12" s="3"/>
      <c r="M12" s="369"/>
    </row>
    <row r="13" spans="2:13" ht="15" customHeight="1">
      <c r="B13" s="538" t="s">
        <v>1103</v>
      </c>
      <c r="C13" s="381"/>
      <c r="D13" s="383"/>
      <c r="E13" s="377"/>
      <c r="F13" s="377"/>
      <c r="G13" s="3"/>
      <c r="H13" s="3"/>
      <c r="I13" s="3"/>
      <c r="J13" s="3"/>
      <c r="K13" s="3"/>
      <c r="L13" s="3"/>
      <c r="M13" s="369"/>
    </row>
    <row r="14" spans="2:13" ht="9" customHeight="1">
      <c r="B14" s="378"/>
      <c r="C14" s="379"/>
      <c r="D14" s="379"/>
      <c r="E14" s="377"/>
      <c r="F14" s="377"/>
      <c r="G14" s="3"/>
      <c r="H14" s="3"/>
      <c r="I14" s="3"/>
      <c r="J14" s="3"/>
      <c r="K14" s="3"/>
      <c r="L14" s="3"/>
      <c r="M14" s="369"/>
    </row>
    <row r="15" spans="2:13" ht="15" customHeight="1">
      <c r="B15" s="380" t="s">
        <v>1104</v>
      </c>
      <c r="C15" s="381"/>
      <c r="D15" s="382"/>
      <c r="E15" s="377"/>
      <c r="F15" s="377"/>
      <c r="G15" s="377"/>
      <c r="H15" s="377"/>
      <c r="I15" s="377"/>
      <c r="J15" s="377"/>
      <c r="K15" s="377"/>
      <c r="L15" s="377"/>
      <c r="M15" s="369"/>
    </row>
    <row r="16" spans="2:13" ht="9" customHeight="1">
      <c r="B16" s="386"/>
      <c r="C16" s="377"/>
      <c r="D16" s="379"/>
      <c r="E16" s="377"/>
      <c r="F16" s="377"/>
      <c r="G16" s="377"/>
      <c r="H16" s="377"/>
      <c r="I16" s="377"/>
      <c r="J16" s="377"/>
      <c r="K16" s="377"/>
      <c r="L16" s="377"/>
      <c r="M16" s="369"/>
    </row>
    <row r="17" spans="2:13" ht="15" customHeight="1">
      <c r="B17" s="600" t="s">
        <v>1105</v>
      </c>
      <c r="C17" s="381"/>
      <c r="D17" s="383"/>
      <c r="E17" s="377"/>
      <c r="F17" s="2"/>
      <c r="G17" s="1"/>
      <c r="H17" s="1"/>
      <c r="I17" s="1"/>
      <c r="J17" s="1"/>
      <c r="K17" s="1"/>
      <c r="L17" s="1"/>
      <c r="M17" s="369"/>
    </row>
    <row r="18" spans="2:13" ht="9" customHeight="1">
      <c r="B18" s="386"/>
      <c r="C18" s="377"/>
      <c r="D18" s="377"/>
      <c r="E18" s="377"/>
      <c r="F18" s="1"/>
      <c r="G18" s="1"/>
      <c r="H18" s="1"/>
      <c r="I18" s="1"/>
      <c r="J18" s="1"/>
      <c r="K18" s="1"/>
      <c r="L18" s="1"/>
      <c r="M18" s="369"/>
    </row>
    <row r="19" spans="2:13" ht="15" customHeight="1">
      <c r="B19" s="380" t="s">
        <v>1106</v>
      </c>
      <c r="C19" s="381"/>
      <c r="D19" s="382"/>
      <c r="E19" s="377"/>
      <c r="F19" s="1"/>
      <c r="G19" s="1"/>
      <c r="H19" s="1"/>
      <c r="I19" s="1"/>
      <c r="J19" s="1"/>
      <c r="K19" s="1"/>
      <c r="L19" s="1"/>
      <c r="M19" s="369"/>
    </row>
    <row r="20" spans="2:13" ht="13.5" customHeight="1">
      <c r="B20" s="370"/>
      <c r="F20" s="1"/>
      <c r="G20" s="1"/>
      <c r="H20" s="1"/>
      <c r="I20" s="1"/>
      <c r="J20" s="1"/>
      <c r="K20" s="1"/>
      <c r="L20" s="1"/>
      <c r="M20" s="369"/>
    </row>
    <row r="21" spans="2:13" ht="16.5" hidden="1" customHeight="1">
      <c r="B21" s="538" t="s">
        <v>1449</v>
      </c>
      <c r="M21" s="369"/>
    </row>
    <row r="22" spans="2:13" ht="13.5" customHeight="1">
      <c r="B22" s="370"/>
      <c r="M22" s="369"/>
    </row>
    <row r="23" spans="2:13">
      <c r="B23" s="370"/>
      <c r="M23" s="369"/>
    </row>
    <row r="24" spans="2:13">
      <c r="B24" s="370"/>
      <c r="M24" s="369"/>
    </row>
    <row r="25" spans="2:13">
      <c r="B25" s="371"/>
      <c r="C25" s="372"/>
      <c r="D25" s="372"/>
      <c r="E25" s="372"/>
      <c r="F25" s="372"/>
      <c r="G25" s="372"/>
      <c r="H25" s="372"/>
      <c r="I25" s="372"/>
      <c r="J25" s="372"/>
      <c r="K25" s="372"/>
      <c r="L25" s="372"/>
      <c r="M25" s="373"/>
    </row>
  </sheetData>
  <mergeCells count="8">
    <mergeCell ref="F17:L20"/>
    <mergeCell ref="G11:L14"/>
    <mergeCell ref="B2:I2"/>
    <mergeCell ref="B3:G3"/>
    <mergeCell ref="B7:C7"/>
    <mergeCell ref="B6:G6"/>
    <mergeCell ref="B5:G5"/>
    <mergeCell ref="G7:L10"/>
  </mergeCells>
  <phoneticPr fontId="28" type="noConversion"/>
  <hyperlinks>
    <hyperlink ref="B7:C7" location="'Balanço | BalSheet'!A1" display="BALANCE SHEET - CONSOLIDATED / BALANÇO PATRIMONIAL CONSOLIDADO" xr:uid="{00000000-0004-0000-0000-000000000000}"/>
    <hyperlink ref="B9" location="'DRE | IncS'!A1" display="INCOME STATEMENT - CONSOLIDATED / DRE CONSOLIDADO" xr:uid="{00000000-0004-0000-0000-000001000000}"/>
    <hyperlink ref="B11" location="'Prod. Fin. | Financial Products'!A1" display="FINANCIAL PRODUCTS / PRODUTOS FINANCEIROS" xr:uid="{00000000-0004-0000-0000-000002000000}"/>
    <hyperlink ref="B13" location="'Recebíveis | Receivables'!A1" display="ACCOUNTS RECEIVABLES / RECEBÍVEIS" xr:uid="{00000000-0004-0000-0000-000003000000}"/>
    <hyperlink ref="B15" location="'Dados Operac. | Operating Data'!A1" display="OPERATING DATA / DADOS OPERACIONAIS" xr:uid="{00000000-0004-0000-0000-000004000000}"/>
    <hyperlink ref="B19" location="'Dividendos | Dividends'!A1" display="DIVIDENDS / DIVIDENDOS" xr:uid="{00000000-0004-0000-0000-000005000000}"/>
    <hyperlink ref="B21" location="'IFRS 16'!A1" display="IFRS 16" xr:uid="{00000000-0004-0000-0000-000006000000}"/>
    <hyperlink ref="B17" location="'Lista de Lojas | Stores List '!A1" display="STORES LIST / LISTA DE LOJAS" xr:uid="{00000000-0004-0000-0000-000007000000}"/>
  </hyperlinks>
  <pageMargins left="0.41" right="0.38" top="0.984251969" bottom="0.984251969" header="0.49212598499999999" footer="0.49212598499999999"/>
  <pageSetup paperSize="9" scale="96" orientation="landscape" r:id="rId1"/>
  <headerFooter alignWithMargins="0">
    <oddFooter>&amp;L&amp;1#&amp;"Calibri"&amp;10&amp;K317100Classificação: Público</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2">
    <tabColor rgb="FFC00000"/>
    <pageSetUpPr fitToPage="1"/>
  </sheetPr>
  <dimension ref="A1:IT70"/>
  <sheetViews>
    <sheetView showGridLines="0" zoomScaleNormal="100" zoomScaleSheetLayoutView="100" workbookViewId="0">
      <pane xSplit="3" ySplit="4" topLeftCell="FU5" activePane="bottomRight" state="frozen"/>
      <selection activeCell="JZ13" sqref="JZ13"/>
      <selection pane="topRight" activeCell="JZ13" sqref="JZ13"/>
      <selection pane="bottomLeft" activeCell="JZ13" sqref="JZ13"/>
      <selection pane="bottomRight" activeCell="B1" sqref="B1:C1"/>
    </sheetView>
  </sheetViews>
  <sheetFormatPr defaultRowHeight="14.25" outlineLevelCol="1"/>
  <cols>
    <col min="1" max="1" width="1.42578125" style="150" customWidth="1"/>
    <col min="2" max="2" width="35.85546875" style="150" customWidth="1"/>
    <col min="3" max="3" width="20.7109375" style="150" hidden="1" customWidth="1"/>
    <col min="4" max="4" width="8" style="150" customWidth="1" outlineLevel="1"/>
    <col min="5" max="5" width="6.140625" style="150" customWidth="1" outlineLevel="1"/>
    <col min="6" max="6" width="8" style="150" customWidth="1" outlineLevel="1"/>
    <col min="7" max="7" width="6.140625" style="150" customWidth="1" outlineLevel="1"/>
    <col min="8" max="8" width="8" style="150" customWidth="1" outlineLevel="1"/>
    <col min="9" max="9" width="6.140625" style="150" customWidth="1" outlineLevel="1"/>
    <col min="10" max="10" width="9.28515625" style="150" customWidth="1"/>
    <col min="11" max="11" width="6.140625" style="150" customWidth="1" outlineLevel="1"/>
    <col min="12" max="12" width="8" style="150" customWidth="1" outlineLevel="1"/>
    <col min="13" max="13" width="6.140625" style="150" customWidth="1" outlineLevel="1"/>
    <col min="14" max="14" width="6.7109375" style="150" customWidth="1" outlineLevel="1"/>
    <col min="15" max="15" width="9.28515625" style="150" customWidth="1" outlineLevel="1"/>
    <col min="16" max="16" width="6.140625" style="150" customWidth="1" outlineLevel="1"/>
    <col min="17" max="17" width="6.7109375" style="150" customWidth="1" outlineLevel="1"/>
    <col min="18" max="18" width="9.28515625" style="151" customWidth="1" outlineLevel="1"/>
    <col min="19" max="19" width="6.140625" style="151" customWidth="1" outlineLevel="1"/>
    <col min="20" max="20" width="7" style="151" customWidth="1" outlineLevel="1"/>
    <col min="21" max="21" width="9.28515625" style="151" customWidth="1"/>
    <col min="22" max="22" width="6.140625" style="151" customWidth="1" outlineLevel="1"/>
    <col min="23" max="23" width="7" style="151" customWidth="1" outlineLevel="1"/>
    <col min="24" max="24" width="9.28515625" style="151" customWidth="1" outlineLevel="1"/>
    <col min="25" max="25" width="6.140625" style="151" customWidth="1" outlineLevel="1"/>
    <col min="26" max="26" width="7.85546875" style="151" customWidth="1" outlineLevel="1"/>
    <col min="27" max="27" width="9.28515625" style="151" customWidth="1" outlineLevel="1"/>
    <col min="28" max="28" width="6.140625" style="151" customWidth="1" outlineLevel="1"/>
    <col min="29" max="29" width="7" style="151" customWidth="1" outlineLevel="1"/>
    <col min="30" max="30" width="9.28515625" style="151" customWidth="1" outlineLevel="1"/>
    <col min="31" max="31" width="6.140625" style="151" customWidth="1" outlineLevel="1"/>
    <col min="32" max="32" width="7" style="151" customWidth="1" outlineLevel="1"/>
    <col min="33" max="33" width="9.28515625" style="151" customWidth="1"/>
    <col min="34" max="34" width="6.140625" style="151" customWidth="1" outlineLevel="1"/>
    <col min="35" max="35" width="6.7109375" style="151" customWidth="1" outlineLevel="1"/>
    <col min="36" max="36" width="9.28515625" style="151" customWidth="1" outlineLevel="1"/>
    <col min="37" max="37" width="6.140625" style="151" customWidth="1" outlineLevel="1"/>
    <col min="38" max="38" width="6.7109375" style="151" customWidth="1" outlineLevel="1"/>
    <col min="39" max="39" width="9.28515625" style="151" customWidth="1" outlineLevel="1"/>
    <col min="40" max="40" width="6.140625" style="151" customWidth="1" outlineLevel="1"/>
    <col min="41" max="41" width="6.7109375" style="151" customWidth="1" outlineLevel="1"/>
    <col min="42" max="42" width="9.28515625" style="151" customWidth="1" outlineLevel="1"/>
    <col min="43" max="43" width="6.140625" style="151" customWidth="1" outlineLevel="1"/>
    <col min="44" max="44" width="6.7109375" style="151" customWidth="1" outlineLevel="1"/>
    <col min="45" max="45" width="9.28515625" style="151" customWidth="1"/>
    <col min="46" max="46" width="6.140625" style="151" customWidth="1" outlineLevel="1"/>
    <col min="47" max="47" width="6.7109375" style="151" customWidth="1" outlineLevel="1"/>
    <col min="48" max="48" width="9.28515625" style="151" customWidth="1" outlineLevel="1"/>
    <col min="49" max="49" width="6.140625" style="151" customWidth="1" outlineLevel="1"/>
    <col min="50" max="50" width="6.7109375" style="151" customWidth="1" outlineLevel="1"/>
    <col min="51" max="51" width="9.28515625" style="151" customWidth="1" outlineLevel="1"/>
    <col min="52" max="52" width="6.140625" style="151" customWidth="1" outlineLevel="1"/>
    <col min="53" max="53" width="6.7109375" style="151" customWidth="1" outlineLevel="1"/>
    <col min="54" max="54" width="9.28515625" style="151" customWidth="1" outlineLevel="1"/>
    <col min="55" max="55" width="6.140625" style="151" customWidth="1" outlineLevel="1"/>
    <col min="56" max="56" width="6.7109375" style="151" customWidth="1" outlineLevel="1"/>
    <col min="57" max="57" width="9.28515625" style="151" customWidth="1"/>
    <col min="58" max="58" width="6.140625" style="151" customWidth="1" outlineLevel="1"/>
    <col min="59" max="59" width="7.85546875" style="151" customWidth="1" outlineLevel="1"/>
    <col min="60" max="60" width="9.28515625" style="151" customWidth="1" outlineLevel="1"/>
    <col min="61" max="61" width="6.140625" style="151" customWidth="1" outlineLevel="1"/>
    <col min="62" max="62" width="6.7109375" style="151" customWidth="1" outlineLevel="1"/>
    <col min="63" max="63" width="9.28515625" style="151" customWidth="1" outlineLevel="1"/>
    <col min="64" max="64" width="6.140625" style="151" customWidth="1" outlineLevel="1"/>
    <col min="65" max="65" width="6.7109375" style="151" customWidth="1" outlineLevel="1"/>
    <col min="66" max="66" width="9.28515625" style="151" customWidth="1" outlineLevel="1"/>
    <col min="67" max="67" width="6.140625" style="151" customWidth="1" outlineLevel="1"/>
    <col min="68" max="68" width="6.7109375" style="151" customWidth="1" outlineLevel="1"/>
    <col min="69" max="69" width="9.28515625" style="151" customWidth="1"/>
    <col min="70" max="70" width="6.140625" style="151" customWidth="1" outlineLevel="1"/>
    <col min="71" max="71" width="6.7109375" style="151" customWidth="1" outlineLevel="1"/>
    <col min="72" max="72" width="9.28515625" style="151" customWidth="1" outlineLevel="1" collapsed="1"/>
    <col min="73" max="73" width="6.140625" style="151" customWidth="1" outlineLevel="1"/>
    <col min="74" max="74" width="6.7109375" style="151" customWidth="1" outlineLevel="1"/>
    <col min="75" max="75" width="9.28515625" style="151" customWidth="1" outlineLevel="1" collapsed="1"/>
    <col min="76" max="76" width="6.140625" style="151" customWidth="1" outlineLevel="1"/>
    <col min="77" max="77" width="7" style="151" customWidth="1" outlineLevel="1"/>
    <col min="78" max="78" width="9.28515625" style="151" customWidth="1" outlineLevel="1"/>
    <col min="79" max="79" width="6.140625" style="151" customWidth="1" outlineLevel="1"/>
    <col min="80" max="80" width="7.85546875" style="151" customWidth="1" outlineLevel="1"/>
    <col min="81" max="81" width="9.28515625" style="151" customWidth="1"/>
    <col min="82" max="82" width="6.140625" style="151" customWidth="1" outlineLevel="1"/>
    <col min="83" max="83" width="7" style="151" customWidth="1" outlineLevel="1"/>
    <col min="84" max="84" width="9.28515625" style="150" customWidth="1" outlineLevel="1"/>
    <col min="85" max="85" width="6.140625" style="150" customWidth="1" outlineLevel="1"/>
    <col min="86" max="86" width="6.7109375" style="150" customWidth="1" outlineLevel="1"/>
    <col min="87" max="87" width="9.28515625" style="151" customWidth="1" outlineLevel="1" collapsed="1"/>
    <col min="88" max="88" width="6.140625" style="151" customWidth="1" outlineLevel="1"/>
    <col min="89" max="89" width="7" style="151" customWidth="1" outlineLevel="1"/>
    <col min="90" max="90" width="9.28515625" style="151" customWidth="1" outlineLevel="1" collapsed="1"/>
    <col min="91" max="91" width="6.140625" style="151" customWidth="1" outlineLevel="1"/>
    <col min="92" max="92" width="6.7109375" style="151" customWidth="1" outlineLevel="1"/>
    <col min="93" max="93" width="9.28515625" style="150" customWidth="1"/>
    <col min="94" max="94" width="6.140625" style="151" customWidth="1" outlineLevel="1"/>
    <col min="95" max="95" width="6.7109375" style="150" customWidth="1" outlineLevel="1"/>
    <col min="96" max="96" width="9.28515625" style="150" customWidth="1" outlineLevel="1" collapsed="1"/>
    <col min="97" max="97" width="6.140625" style="151" customWidth="1" outlineLevel="1"/>
    <col min="98" max="98" width="7" style="150" customWidth="1" outlineLevel="1"/>
    <col min="99" max="99" width="9.28515625" style="150" customWidth="1" outlineLevel="1"/>
    <col min="100" max="100" width="6.140625" style="151" customWidth="1" outlineLevel="1"/>
    <col min="101" max="101" width="6.7109375" style="150" customWidth="1" outlineLevel="1"/>
    <col min="102" max="102" width="9.28515625" style="150" customWidth="1" outlineLevel="1"/>
    <col min="103" max="103" width="6.140625" style="150" customWidth="1" outlineLevel="1"/>
    <col min="104" max="104" width="6.7109375" style="150" customWidth="1" outlineLevel="1"/>
    <col min="105" max="105" width="9.28515625" style="150" customWidth="1"/>
    <col min="106" max="106" width="6.140625" style="150" customWidth="1" outlineLevel="1"/>
    <col min="107" max="107" width="6.7109375" style="150" customWidth="1" outlineLevel="1"/>
    <col min="108" max="108" width="9.28515625" style="150" customWidth="1" outlineLevel="1"/>
    <col min="109" max="110" width="6.140625" style="150" customWidth="1" outlineLevel="1"/>
    <col min="111" max="111" width="9.28515625" style="150" customWidth="1" outlineLevel="1"/>
    <col min="112" max="112" width="6.140625" style="150" customWidth="1" outlineLevel="1"/>
    <col min="113" max="113" width="6.7109375" style="150" customWidth="1" outlineLevel="1"/>
    <col min="114" max="114" width="9.28515625" style="150" customWidth="1" outlineLevel="1"/>
    <col min="115" max="116" width="6.140625" style="150" customWidth="1" outlineLevel="1"/>
    <col min="117" max="117" width="9.28515625" style="150" customWidth="1"/>
    <col min="118" max="119" width="6.140625" style="150" customWidth="1" outlineLevel="1"/>
    <col min="120" max="120" width="9.28515625" style="150" customWidth="1" outlineLevel="1"/>
    <col min="121" max="121" width="6.140625" style="150" customWidth="1" outlineLevel="1"/>
    <col min="122" max="122" width="8.7109375" style="150" customWidth="1" outlineLevel="1"/>
    <col min="123" max="123" width="9.28515625" style="150" customWidth="1" outlineLevel="1"/>
    <col min="124" max="124" width="6.140625" style="150" customWidth="1" outlineLevel="1"/>
    <col min="125" max="125" width="7" style="150" customWidth="1" outlineLevel="1"/>
    <col min="126" max="126" width="9.28515625" style="150" customWidth="1" outlineLevel="1"/>
    <col min="127" max="128" width="7.7109375" style="150" customWidth="1" outlineLevel="1"/>
    <col min="129" max="129" width="9.28515625" style="150" customWidth="1"/>
    <col min="130" max="131" width="7.7109375" style="150" customWidth="1" outlineLevel="1"/>
    <col min="132" max="132" width="9.28515625" style="150" customWidth="1" outlineLevel="1"/>
    <col min="133" max="133" width="6.140625" style="150" customWidth="1" outlineLevel="1"/>
    <col min="134" max="134" width="8.5703125" style="150" customWidth="1" outlineLevel="1"/>
    <col min="135" max="135" width="9.28515625" style="150" customWidth="1" outlineLevel="1"/>
    <col min="136" max="136" width="7.7109375" style="150" customWidth="1" outlineLevel="1"/>
    <col min="137" max="137" width="8.5703125" style="150" customWidth="1" outlineLevel="1"/>
    <col min="138" max="140" width="9.140625" style="150" customWidth="1" outlineLevel="1"/>
    <col min="141" max="141" width="9.140625" style="150" customWidth="1"/>
    <col min="142" max="143" width="9.140625" style="150" customWidth="1" outlineLevel="1"/>
    <col min="144" max="144" width="9" style="150" customWidth="1" outlineLevel="1"/>
    <col min="145" max="152" width="9.140625" style="150" customWidth="1" outlineLevel="1"/>
    <col min="153" max="161" width="9.140625" style="150" customWidth="1"/>
    <col min="162" max="164" width="9.140625" style="150"/>
    <col min="165" max="165" width="10.140625" style="150" bestFit="1" customWidth="1"/>
    <col min="166" max="167" width="9.140625" style="150"/>
    <col min="168" max="168" width="10.140625" style="150" bestFit="1" customWidth="1"/>
    <col min="169" max="170" width="9.140625" style="150"/>
    <col min="171" max="171" width="10.140625" style="150" bestFit="1" customWidth="1"/>
    <col min="172" max="173" width="9.140625" style="150"/>
    <col min="174" max="174" width="10.140625" style="150" bestFit="1" customWidth="1"/>
    <col min="175" max="176" width="9.140625" style="150"/>
    <col min="177" max="177" width="10.140625" style="150" bestFit="1" customWidth="1"/>
    <col min="178" max="179" width="9.140625" style="150"/>
    <col min="180" max="180" width="10.140625" style="150" bestFit="1" customWidth="1"/>
    <col min="181" max="182" width="9.140625" style="150"/>
    <col min="183" max="183" width="10.140625" style="150" bestFit="1" customWidth="1"/>
    <col min="184" max="185" width="9.140625" style="150"/>
    <col min="186" max="186" width="10.140625" style="150" bestFit="1" customWidth="1"/>
    <col min="187" max="188" width="9.140625" style="150"/>
    <col min="189" max="189" width="13.7109375" style="150" bestFit="1" customWidth="1"/>
    <col min="190" max="16384" width="9.140625" style="150"/>
  </cols>
  <sheetData>
    <row r="1" spans="1:254" s="145" customFormat="1" ht="16.5" customHeight="1">
      <c r="B1" s="612" t="s">
        <v>1132</v>
      </c>
      <c r="C1" s="612"/>
      <c r="D1" s="613"/>
      <c r="E1" s="613"/>
      <c r="F1" s="613"/>
      <c r="H1" s="613"/>
      <c r="I1" s="613"/>
      <c r="J1" s="613"/>
      <c r="L1" s="613"/>
      <c r="M1" s="613"/>
      <c r="N1" s="613"/>
      <c r="P1" s="613"/>
      <c r="Q1" s="613"/>
      <c r="R1" s="613"/>
      <c r="S1" s="613"/>
      <c r="T1" s="613"/>
      <c r="U1" s="613"/>
      <c r="W1" s="614"/>
      <c r="X1" s="614"/>
      <c r="Z1" s="146"/>
      <c r="AA1" s="146"/>
      <c r="AB1" s="146"/>
      <c r="AC1" s="146"/>
      <c r="AD1" s="146"/>
      <c r="AE1" s="146"/>
      <c r="AF1" s="146"/>
      <c r="AG1" s="146"/>
      <c r="AH1" s="146"/>
      <c r="AI1" s="146"/>
      <c r="AJ1" s="146"/>
      <c r="AK1" s="146"/>
      <c r="AL1" s="146"/>
      <c r="AM1" s="146"/>
      <c r="AN1" s="146"/>
      <c r="AO1" s="146"/>
      <c r="AP1" s="146"/>
      <c r="AQ1" s="146"/>
      <c r="AR1" s="146"/>
      <c r="AS1" s="146"/>
      <c r="AT1" s="146"/>
      <c r="AU1" s="146"/>
      <c r="AV1" s="146"/>
      <c r="AW1" s="146"/>
      <c r="AX1" s="146"/>
      <c r="AY1" s="146"/>
      <c r="AZ1" s="146"/>
      <c r="BA1" s="146"/>
      <c r="BB1" s="146"/>
      <c r="BC1" s="146"/>
      <c r="BD1" s="146"/>
      <c r="BE1" s="215"/>
      <c r="BF1" s="146"/>
      <c r="BG1" s="146"/>
      <c r="BH1" s="146"/>
      <c r="BI1" s="146"/>
      <c r="BJ1" s="146"/>
      <c r="BK1" s="146"/>
      <c r="BL1" s="146"/>
      <c r="BM1" s="146"/>
      <c r="BN1" s="146"/>
      <c r="BO1" s="146"/>
      <c r="BP1" s="146"/>
      <c r="BQ1" s="146"/>
      <c r="BR1" s="146"/>
      <c r="BS1" s="146"/>
      <c r="BT1" s="146"/>
      <c r="BU1" s="146"/>
      <c r="BV1" s="146"/>
      <c r="BW1" s="146"/>
      <c r="BX1" s="146"/>
      <c r="BY1" s="146"/>
      <c r="BZ1" s="146"/>
      <c r="CA1" s="146"/>
      <c r="CB1" s="146"/>
      <c r="CC1" s="146"/>
      <c r="CD1" s="146"/>
      <c r="CE1" s="146"/>
      <c r="CI1" s="146"/>
      <c r="CJ1" s="146"/>
      <c r="CK1" s="146"/>
      <c r="CL1" s="146"/>
      <c r="CM1" s="146"/>
      <c r="CN1" s="146"/>
      <c r="CP1" s="146"/>
      <c r="CS1" s="146"/>
      <c r="CV1" s="146"/>
      <c r="CX1" s="214"/>
      <c r="DD1" s="214"/>
    </row>
    <row r="2" spans="1:254" s="147" customFormat="1" ht="12.75">
      <c r="D2" s="148">
        <f>D6-D31</f>
        <v>0</v>
      </c>
      <c r="F2" s="148">
        <f>F6-F31</f>
        <v>0</v>
      </c>
      <c r="H2" s="148"/>
      <c r="J2" s="148"/>
      <c r="L2" s="148"/>
      <c r="O2" s="148"/>
      <c r="R2" s="148"/>
      <c r="S2" s="149"/>
      <c r="T2" s="149"/>
      <c r="U2" s="148"/>
      <c r="V2" s="149"/>
      <c r="W2" s="149"/>
      <c r="X2" s="148"/>
      <c r="Y2" s="149"/>
      <c r="Z2" s="149"/>
      <c r="AA2" s="148"/>
      <c r="AB2" s="149"/>
      <c r="AC2" s="149"/>
      <c r="AD2" s="148"/>
      <c r="AE2" s="149"/>
      <c r="AF2" s="149"/>
      <c r="AG2" s="148"/>
      <c r="AH2" s="149"/>
      <c r="AI2" s="149"/>
      <c r="AJ2" s="148"/>
      <c r="AK2" s="149"/>
      <c r="AL2" s="149"/>
      <c r="AM2" s="148"/>
      <c r="AN2" s="149"/>
      <c r="AO2" s="149"/>
      <c r="AP2" s="148"/>
      <c r="AQ2" s="149"/>
      <c r="AR2" s="149"/>
      <c r="AS2" s="148"/>
      <c r="AT2" s="149"/>
      <c r="AU2" s="149"/>
      <c r="AV2" s="148"/>
      <c r="AW2" s="149"/>
      <c r="AX2" s="149"/>
      <c r="AY2" s="148"/>
      <c r="AZ2" s="149"/>
      <c r="BA2" s="149"/>
      <c r="BB2" s="148"/>
      <c r="BC2" s="149"/>
      <c r="BD2" s="149"/>
      <c r="BE2" s="148"/>
      <c r="BF2" s="149"/>
      <c r="BG2" s="149"/>
      <c r="BH2" s="148"/>
      <c r="BI2" s="149"/>
      <c r="BJ2" s="149"/>
      <c r="BK2" s="148"/>
      <c r="BL2" s="149"/>
      <c r="BM2" s="149"/>
      <c r="BN2" s="148"/>
      <c r="BO2" s="149"/>
      <c r="BP2" s="149"/>
      <c r="BQ2" s="148"/>
      <c r="BR2" s="149"/>
      <c r="BS2" s="149"/>
      <c r="BT2" s="148"/>
      <c r="BU2" s="149"/>
      <c r="BV2" s="149"/>
      <c r="BW2" s="148"/>
      <c r="BX2" s="149"/>
      <c r="BY2" s="149"/>
      <c r="BZ2" s="148"/>
      <c r="CA2" s="149"/>
      <c r="CB2" s="149"/>
      <c r="CC2" s="148"/>
      <c r="CD2" s="149"/>
      <c r="CE2" s="149"/>
      <c r="CI2" s="148"/>
      <c r="CJ2" s="149"/>
      <c r="CK2" s="149"/>
      <c r="CL2" s="148"/>
      <c r="CM2" s="149"/>
      <c r="CN2" s="149"/>
      <c r="CP2" s="149"/>
      <c r="CS2" s="149"/>
      <c r="CU2" s="148"/>
      <c r="CV2" s="149"/>
    </row>
    <row r="3" spans="1:254" s="171" customFormat="1">
      <c r="D3" s="571"/>
      <c r="F3" s="571"/>
      <c r="H3" s="571"/>
      <c r="J3" s="571"/>
      <c r="K3" s="571"/>
      <c r="L3" s="571"/>
      <c r="M3" s="571"/>
      <c r="N3" s="571"/>
      <c r="O3" s="571"/>
      <c r="P3" s="571"/>
      <c r="Q3" s="571"/>
      <c r="R3" s="571"/>
      <c r="S3" s="571"/>
      <c r="T3" s="571"/>
      <c r="U3" s="571"/>
      <c r="V3" s="571"/>
      <c r="W3" s="571"/>
      <c r="X3" s="571"/>
      <c r="Y3" s="571"/>
      <c r="Z3" s="571"/>
      <c r="AA3" s="571"/>
      <c r="AB3" s="571"/>
      <c r="AC3" s="571"/>
      <c r="AD3" s="571"/>
      <c r="AE3" s="571"/>
      <c r="AF3" s="571"/>
      <c r="AG3" s="571"/>
      <c r="AH3" s="571"/>
      <c r="AI3" s="571"/>
      <c r="AJ3" s="571"/>
      <c r="AK3" s="571"/>
      <c r="AL3" s="571"/>
      <c r="AM3" s="571"/>
      <c r="AN3" s="571"/>
      <c r="AO3" s="571"/>
      <c r="AP3" s="571"/>
      <c r="AQ3" s="571"/>
      <c r="AR3" s="571"/>
      <c r="AS3" s="571"/>
      <c r="AT3" s="571"/>
      <c r="AU3" s="571"/>
      <c r="AV3" s="571"/>
      <c r="AW3" s="571"/>
      <c r="AX3" s="571"/>
      <c r="AY3" s="571"/>
      <c r="AZ3" s="571"/>
      <c r="BA3" s="571"/>
      <c r="BB3" s="571"/>
      <c r="BC3" s="571"/>
      <c r="BD3" s="571"/>
      <c r="BE3" s="571"/>
      <c r="BF3" s="571"/>
      <c r="BG3" s="571"/>
      <c r="BH3" s="571"/>
      <c r="BI3" s="571"/>
      <c r="BJ3" s="571"/>
      <c r="BK3" s="571"/>
      <c r="BL3" s="571"/>
      <c r="BM3" s="571"/>
      <c r="BN3" s="571"/>
      <c r="BO3" s="571"/>
      <c r="BP3" s="571"/>
      <c r="BQ3" s="571"/>
      <c r="BR3" s="571"/>
      <c r="BS3" s="571"/>
      <c r="BT3" s="571"/>
      <c r="BU3" s="571"/>
      <c r="BV3" s="571"/>
      <c r="BW3" s="571"/>
      <c r="BX3" s="571"/>
      <c r="BY3" s="571"/>
      <c r="BZ3" s="571"/>
      <c r="CA3" s="571"/>
      <c r="CB3" s="571"/>
      <c r="CC3" s="571"/>
      <c r="CD3" s="571"/>
      <c r="CE3" s="571"/>
      <c r="CF3" s="571"/>
      <c r="CG3" s="571"/>
      <c r="CH3" s="571"/>
      <c r="CI3" s="571"/>
      <c r="CJ3" s="571"/>
      <c r="CK3" s="571"/>
      <c r="CL3" s="571"/>
      <c r="CM3" s="571"/>
      <c r="CN3" s="571"/>
      <c r="CO3" s="571"/>
      <c r="CP3" s="571"/>
      <c r="CQ3" s="571"/>
      <c r="CR3" s="571"/>
      <c r="CS3" s="571"/>
      <c r="CT3" s="571"/>
      <c r="CU3" s="571"/>
      <c r="CV3" s="571"/>
      <c r="CW3" s="571"/>
      <c r="CX3" s="571"/>
      <c r="CY3" s="571"/>
      <c r="CZ3" s="571"/>
      <c r="DA3" s="571"/>
      <c r="DB3" s="571"/>
      <c r="DC3" s="571"/>
      <c r="DD3" s="571"/>
      <c r="DE3" s="571"/>
      <c r="DF3" s="571"/>
      <c r="DG3" s="571"/>
      <c r="DH3" s="571"/>
      <c r="DI3" s="571"/>
      <c r="DJ3" s="571"/>
      <c r="DK3" s="571"/>
      <c r="DL3" s="571"/>
      <c r="DM3" s="571"/>
      <c r="DN3" s="571"/>
      <c r="DO3" s="571"/>
      <c r="DP3" s="571"/>
      <c r="DQ3" s="571"/>
      <c r="DR3" s="571"/>
      <c r="DS3" s="571"/>
      <c r="DT3" s="571"/>
      <c r="DU3" s="571"/>
      <c r="DV3" s="571"/>
      <c r="DY3" s="571"/>
      <c r="EB3" s="571"/>
      <c r="EC3" s="571"/>
      <c r="ED3" s="571"/>
      <c r="EE3" s="571"/>
      <c r="EF3" s="571"/>
      <c r="EG3" s="571"/>
    </row>
    <row r="4" spans="1:254" ht="19.5" customHeight="1">
      <c r="B4" s="247" t="s">
        <v>277</v>
      </c>
      <c r="C4" s="248" t="s">
        <v>266</v>
      </c>
      <c r="D4" s="586" t="s">
        <v>231</v>
      </c>
      <c r="E4" s="587" t="s">
        <v>4</v>
      </c>
      <c r="F4" s="586" t="s">
        <v>232</v>
      </c>
      <c r="G4" s="587" t="s">
        <v>4</v>
      </c>
      <c r="H4" s="586" t="s">
        <v>233</v>
      </c>
      <c r="I4" s="587" t="s">
        <v>4</v>
      </c>
      <c r="J4" s="586" t="s">
        <v>234</v>
      </c>
      <c r="K4" s="587" t="s">
        <v>4</v>
      </c>
      <c r="L4" s="587" t="s">
        <v>235</v>
      </c>
      <c r="M4" s="587" t="s">
        <v>4</v>
      </c>
      <c r="N4" s="587" t="s">
        <v>9</v>
      </c>
      <c r="O4" s="587" t="s">
        <v>236</v>
      </c>
      <c r="P4" s="587" t="s">
        <v>4</v>
      </c>
      <c r="Q4" s="587" t="s">
        <v>9</v>
      </c>
      <c r="R4" s="587" t="s">
        <v>237</v>
      </c>
      <c r="S4" s="587" t="s">
        <v>4</v>
      </c>
      <c r="T4" s="587" t="s">
        <v>9</v>
      </c>
      <c r="U4" s="587" t="s">
        <v>238</v>
      </c>
      <c r="V4" s="587" t="s">
        <v>4</v>
      </c>
      <c r="W4" s="587" t="s">
        <v>9</v>
      </c>
      <c r="X4" s="587" t="s">
        <v>239</v>
      </c>
      <c r="Y4" s="587" t="s">
        <v>4</v>
      </c>
      <c r="Z4" s="587" t="s">
        <v>9</v>
      </c>
      <c r="AA4" s="587" t="s">
        <v>240</v>
      </c>
      <c r="AB4" s="587" t="s">
        <v>4</v>
      </c>
      <c r="AC4" s="587" t="s">
        <v>9</v>
      </c>
      <c r="AD4" s="587" t="s">
        <v>241</v>
      </c>
      <c r="AE4" s="587" t="s">
        <v>4</v>
      </c>
      <c r="AF4" s="587" t="s">
        <v>9</v>
      </c>
      <c r="AG4" s="587" t="s">
        <v>229</v>
      </c>
      <c r="AH4" s="587" t="s">
        <v>4</v>
      </c>
      <c r="AI4" s="587" t="s">
        <v>9</v>
      </c>
      <c r="AJ4" s="588" t="s">
        <v>250</v>
      </c>
      <c r="AK4" s="587" t="s">
        <v>4</v>
      </c>
      <c r="AL4" s="587" t="s">
        <v>9</v>
      </c>
      <c r="AM4" s="587" t="s">
        <v>242</v>
      </c>
      <c r="AN4" s="587" t="s">
        <v>4</v>
      </c>
      <c r="AO4" s="587" t="s">
        <v>9</v>
      </c>
      <c r="AP4" s="587" t="s">
        <v>243</v>
      </c>
      <c r="AQ4" s="587" t="s">
        <v>4</v>
      </c>
      <c r="AR4" s="587" t="s">
        <v>9</v>
      </c>
      <c r="AS4" s="587" t="s">
        <v>228</v>
      </c>
      <c r="AT4" s="587" t="s">
        <v>4</v>
      </c>
      <c r="AU4" s="587" t="s">
        <v>9</v>
      </c>
      <c r="AV4" s="587" t="s">
        <v>244</v>
      </c>
      <c r="AW4" s="587" t="s">
        <v>4</v>
      </c>
      <c r="AX4" s="587" t="s">
        <v>9</v>
      </c>
      <c r="AY4" s="587" t="s">
        <v>245</v>
      </c>
      <c r="AZ4" s="587" t="s">
        <v>4</v>
      </c>
      <c r="BA4" s="587" t="s">
        <v>9</v>
      </c>
      <c r="BB4" s="587" t="s">
        <v>246</v>
      </c>
      <c r="BC4" s="587" t="s">
        <v>4</v>
      </c>
      <c r="BD4" s="587" t="s">
        <v>9</v>
      </c>
      <c r="BE4" s="587" t="s">
        <v>226</v>
      </c>
      <c r="BF4" s="587" t="s">
        <v>4</v>
      </c>
      <c r="BG4" s="587" t="s">
        <v>9</v>
      </c>
      <c r="BH4" s="587" t="s">
        <v>247</v>
      </c>
      <c r="BI4" s="587" t="s">
        <v>4</v>
      </c>
      <c r="BJ4" s="587" t="s">
        <v>9</v>
      </c>
      <c r="BK4" s="587" t="s">
        <v>248</v>
      </c>
      <c r="BL4" s="587" t="s">
        <v>4</v>
      </c>
      <c r="BM4" s="587" t="s">
        <v>9</v>
      </c>
      <c r="BN4" s="587" t="s">
        <v>249</v>
      </c>
      <c r="BO4" s="587" t="s">
        <v>4</v>
      </c>
      <c r="BP4" s="587" t="s">
        <v>9</v>
      </c>
      <c r="BQ4" s="587" t="s">
        <v>227</v>
      </c>
      <c r="BR4" s="587" t="s">
        <v>4</v>
      </c>
      <c r="BS4" s="587" t="s">
        <v>9</v>
      </c>
      <c r="BT4" s="588" t="s">
        <v>230</v>
      </c>
      <c r="BU4" s="587" t="s">
        <v>4</v>
      </c>
      <c r="BV4" s="587" t="s">
        <v>9</v>
      </c>
      <c r="BW4" s="588" t="s">
        <v>256</v>
      </c>
      <c r="BX4" s="587" t="s">
        <v>4</v>
      </c>
      <c r="BY4" s="587" t="s">
        <v>9</v>
      </c>
      <c r="BZ4" s="587" t="s">
        <v>282</v>
      </c>
      <c r="CA4" s="587" t="s">
        <v>4</v>
      </c>
      <c r="CB4" s="587" t="s">
        <v>9</v>
      </c>
      <c r="CC4" s="587" t="s">
        <v>285</v>
      </c>
      <c r="CD4" s="587" t="s">
        <v>4</v>
      </c>
      <c r="CE4" s="587" t="s">
        <v>9</v>
      </c>
      <c r="CF4" s="587" t="s">
        <v>294</v>
      </c>
      <c r="CG4" s="587" t="s">
        <v>4</v>
      </c>
      <c r="CH4" s="587" t="s">
        <v>9</v>
      </c>
      <c r="CI4" s="588" t="s">
        <v>298</v>
      </c>
      <c r="CJ4" s="587" t="s">
        <v>4</v>
      </c>
      <c r="CK4" s="587" t="s">
        <v>9</v>
      </c>
      <c r="CL4" s="588" t="s">
        <v>303</v>
      </c>
      <c r="CM4" s="587" t="s">
        <v>4</v>
      </c>
      <c r="CN4" s="587" t="s">
        <v>9</v>
      </c>
      <c r="CO4" s="588" t="s">
        <v>322</v>
      </c>
      <c r="CP4" s="587" t="s">
        <v>4</v>
      </c>
      <c r="CQ4" s="587" t="s">
        <v>9</v>
      </c>
      <c r="CR4" s="588" t="s">
        <v>314</v>
      </c>
      <c r="CS4" s="587" t="s">
        <v>4</v>
      </c>
      <c r="CT4" s="587" t="s">
        <v>9</v>
      </c>
      <c r="CU4" s="588" t="s">
        <v>326</v>
      </c>
      <c r="CV4" s="587" t="s">
        <v>4</v>
      </c>
      <c r="CW4" s="587" t="s">
        <v>9</v>
      </c>
      <c r="CX4" s="588" t="s">
        <v>327</v>
      </c>
      <c r="CY4" s="587" t="s">
        <v>4</v>
      </c>
      <c r="CZ4" s="587" t="s">
        <v>9</v>
      </c>
      <c r="DA4" s="588" t="s">
        <v>332</v>
      </c>
      <c r="DB4" s="587" t="s">
        <v>4</v>
      </c>
      <c r="DC4" s="587" t="s">
        <v>9</v>
      </c>
      <c r="DD4" s="588" t="s">
        <v>337</v>
      </c>
      <c r="DE4" s="587" t="s">
        <v>4</v>
      </c>
      <c r="DF4" s="587" t="s">
        <v>9</v>
      </c>
      <c r="DG4" s="588" t="s">
        <v>347</v>
      </c>
      <c r="DH4" s="587" t="s">
        <v>4</v>
      </c>
      <c r="DI4" s="587" t="s">
        <v>9</v>
      </c>
      <c r="DJ4" s="588" t="s">
        <v>351</v>
      </c>
      <c r="DK4" s="587" t="s">
        <v>4</v>
      </c>
      <c r="DL4" s="587" t="s">
        <v>9</v>
      </c>
      <c r="DM4" s="588" t="s">
        <v>358</v>
      </c>
      <c r="DN4" s="587" t="s">
        <v>4</v>
      </c>
      <c r="DO4" s="587" t="s">
        <v>9</v>
      </c>
      <c r="DP4" s="588" t="s">
        <v>362</v>
      </c>
      <c r="DQ4" s="587" t="s">
        <v>4</v>
      </c>
      <c r="DR4" s="587" t="s">
        <v>9</v>
      </c>
      <c r="DS4" s="588" t="s">
        <v>373</v>
      </c>
      <c r="DT4" s="587" t="s">
        <v>4</v>
      </c>
      <c r="DU4" s="587" t="s">
        <v>9</v>
      </c>
      <c r="DV4" s="588" t="s">
        <v>395</v>
      </c>
      <c r="DW4" s="587" t="s">
        <v>4</v>
      </c>
      <c r="DX4" s="587" t="s">
        <v>9</v>
      </c>
      <c r="DY4" s="588" t="s">
        <v>397</v>
      </c>
      <c r="DZ4" s="587" t="s">
        <v>4</v>
      </c>
      <c r="EA4" s="587" t="s">
        <v>9</v>
      </c>
      <c r="EB4" s="588" t="s">
        <v>456</v>
      </c>
      <c r="EC4" s="587" t="s">
        <v>4</v>
      </c>
      <c r="ED4" s="587" t="s">
        <v>9</v>
      </c>
      <c r="EE4" s="588" t="s">
        <v>845</v>
      </c>
      <c r="EF4" s="587" t="s">
        <v>4</v>
      </c>
      <c r="EG4" s="587" t="s">
        <v>9</v>
      </c>
      <c r="EH4" s="588" t="s">
        <v>1128</v>
      </c>
      <c r="EI4" s="587" t="s">
        <v>4</v>
      </c>
      <c r="EJ4" s="587" t="s">
        <v>9</v>
      </c>
      <c r="EK4" s="588" t="s">
        <v>1160</v>
      </c>
      <c r="EL4" s="587" t="s">
        <v>4</v>
      </c>
      <c r="EM4" s="587" t="s">
        <v>9</v>
      </c>
      <c r="EN4" s="588" t="s">
        <v>1175</v>
      </c>
      <c r="EO4" s="587" t="s">
        <v>4</v>
      </c>
      <c r="EP4" s="587" t="s">
        <v>9</v>
      </c>
      <c r="EQ4" s="588" t="s">
        <v>1201</v>
      </c>
      <c r="ER4" s="587" t="s">
        <v>4</v>
      </c>
      <c r="ES4" s="587" t="s">
        <v>9</v>
      </c>
      <c r="ET4" s="588" t="s">
        <v>1224</v>
      </c>
      <c r="EU4" s="587" t="s">
        <v>4</v>
      </c>
      <c r="EV4" s="587" t="s">
        <v>9</v>
      </c>
      <c r="EW4" s="588" t="s">
        <v>1246</v>
      </c>
      <c r="EX4" s="587" t="s">
        <v>4</v>
      </c>
      <c r="EY4" s="587" t="s">
        <v>9</v>
      </c>
      <c r="EZ4" s="588" t="s">
        <v>1261</v>
      </c>
      <c r="FA4" s="587" t="s">
        <v>4</v>
      </c>
      <c r="FB4" s="587" t="s">
        <v>9</v>
      </c>
      <c r="FC4" s="588" t="s">
        <v>1283</v>
      </c>
      <c r="FD4" s="587" t="s">
        <v>4</v>
      </c>
      <c r="FE4" s="587" t="s">
        <v>9</v>
      </c>
      <c r="FF4" s="588" t="s">
        <v>1311</v>
      </c>
      <c r="FG4" s="587" t="s">
        <v>4</v>
      </c>
      <c r="FH4" s="587" t="s">
        <v>9</v>
      </c>
      <c r="FI4" s="588" t="s">
        <v>1341</v>
      </c>
      <c r="FJ4" s="587" t="s">
        <v>4</v>
      </c>
      <c r="FK4" s="587" t="s">
        <v>9</v>
      </c>
      <c r="FL4" s="588" t="s">
        <v>1359</v>
      </c>
      <c r="FM4" s="587" t="s">
        <v>4</v>
      </c>
      <c r="FN4" s="587" t="s">
        <v>9</v>
      </c>
      <c r="FO4" s="588" t="s">
        <v>1375</v>
      </c>
      <c r="FP4" s="587" t="s">
        <v>4</v>
      </c>
      <c r="FQ4" s="587" t="s">
        <v>9</v>
      </c>
      <c r="FR4" s="588" t="s">
        <v>1396</v>
      </c>
      <c r="FS4" s="587" t="s">
        <v>4</v>
      </c>
      <c r="FT4" s="587" t="s">
        <v>9</v>
      </c>
      <c r="FU4" s="588" t="s">
        <v>1431</v>
      </c>
      <c r="FV4" s="587" t="s">
        <v>4</v>
      </c>
      <c r="FW4" s="587" t="s">
        <v>9</v>
      </c>
      <c r="FX4" s="588" t="s">
        <v>1437</v>
      </c>
      <c r="FY4" s="587" t="s">
        <v>4</v>
      </c>
      <c r="FZ4" s="587" t="s">
        <v>9</v>
      </c>
      <c r="GA4" s="588" t="s">
        <v>1460</v>
      </c>
      <c r="GB4" s="587" t="s">
        <v>4</v>
      </c>
      <c r="GC4" s="587" t="s">
        <v>9</v>
      </c>
      <c r="GD4" s="588" t="s">
        <v>1465</v>
      </c>
      <c r="GE4" s="587" t="s">
        <v>4</v>
      </c>
      <c r="GF4" s="587" t="s">
        <v>9</v>
      </c>
      <c r="GG4" s="588" t="s">
        <v>1526</v>
      </c>
      <c r="GH4" s="587" t="s">
        <v>4</v>
      </c>
      <c r="GI4" s="587" t="s">
        <v>9</v>
      </c>
    </row>
    <row r="5" spans="1:254" s="153" customFormat="1" ht="16.5" customHeight="1">
      <c r="A5" s="152"/>
      <c r="B5" s="294" t="s">
        <v>139</v>
      </c>
      <c r="C5" s="295" t="s">
        <v>16</v>
      </c>
      <c r="D5" s="296"/>
      <c r="E5" s="297"/>
      <c r="F5" s="298"/>
      <c r="G5" s="297"/>
      <c r="H5" s="298"/>
      <c r="I5" s="297"/>
      <c r="J5" s="298"/>
      <c r="K5" s="297"/>
      <c r="L5" s="298"/>
      <c r="M5" s="297"/>
      <c r="N5" s="299"/>
      <c r="O5" s="298"/>
      <c r="P5" s="297"/>
      <c r="Q5" s="299"/>
      <c r="R5" s="298"/>
      <c r="S5" s="297"/>
      <c r="T5" s="297"/>
      <c r="U5" s="300"/>
      <c r="V5" s="297"/>
      <c r="W5" s="301"/>
      <c r="X5" s="297"/>
      <c r="Y5" s="297"/>
      <c r="Z5" s="301"/>
      <c r="AA5" s="300"/>
      <c r="AB5" s="297"/>
      <c r="AC5" s="301"/>
      <c r="AD5" s="300"/>
      <c r="AE5" s="297"/>
      <c r="AF5" s="301"/>
      <c r="AG5" s="300"/>
      <c r="AH5" s="297"/>
      <c r="AI5" s="301"/>
      <c r="AJ5" s="300"/>
      <c r="AK5" s="297"/>
      <c r="AL5" s="301"/>
      <c r="AM5" s="300"/>
      <c r="AN5" s="297"/>
      <c r="AO5" s="301"/>
      <c r="AP5" s="300"/>
      <c r="AQ5" s="297"/>
      <c r="AR5" s="301"/>
      <c r="AS5" s="300"/>
      <c r="AT5" s="297"/>
      <c r="AU5" s="301"/>
      <c r="AV5" s="300"/>
      <c r="AW5" s="297"/>
      <c r="AX5" s="301"/>
      <c r="AY5" s="300"/>
      <c r="AZ5" s="297"/>
      <c r="BA5" s="301"/>
      <c r="BB5" s="300"/>
      <c r="BC5" s="301"/>
      <c r="BD5" s="301"/>
      <c r="BE5" s="300"/>
      <c r="BF5" s="301"/>
      <c r="BG5" s="301"/>
      <c r="BH5" s="300"/>
      <c r="BI5" s="297"/>
      <c r="BJ5" s="301"/>
      <c r="BK5" s="300"/>
      <c r="BL5" s="297"/>
      <c r="BM5" s="301"/>
      <c r="BN5" s="300"/>
      <c r="BO5" s="297"/>
      <c r="BP5" s="301"/>
      <c r="BQ5" s="300"/>
      <c r="BR5" s="297"/>
      <c r="BS5" s="301"/>
      <c r="BT5" s="300"/>
      <c r="BU5" s="297"/>
      <c r="BV5" s="301"/>
      <c r="BW5" s="301"/>
      <c r="BX5" s="297"/>
      <c r="BY5" s="301"/>
      <c r="BZ5" s="300"/>
      <c r="CA5" s="297"/>
      <c r="CB5" s="301"/>
      <c r="CC5" s="300"/>
      <c r="CD5" s="297"/>
      <c r="CE5" s="301"/>
      <c r="CF5" s="300"/>
      <c r="CG5" s="297"/>
      <c r="CH5" s="301"/>
      <c r="CI5" s="301"/>
      <c r="CJ5" s="297"/>
      <c r="CK5" s="301"/>
      <c r="CL5" s="301"/>
      <c r="CM5" s="301"/>
      <c r="CN5" s="301"/>
      <c r="CO5" s="301"/>
      <c r="CP5" s="301"/>
      <c r="CQ5" s="301"/>
      <c r="CR5" s="301"/>
      <c r="CS5" s="301"/>
      <c r="CT5" s="301"/>
      <c r="CU5" s="301"/>
      <c r="CV5" s="301"/>
      <c r="CW5" s="301"/>
      <c r="CX5" s="301"/>
      <c r="CY5" s="301"/>
      <c r="CZ5" s="301"/>
      <c r="DA5" s="301"/>
      <c r="DB5" s="301"/>
      <c r="DC5" s="301"/>
      <c r="DD5" s="301"/>
      <c r="DE5" s="301"/>
      <c r="DF5" s="301"/>
      <c r="DG5" s="301"/>
      <c r="DH5" s="301"/>
      <c r="DI5" s="301"/>
      <c r="DJ5" s="301"/>
      <c r="DK5" s="301"/>
      <c r="DL5" s="301"/>
      <c r="DM5" s="301"/>
      <c r="DN5" s="301"/>
      <c r="DO5" s="301"/>
      <c r="DP5" s="301"/>
      <c r="DQ5" s="301"/>
      <c r="DR5" s="301"/>
      <c r="DS5" s="301"/>
      <c r="DT5" s="301"/>
      <c r="DU5" s="301"/>
      <c r="DV5" s="301"/>
      <c r="DW5" s="301"/>
      <c r="DX5" s="301"/>
      <c r="DY5" s="301"/>
      <c r="DZ5" s="301"/>
      <c r="EA5" s="301"/>
      <c r="EB5" s="301"/>
      <c r="EC5" s="301"/>
      <c r="ED5" s="301"/>
      <c r="EE5" s="301"/>
      <c r="EF5" s="301"/>
      <c r="EG5" s="301"/>
      <c r="EH5" s="301"/>
      <c r="EI5" s="301"/>
      <c r="EJ5" s="301"/>
      <c r="EK5" s="301"/>
      <c r="EL5" s="301"/>
      <c r="EM5" s="301"/>
      <c r="EN5" s="301"/>
      <c r="EO5" s="301"/>
      <c r="EP5" s="301"/>
      <c r="EQ5" s="301"/>
      <c r="ER5" s="301"/>
      <c r="ES5" s="301"/>
      <c r="ET5" s="301"/>
      <c r="EU5" s="301"/>
      <c r="EV5" s="301"/>
      <c r="EW5" s="301"/>
      <c r="EX5" s="301"/>
      <c r="EY5" s="301"/>
      <c r="EZ5" s="301"/>
      <c r="FA5" s="301"/>
      <c r="FB5" s="301"/>
      <c r="FC5" s="301"/>
      <c r="FD5" s="301"/>
      <c r="FE5" s="301"/>
      <c r="FF5" s="301"/>
      <c r="FG5" s="301"/>
      <c r="FH5" s="301"/>
      <c r="FI5" s="301"/>
      <c r="FJ5" s="301"/>
      <c r="FK5" s="301"/>
      <c r="FL5" s="301"/>
      <c r="FM5" s="301"/>
      <c r="FN5" s="301"/>
      <c r="FO5" s="301"/>
      <c r="FP5" s="301"/>
      <c r="FQ5" s="301"/>
      <c r="FR5" s="301"/>
      <c r="FS5" s="301"/>
      <c r="FT5" s="301"/>
      <c r="FU5" s="301"/>
      <c r="FV5" s="301"/>
      <c r="FW5" s="301"/>
      <c r="FX5" s="301"/>
      <c r="FY5" s="301"/>
      <c r="FZ5" s="301"/>
      <c r="GA5" s="301"/>
      <c r="GB5" s="301"/>
      <c r="GC5" s="301"/>
      <c r="GD5" s="301"/>
      <c r="GE5" s="301"/>
      <c r="GF5" s="301"/>
      <c r="GG5" s="301"/>
      <c r="GH5" s="301"/>
      <c r="GI5" s="301"/>
      <c r="GJ5" s="150"/>
      <c r="GK5" s="150"/>
      <c r="GL5" s="150"/>
      <c r="GM5" s="150"/>
      <c r="GN5" s="150"/>
      <c r="GO5" s="150"/>
      <c r="GP5" s="150"/>
      <c r="GQ5" s="150"/>
      <c r="GR5" s="150"/>
      <c r="GS5" s="150"/>
      <c r="GT5" s="150"/>
      <c r="GU5" s="150"/>
      <c r="GV5" s="150"/>
      <c r="GW5" s="150"/>
      <c r="GX5" s="150"/>
      <c r="GY5" s="150"/>
      <c r="GZ5" s="150"/>
      <c r="HA5" s="150"/>
      <c r="HB5" s="150"/>
      <c r="HC5" s="150"/>
      <c r="HD5" s="150"/>
      <c r="HE5" s="150"/>
      <c r="HF5" s="150"/>
      <c r="HG5" s="150"/>
      <c r="HH5" s="150"/>
      <c r="HI5" s="150"/>
      <c r="HJ5" s="150"/>
      <c r="HK5" s="150"/>
      <c r="HL5" s="150"/>
      <c r="HM5" s="150"/>
      <c r="HN5" s="150"/>
      <c r="HO5" s="150"/>
      <c r="HP5" s="150"/>
      <c r="HQ5" s="150"/>
      <c r="HR5" s="150"/>
      <c r="HS5" s="150"/>
      <c r="HT5" s="150"/>
      <c r="HU5" s="150"/>
      <c r="HV5" s="150"/>
      <c r="HW5" s="150"/>
      <c r="HX5" s="150"/>
      <c r="HY5" s="150"/>
      <c r="HZ5" s="150"/>
      <c r="IA5" s="150"/>
      <c r="IB5" s="150"/>
      <c r="IC5" s="150"/>
      <c r="ID5" s="150"/>
      <c r="IE5" s="150"/>
      <c r="IF5" s="150"/>
      <c r="IG5" s="150"/>
      <c r="IH5" s="150"/>
      <c r="II5" s="150"/>
      <c r="IJ5" s="150"/>
      <c r="IK5" s="150"/>
      <c r="IL5" s="150"/>
      <c r="IM5" s="150"/>
      <c r="IN5" s="150"/>
      <c r="IO5" s="150"/>
      <c r="IP5" s="150"/>
      <c r="IQ5" s="150"/>
      <c r="IR5" s="150"/>
      <c r="IS5" s="150"/>
      <c r="IT5" s="150"/>
    </row>
    <row r="6" spans="1:254" s="154" customFormat="1" ht="16.5" customHeight="1">
      <c r="B6" s="155" t="s">
        <v>17</v>
      </c>
      <c r="C6" s="156" t="s">
        <v>18</v>
      </c>
      <c r="D6" s="157">
        <f>D7+D18</f>
        <v>672486</v>
      </c>
      <c r="E6" s="158">
        <f t="shared" ref="E6:E29" si="0">D6/$D$6</f>
        <v>1</v>
      </c>
      <c r="F6" s="157">
        <f>F7+F18</f>
        <v>702874</v>
      </c>
      <c r="G6" s="158">
        <f t="shared" ref="G6:G29" si="1">F6/$F$6</f>
        <v>1</v>
      </c>
      <c r="H6" s="157">
        <f>H7+H18</f>
        <v>873847</v>
      </c>
      <c r="I6" s="158">
        <f t="shared" ref="I6:I29" si="2">H6/$H$6</f>
        <v>1</v>
      </c>
      <c r="J6" s="157">
        <f>J7+J18</f>
        <v>1067284</v>
      </c>
      <c r="K6" s="158">
        <f t="shared" ref="K6:K24" si="3">J6/$J$6</f>
        <v>1</v>
      </c>
      <c r="L6" s="157">
        <f>L7+L18</f>
        <v>923259</v>
      </c>
      <c r="M6" s="158">
        <f t="shared" ref="M6:M29" si="4">L6/$L$6</f>
        <v>1</v>
      </c>
      <c r="N6" s="158">
        <f t="shared" ref="N6:N20" si="5">(L6/D6)-1</f>
        <v>0.37290441734103008</v>
      </c>
      <c r="O6" s="157">
        <f>O7+O18</f>
        <v>1058938</v>
      </c>
      <c r="P6" s="158">
        <f t="shared" ref="P6:P29" si="6">O6/$O$6</f>
        <v>1</v>
      </c>
      <c r="Q6" s="158">
        <f t="shared" ref="Q6:Q12" si="7">(O6/F6)-1</f>
        <v>0.50658297219700832</v>
      </c>
      <c r="R6" s="157">
        <f>R7+R18</f>
        <v>1114516</v>
      </c>
      <c r="S6" s="158">
        <f t="shared" ref="S6:S29" si="8">R6/$R$6</f>
        <v>1</v>
      </c>
      <c r="T6" s="158">
        <f t="shared" ref="T6:T24" si="9">(R6/H6)-1</f>
        <v>0.27541320162454075</v>
      </c>
      <c r="U6" s="157">
        <f>U7+U18</f>
        <v>1426122</v>
      </c>
      <c r="V6" s="158">
        <f t="shared" ref="V6:V29" si="10">U6/$U$6</f>
        <v>1</v>
      </c>
      <c r="W6" s="158">
        <f t="shared" ref="W6:W24" si="11">(U6/J6)-1</f>
        <v>0.33621603996686922</v>
      </c>
      <c r="X6" s="157">
        <f>X7+X18</f>
        <v>1267399</v>
      </c>
      <c r="Y6" s="158">
        <f t="shared" ref="Y6:Y29" si="12">X6/$X$6</f>
        <v>1</v>
      </c>
      <c r="Z6" s="158">
        <f t="shared" ref="Z6:Z24" si="13">(X6/L6)-1</f>
        <v>0.37274480941967525</v>
      </c>
      <c r="AA6" s="157">
        <f>AA7+AA18</f>
        <v>1319883</v>
      </c>
      <c r="AB6" s="158">
        <f t="shared" ref="AB6:AB29" si="14">AA6/$AA$6</f>
        <v>1</v>
      </c>
      <c r="AC6" s="158">
        <f t="shared" ref="AC6:AC24" si="15">(AA6/O6)-1</f>
        <v>0.24642141466261491</v>
      </c>
      <c r="AD6" s="157">
        <f>AD7+AD18</f>
        <v>1356469</v>
      </c>
      <c r="AE6" s="158">
        <f t="shared" ref="AE6:AE29" si="16">AD6/$AD$6</f>
        <v>1</v>
      </c>
      <c r="AF6" s="158">
        <f t="shared" ref="AF6:AF24" si="17">(AD6/R6)-1</f>
        <v>0.21709244192097743</v>
      </c>
      <c r="AG6" s="157">
        <f>AG7+AG18</f>
        <v>1608356</v>
      </c>
      <c r="AH6" s="158">
        <f t="shared" ref="AH6:AH29" si="18">AG6/$AG$6</f>
        <v>1</v>
      </c>
      <c r="AI6" s="158">
        <f t="shared" ref="AI6:AI24" si="19">(AG6/U6)-1</f>
        <v>0.12778289655443231</v>
      </c>
      <c r="AJ6" s="157">
        <f>AJ7+AJ18</f>
        <v>1458016</v>
      </c>
      <c r="AK6" s="158">
        <f t="shared" ref="AK6:AK29" si="20">AJ6/$AJ$6</f>
        <v>1</v>
      </c>
      <c r="AL6" s="158">
        <f t="shared" ref="AL6:AL24" si="21">(AJ6/X6)-1</f>
        <v>0.15040015022893338</v>
      </c>
      <c r="AM6" s="157">
        <f>AM7+AM18</f>
        <v>1505928</v>
      </c>
      <c r="AN6" s="158">
        <f t="shared" ref="AN6:AN29" si="22">AM6/$AM$6</f>
        <v>1</v>
      </c>
      <c r="AO6" s="158">
        <f t="shared" ref="AO6:AO24" si="23">(AM6/AA6)-1</f>
        <v>0.1409556756167023</v>
      </c>
      <c r="AP6" s="157">
        <f>AP7+AP18</f>
        <v>1435204</v>
      </c>
      <c r="AQ6" s="158">
        <f t="shared" ref="AQ6:AQ29" si="24">AP6/$AP$6</f>
        <v>1</v>
      </c>
      <c r="AR6" s="158">
        <f t="shared" ref="AR6:AR24" si="25">(AP6/AD6)-1</f>
        <v>5.8044083572864613E-2</v>
      </c>
      <c r="AS6" s="157">
        <f>AS7+AS18</f>
        <v>1626355</v>
      </c>
      <c r="AT6" s="158">
        <f t="shared" ref="AT6:AT29" si="26">AS6/$AS$6</f>
        <v>1</v>
      </c>
      <c r="AU6" s="158">
        <f t="shared" ref="AU6:AU24" si="27">(AS6/AG6)-1</f>
        <v>1.119093036616281E-2</v>
      </c>
      <c r="AV6" s="157">
        <f>AV7+AV18</f>
        <v>1452186</v>
      </c>
      <c r="AW6" s="158">
        <f t="shared" ref="AW6:AW24" si="28">AV6/$AV$6</f>
        <v>1</v>
      </c>
      <c r="AX6" s="158">
        <f t="shared" ref="AX6:AX24" si="29">(AV6/AJ6)-1</f>
        <v>-3.9985843776748631E-3</v>
      </c>
      <c r="AY6" s="157">
        <f>AY7+AY18</f>
        <v>1586345</v>
      </c>
      <c r="AZ6" s="158">
        <f t="shared" ref="AZ6:AZ29" si="30">AY6/$AY$6</f>
        <v>1</v>
      </c>
      <c r="BA6" s="158">
        <f t="shared" ref="BA6:BA24" si="31">(AY6/AM6)-1</f>
        <v>5.3400295366046624E-2</v>
      </c>
      <c r="BB6" s="157">
        <f>BB7+BB18</f>
        <v>1629790</v>
      </c>
      <c r="BC6" s="158">
        <f t="shared" ref="BC6:BC24" si="32">BB6/$BB$6</f>
        <v>1</v>
      </c>
      <c r="BD6" s="158">
        <f t="shared" ref="BD6:BD24" si="33">(BB6/AP6)-1</f>
        <v>0.13558072580622693</v>
      </c>
      <c r="BE6" s="157">
        <f>BE7+BE18</f>
        <v>1921197</v>
      </c>
      <c r="BF6" s="158">
        <f t="shared" ref="BF6:BF24" si="34">BE6/$BE$6</f>
        <v>1</v>
      </c>
      <c r="BG6" s="158">
        <f t="shared" ref="BG6:BG24" si="35">(BE6/AS6)-1</f>
        <v>0.18129006274767812</v>
      </c>
      <c r="BH6" s="157">
        <f>BH7+BH18</f>
        <v>1832162</v>
      </c>
      <c r="BI6" s="158">
        <f>BH6/$BH$6</f>
        <v>1</v>
      </c>
      <c r="BJ6" s="158">
        <f>(BH6/AV6)-1</f>
        <v>0.26165794188898661</v>
      </c>
      <c r="BK6" s="157">
        <f>BK7+BK18</f>
        <v>1871880</v>
      </c>
      <c r="BL6" s="158">
        <f>BK6/$BK$6</f>
        <v>1</v>
      </c>
      <c r="BM6" s="158">
        <f>(BK6/AY6)-1</f>
        <v>0.17999552430272114</v>
      </c>
      <c r="BN6" s="157">
        <f>BN7+BN18</f>
        <v>1905562</v>
      </c>
      <c r="BO6" s="158">
        <f t="shared" ref="BO6:BO29" si="36">BN6/$BN$6</f>
        <v>1</v>
      </c>
      <c r="BP6" s="158">
        <f t="shared" ref="BP6:BP24" si="37">(BN6/BB6)-1</f>
        <v>0.16920707575822647</v>
      </c>
      <c r="BQ6" s="157">
        <f>BQ7+BQ18</f>
        <v>2456015</v>
      </c>
      <c r="BR6" s="158">
        <f t="shared" ref="BR6:BR29" si="38">BQ6/$BQ$6</f>
        <v>1</v>
      </c>
      <c r="BS6" s="158">
        <f t="shared" ref="BS6:BS24" si="39">(BQ6/BE6)-1</f>
        <v>0.27837749069980844</v>
      </c>
      <c r="BT6" s="157">
        <f>BT7+BT18</f>
        <v>2212079</v>
      </c>
      <c r="BU6" s="158">
        <f t="shared" ref="BU6:BU24" si="40">BT6/$BT$6</f>
        <v>1</v>
      </c>
      <c r="BV6" s="158">
        <f t="shared" ref="BV6:BV24" si="41">(BT6/BH6)-1</f>
        <v>0.20735993869537728</v>
      </c>
      <c r="BW6" s="160">
        <f>BW7+BW18</f>
        <v>2228907</v>
      </c>
      <c r="BX6" s="158">
        <f t="shared" ref="BX6:BX29" si="42">BW6/$BW$6</f>
        <v>1</v>
      </c>
      <c r="BY6" s="158">
        <f t="shared" ref="BY6:BY24" si="43">(BW6/BK6)-1</f>
        <v>0.19073177767805638</v>
      </c>
      <c r="BZ6" s="157">
        <f>BZ7+BZ18</f>
        <v>2661532</v>
      </c>
      <c r="CA6" s="158">
        <f>BZ6/$BZ$6</f>
        <v>1</v>
      </c>
      <c r="CB6" s="158">
        <f t="shared" ref="CB6:CB24" si="44">(BZ6/BN6)-1</f>
        <v>0.39671760876843676</v>
      </c>
      <c r="CC6" s="157">
        <f>CC7+CC18</f>
        <v>2983504</v>
      </c>
      <c r="CD6" s="158">
        <f>CC6/$CC$6</f>
        <v>1</v>
      </c>
      <c r="CE6" s="158">
        <f t="shared" ref="CE6:CE24" si="45">(CC6/BQ6)-1</f>
        <v>0.21477433973326709</v>
      </c>
      <c r="CF6" s="157">
        <f>CF7+CF18</f>
        <v>2859507</v>
      </c>
      <c r="CG6" s="158">
        <f>CF6/$CF$6</f>
        <v>1</v>
      </c>
      <c r="CH6" s="158">
        <f t="shared" ref="CH6:CH24" si="46">(CF6/BT6)-1</f>
        <v>0.29267851645443033</v>
      </c>
      <c r="CI6" s="160">
        <f>CI7+CI18</f>
        <v>2909729</v>
      </c>
      <c r="CJ6" s="158">
        <f>CI6/$CI$6</f>
        <v>1</v>
      </c>
      <c r="CK6" s="158">
        <f t="shared" ref="CK6:CK24" si="47">(CI6/BW6)-1</f>
        <v>0.30545105740167711</v>
      </c>
      <c r="CL6" s="160">
        <f>CL7+CL18</f>
        <v>3322175</v>
      </c>
      <c r="CM6" s="158">
        <f>CL6/$CL$6</f>
        <v>1</v>
      </c>
      <c r="CN6" s="158">
        <f t="shared" ref="CN6:CN24" si="48">(CL6/BZ6)-1</f>
        <v>0.24821907082086558</v>
      </c>
      <c r="CO6" s="160">
        <f>CO7+CO18</f>
        <v>3770028</v>
      </c>
      <c r="CP6" s="158">
        <f>CO6/$CO$6</f>
        <v>1</v>
      </c>
      <c r="CQ6" s="158">
        <f>(CO6/CC6)-1</f>
        <v>0.26362424853460897</v>
      </c>
      <c r="CR6" s="160">
        <f>CR7+CR18</f>
        <v>3485527</v>
      </c>
      <c r="CS6" s="158">
        <f>CR6/$CR$6</f>
        <v>1</v>
      </c>
      <c r="CT6" s="158">
        <f>(CR6/CF6)-1</f>
        <v>0.21892584980557839</v>
      </c>
      <c r="CU6" s="160">
        <f>CU7+CU18</f>
        <v>3513137</v>
      </c>
      <c r="CV6" s="158">
        <f>CU6/$CU$6</f>
        <v>1</v>
      </c>
      <c r="CW6" s="158">
        <f>(CU6/CI6)-1</f>
        <v>0.20737601336756795</v>
      </c>
      <c r="CX6" s="160">
        <f>CX7+CX18</f>
        <v>4015436.0360000003</v>
      </c>
      <c r="CY6" s="158">
        <f t="shared" ref="CY6:CY12" si="49">CX6/$CX$6</f>
        <v>1</v>
      </c>
      <c r="CZ6" s="158">
        <f t="shared" ref="CZ6:CZ24" si="50">(CX6/CL6)-1</f>
        <v>0.20867685657739288</v>
      </c>
      <c r="DA6" s="160">
        <f>DA7+DA18</f>
        <v>4515524</v>
      </c>
      <c r="DB6" s="158">
        <f>DA6/$DA$6</f>
        <v>1</v>
      </c>
      <c r="DC6" s="158">
        <f>(DA6/CO6)-1</f>
        <v>0.1977428284352265</v>
      </c>
      <c r="DD6" s="160">
        <f>DD7+DD18</f>
        <v>4300689</v>
      </c>
      <c r="DE6" s="158">
        <f t="shared" ref="DE6:DE12" si="51">DD6/$DD$6</f>
        <v>1</v>
      </c>
      <c r="DF6" s="158">
        <f>(DD6/CR6)-1</f>
        <v>0.23387051656750901</v>
      </c>
      <c r="DG6" s="160">
        <f>DG7+DG18</f>
        <v>4404998</v>
      </c>
      <c r="DH6" s="158">
        <f t="shared" ref="DH6:DH26" si="52">DG6/$DG$6</f>
        <v>1</v>
      </c>
      <c r="DI6" s="158">
        <f>(DG6/CU6)-1</f>
        <v>0.25386456605592089</v>
      </c>
      <c r="DJ6" s="160">
        <f>DJ7+DJ18</f>
        <v>4509147</v>
      </c>
      <c r="DK6" s="158">
        <f t="shared" ref="DK6:DK33" si="53">DJ6/$DJ$6</f>
        <v>1</v>
      </c>
      <c r="DL6" s="158">
        <f>(DJ6/CX6)-1</f>
        <v>0.12295326325053679</v>
      </c>
      <c r="DM6" s="160">
        <f>DM7+DM18</f>
        <v>5318883.7699999996</v>
      </c>
      <c r="DN6" s="158">
        <f>DM6/$DM$6</f>
        <v>1</v>
      </c>
      <c r="DO6" s="158">
        <f t="shared" ref="DO6:DO24" si="54">(DM6/DA6)-1</f>
        <v>0.17791064115703947</v>
      </c>
      <c r="DP6" s="160">
        <f>DP7+DP18</f>
        <v>5075915</v>
      </c>
      <c r="DQ6" s="158">
        <f t="shared" ref="DQ6:DQ38" si="55">DP6/$DP$6</f>
        <v>1</v>
      </c>
      <c r="DR6" s="158">
        <f t="shared" ref="DR6:DR20" si="56">(DP6/DD6)-1</f>
        <v>0.18025623336167773</v>
      </c>
      <c r="DS6" s="160">
        <f>DS7+DS18</f>
        <v>5231713</v>
      </c>
      <c r="DT6" s="158">
        <f>DS6/DS$6</f>
        <v>1</v>
      </c>
      <c r="DU6" s="158">
        <f>(DS6/DG6)-1</f>
        <v>0.18767658918346841</v>
      </c>
      <c r="DV6" s="160">
        <f>DV7+DV18</f>
        <v>5292745</v>
      </c>
      <c r="DW6" s="158">
        <f>DV6/DV$6</f>
        <v>1</v>
      </c>
      <c r="DX6" s="158">
        <f>(DV6/DJ6)-1</f>
        <v>0.17377965278133534</v>
      </c>
      <c r="DY6" s="160">
        <f>DY7+DY18</f>
        <v>5863719</v>
      </c>
      <c r="DZ6" s="158">
        <f t="shared" ref="DZ6:DZ17" si="57">DY6/DY$6</f>
        <v>1</v>
      </c>
      <c r="EA6" s="158">
        <f>(DY6/DM6)-1</f>
        <v>0.10243412970838439</v>
      </c>
      <c r="EB6" s="160">
        <f>EB7+EB18</f>
        <v>5571244</v>
      </c>
      <c r="EC6" s="158">
        <f>EB6/EB$6</f>
        <v>1</v>
      </c>
      <c r="ED6" s="158">
        <f>(EB6/DP6)-1</f>
        <v>9.7584179404107463E-2</v>
      </c>
      <c r="EE6" s="160">
        <f>EE7+EE18</f>
        <v>5812619</v>
      </c>
      <c r="EF6" s="158">
        <f t="shared" ref="EF6:EF20" si="58">EE6/EE$6</f>
        <v>1</v>
      </c>
      <c r="EG6" s="158">
        <f t="shared" ref="EG6:EG20" si="59">(EE6/DS6)-1</f>
        <v>0.11103552507563008</v>
      </c>
      <c r="EH6" s="160">
        <f>EH7+EH18</f>
        <v>5674332</v>
      </c>
      <c r="EI6" s="158">
        <f t="shared" ref="EI6:EI20" si="60">EH6/EH$6</f>
        <v>1</v>
      </c>
      <c r="EJ6" s="158">
        <f t="shared" ref="EJ6:EJ20" si="61">(EH6/DV6)-1</f>
        <v>7.209623739666271E-2</v>
      </c>
      <c r="EK6" s="160">
        <f>EK7+EK18</f>
        <v>6475212</v>
      </c>
      <c r="EL6" s="158">
        <f t="shared" ref="EL6:EL20" si="62">EK6/EK$6</f>
        <v>1</v>
      </c>
      <c r="EM6" s="158">
        <f t="shared" ref="EM6:EM20" si="63">(EK6/DY6)-1</f>
        <v>0.10428415822790971</v>
      </c>
      <c r="EN6" s="160">
        <f>EN7+EN18</f>
        <v>6251926</v>
      </c>
      <c r="EO6" s="158">
        <f t="shared" ref="EO6" si="64">EN6/EN$6</f>
        <v>1</v>
      </c>
      <c r="EP6" s="158">
        <f t="shared" ref="EP6:EP20" si="65">(EN6/EB6)-1</f>
        <v>0.12217773983691971</v>
      </c>
      <c r="EQ6" s="160">
        <f>EQ7+EQ18</f>
        <v>6596513</v>
      </c>
      <c r="ER6" s="158">
        <f t="shared" ref="ER6:ER20" si="66">EQ6/EQ$6</f>
        <v>1</v>
      </c>
      <c r="ES6" s="158">
        <f t="shared" ref="ES6:ES20" si="67">(EQ6/EE6)-1</f>
        <v>0.13486072285143758</v>
      </c>
      <c r="ET6" s="160">
        <f>ET7+ET18</f>
        <v>6486567</v>
      </c>
      <c r="EU6" s="158">
        <f t="shared" ref="EU6:EU20" si="68">ET6/ET$6</f>
        <v>1</v>
      </c>
      <c r="EV6" s="158">
        <f t="shared" ref="EV6:EV10" si="69">(ET6/EH6)-1</f>
        <v>0.14314195926498474</v>
      </c>
      <c r="EW6" s="160">
        <f>EW7+EW18</f>
        <v>7547658</v>
      </c>
      <c r="EX6" s="158">
        <f t="shared" ref="EX6:EX21" si="70">EW6/EW$6</f>
        <v>1</v>
      </c>
      <c r="EY6" s="158">
        <f t="shared" ref="EY6:EY8" si="71">(EW6/EK6)-1</f>
        <v>0.16562330314436036</v>
      </c>
      <c r="EZ6" s="160">
        <f>EZ7+EZ18</f>
        <v>7026755</v>
      </c>
      <c r="FA6" s="158">
        <f>EZ6/EZ$6</f>
        <v>1</v>
      </c>
      <c r="FB6" s="158">
        <f>(EZ6/EN6)-1</f>
        <v>0.12393444836039325</v>
      </c>
      <c r="FC6" s="160">
        <f>FC7+FC18</f>
        <v>7305307</v>
      </c>
      <c r="FD6" s="158">
        <f>FC6/FC$6</f>
        <v>1</v>
      </c>
      <c r="FE6" s="158">
        <f>(FC6/EQ6)-1</f>
        <v>0.10744979961382617</v>
      </c>
      <c r="FF6" s="160">
        <f>FF7+FF18</f>
        <v>7547252</v>
      </c>
      <c r="FG6" s="158">
        <f>FF6/FF$6</f>
        <v>1</v>
      </c>
      <c r="FH6" s="158">
        <f>(FF6/ET6)-1</f>
        <v>0.16352024113834029</v>
      </c>
      <c r="FI6" s="160">
        <f>FI7+FI18</f>
        <v>8821048</v>
      </c>
      <c r="FJ6" s="158">
        <f>FI6/FI$6</f>
        <v>1</v>
      </c>
      <c r="FK6" s="158">
        <f>(FI6/EW6)-1</f>
        <v>0.16871326178266166</v>
      </c>
      <c r="FL6" s="160">
        <f>FL7+FL18</f>
        <v>10063113</v>
      </c>
      <c r="FM6" s="158">
        <f>FL6/FL$6</f>
        <v>1</v>
      </c>
      <c r="FN6" s="158">
        <f t="shared" ref="FN6:FN16" si="72">(FL6/EZ6)-1</f>
        <v>0.43211382779106433</v>
      </c>
      <c r="FO6" s="160">
        <f>FO7+FO18</f>
        <v>9923908</v>
      </c>
      <c r="FP6" s="158">
        <f t="shared" ref="FP6:FP29" si="73">FO6/FO$6</f>
        <v>1</v>
      </c>
      <c r="FQ6" s="158">
        <f t="shared" ref="FQ6:FQ16" si="74">(FO6/FC6)-1</f>
        <v>0.35845187614976348</v>
      </c>
      <c r="FR6" s="160">
        <f>FR7+FR18</f>
        <v>10202306</v>
      </c>
      <c r="FS6" s="158">
        <f>FR6/FR$6</f>
        <v>1</v>
      </c>
      <c r="FT6" s="158">
        <f>(FR6/FF6)-1</f>
        <v>0.3517908239979266</v>
      </c>
      <c r="FU6" s="160">
        <f>FU7+FU18</f>
        <v>11552902</v>
      </c>
      <c r="FV6" s="158">
        <f>FU6/FU$6</f>
        <v>1</v>
      </c>
      <c r="FW6" s="158">
        <f>(FU6/FI6)-1</f>
        <v>0.30969721511548287</v>
      </c>
      <c r="FX6" s="160">
        <f>FX7+FX18</f>
        <v>11504459</v>
      </c>
      <c r="FY6" s="158">
        <f>FX6/FX$6</f>
        <v>1</v>
      </c>
      <c r="FZ6" s="158">
        <f>(FX6/FL6)-1</f>
        <v>0.14323062853413249</v>
      </c>
      <c r="GA6" s="160">
        <f>GA7+GA18</f>
        <v>12828071</v>
      </c>
      <c r="GB6" s="158">
        <f>GA6/GA$6</f>
        <v>1</v>
      </c>
      <c r="GC6" s="158">
        <f>(GA6/FO6)-1</f>
        <v>0.29264307972222237</v>
      </c>
      <c r="GD6" s="160">
        <f>GD7+GD18</f>
        <v>12982090</v>
      </c>
      <c r="GE6" s="158">
        <f>GD6/GD$6</f>
        <v>1</v>
      </c>
      <c r="GF6" s="158">
        <f>(GD6/FR6)-1</f>
        <v>0.27246624439611988</v>
      </c>
      <c r="GG6" s="160">
        <f>GG7+GG18</f>
        <v>14642583</v>
      </c>
      <c r="GH6" s="158">
        <f>GG6/GG$6</f>
        <v>1</v>
      </c>
      <c r="GI6" s="158">
        <f>(GG6/FU6)-1</f>
        <v>0.26743765332727665</v>
      </c>
    </row>
    <row r="7" spans="1:254" s="154" customFormat="1" ht="16.5" customHeight="1">
      <c r="B7" s="155" t="s">
        <v>272</v>
      </c>
      <c r="C7" s="161" t="s">
        <v>165</v>
      </c>
      <c r="D7" s="162">
        <f>D8+D10+D11+D14+D16+D17+D15</f>
        <v>465338</v>
      </c>
      <c r="E7" s="158">
        <f t="shared" si="0"/>
        <v>0.69196682161413026</v>
      </c>
      <c r="F7" s="162">
        <f>F8+F10+F11+F14+F16+F17+F15</f>
        <v>484529</v>
      </c>
      <c r="G7" s="158">
        <f t="shared" si="1"/>
        <v>0.68935399516840856</v>
      </c>
      <c r="H7" s="162">
        <f>H8+H10+H11+H14+H16+H17+H15</f>
        <v>650524</v>
      </c>
      <c r="I7" s="158">
        <f t="shared" si="2"/>
        <v>0.74443695521069475</v>
      </c>
      <c r="J7" s="162">
        <f>J8+J10+J11+J14+J16+J17+J15</f>
        <v>811611</v>
      </c>
      <c r="K7" s="158">
        <f t="shared" si="3"/>
        <v>0.76044520483770017</v>
      </c>
      <c r="L7" s="162">
        <f>L8+L10+L11+L14+L16+L17+L15</f>
        <v>666781</v>
      </c>
      <c r="M7" s="158">
        <f t="shared" si="4"/>
        <v>0.7222036286675787</v>
      </c>
      <c r="N7" s="158">
        <f t="shared" si="5"/>
        <v>0.43289608843464311</v>
      </c>
      <c r="O7" s="162">
        <f>O8+O10+O11+O14+O16+O17+O15</f>
        <v>773039</v>
      </c>
      <c r="P7" s="158">
        <f t="shared" si="6"/>
        <v>0.73001346632191877</v>
      </c>
      <c r="Q7" s="158">
        <f t="shared" si="7"/>
        <v>0.59544423553595349</v>
      </c>
      <c r="R7" s="162">
        <f>R8+R10+R11+R14+R16+R17+R15</f>
        <v>814675</v>
      </c>
      <c r="S7" s="158">
        <f t="shared" si="8"/>
        <v>0.73096752312214452</v>
      </c>
      <c r="T7" s="158">
        <f t="shared" si="9"/>
        <v>0.25233657789720287</v>
      </c>
      <c r="U7" s="162">
        <f>U8+U10+U11+U14+U16+U17+U15</f>
        <v>1073136</v>
      </c>
      <c r="V7" s="158">
        <f t="shared" si="10"/>
        <v>0.75248541148653481</v>
      </c>
      <c r="W7" s="158">
        <f t="shared" si="11"/>
        <v>0.32222949171462689</v>
      </c>
      <c r="X7" s="162">
        <f>X8+X10+X11+X14+X16+X17+X15</f>
        <v>918019</v>
      </c>
      <c r="Y7" s="158">
        <f t="shared" si="12"/>
        <v>0.72433306322633995</v>
      </c>
      <c r="Z7" s="158">
        <f t="shared" si="13"/>
        <v>0.3767923801068116</v>
      </c>
      <c r="AA7" s="162">
        <f>AA8+AA10+AA11+AA14+AA16+AA17+AA15</f>
        <v>948706</v>
      </c>
      <c r="AB7" s="158">
        <f t="shared" si="14"/>
        <v>0.71878037674551454</v>
      </c>
      <c r="AC7" s="158">
        <f t="shared" si="15"/>
        <v>0.22724209257230221</v>
      </c>
      <c r="AD7" s="162">
        <f>AD8+AD10+AD11+AD14+AD16+AD17+AD15</f>
        <v>989448</v>
      </c>
      <c r="AE7" s="158">
        <f t="shared" si="16"/>
        <v>0.72942912812603899</v>
      </c>
      <c r="AF7" s="158">
        <f t="shared" si="17"/>
        <v>0.21453094792401872</v>
      </c>
      <c r="AG7" s="162">
        <f>AG8+AG10+AG11+AG14+AG16+AG17+AG15</f>
        <v>1187704</v>
      </c>
      <c r="AH7" s="158">
        <f t="shared" si="18"/>
        <v>0.73845840100077342</v>
      </c>
      <c r="AI7" s="158">
        <f t="shared" si="19"/>
        <v>0.10676000059638291</v>
      </c>
      <c r="AJ7" s="162">
        <f>AJ8+AJ10+AJ11+AJ14+AJ16+AJ17+AJ15</f>
        <v>1041938</v>
      </c>
      <c r="AK7" s="158">
        <f t="shared" si="20"/>
        <v>0.71462727432346418</v>
      </c>
      <c r="AL7" s="158">
        <f t="shared" si="21"/>
        <v>0.13498522361737608</v>
      </c>
      <c r="AM7" s="162">
        <f>AM8+AM10+AM11+AM14+AM16+AM17+AM15</f>
        <v>1072154</v>
      </c>
      <c r="AN7" s="158">
        <f t="shared" si="22"/>
        <v>0.71195568446831459</v>
      </c>
      <c r="AO7" s="158">
        <f t="shared" si="23"/>
        <v>0.13012250370504663</v>
      </c>
      <c r="AP7" s="162">
        <f>AP8+AP10+AP11+AP14+AP16+AP17+AP15</f>
        <v>983179</v>
      </c>
      <c r="AQ7" s="158">
        <f t="shared" si="24"/>
        <v>0.68504477412270315</v>
      </c>
      <c r="AR7" s="158">
        <f t="shared" si="25"/>
        <v>-6.3358559520055868E-3</v>
      </c>
      <c r="AS7" s="162">
        <f>AS8+AS10+AS11+AS14+AS16+AS17+AS15</f>
        <v>1131360</v>
      </c>
      <c r="AT7" s="158">
        <f t="shared" si="26"/>
        <v>0.69564148048857721</v>
      </c>
      <c r="AU7" s="158">
        <f t="shared" si="27"/>
        <v>-4.7439429352768014E-2</v>
      </c>
      <c r="AV7" s="162">
        <f>AV8+AV10+AV11+AV14+AV16+AV17+AV15</f>
        <v>974785</v>
      </c>
      <c r="AW7" s="158">
        <f t="shared" si="28"/>
        <v>0.6712535446561253</v>
      </c>
      <c r="AX7" s="158">
        <f t="shared" si="29"/>
        <v>-6.4450092040025386E-2</v>
      </c>
      <c r="AY7" s="162">
        <f>AY8+AY10+AY11+AY14+AY16+AY17+AY15</f>
        <v>1103490</v>
      </c>
      <c r="AZ7" s="158">
        <f t="shared" si="30"/>
        <v>0.69561791413595409</v>
      </c>
      <c r="BA7" s="158">
        <f t="shared" si="31"/>
        <v>2.92271446079575E-2</v>
      </c>
      <c r="BB7" s="162">
        <f>BB8+BB10+BB11+BB14+BB16+BB17+BB15</f>
        <v>1152474</v>
      </c>
      <c r="BC7" s="158">
        <f t="shared" si="32"/>
        <v>0.70713036648893413</v>
      </c>
      <c r="BD7" s="158">
        <f t="shared" si="33"/>
        <v>0.17219143207900078</v>
      </c>
      <c r="BE7" s="162">
        <f>BE8+BE10+BE11+BE14+BE16+BE17+BE15</f>
        <v>1428305</v>
      </c>
      <c r="BF7" s="158">
        <f t="shared" si="34"/>
        <v>0.74344536244851522</v>
      </c>
      <c r="BG7" s="158">
        <f t="shared" si="35"/>
        <v>0.26246729599773722</v>
      </c>
      <c r="BH7" s="162">
        <f>BH8+BH10+BH11+BH14+BH16+BH17+BH15</f>
        <v>1348005</v>
      </c>
      <c r="BI7" s="158">
        <f>BH7/$BH$6</f>
        <v>0.73574552905256196</v>
      </c>
      <c r="BJ7" s="158">
        <f>(BH7/AV7)-1</f>
        <v>0.38287417225336862</v>
      </c>
      <c r="BK7" s="162">
        <f>BK8+BK10+BK11+BK14+BK16+BK17+BK15</f>
        <v>1379239</v>
      </c>
      <c r="BL7" s="158">
        <f>BK7/$BK$6</f>
        <v>0.73682020214971045</v>
      </c>
      <c r="BM7" s="158">
        <f>(BK7/AY7)-1</f>
        <v>0.24988808235688587</v>
      </c>
      <c r="BN7" s="162">
        <f>BN8+BN10+BN11+BN14+BN16+BN17+BN15</f>
        <v>1404589</v>
      </c>
      <c r="BO7" s="158">
        <f t="shared" si="36"/>
        <v>0.7370996063103693</v>
      </c>
      <c r="BP7" s="158">
        <f t="shared" si="37"/>
        <v>0.21875981583966309</v>
      </c>
      <c r="BQ7" s="162">
        <f>BQ8+BQ10+BQ11+BQ14+BQ16+BQ17+BQ15</f>
        <v>1872921</v>
      </c>
      <c r="BR7" s="158">
        <f t="shared" si="38"/>
        <v>0.76258532622968511</v>
      </c>
      <c r="BS7" s="158">
        <f t="shared" si="39"/>
        <v>0.31128925544614061</v>
      </c>
      <c r="BT7" s="162">
        <f>BT8+BT10+BT11+BT14+BT16+BT17+BT15</f>
        <v>1642597</v>
      </c>
      <c r="BU7" s="158">
        <f t="shared" si="40"/>
        <v>0.7425580189495945</v>
      </c>
      <c r="BV7" s="158">
        <f t="shared" si="41"/>
        <v>0.21853924874165886</v>
      </c>
      <c r="BW7" s="162">
        <f>BW8+BW10+BW11+BW14+BW16+BW17+BW15</f>
        <v>1441844</v>
      </c>
      <c r="BX7" s="158">
        <f>BW7/$BW$6</f>
        <v>0.64688387626760557</v>
      </c>
      <c r="BY7" s="158">
        <f t="shared" si="43"/>
        <v>4.5390972848070588E-2</v>
      </c>
      <c r="BZ7" s="162">
        <f>BZ8+BZ10+BZ11+BZ14+BZ16+BZ17+BZ15</f>
        <v>1838263</v>
      </c>
      <c r="CA7" s="158">
        <f>BZ7/$BZ$6</f>
        <v>0.69067852650278105</v>
      </c>
      <c r="CB7" s="158">
        <f t="shared" si="44"/>
        <v>0.30875508778724603</v>
      </c>
      <c r="CC7" s="162">
        <f>CC8+CC10+CC11+CC14+CC16+CC17+CC15</f>
        <v>2035555</v>
      </c>
      <c r="CD7" s="158">
        <f>CC7/$CC$6</f>
        <v>0.68226990813486421</v>
      </c>
      <c r="CE7" s="158">
        <f t="shared" si="45"/>
        <v>8.6834415333054693E-2</v>
      </c>
      <c r="CF7" s="162">
        <f>CF8+CF10+CF11+CF14+CF16+CF17+CF15</f>
        <v>1876789</v>
      </c>
      <c r="CG7" s="158">
        <f>CF7/$CF$6</f>
        <v>0.65633306720354245</v>
      </c>
      <c r="CH7" s="158">
        <f t="shared" si="46"/>
        <v>0.1425742284930509</v>
      </c>
      <c r="CI7" s="162">
        <f>CI8+CI10+CI11+CI14+CI16+CI17+CI15</f>
        <v>1864842</v>
      </c>
      <c r="CJ7" s="158">
        <f>CI7/$CI$6</f>
        <v>0.64089886034060217</v>
      </c>
      <c r="CK7" s="158">
        <f t="shared" si="47"/>
        <v>0.2933729307747579</v>
      </c>
      <c r="CL7" s="162">
        <f>CL8+CL10+CL11+CL14+CL16+CL17+CL15</f>
        <v>2188443</v>
      </c>
      <c r="CM7" s="158">
        <f>CL7/$CL$6</f>
        <v>0.65873802554049676</v>
      </c>
      <c r="CN7" s="158">
        <f t="shared" si="48"/>
        <v>0.19049504885862367</v>
      </c>
      <c r="CO7" s="162">
        <f>CO8+CO10+CO11+CO14+CO16+CO17+CO15</f>
        <v>2496890</v>
      </c>
      <c r="CP7" s="158">
        <f t="shared" ref="CP7:CP19" si="75">CO7/$CO$6</f>
        <v>0.66230012084790879</v>
      </c>
      <c r="CQ7" s="158">
        <f>(CO7/CC7)-1</f>
        <v>0.2266384352179136</v>
      </c>
      <c r="CR7" s="162">
        <f>CR8+CR10+CR11+CR14+CR16+CR17+CR15</f>
        <v>2221684</v>
      </c>
      <c r="CS7" s="158">
        <f>CR7/$CR$6</f>
        <v>0.63740260798438797</v>
      </c>
      <c r="CT7" s="158">
        <f>(CR7/CF7)-1</f>
        <v>0.18376866019568538</v>
      </c>
      <c r="CU7" s="162">
        <f>CU8+CU10+CU11+CU14+CU16+CU17+CU15</f>
        <v>2241864</v>
      </c>
      <c r="CV7" s="158">
        <f>CU7/$CU$6</f>
        <v>0.63813736839753188</v>
      </c>
      <c r="CW7" s="158">
        <f>(CU7/CI7)-1</f>
        <v>0.20217369621662318</v>
      </c>
      <c r="CX7" s="162">
        <f>CX8+CX10+CX11+CX14+CX16+CX17+CX15</f>
        <v>2657264.0360000003</v>
      </c>
      <c r="CY7" s="158">
        <f t="shared" si="49"/>
        <v>0.66176226247325542</v>
      </c>
      <c r="CZ7" s="158">
        <f t="shared" si="50"/>
        <v>0.21422583818724106</v>
      </c>
      <c r="DA7" s="162">
        <f>DA8+DA10+DA11+DA14+DA16+DA17+DA15</f>
        <v>3001262</v>
      </c>
      <c r="DB7" s="158">
        <f t="shared" ref="DB7:DB29" si="76">DA7/$DA$6</f>
        <v>0.66465420181578039</v>
      </c>
      <c r="DC7" s="158">
        <f t="shared" ref="DC7:DC24" si="77">(DA7/CO7)-1</f>
        <v>0.20200008810960846</v>
      </c>
      <c r="DD7" s="162">
        <f>DD8+DD10+DD11+DD14+DD16+DD17+DD15</f>
        <v>2757108</v>
      </c>
      <c r="DE7" s="158">
        <f t="shared" si="51"/>
        <v>0.64108518425768524</v>
      </c>
      <c r="DF7" s="158">
        <f>(DD7/CR7)-1</f>
        <v>0.24099916999897375</v>
      </c>
      <c r="DG7" s="162">
        <f>DG8+DG10+DG11+DG14+DG16+DG17+DG15</f>
        <v>2777918</v>
      </c>
      <c r="DH7" s="158">
        <f t="shared" si="52"/>
        <v>0.63062866316851907</v>
      </c>
      <c r="DI7" s="158">
        <f t="shared" ref="DI7:DI67" si="78">(DG7/CU7)-1</f>
        <v>0.23911084704513752</v>
      </c>
      <c r="DJ7" s="162">
        <f>DJ8+DJ10+DJ11+DJ14+DJ16+DJ17+DJ15</f>
        <v>2808122</v>
      </c>
      <c r="DK7" s="158">
        <f t="shared" si="53"/>
        <v>0.62276124508693109</v>
      </c>
      <c r="DL7" s="158">
        <f t="shared" ref="DL7:DL24" si="79">(DJ7/CX7)-1</f>
        <v>5.6771913500582194E-2</v>
      </c>
      <c r="DM7" s="162">
        <f>DM8+DM10+DM11+DM14+DM16+DM17+DM15</f>
        <v>3496488.77</v>
      </c>
      <c r="DN7" s="158">
        <f t="shared" ref="DN7:DN66" si="80">DM7/$DM$6</f>
        <v>0.65737265960222335</v>
      </c>
      <c r="DO7" s="158">
        <f t="shared" si="54"/>
        <v>0.16500617740137313</v>
      </c>
      <c r="DP7" s="162">
        <f>DP8+DP10+DP11+DP14+DP16+DP17+DP15</f>
        <v>3274070</v>
      </c>
      <c r="DQ7" s="158">
        <f t="shared" si="55"/>
        <v>0.64502065144904908</v>
      </c>
      <c r="DR7" s="158">
        <f t="shared" si="56"/>
        <v>0.18750154147026521</v>
      </c>
      <c r="DS7" s="162">
        <f>DS8+DS10+DS11+DS14+DS16+DS17+DS15</f>
        <v>3314883</v>
      </c>
      <c r="DT7" s="158">
        <f t="shared" ref="DT7:DT67" si="81">DS7/DS$6</f>
        <v>0.63361331173938629</v>
      </c>
      <c r="DU7" s="158">
        <f>(DS7/DG7)-1</f>
        <v>0.19329764233501501</v>
      </c>
      <c r="DV7" s="162">
        <f>DV8+DV10+DV11+DV14+DV16+DV17+DV15</f>
        <v>3304091</v>
      </c>
      <c r="DW7" s="158">
        <f t="shared" ref="DW7:DW14" si="82">DV7/DV$6</f>
        <v>0.62426793658111246</v>
      </c>
      <c r="DX7" s="158">
        <f>(DV7/DJ7)-1</f>
        <v>0.17661946311449439</v>
      </c>
      <c r="DY7" s="162">
        <f>DY8+DY10+DY11+DY14+DY16+DY17+DY15</f>
        <v>3721211</v>
      </c>
      <c r="DZ7" s="158">
        <f t="shared" si="57"/>
        <v>0.63461618812224796</v>
      </c>
      <c r="EA7" s="158">
        <f t="shared" ref="EA7:EA20" si="83">(DY7/DM7)-1</f>
        <v>6.4270828474589869E-2</v>
      </c>
      <c r="EB7" s="162">
        <f>EB8+EB10+EB11+EB14+EB16+EB17+EB15</f>
        <v>3385396</v>
      </c>
      <c r="EC7" s="158">
        <f t="shared" ref="EC7:EC67" si="84">EB7/EB$6</f>
        <v>0.60765531001693696</v>
      </c>
      <c r="ED7" s="158">
        <f>(EB7/DP7)-1</f>
        <v>3.4002327378461761E-2</v>
      </c>
      <c r="EE7" s="162">
        <f>EE8+EE10+EE11+EE14+EE16+EE17+EE15</f>
        <v>3512408</v>
      </c>
      <c r="EF7" s="158">
        <f t="shared" si="58"/>
        <v>0.60427287596176527</v>
      </c>
      <c r="EG7" s="158">
        <f t="shared" si="59"/>
        <v>5.9587321784811076E-2</v>
      </c>
      <c r="EH7" s="162">
        <f>EH8+EH10+EH11+EH14+EH16+EH17+EH15</f>
        <v>3356909</v>
      </c>
      <c r="EI7" s="158">
        <f t="shared" si="60"/>
        <v>0.5915954512354934</v>
      </c>
      <c r="EJ7" s="158">
        <f t="shared" si="61"/>
        <v>1.5985637199459779E-2</v>
      </c>
      <c r="EK7" s="162">
        <f>EK8+EK10+EK11+EK14+EK16+EK17+EK15</f>
        <v>4085477</v>
      </c>
      <c r="EL7" s="158">
        <f t="shared" si="62"/>
        <v>0.63094104100375403</v>
      </c>
      <c r="EM7" s="158">
        <f t="shared" si="63"/>
        <v>9.7889101155510971E-2</v>
      </c>
      <c r="EN7" s="162">
        <f>EN8+EN10+EN11+EN14+EN16+EN17+EN15</f>
        <v>3890929</v>
      </c>
      <c r="EO7" s="158">
        <f t="shared" ref="EO7:EO20" si="85">EN7/EN$6</f>
        <v>0.62235685451171363</v>
      </c>
      <c r="EP7" s="158">
        <f t="shared" si="65"/>
        <v>0.14932758235668731</v>
      </c>
      <c r="EQ7" s="162">
        <f>EQ8+EQ10+EQ11+EQ14+EQ16+EQ17+EQ15</f>
        <v>4205998</v>
      </c>
      <c r="ER7" s="158">
        <f t="shared" si="66"/>
        <v>0.63760929448634451</v>
      </c>
      <c r="ES7" s="158">
        <f t="shared" si="67"/>
        <v>0.19746851732486648</v>
      </c>
      <c r="ET7" s="162">
        <f>ET8+ET10+ET11+ET14+ET16+ET17+ET15+ET9</f>
        <v>4010903</v>
      </c>
      <c r="EU7" s="158">
        <f t="shared" si="68"/>
        <v>0.61833987068968843</v>
      </c>
      <c r="EV7" s="158">
        <f t="shared" si="69"/>
        <v>0.19482029450306815</v>
      </c>
      <c r="EW7" s="162">
        <f>EW8+EW10+EW11+EW14+EW16+EW17+EW15+EW9</f>
        <v>4907941</v>
      </c>
      <c r="EX7" s="158">
        <f t="shared" si="70"/>
        <v>0.65026012042411041</v>
      </c>
      <c r="EY7" s="158">
        <f t="shared" si="71"/>
        <v>0.20131406932409601</v>
      </c>
      <c r="EZ7" s="162">
        <f>EZ8+EZ10+EZ11+EZ14+EZ16+EZ17+EZ15+EZ9</f>
        <v>4360150</v>
      </c>
      <c r="FA7" s="158">
        <f>EZ7/EZ$6</f>
        <v>0.62050690539231834</v>
      </c>
      <c r="FB7" s="158">
        <f t="shared" ref="FB7:FB8" si="86">(EZ7/EN7)-1</f>
        <v>0.12059356518713149</v>
      </c>
      <c r="FC7" s="162">
        <f>FC8+FC10+FC11+FC14+FC16+FC17+FC15+FC9</f>
        <v>4609391</v>
      </c>
      <c r="FD7" s="158">
        <f>FC7/FC$6</f>
        <v>0.63096472194803044</v>
      </c>
      <c r="FE7" s="158">
        <f t="shared" ref="FE7:FE8" si="87">(FC7/EQ7)-1</f>
        <v>9.5908985215874987E-2</v>
      </c>
      <c r="FF7" s="162">
        <f>FF8+FF10+FF11+FF14+FF16+FF17+FF15+FF9</f>
        <v>4779355</v>
      </c>
      <c r="FG7" s="158">
        <f t="shared" ref="FG7:FG67" si="88">FF7/FF$6</f>
        <v>0.63325764132428597</v>
      </c>
      <c r="FH7" s="158">
        <f t="shared" ref="FH7:FH67" si="89">(FF7/ET7)-1</f>
        <v>0.19159077145470738</v>
      </c>
      <c r="FI7" s="162">
        <f>FI8+FI10+FI11+FI14+FI16+FI17+FI15+FI9</f>
        <v>5930335</v>
      </c>
      <c r="FJ7" s="158">
        <f>FI7/FI$6</f>
        <v>0.6722937002496755</v>
      </c>
      <c r="FK7" s="158">
        <f t="shared" ref="FK7:FK16" si="90">(FI7/EW7)-1</f>
        <v>0.20831424012635846</v>
      </c>
      <c r="FL7" s="162">
        <f>FL8+FL10+FL11+FL14+FL16+FL17+FL15+FL9</f>
        <v>5573986</v>
      </c>
      <c r="FM7" s="158">
        <f>FL7/FL$6</f>
        <v>0.55390275355151031</v>
      </c>
      <c r="FN7" s="158">
        <f t="shared" si="72"/>
        <v>0.27839317454674717</v>
      </c>
      <c r="FO7" s="162">
        <f>FO8+FO10+FO11+FO14+FO16+FO17+FO15+FO9</f>
        <v>5376263</v>
      </c>
      <c r="FP7" s="158">
        <f t="shared" si="73"/>
        <v>0.54174857324352466</v>
      </c>
      <c r="FQ7" s="158">
        <f t="shared" si="74"/>
        <v>0.16637165300144852</v>
      </c>
      <c r="FR7" s="162">
        <f>FR8+FR10+FR11+FR14+FR16+FR17+FR15+FR9</f>
        <v>5524786</v>
      </c>
      <c r="FS7" s="158">
        <f t="shared" ref="FS7:FS27" si="91">FR7/FR$6</f>
        <v>0.54152325954544001</v>
      </c>
      <c r="FT7" s="158">
        <f t="shared" ref="FT7:FT21" si="92">(FR7/FF7)-1</f>
        <v>0.15596895396973021</v>
      </c>
      <c r="FU7" s="162">
        <f>FU8+FU10+FU11+FU14+FU16+FU17+FU15+FU9</f>
        <v>6656209</v>
      </c>
      <c r="FV7" s="158">
        <f t="shared" ref="FV7:FV27" si="93">FU7/FU$6</f>
        <v>0.57615039061181339</v>
      </c>
      <c r="FW7" s="158">
        <f t="shared" ref="FW7:FW21" si="94">(FU7/FI7)-1</f>
        <v>0.12240016795003994</v>
      </c>
      <c r="FX7" s="162">
        <f>FX8+FX10+FX11+FX14+FX16+FX17+FX15+FX9</f>
        <v>6598661</v>
      </c>
      <c r="FY7" s="158">
        <f t="shared" ref="FY7:FY27" si="95">FX7/FX$6</f>
        <v>0.57357421152963384</v>
      </c>
      <c r="FZ7" s="158">
        <f t="shared" ref="FZ7:FZ21" si="96">(FX7/FL7)-1</f>
        <v>0.18383164220362236</v>
      </c>
      <c r="GA7" s="162">
        <f>GA8+GA10+GA11+GA14+GA16+GA17+GA15+GA9</f>
        <v>7203646</v>
      </c>
      <c r="GB7" s="158">
        <f t="shared" ref="GB7:GB29" si="97">GA7/GA$6</f>
        <v>0.56155333097236526</v>
      </c>
      <c r="GC7" s="158">
        <f t="shared" ref="GC7:GC21" si="98">(GA7/FO7)-1</f>
        <v>0.33989836434713117</v>
      </c>
      <c r="GD7" s="162">
        <f>GD8+GD10+GD11+GD14+GD16+GD17+GD15+GD9</f>
        <v>7265876</v>
      </c>
      <c r="GE7" s="158">
        <f t="shared" ref="GE7:GE29" si="99">GD7/GD$6</f>
        <v>0.55968461164573657</v>
      </c>
      <c r="GF7" s="158">
        <f t="shared" ref="GF7" si="100">(GD7/FR7)-1</f>
        <v>0.31514161815498376</v>
      </c>
      <c r="GG7" s="162">
        <f>GG8+GG10+GG11+GG14+GG16+GG17+GG15+GG9</f>
        <v>8896766</v>
      </c>
      <c r="GH7" s="158">
        <f t="shared" ref="GH7:GH29" si="101">GG7/GG$6</f>
        <v>0.60759539488353931</v>
      </c>
      <c r="GI7" s="158">
        <f t="shared" ref="GI7" si="102">(GG7/FU7)-1</f>
        <v>0.33661157574829748</v>
      </c>
    </row>
    <row r="8" spans="1:254" s="151" customFormat="1" ht="16.5" customHeight="1">
      <c r="B8" s="163" t="s">
        <v>1226</v>
      </c>
      <c r="C8" s="164" t="s">
        <v>19</v>
      </c>
      <c r="D8" s="7">
        <v>85882</v>
      </c>
      <c r="E8" s="165">
        <f t="shared" si="0"/>
        <v>0.12770823481827132</v>
      </c>
      <c r="F8" s="7">
        <v>110154</v>
      </c>
      <c r="G8" s="165">
        <f t="shared" si="1"/>
        <v>0.15671941201410211</v>
      </c>
      <c r="H8" s="7">
        <v>266326</v>
      </c>
      <c r="I8" s="165">
        <f t="shared" si="2"/>
        <v>0.30477417671514578</v>
      </c>
      <c r="J8" s="7">
        <v>276529</v>
      </c>
      <c r="K8" s="165">
        <f t="shared" si="3"/>
        <v>0.25909598569827713</v>
      </c>
      <c r="L8" s="8">
        <v>167087</v>
      </c>
      <c r="M8" s="165">
        <f t="shared" si="4"/>
        <v>0.18097521930465882</v>
      </c>
      <c r="N8" s="165">
        <f t="shared" si="5"/>
        <v>0.94554155702009735</v>
      </c>
      <c r="O8" s="8">
        <v>219862</v>
      </c>
      <c r="P8" s="165">
        <f t="shared" si="6"/>
        <v>0.2076249978752297</v>
      </c>
      <c r="Q8" s="165">
        <f t="shared" si="7"/>
        <v>0.99595112297329202</v>
      </c>
      <c r="R8" s="166">
        <v>217485</v>
      </c>
      <c r="S8" s="165">
        <f t="shared" si="8"/>
        <v>0.1951385175268906</v>
      </c>
      <c r="T8" s="165">
        <f t="shared" si="9"/>
        <v>-0.18338802820603317</v>
      </c>
      <c r="U8" s="7">
        <v>287203</v>
      </c>
      <c r="V8" s="165">
        <f t="shared" si="10"/>
        <v>0.20138739883404086</v>
      </c>
      <c r="W8" s="165">
        <f t="shared" si="11"/>
        <v>3.859992984460936E-2</v>
      </c>
      <c r="X8" s="7">
        <v>168508</v>
      </c>
      <c r="Y8" s="165">
        <f t="shared" si="12"/>
        <v>0.13295576215540647</v>
      </c>
      <c r="Z8" s="165">
        <f t="shared" si="13"/>
        <v>8.5045515210637745E-3</v>
      </c>
      <c r="AA8" s="8">
        <v>220800</v>
      </c>
      <c r="AB8" s="165">
        <f t="shared" si="14"/>
        <v>0.16728755503328704</v>
      </c>
      <c r="AC8" s="165">
        <f t="shared" si="15"/>
        <v>4.2663125051167761E-3</v>
      </c>
      <c r="AD8" s="7">
        <v>261762</v>
      </c>
      <c r="AE8" s="165">
        <f t="shared" si="16"/>
        <v>0.19297307937004091</v>
      </c>
      <c r="AF8" s="165">
        <f t="shared" si="17"/>
        <v>0.2035864542382233</v>
      </c>
      <c r="AG8" s="8">
        <v>296432</v>
      </c>
      <c r="AH8" s="165">
        <f t="shared" si="18"/>
        <v>0.18430745431981477</v>
      </c>
      <c r="AI8" s="165">
        <f t="shared" si="19"/>
        <v>3.2134065451962623E-2</v>
      </c>
      <c r="AJ8" s="8">
        <v>190600</v>
      </c>
      <c r="AK8" s="165">
        <f t="shared" si="20"/>
        <v>0.13072558874525383</v>
      </c>
      <c r="AL8" s="165">
        <f t="shared" si="21"/>
        <v>0.13110356778313204</v>
      </c>
      <c r="AM8" s="8">
        <v>210317</v>
      </c>
      <c r="AN8" s="165">
        <f t="shared" si="22"/>
        <v>0.1396593993869561</v>
      </c>
      <c r="AO8" s="165">
        <f t="shared" si="23"/>
        <v>-4.7477355072463756E-2</v>
      </c>
      <c r="AP8" s="8">
        <v>157877</v>
      </c>
      <c r="AQ8" s="165">
        <f t="shared" si="24"/>
        <v>0.11000317724866987</v>
      </c>
      <c r="AR8" s="165">
        <f t="shared" si="25"/>
        <v>-0.39686814740107423</v>
      </c>
      <c r="AS8" s="8">
        <v>178700</v>
      </c>
      <c r="AT8" s="165">
        <f t="shared" si="26"/>
        <v>0.10987760974694946</v>
      </c>
      <c r="AU8" s="165">
        <f t="shared" si="27"/>
        <v>-0.39716359907162524</v>
      </c>
      <c r="AV8" s="8">
        <v>83339</v>
      </c>
      <c r="AW8" s="165">
        <f t="shared" si="28"/>
        <v>5.7388654070484081E-2</v>
      </c>
      <c r="AX8" s="165">
        <f t="shared" si="29"/>
        <v>-0.56275445960125925</v>
      </c>
      <c r="AY8" s="8">
        <v>194402</v>
      </c>
      <c r="AZ8" s="165">
        <f t="shared" si="30"/>
        <v>0.12254711301766009</v>
      </c>
      <c r="BA8" s="165">
        <f t="shared" si="31"/>
        <v>-7.5671486375328723E-2</v>
      </c>
      <c r="BB8" s="8">
        <v>297666</v>
      </c>
      <c r="BC8" s="165">
        <f t="shared" si="32"/>
        <v>0.18264070831211382</v>
      </c>
      <c r="BD8" s="165">
        <f t="shared" si="33"/>
        <v>0.8854297966138196</v>
      </c>
      <c r="BE8" s="8">
        <v>411370</v>
      </c>
      <c r="BF8" s="165">
        <f t="shared" si="34"/>
        <v>0.21412171682549994</v>
      </c>
      <c r="BG8" s="165">
        <f t="shared" si="35"/>
        <v>1.3020145495243423</v>
      </c>
      <c r="BH8" s="8">
        <v>390846</v>
      </c>
      <c r="BI8" s="165">
        <f>BH8/$BH$6</f>
        <v>0.21332502256896496</v>
      </c>
      <c r="BJ8" s="165">
        <f>(BH8/AV8)-1</f>
        <v>3.6898330913497883</v>
      </c>
      <c r="BK8" s="8">
        <v>359077</v>
      </c>
      <c r="BL8" s="165">
        <f>BK8/$BK$6</f>
        <v>0.19182693335042844</v>
      </c>
      <c r="BM8" s="165">
        <f>(BK8/AY8)-1</f>
        <v>0.84708490653388346</v>
      </c>
      <c r="BN8" s="8">
        <v>399221</v>
      </c>
      <c r="BO8" s="165">
        <f t="shared" si="36"/>
        <v>0.20950302325508172</v>
      </c>
      <c r="BP8" s="165">
        <f t="shared" si="37"/>
        <v>0.34117097686668951</v>
      </c>
      <c r="BQ8" s="8">
        <v>683661</v>
      </c>
      <c r="BR8" s="165">
        <f t="shared" si="38"/>
        <v>0.27836189925550131</v>
      </c>
      <c r="BS8" s="165">
        <f t="shared" si="39"/>
        <v>0.66191263339572637</v>
      </c>
      <c r="BT8" s="8">
        <v>504977</v>
      </c>
      <c r="BU8" s="165">
        <f t="shared" si="40"/>
        <v>0.22828163008644808</v>
      </c>
      <c r="BV8" s="165">
        <f t="shared" si="41"/>
        <v>0.29201015233621419</v>
      </c>
      <c r="BW8" s="167">
        <v>242212</v>
      </c>
      <c r="BX8" s="165">
        <f>BW8/$BW$6</f>
        <v>0.10866850882517755</v>
      </c>
      <c r="BY8" s="165">
        <f>(BW8/BK8)-1</f>
        <v>-0.32545944184673481</v>
      </c>
      <c r="BZ8" s="8">
        <v>659093</v>
      </c>
      <c r="CA8" s="165">
        <f>BZ8/$BZ$6</f>
        <v>0.2476366994648195</v>
      </c>
      <c r="CB8" s="165">
        <f t="shared" si="44"/>
        <v>0.65094772068603612</v>
      </c>
      <c r="CC8" s="8">
        <v>578264</v>
      </c>
      <c r="CD8" s="165">
        <f>CC8/$CC$6</f>
        <v>0.19382042055247789</v>
      </c>
      <c r="CE8" s="165">
        <f t="shared" si="45"/>
        <v>-0.15416558791564827</v>
      </c>
      <c r="CF8" s="8">
        <v>499359</v>
      </c>
      <c r="CG8" s="188">
        <f>CF8/$CF$6</f>
        <v>0.17463115145372962</v>
      </c>
      <c r="CH8" s="165">
        <f t="shared" si="46"/>
        <v>-1.112525917021967E-2</v>
      </c>
      <c r="CI8" s="8">
        <v>356209</v>
      </c>
      <c r="CJ8" s="188">
        <f>CI8/$CI$6</f>
        <v>0.12241999168994776</v>
      </c>
      <c r="CK8" s="165">
        <f t="shared" si="47"/>
        <v>0.47064967879378394</v>
      </c>
      <c r="CL8" s="8">
        <v>643715</v>
      </c>
      <c r="CM8" s="165">
        <f>CL8/$CL$6</f>
        <v>0.19376312205106594</v>
      </c>
      <c r="CN8" s="165">
        <f t="shared" si="48"/>
        <v>-2.3332063912073098E-2</v>
      </c>
      <c r="CO8" s="8">
        <v>683270</v>
      </c>
      <c r="CP8" s="165">
        <f t="shared" si="75"/>
        <v>0.1812373807303288</v>
      </c>
      <c r="CQ8" s="165">
        <f>(CO8/CC8)-1</f>
        <v>0.18158834027364668</v>
      </c>
      <c r="CR8" s="8">
        <v>518146</v>
      </c>
      <c r="CS8" s="165">
        <f t="shared" ref="CS8:CS29" si="103">CR8/$CR$6</f>
        <v>0.14865642985981747</v>
      </c>
      <c r="CT8" s="165">
        <f>(CR8/CF8)-1</f>
        <v>3.7622231701040842E-2</v>
      </c>
      <c r="CU8" s="8">
        <v>448708</v>
      </c>
      <c r="CV8" s="165">
        <f>CU8/$CU$6</f>
        <v>0.12772288698106565</v>
      </c>
      <c r="CW8" s="165">
        <f>(CU8/CI8)-1</f>
        <v>0.25967620133124103</v>
      </c>
      <c r="CX8" s="8">
        <v>815695</v>
      </c>
      <c r="CY8" s="165">
        <f t="shared" si="49"/>
        <v>0.20313983156174473</v>
      </c>
      <c r="CZ8" s="165">
        <f t="shared" si="50"/>
        <v>0.26716792369293874</v>
      </c>
      <c r="DA8" s="8">
        <v>801592</v>
      </c>
      <c r="DB8" s="165">
        <f t="shared" si="76"/>
        <v>0.17751915392322132</v>
      </c>
      <c r="DC8" s="165">
        <f t="shared" si="77"/>
        <v>0.17317019626209262</v>
      </c>
      <c r="DD8" s="8">
        <v>753394</v>
      </c>
      <c r="DE8" s="165">
        <f t="shared" si="51"/>
        <v>0.17517983746325297</v>
      </c>
      <c r="DF8" s="165">
        <f>(DD8/CR8)-1</f>
        <v>0.45401875147159299</v>
      </c>
      <c r="DG8" s="8">
        <v>719629</v>
      </c>
      <c r="DH8" s="165">
        <f t="shared" si="52"/>
        <v>0.16336647598931942</v>
      </c>
      <c r="DI8" s="165">
        <f t="shared" si="78"/>
        <v>0.60378018666928157</v>
      </c>
      <c r="DJ8" s="8">
        <v>626461</v>
      </c>
      <c r="DK8" s="165">
        <f t="shared" si="53"/>
        <v>0.13893115482817481</v>
      </c>
      <c r="DL8" s="165">
        <f>(DJ8/CX8)-1</f>
        <v>-0.23199112413340772</v>
      </c>
      <c r="DM8" s="8">
        <v>834340</v>
      </c>
      <c r="DN8" s="165">
        <f t="shared" si="80"/>
        <v>0.15686373985194266</v>
      </c>
      <c r="DO8" s="165">
        <f t="shared" si="54"/>
        <v>4.0853701134741849E-2</v>
      </c>
      <c r="DP8" s="8">
        <v>748236</v>
      </c>
      <c r="DQ8" s="165">
        <f t="shared" si="55"/>
        <v>0.14740908781963449</v>
      </c>
      <c r="DR8" s="165">
        <f t="shared" si="56"/>
        <v>-6.8463513115315511E-3</v>
      </c>
      <c r="DS8" s="8">
        <v>696597</v>
      </c>
      <c r="DT8" s="165">
        <f t="shared" si="81"/>
        <v>0.13314893229043717</v>
      </c>
      <c r="DU8" s="165">
        <f>(DS8/DG8)-1</f>
        <v>-3.2005380550255702E-2</v>
      </c>
      <c r="DV8" s="8">
        <v>559617</v>
      </c>
      <c r="DW8" s="165">
        <f t="shared" si="82"/>
        <v>0.10573284751107412</v>
      </c>
      <c r="DX8" s="165">
        <f t="shared" ref="DX8:DX20" si="104">(DV8/DJ8)-1</f>
        <v>-0.10670097579897231</v>
      </c>
      <c r="DY8" s="8">
        <v>737527</v>
      </c>
      <c r="DZ8" s="165">
        <f t="shared" si="57"/>
        <v>0.12577802585696893</v>
      </c>
      <c r="EA8" s="165">
        <f t="shared" si="83"/>
        <v>-0.11603542920152454</v>
      </c>
      <c r="EB8" s="8">
        <v>827183</v>
      </c>
      <c r="EC8" s="165">
        <f t="shared" si="84"/>
        <v>0.14847366225568293</v>
      </c>
      <c r="ED8" s="165">
        <f>(EB8/DP8)-1</f>
        <v>0.10551082813443879</v>
      </c>
      <c r="EE8" s="8">
        <v>784706</v>
      </c>
      <c r="EF8" s="165">
        <f t="shared" si="58"/>
        <v>0.13500041891615466</v>
      </c>
      <c r="EG8" s="165">
        <f t="shared" si="59"/>
        <v>0.12648489729355705</v>
      </c>
      <c r="EH8" s="8">
        <v>717775</v>
      </c>
      <c r="EI8" s="165">
        <f t="shared" si="60"/>
        <v>0.12649506585092307</v>
      </c>
      <c r="EJ8" s="165">
        <f t="shared" si="61"/>
        <v>0.28261829072383438</v>
      </c>
      <c r="EK8" s="8">
        <v>894881</v>
      </c>
      <c r="EL8" s="165">
        <f t="shared" si="62"/>
        <v>0.13820103496225297</v>
      </c>
      <c r="EM8" s="165">
        <f t="shared" si="63"/>
        <v>0.21335354502275838</v>
      </c>
      <c r="EN8" s="8">
        <v>905490</v>
      </c>
      <c r="EO8" s="165">
        <f t="shared" si="85"/>
        <v>0.14483376802604508</v>
      </c>
      <c r="EP8" s="165">
        <f t="shared" si="65"/>
        <v>9.4667080924051961E-2</v>
      </c>
      <c r="EQ8" s="8">
        <v>970338</v>
      </c>
      <c r="ER8" s="165">
        <f t="shared" si="66"/>
        <v>0.14709862619841726</v>
      </c>
      <c r="ES8" s="165">
        <f t="shared" si="67"/>
        <v>0.23656248327399054</v>
      </c>
      <c r="ET8" s="8">
        <v>770949</v>
      </c>
      <c r="EU8" s="165">
        <f t="shared" si="68"/>
        <v>0.11885316223512375</v>
      </c>
      <c r="EV8" s="165">
        <f t="shared" si="69"/>
        <v>7.4081710842534232E-2</v>
      </c>
      <c r="EW8" s="8">
        <v>1059873</v>
      </c>
      <c r="EX8" s="165">
        <f t="shared" si="70"/>
        <v>0.14042408916779217</v>
      </c>
      <c r="EY8" s="165">
        <f t="shared" si="71"/>
        <v>0.18437311776649623</v>
      </c>
      <c r="EZ8" s="8">
        <v>788850</v>
      </c>
      <c r="FA8" s="165">
        <f t="shared" ref="FA8:FA21" si="105">EZ8/EZ$6</f>
        <v>0.11226376898013379</v>
      </c>
      <c r="FB8" s="165">
        <f t="shared" si="86"/>
        <v>-0.12881423317761653</v>
      </c>
      <c r="FC8" s="8">
        <v>757693</v>
      </c>
      <c r="FD8" s="165">
        <f t="shared" ref="FD8" si="106">FC8/FC$6</f>
        <v>0.10371815996233971</v>
      </c>
      <c r="FE8" s="165">
        <f t="shared" si="87"/>
        <v>-0.21914528751836992</v>
      </c>
      <c r="FF8" s="8">
        <v>555121</v>
      </c>
      <c r="FG8" s="165">
        <f t="shared" si="88"/>
        <v>7.3552731510753852E-2</v>
      </c>
      <c r="FH8" s="165">
        <f t="shared" si="89"/>
        <v>-0.2799510732875975</v>
      </c>
      <c r="FI8" s="8">
        <v>944671</v>
      </c>
      <c r="FJ8" s="165">
        <f>FI8/FI$6</f>
        <v>0.10709283069313306</v>
      </c>
      <c r="FK8" s="165">
        <f t="shared" si="90"/>
        <v>-0.10869415486572442</v>
      </c>
      <c r="FL8" s="8">
        <v>540242</v>
      </c>
      <c r="FM8" s="165">
        <f>FL8/FL$6</f>
        <v>5.3685375489672033E-2</v>
      </c>
      <c r="FN8" s="165">
        <f t="shared" si="72"/>
        <v>-0.31515243709196927</v>
      </c>
      <c r="FO8" s="8">
        <v>646706</v>
      </c>
      <c r="FP8" s="165">
        <f t="shared" si="73"/>
        <v>6.5166464662913037E-2</v>
      </c>
      <c r="FQ8" s="165">
        <f t="shared" si="74"/>
        <v>-0.14648017072877806</v>
      </c>
      <c r="FR8" s="8">
        <v>504388</v>
      </c>
      <c r="FS8" s="165">
        <f t="shared" si="91"/>
        <v>4.9438626914346619E-2</v>
      </c>
      <c r="FT8" s="165">
        <f t="shared" si="92"/>
        <v>-9.1390885950990874E-2</v>
      </c>
      <c r="FU8" s="8">
        <v>980954</v>
      </c>
      <c r="FV8" s="165">
        <f t="shared" si="93"/>
        <v>8.4909748217374306E-2</v>
      </c>
      <c r="FW8" s="165">
        <f t="shared" si="94"/>
        <v>3.8408080696877622E-2</v>
      </c>
      <c r="FX8" s="8">
        <v>1243035</v>
      </c>
      <c r="FY8" s="165">
        <f t="shared" si="95"/>
        <v>0.10804810552151996</v>
      </c>
      <c r="FZ8" s="165">
        <f t="shared" si="96"/>
        <v>1.3008855290777097</v>
      </c>
      <c r="GA8" s="8">
        <v>1716249</v>
      </c>
      <c r="GB8" s="165">
        <f t="shared" si="97"/>
        <v>0.13378854856665512</v>
      </c>
      <c r="GC8" s="165">
        <f>(GA8/FO8)-1</f>
        <v>1.6538318803289282</v>
      </c>
      <c r="GD8" s="8">
        <v>1303377</v>
      </c>
      <c r="GE8" s="165">
        <f t="shared" si="99"/>
        <v>0.10039808690280225</v>
      </c>
      <c r="GF8" s="165">
        <f>(GD8/FR8)-1</f>
        <v>1.5840761477275431</v>
      </c>
      <c r="GG8" s="8">
        <v>2066781</v>
      </c>
      <c r="GH8" s="165">
        <f t="shared" si="101"/>
        <v>0.14114866209056148</v>
      </c>
      <c r="GI8" s="165">
        <f>(GG8/FU8)-1</f>
        <v>1.1069091924799737</v>
      </c>
    </row>
    <row r="9" spans="1:254" s="151" customFormat="1" ht="16.5" customHeight="1">
      <c r="B9" s="163" t="s">
        <v>1228</v>
      </c>
      <c r="C9" s="164" t="s">
        <v>1227</v>
      </c>
      <c r="D9" s="7"/>
      <c r="E9" s="165"/>
      <c r="F9" s="7"/>
      <c r="G9" s="165"/>
      <c r="H9" s="7"/>
      <c r="I9" s="165"/>
      <c r="J9" s="7"/>
      <c r="K9" s="165"/>
      <c r="L9" s="8"/>
      <c r="M9" s="165"/>
      <c r="N9" s="165"/>
      <c r="O9" s="8"/>
      <c r="P9" s="165"/>
      <c r="Q9" s="165"/>
      <c r="R9" s="166"/>
      <c r="S9" s="165"/>
      <c r="T9" s="165"/>
      <c r="U9" s="7"/>
      <c r="V9" s="165"/>
      <c r="W9" s="165"/>
      <c r="X9" s="7"/>
      <c r="Y9" s="165"/>
      <c r="Z9" s="165"/>
      <c r="AA9" s="8"/>
      <c r="AB9" s="165"/>
      <c r="AC9" s="165"/>
      <c r="AD9" s="7"/>
      <c r="AE9" s="165"/>
      <c r="AF9" s="165"/>
      <c r="AG9" s="8"/>
      <c r="AH9" s="165"/>
      <c r="AI9" s="165"/>
      <c r="AJ9" s="8"/>
      <c r="AK9" s="165"/>
      <c r="AL9" s="165"/>
      <c r="AM9" s="8"/>
      <c r="AN9" s="165"/>
      <c r="AO9" s="165"/>
      <c r="AP9" s="8"/>
      <c r="AQ9" s="165"/>
      <c r="AR9" s="165"/>
      <c r="AS9" s="8"/>
      <c r="AT9" s="165"/>
      <c r="AU9" s="165"/>
      <c r="AV9" s="8"/>
      <c r="AW9" s="165"/>
      <c r="AX9" s="165"/>
      <c r="AY9" s="8"/>
      <c r="AZ9" s="165"/>
      <c r="BA9" s="165"/>
      <c r="BB9" s="8"/>
      <c r="BC9" s="165"/>
      <c r="BD9" s="165"/>
      <c r="BE9" s="8"/>
      <c r="BF9" s="165"/>
      <c r="BG9" s="165"/>
      <c r="BH9" s="8"/>
      <c r="BI9" s="165"/>
      <c r="BJ9" s="165"/>
      <c r="BK9" s="8"/>
      <c r="BL9" s="165"/>
      <c r="BM9" s="165"/>
      <c r="BN9" s="8"/>
      <c r="BO9" s="165"/>
      <c r="BP9" s="165"/>
      <c r="BQ9" s="8"/>
      <c r="BR9" s="165"/>
      <c r="BS9" s="165"/>
      <c r="BT9" s="8"/>
      <c r="BU9" s="165"/>
      <c r="BV9" s="165"/>
      <c r="BW9" s="167"/>
      <c r="BX9" s="165"/>
      <c r="BY9" s="165"/>
      <c r="BZ9" s="8"/>
      <c r="CA9" s="165"/>
      <c r="CB9" s="165"/>
      <c r="CC9" s="8"/>
      <c r="CD9" s="165"/>
      <c r="CE9" s="165"/>
      <c r="CF9" s="8"/>
      <c r="CG9" s="188"/>
      <c r="CH9" s="165"/>
      <c r="CI9" s="8"/>
      <c r="CJ9" s="188"/>
      <c r="CK9" s="165"/>
      <c r="CL9" s="8"/>
      <c r="CM9" s="165"/>
      <c r="CN9" s="165"/>
      <c r="CO9" s="8"/>
      <c r="CP9" s="165"/>
      <c r="CQ9" s="165"/>
      <c r="CR9" s="8"/>
      <c r="CS9" s="165"/>
      <c r="CT9" s="165"/>
      <c r="CU9" s="8"/>
      <c r="CV9" s="165"/>
      <c r="CW9" s="165"/>
      <c r="CX9" s="8"/>
      <c r="CY9" s="165"/>
      <c r="CZ9" s="165"/>
      <c r="DA9" s="8"/>
      <c r="DB9" s="165"/>
      <c r="DC9" s="165"/>
      <c r="DD9" s="8"/>
      <c r="DE9" s="165"/>
      <c r="DF9" s="165"/>
      <c r="DG9" s="8"/>
      <c r="DH9" s="165"/>
      <c r="DI9" s="165"/>
      <c r="DJ9" s="8"/>
      <c r="DK9" s="165"/>
      <c r="DL9" s="165"/>
      <c r="DM9" s="8"/>
      <c r="DN9" s="165"/>
      <c r="DO9" s="165"/>
      <c r="DP9" s="8"/>
      <c r="DQ9" s="165"/>
      <c r="DR9" s="165"/>
      <c r="DS9" s="8"/>
      <c r="DT9" s="165"/>
      <c r="DU9" s="165"/>
      <c r="DV9" s="8"/>
      <c r="DW9" s="165"/>
      <c r="DX9" s="165"/>
      <c r="DY9" s="8"/>
      <c r="DZ9" s="165"/>
      <c r="EA9" s="165" t="s">
        <v>112</v>
      </c>
      <c r="EB9" s="166" t="s">
        <v>112</v>
      </c>
      <c r="EC9" s="165" t="s">
        <v>112</v>
      </c>
      <c r="ED9" s="165" t="s">
        <v>112</v>
      </c>
      <c r="EE9" s="166">
        <v>0</v>
      </c>
      <c r="EF9" s="165" t="s">
        <v>112</v>
      </c>
      <c r="EG9" s="165" t="s">
        <v>112</v>
      </c>
      <c r="EH9" s="166">
        <v>0</v>
      </c>
      <c r="EI9" s="165" t="s">
        <v>112</v>
      </c>
      <c r="EJ9" s="165" t="s">
        <v>112</v>
      </c>
      <c r="EK9" s="166">
        <v>0</v>
      </c>
      <c r="EL9" s="165" t="s">
        <v>112</v>
      </c>
      <c r="EM9" s="165" t="s">
        <v>112</v>
      </c>
      <c r="EN9" s="166">
        <v>0</v>
      </c>
      <c r="EO9" s="165" t="s">
        <v>112</v>
      </c>
      <c r="EP9" s="165" t="s">
        <v>112</v>
      </c>
      <c r="EQ9" s="8" t="s">
        <v>112</v>
      </c>
      <c r="ER9" s="165" t="s">
        <v>112</v>
      </c>
      <c r="ES9" s="165" t="s">
        <v>112</v>
      </c>
      <c r="ET9" s="8">
        <v>91875</v>
      </c>
      <c r="EU9" s="165">
        <f t="shared" ref="EU9" si="107">ET9/ET$6</f>
        <v>1.4163886690756451E-2</v>
      </c>
      <c r="EV9" s="165" t="s">
        <v>112</v>
      </c>
      <c r="EW9" s="8">
        <v>82360</v>
      </c>
      <c r="EX9" s="165">
        <f t="shared" si="70"/>
        <v>1.0911994157657912E-2</v>
      </c>
      <c r="EY9" s="165" t="s">
        <v>112</v>
      </c>
      <c r="EZ9" s="8">
        <v>96005</v>
      </c>
      <c r="FA9" s="165">
        <f>EZ9/EZ$6</f>
        <v>1.3662778907191158E-2</v>
      </c>
      <c r="FB9" s="165" t="s">
        <v>112</v>
      </c>
      <c r="FC9" s="8">
        <v>88181</v>
      </c>
      <c r="FD9" s="165">
        <f>FC9/FC$6</f>
        <v>1.2070813724871522E-2</v>
      </c>
      <c r="FE9" s="165" t="s">
        <v>112</v>
      </c>
      <c r="FF9" s="8">
        <v>399440</v>
      </c>
      <c r="FG9" s="165">
        <f t="shared" si="88"/>
        <v>5.2925223644314512E-2</v>
      </c>
      <c r="FH9" s="165">
        <f t="shared" si="89"/>
        <v>3.347646258503401</v>
      </c>
      <c r="FI9" s="8">
        <v>439693</v>
      </c>
      <c r="FJ9" s="165">
        <f t="shared" ref="FJ9:FJ29" si="108">FI9/FI$6</f>
        <v>4.9845891327198313E-2</v>
      </c>
      <c r="FK9" s="165">
        <f t="shared" si="90"/>
        <v>4.3386716852841181</v>
      </c>
      <c r="FL9" s="8">
        <v>785136</v>
      </c>
      <c r="FM9" s="165">
        <f t="shared" ref="FM9:FM29" si="109">FL9/FL$6</f>
        <v>7.8021184895767343E-2</v>
      </c>
      <c r="FN9" s="165">
        <f t="shared" si="72"/>
        <v>7.1780740586427783</v>
      </c>
      <c r="FO9" s="8">
        <v>300983</v>
      </c>
      <c r="FP9" s="165">
        <f t="shared" si="73"/>
        <v>3.0329080035808476E-2</v>
      </c>
      <c r="FQ9" s="165">
        <f t="shared" si="74"/>
        <v>2.4132409475964209</v>
      </c>
      <c r="FR9" s="8">
        <v>533838</v>
      </c>
      <c r="FS9" s="165">
        <f t="shared" si="91"/>
        <v>5.2325229217786644E-2</v>
      </c>
      <c r="FT9" s="165">
        <f t="shared" si="92"/>
        <v>0.33646605247346284</v>
      </c>
      <c r="FU9" s="8">
        <v>391348</v>
      </c>
      <c r="FV9" s="165">
        <f t="shared" si="93"/>
        <v>3.3874432588452665E-2</v>
      </c>
      <c r="FW9" s="165">
        <f t="shared" si="94"/>
        <v>-0.10995171631115341</v>
      </c>
      <c r="FX9" s="8">
        <v>500605</v>
      </c>
      <c r="FY9" s="165">
        <f t="shared" si="95"/>
        <v>4.3513997485670558E-2</v>
      </c>
      <c r="FZ9" s="165">
        <f t="shared" si="96"/>
        <v>-0.36239708789305292</v>
      </c>
      <c r="GA9" s="540">
        <v>622923</v>
      </c>
      <c r="GB9" s="165">
        <f t="shared" si="97"/>
        <v>4.8559366408246415E-2</v>
      </c>
      <c r="GC9" s="165">
        <f t="shared" si="98"/>
        <v>1.0696285172252256</v>
      </c>
      <c r="GD9" s="8">
        <v>627971</v>
      </c>
      <c r="GE9" s="165">
        <f t="shared" si="99"/>
        <v>4.8372103413240858E-2</v>
      </c>
      <c r="GF9" s="165">
        <f t="shared" ref="GF9:GF21" si="110">(GD9/FR9)-1</f>
        <v>0.17633252035261626</v>
      </c>
      <c r="GG9" s="8">
        <v>605572</v>
      </c>
      <c r="GH9" s="165">
        <f t="shared" si="101"/>
        <v>4.1356910867433705E-2</v>
      </c>
      <c r="GI9" s="165">
        <f t="shared" ref="GI9:GI21" si="111">(GG9/FU9)-1</f>
        <v>0.54740026779234841</v>
      </c>
    </row>
    <row r="10" spans="1:254" s="151" customFormat="1" ht="16.5" customHeight="1">
      <c r="B10" s="163" t="s">
        <v>20</v>
      </c>
      <c r="C10" s="164" t="s">
        <v>21</v>
      </c>
      <c r="D10" s="7">
        <v>264021</v>
      </c>
      <c r="E10" s="165">
        <f t="shared" si="0"/>
        <v>0.39260445570614111</v>
      </c>
      <c r="F10" s="7">
        <v>272545</v>
      </c>
      <c r="G10" s="165">
        <f t="shared" si="1"/>
        <v>0.38775797653633509</v>
      </c>
      <c r="H10" s="7">
        <v>266782</v>
      </c>
      <c r="I10" s="165">
        <f t="shared" si="2"/>
        <v>0.30529600719576766</v>
      </c>
      <c r="J10" s="7">
        <v>419245</v>
      </c>
      <c r="K10" s="165">
        <f t="shared" si="3"/>
        <v>0.39281484590793081</v>
      </c>
      <c r="L10" s="8">
        <v>350391</v>
      </c>
      <c r="M10" s="165">
        <f t="shared" si="4"/>
        <v>0.3795153905892063</v>
      </c>
      <c r="N10" s="165">
        <f t="shared" si="5"/>
        <v>0.32713306896042371</v>
      </c>
      <c r="O10" s="8">
        <v>409400</v>
      </c>
      <c r="P10" s="165">
        <f t="shared" si="6"/>
        <v>0.38661375831257355</v>
      </c>
      <c r="Q10" s="165">
        <f t="shared" si="7"/>
        <v>0.50213726173659401</v>
      </c>
      <c r="R10" s="166">
        <v>426329</v>
      </c>
      <c r="S10" s="165">
        <f t="shared" si="8"/>
        <v>0.38252389377990087</v>
      </c>
      <c r="T10" s="165">
        <f t="shared" si="9"/>
        <v>0.59804259657698045</v>
      </c>
      <c r="U10" s="7">
        <v>627846</v>
      </c>
      <c r="V10" s="165">
        <f t="shared" si="10"/>
        <v>0.44024704758779404</v>
      </c>
      <c r="W10" s="165">
        <f t="shared" si="11"/>
        <v>0.49756347720306748</v>
      </c>
      <c r="X10" s="7">
        <v>532336</v>
      </c>
      <c r="Y10" s="165">
        <f t="shared" si="12"/>
        <v>0.42002242387756344</v>
      </c>
      <c r="Z10" s="165">
        <f t="shared" si="13"/>
        <v>0.5192627664523346</v>
      </c>
      <c r="AA10" s="8">
        <v>576674</v>
      </c>
      <c r="AB10" s="165">
        <f t="shared" si="14"/>
        <v>0.43691296880102254</v>
      </c>
      <c r="AC10" s="165">
        <f t="shared" si="15"/>
        <v>0.40858329262335125</v>
      </c>
      <c r="AD10" s="7">
        <v>541526</v>
      </c>
      <c r="AE10" s="165">
        <f t="shared" si="16"/>
        <v>0.39921737982954275</v>
      </c>
      <c r="AF10" s="165">
        <f t="shared" si="17"/>
        <v>0.27020681210989639</v>
      </c>
      <c r="AG10" s="8">
        <v>716372</v>
      </c>
      <c r="AH10" s="165">
        <f t="shared" si="18"/>
        <v>0.44540636525744298</v>
      </c>
      <c r="AI10" s="165">
        <f t="shared" si="19"/>
        <v>0.14099954447428198</v>
      </c>
      <c r="AJ10" s="8">
        <v>601020</v>
      </c>
      <c r="AK10" s="165">
        <f t="shared" si="20"/>
        <v>0.4122176985712091</v>
      </c>
      <c r="AL10" s="165">
        <f t="shared" si="21"/>
        <v>0.12902377445823698</v>
      </c>
      <c r="AM10" s="8">
        <v>633877</v>
      </c>
      <c r="AN10" s="165">
        <f t="shared" si="22"/>
        <v>0.42092118613904517</v>
      </c>
      <c r="AO10" s="165">
        <f t="shared" si="23"/>
        <v>9.9194692321831646E-2</v>
      </c>
      <c r="AP10" s="8">
        <v>567228</v>
      </c>
      <c r="AQ10" s="165">
        <f t="shared" si="24"/>
        <v>0.39522465099038184</v>
      </c>
      <c r="AR10" s="165">
        <f t="shared" si="25"/>
        <v>4.7462171714746759E-2</v>
      </c>
      <c r="AS10" s="8">
        <v>714069</v>
      </c>
      <c r="AT10" s="165">
        <f t="shared" si="26"/>
        <v>0.43906096762391977</v>
      </c>
      <c r="AU10" s="165">
        <f t="shared" si="27"/>
        <v>-3.2148101824192032E-3</v>
      </c>
      <c r="AV10" s="8">
        <v>573501</v>
      </c>
      <c r="AW10" s="165">
        <f t="shared" si="28"/>
        <v>0.39492255124343578</v>
      </c>
      <c r="AX10" s="165">
        <f t="shared" si="29"/>
        <v>-4.5787161824897726E-2</v>
      </c>
      <c r="AY10" s="8">
        <v>634261</v>
      </c>
      <c r="AZ10" s="165">
        <f t="shared" si="30"/>
        <v>0.39982538476813051</v>
      </c>
      <c r="BA10" s="165">
        <f t="shared" si="31"/>
        <v>6.0579576163832805E-4</v>
      </c>
      <c r="BB10" s="8">
        <v>573833</v>
      </c>
      <c r="BC10" s="165">
        <f t="shared" si="32"/>
        <v>0.35209014658330212</v>
      </c>
      <c r="BD10" s="165">
        <f t="shared" si="33"/>
        <v>1.1644347599201632E-2</v>
      </c>
      <c r="BE10" s="8">
        <v>768412</v>
      </c>
      <c r="BF10" s="165">
        <f t="shared" si="34"/>
        <v>0.39996523001024881</v>
      </c>
      <c r="BG10" s="165">
        <f t="shared" si="35"/>
        <v>7.610328973810665E-2</v>
      </c>
      <c r="BH10" s="8">
        <v>625256</v>
      </c>
      <c r="BI10" s="165">
        <f t="shared" ref="BI10:BI17" si="112">BH10/$BH$6</f>
        <v>0.34126676571176567</v>
      </c>
      <c r="BJ10" s="165">
        <f t="shared" ref="BJ10:BJ17" si="113">(BH10/AV10)-1</f>
        <v>9.0243957726316104E-2</v>
      </c>
      <c r="BK10" s="8">
        <v>690169</v>
      </c>
      <c r="BL10" s="165">
        <f t="shared" ref="BL10:BL17" si="114">BK10/$BK$6</f>
        <v>0.36870365621727891</v>
      </c>
      <c r="BM10" s="165">
        <f t="shared" ref="BM10:BM17" si="115">(BK10/AY10)-1</f>
        <v>8.8146677787220185E-2</v>
      </c>
      <c r="BN10" s="8">
        <v>641468</v>
      </c>
      <c r="BO10" s="165">
        <f t="shared" si="36"/>
        <v>0.33662929886301257</v>
      </c>
      <c r="BP10" s="165">
        <f t="shared" si="37"/>
        <v>0.11786530227435499</v>
      </c>
      <c r="BQ10" s="8">
        <v>863493</v>
      </c>
      <c r="BR10" s="165">
        <f t="shared" si="38"/>
        <v>0.35158295042986298</v>
      </c>
      <c r="BS10" s="165">
        <f t="shared" si="39"/>
        <v>0.12373700566883383</v>
      </c>
      <c r="BT10" s="8">
        <v>720221</v>
      </c>
      <c r="BU10" s="165">
        <f t="shared" si="40"/>
        <v>0.32558556905065328</v>
      </c>
      <c r="BV10" s="165">
        <f t="shared" si="41"/>
        <v>0.15188178921913575</v>
      </c>
      <c r="BW10" s="167">
        <v>824958</v>
      </c>
      <c r="BX10" s="165">
        <f t="shared" si="42"/>
        <v>0.37011773034944928</v>
      </c>
      <c r="BY10" s="165">
        <f t="shared" si="43"/>
        <v>0.19529854282067149</v>
      </c>
      <c r="BZ10" s="8">
        <v>743768</v>
      </c>
      <c r="CA10" s="165">
        <f t="shared" ref="CA10:CA17" si="116">BZ10/$BZ$6</f>
        <v>0.27945108306043287</v>
      </c>
      <c r="CB10" s="165">
        <f t="shared" si="44"/>
        <v>0.15947794745801813</v>
      </c>
      <c r="CC10" s="8">
        <v>1006315</v>
      </c>
      <c r="CD10" s="165">
        <f t="shared" ref="CD10:CD17" si="117">CC10/$CC$6</f>
        <v>0.33729299508229249</v>
      </c>
      <c r="CE10" s="165">
        <f t="shared" si="45"/>
        <v>0.1654002985548233</v>
      </c>
      <c r="CF10" s="8">
        <v>849027</v>
      </c>
      <c r="CG10" s="188">
        <f t="shared" ref="CG10:CG17" si="118">CF10/$CF$6</f>
        <v>0.29691376870208747</v>
      </c>
      <c r="CH10" s="165">
        <f t="shared" si="46"/>
        <v>0.17884232756334506</v>
      </c>
      <c r="CI10" s="8">
        <v>960925</v>
      </c>
      <c r="CJ10" s="188">
        <f t="shared" ref="CJ10:CJ17" si="119">CI10/$CI$6</f>
        <v>0.33024553145670954</v>
      </c>
      <c r="CK10" s="165">
        <f t="shared" si="47"/>
        <v>0.16481687552578439</v>
      </c>
      <c r="CL10" s="8">
        <v>951897</v>
      </c>
      <c r="CM10" s="165">
        <f t="shared" ref="CM10:CM17" si="120">CL10/$CL$6</f>
        <v>0.28652825332801551</v>
      </c>
      <c r="CN10" s="165">
        <f t="shared" si="48"/>
        <v>0.27983053855503326</v>
      </c>
      <c r="CO10" s="8">
        <v>1279698</v>
      </c>
      <c r="CP10" s="165">
        <f t="shared" si="75"/>
        <v>0.3394399192791141</v>
      </c>
      <c r="CQ10" s="165">
        <f t="shared" ref="CQ10:CQ17" si="121">(CO10/CC10)-1</f>
        <v>0.27166742024117707</v>
      </c>
      <c r="CR10" s="8">
        <v>1068236</v>
      </c>
      <c r="CS10" s="165">
        <f t="shared" si="103"/>
        <v>0.30647761443248039</v>
      </c>
      <c r="CT10" s="165">
        <f t="shared" ref="CT10:CT24" si="122">(CR10/CF10)-1</f>
        <v>0.25818849106094377</v>
      </c>
      <c r="CU10" s="8">
        <v>1131856</v>
      </c>
      <c r="CV10" s="165">
        <f t="shared" ref="CV10:CV17" si="123">CU10/$CU$6</f>
        <v>0.32217815587607312</v>
      </c>
      <c r="CW10" s="165">
        <f t="shared" ref="CW10:CW23" si="124">(CU10/CI10)-1</f>
        <v>0.17788172854281026</v>
      </c>
      <c r="CX10" s="8">
        <v>1146038</v>
      </c>
      <c r="CY10" s="165">
        <f t="shared" si="49"/>
        <v>0.28540810754431351</v>
      </c>
      <c r="CZ10" s="165">
        <f t="shared" si="50"/>
        <v>0.20395168805028274</v>
      </c>
      <c r="DA10" s="8">
        <v>1572443</v>
      </c>
      <c r="DB10" s="165">
        <f t="shared" si="76"/>
        <v>0.34823046007506547</v>
      </c>
      <c r="DC10" s="165">
        <f t="shared" si="77"/>
        <v>0.22876100454951098</v>
      </c>
      <c r="DD10" s="8">
        <v>1347943</v>
      </c>
      <c r="DE10" s="165">
        <f t="shared" si="51"/>
        <v>0.3134248954062942</v>
      </c>
      <c r="DF10" s="165">
        <f>(DD10/CR10)-1</f>
        <v>0.26184008028188521</v>
      </c>
      <c r="DG10" s="8">
        <v>1414358</v>
      </c>
      <c r="DH10" s="165">
        <f t="shared" si="52"/>
        <v>0.32108028198877731</v>
      </c>
      <c r="DI10" s="165">
        <f t="shared" si="78"/>
        <v>0.24959182086767218</v>
      </c>
      <c r="DJ10" s="8">
        <v>1395168</v>
      </c>
      <c r="DK10" s="165">
        <f t="shared" si="53"/>
        <v>0.30940840917361978</v>
      </c>
      <c r="DL10" s="165">
        <f t="shared" si="79"/>
        <v>0.217383716770299</v>
      </c>
      <c r="DM10" s="8">
        <v>1908518</v>
      </c>
      <c r="DN10" s="165">
        <f t="shared" si="80"/>
        <v>0.35881927158562449</v>
      </c>
      <c r="DO10" s="165">
        <f t="shared" si="54"/>
        <v>0.21372793799202894</v>
      </c>
      <c r="DP10" s="8">
        <v>1610505</v>
      </c>
      <c r="DQ10" s="165">
        <f t="shared" si="55"/>
        <v>0.31728368185834477</v>
      </c>
      <c r="DR10" s="165">
        <f t="shared" si="56"/>
        <v>0.1947871683001432</v>
      </c>
      <c r="DS10" s="8">
        <v>1746081</v>
      </c>
      <c r="DT10" s="165">
        <f t="shared" si="81"/>
        <v>0.3337493857174505</v>
      </c>
      <c r="DU10" s="165">
        <f>(DS10/DG10)-1</f>
        <v>0.23453962858059985</v>
      </c>
      <c r="DV10" s="8">
        <v>1670761</v>
      </c>
      <c r="DW10" s="165">
        <f t="shared" si="82"/>
        <v>0.3156700351141043</v>
      </c>
      <c r="DX10" s="165">
        <f t="shared" si="104"/>
        <v>0.19753391706231804</v>
      </c>
      <c r="DY10" s="8">
        <v>2119836</v>
      </c>
      <c r="DZ10" s="165">
        <f t="shared" si="57"/>
        <v>0.36151732373260043</v>
      </c>
      <c r="EA10" s="165">
        <f t="shared" si="83"/>
        <v>0.11072360858006047</v>
      </c>
      <c r="EB10" s="8">
        <v>1699613</v>
      </c>
      <c r="EC10" s="165">
        <f t="shared" si="84"/>
        <v>0.30506884997318373</v>
      </c>
      <c r="ED10" s="165">
        <f>(EB10/DP10)-1</f>
        <v>5.5329229030645743E-2</v>
      </c>
      <c r="EE10" s="8">
        <v>1857269</v>
      </c>
      <c r="EF10" s="165">
        <f t="shared" si="58"/>
        <v>0.31952360889299641</v>
      </c>
      <c r="EG10" s="165">
        <f t="shared" si="59"/>
        <v>6.367860368447964E-2</v>
      </c>
      <c r="EH10" s="8">
        <v>1702339</v>
      </c>
      <c r="EI10" s="165">
        <f t="shared" si="60"/>
        <v>0.30000694354859742</v>
      </c>
      <c r="EJ10" s="165">
        <f t="shared" si="61"/>
        <v>1.8900369352648383E-2</v>
      </c>
      <c r="EK10" s="8">
        <v>2209271</v>
      </c>
      <c r="EL10" s="165">
        <f t="shared" si="62"/>
        <v>0.34118898346494292</v>
      </c>
      <c r="EM10" s="165">
        <f t="shared" si="63"/>
        <v>4.218958447728971E-2</v>
      </c>
      <c r="EN10" s="8">
        <v>1861232</v>
      </c>
      <c r="EO10" s="165">
        <f t="shared" si="85"/>
        <v>0.29770537911037337</v>
      </c>
      <c r="EP10" s="165">
        <f t="shared" si="65"/>
        <v>9.5091647333834128E-2</v>
      </c>
      <c r="EQ10" s="8">
        <v>2141703</v>
      </c>
      <c r="ER10" s="165">
        <f t="shared" si="66"/>
        <v>0.3246719895799493</v>
      </c>
      <c r="ES10" s="165">
        <f t="shared" si="67"/>
        <v>0.15314636705829909</v>
      </c>
      <c r="ET10" s="8">
        <v>2024917</v>
      </c>
      <c r="EU10" s="165">
        <f t="shared" si="68"/>
        <v>0.3121708293462474</v>
      </c>
      <c r="EV10" s="165">
        <f t="shared" si="69"/>
        <v>0.1894910473178375</v>
      </c>
      <c r="EW10" s="8">
        <v>2644258</v>
      </c>
      <c r="EX10" s="165">
        <f t="shared" si="70"/>
        <v>0.35034152315857447</v>
      </c>
      <c r="EY10" s="165">
        <f t="shared" ref="EY10" si="125">(EW10/EK10)-1</f>
        <v>0.19689164434784145</v>
      </c>
      <c r="EZ10" s="8">
        <v>2168299</v>
      </c>
      <c r="FA10" s="165">
        <f t="shared" si="105"/>
        <v>0.30857757243564066</v>
      </c>
      <c r="FB10" s="165">
        <f t="shared" ref="FB10" si="126">(EZ10/EN10)-1</f>
        <v>0.1649805075347941</v>
      </c>
      <c r="FC10" s="8">
        <v>2359387</v>
      </c>
      <c r="FD10" s="165">
        <f t="shared" ref="FD10:FD21" si="127">FC10/FC$6</f>
        <v>0.32296890466068023</v>
      </c>
      <c r="FE10" s="165">
        <f t="shared" ref="FE10" si="128">(FC10/EQ10)-1</f>
        <v>0.10164061029937388</v>
      </c>
      <c r="FF10" s="8">
        <v>2281306</v>
      </c>
      <c r="FG10" s="165">
        <f t="shared" si="88"/>
        <v>0.30226975328238676</v>
      </c>
      <c r="FH10" s="165">
        <f t="shared" si="89"/>
        <v>0.12661704158738352</v>
      </c>
      <c r="FI10" s="8">
        <v>3162670</v>
      </c>
      <c r="FJ10" s="165">
        <f t="shared" si="108"/>
        <v>0.35853676343219082</v>
      </c>
      <c r="FK10" s="165">
        <f t="shared" si="90"/>
        <v>0.19605197374840122</v>
      </c>
      <c r="FL10" s="8">
        <v>2703346</v>
      </c>
      <c r="FM10" s="165">
        <f t="shared" si="109"/>
        <v>0.26863913780954263</v>
      </c>
      <c r="FN10" s="165">
        <f t="shared" si="72"/>
        <v>0.24675886489824506</v>
      </c>
      <c r="FO10" s="8">
        <v>2896784</v>
      </c>
      <c r="FP10" s="165">
        <f t="shared" si="73"/>
        <v>0.29189952184159706</v>
      </c>
      <c r="FQ10" s="165">
        <f t="shared" si="74"/>
        <v>0.22776975544919087</v>
      </c>
      <c r="FR10" s="8">
        <v>2891747</v>
      </c>
      <c r="FS10" s="165">
        <f t="shared" si="91"/>
        <v>0.28344052805316761</v>
      </c>
      <c r="FT10" s="165">
        <f t="shared" si="92"/>
        <v>0.26758400670493132</v>
      </c>
      <c r="FU10" s="8">
        <v>3825961</v>
      </c>
      <c r="FV10" s="165">
        <f t="shared" si="93"/>
        <v>0.33116882667229414</v>
      </c>
      <c r="FW10" s="165">
        <f t="shared" si="94"/>
        <v>0.20972501082945749</v>
      </c>
      <c r="FX10" s="8">
        <v>3012644</v>
      </c>
      <c r="FY10" s="165">
        <f t="shared" si="95"/>
        <v>0.26186750719873053</v>
      </c>
      <c r="FZ10" s="165">
        <f t="shared" si="96"/>
        <v>0.11441302741121562</v>
      </c>
      <c r="GA10" s="8">
        <v>2231722</v>
      </c>
      <c r="GB10" s="165">
        <f t="shared" si="97"/>
        <v>0.17397175304065593</v>
      </c>
      <c r="GC10" s="165">
        <f t="shared" si="98"/>
        <v>-0.22958632745831242</v>
      </c>
      <c r="GD10" s="8">
        <v>2678827</v>
      </c>
      <c r="GE10" s="165">
        <f t="shared" si="99"/>
        <v>0.20634789929818698</v>
      </c>
      <c r="GF10" s="165">
        <f t="shared" si="110"/>
        <v>-7.3630231137094659E-2</v>
      </c>
      <c r="GG10" s="8">
        <v>3811668</v>
      </c>
      <c r="GH10" s="165">
        <f t="shared" si="101"/>
        <v>0.26031390773062374</v>
      </c>
      <c r="GI10" s="165">
        <f t="shared" si="111"/>
        <v>-3.7357934385635616E-3</v>
      </c>
    </row>
    <row r="11" spans="1:254" s="171" customFormat="1" ht="16.5" customHeight="1">
      <c r="B11" s="172" t="s">
        <v>22</v>
      </c>
      <c r="C11" s="173" t="s">
        <v>23</v>
      </c>
      <c r="D11" s="10">
        <f>D12+D13</f>
        <v>100774</v>
      </c>
      <c r="E11" s="174">
        <f t="shared" si="0"/>
        <v>0.14985293374137157</v>
      </c>
      <c r="F11" s="10">
        <f>F12+F13</f>
        <v>84761</v>
      </c>
      <c r="G11" s="174">
        <f t="shared" si="1"/>
        <v>0.12059202645139812</v>
      </c>
      <c r="H11" s="10">
        <f>H12+H13</f>
        <v>96368</v>
      </c>
      <c r="I11" s="174">
        <f t="shared" si="2"/>
        <v>0.11028017490476022</v>
      </c>
      <c r="J11" s="10">
        <f>J12+J13</f>
        <v>92616</v>
      </c>
      <c r="K11" s="174">
        <f t="shared" si="3"/>
        <v>8.6777277650559745E-2</v>
      </c>
      <c r="L11" s="10">
        <f>L12+L13</f>
        <v>129547</v>
      </c>
      <c r="M11" s="174">
        <f t="shared" si="4"/>
        <v>0.14031490621808182</v>
      </c>
      <c r="N11" s="174">
        <f t="shared" si="5"/>
        <v>0.28552007462242246</v>
      </c>
      <c r="O11" s="10">
        <f>O12+O13</f>
        <v>116212</v>
      </c>
      <c r="P11" s="174">
        <f t="shared" si="6"/>
        <v>0.10974391324137957</v>
      </c>
      <c r="Q11" s="174">
        <f t="shared" si="7"/>
        <v>0.37105508429584355</v>
      </c>
      <c r="R11" s="10">
        <f>R12+R13</f>
        <v>139932</v>
      </c>
      <c r="S11" s="174">
        <f t="shared" si="8"/>
        <v>0.12555405216255308</v>
      </c>
      <c r="T11" s="174">
        <f t="shared" si="9"/>
        <v>0.45205877469699485</v>
      </c>
      <c r="U11" s="10">
        <f>U12+U13</f>
        <v>123022</v>
      </c>
      <c r="V11" s="174">
        <f t="shared" si="10"/>
        <v>8.6263307066295869E-2</v>
      </c>
      <c r="W11" s="174">
        <f t="shared" si="11"/>
        <v>0.3283018053036193</v>
      </c>
      <c r="X11" s="10">
        <f>SUM(X12:X13)</f>
        <v>174524</v>
      </c>
      <c r="Y11" s="174">
        <f t="shared" si="12"/>
        <v>0.13770249148058347</v>
      </c>
      <c r="Z11" s="174">
        <f t="shared" si="13"/>
        <v>0.34718673531614019</v>
      </c>
      <c r="AA11" s="12">
        <f>SUM(AA12:AA13)</f>
        <v>127446</v>
      </c>
      <c r="AB11" s="174">
        <f t="shared" si="14"/>
        <v>9.6558558599512234E-2</v>
      </c>
      <c r="AC11" s="174">
        <f t="shared" si="15"/>
        <v>9.6668158193646159E-2</v>
      </c>
      <c r="AD11" s="10">
        <f>SUM(AD12:AD13)</f>
        <v>159013</v>
      </c>
      <c r="AE11" s="174">
        <f t="shared" si="16"/>
        <v>0.11722567931887865</v>
      </c>
      <c r="AF11" s="174">
        <f t="shared" si="17"/>
        <v>0.13635908870022573</v>
      </c>
      <c r="AG11" s="12">
        <f>SUM(AG12:AG13)</f>
        <v>150594</v>
      </c>
      <c r="AH11" s="174">
        <f t="shared" si="18"/>
        <v>9.3632255545414073E-2</v>
      </c>
      <c r="AI11" s="174">
        <f t="shared" si="19"/>
        <v>0.22412251467217237</v>
      </c>
      <c r="AJ11" s="12">
        <f>SUM(AJ12:AJ13)</f>
        <v>223444</v>
      </c>
      <c r="AK11" s="174">
        <f t="shared" si="20"/>
        <v>0.15325209051203828</v>
      </c>
      <c r="AL11" s="174">
        <f t="shared" si="21"/>
        <v>0.28030528752492501</v>
      </c>
      <c r="AM11" s="12">
        <f>SUM(AM12:AM13)</f>
        <v>201221</v>
      </c>
      <c r="AN11" s="174">
        <f t="shared" si="22"/>
        <v>0.13361926997837878</v>
      </c>
      <c r="AO11" s="174">
        <f t="shared" si="23"/>
        <v>0.57887262056086497</v>
      </c>
      <c r="AP11" s="12">
        <f>SUM(AP12:AP13)</f>
        <v>231287</v>
      </c>
      <c r="AQ11" s="174">
        <f t="shared" si="24"/>
        <v>0.16115270024331035</v>
      </c>
      <c r="AR11" s="174">
        <f t="shared" si="25"/>
        <v>0.45451629740964572</v>
      </c>
      <c r="AS11" s="12">
        <f>SUM(AS12:AS13)</f>
        <v>189345</v>
      </c>
      <c r="AT11" s="174">
        <f t="shared" si="26"/>
        <v>0.11642292119494206</v>
      </c>
      <c r="AU11" s="174">
        <f t="shared" si="27"/>
        <v>0.25732100880513165</v>
      </c>
      <c r="AV11" s="12">
        <f>SUM(AV12:AV13)</f>
        <v>268458</v>
      </c>
      <c r="AW11" s="174">
        <f t="shared" si="28"/>
        <v>0.18486474873053452</v>
      </c>
      <c r="AX11" s="174">
        <f t="shared" si="29"/>
        <v>0.20145539822058334</v>
      </c>
      <c r="AY11" s="12">
        <f>SUM(AY12:AY13)</f>
        <v>231175</v>
      </c>
      <c r="AZ11" s="174">
        <f t="shared" si="30"/>
        <v>0.14572807302320745</v>
      </c>
      <c r="BA11" s="174">
        <f t="shared" si="31"/>
        <v>0.14886120235959477</v>
      </c>
      <c r="BB11" s="12">
        <f>SUM(BB12:BB13)</f>
        <v>231765</v>
      </c>
      <c r="BC11" s="174">
        <f t="shared" si="32"/>
        <v>0.14220543751035408</v>
      </c>
      <c r="BD11" s="174">
        <f t="shared" si="33"/>
        <v>2.0666963556101869E-3</v>
      </c>
      <c r="BE11" s="12">
        <f>SUM(BE12:BE13)</f>
        <v>203318</v>
      </c>
      <c r="BF11" s="174">
        <f t="shared" si="34"/>
        <v>0.10582881401542893</v>
      </c>
      <c r="BG11" s="174">
        <f t="shared" si="35"/>
        <v>7.3796509017930223E-2</v>
      </c>
      <c r="BH11" s="12">
        <f>SUM(BH12:BH13)</f>
        <v>281529</v>
      </c>
      <c r="BI11" s="174">
        <f t="shared" si="112"/>
        <v>0.15365944714495772</v>
      </c>
      <c r="BJ11" s="174">
        <f t="shared" si="113"/>
        <v>4.8689180430458334E-2</v>
      </c>
      <c r="BK11" s="12">
        <f>SUM(BK12:BK13)</f>
        <v>284167</v>
      </c>
      <c r="BL11" s="174">
        <f t="shared" si="114"/>
        <v>0.15180834241511207</v>
      </c>
      <c r="BM11" s="174">
        <f t="shared" si="115"/>
        <v>0.22922893911538877</v>
      </c>
      <c r="BN11" s="12">
        <f>SUM(BN12:BN13)</f>
        <v>311665</v>
      </c>
      <c r="BO11" s="174">
        <f t="shared" si="36"/>
        <v>0.16355542354434019</v>
      </c>
      <c r="BP11" s="174">
        <f t="shared" si="37"/>
        <v>0.3447457553987876</v>
      </c>
      <c r="BQ11" s="12">
        <f>SUM(BQ12:BQ13)</f>
        <v>275300</v>
      </c>
      <c r="BR11" s="174">
        <f t="shared" si="38"/>
        <v>0.11209214927433261</v>
      </c>
      <c r="BS11" s="174">
        <f t="shared" si="39"/>
        <v>0.35403653390255663</v>
      </c>
      <c r="BT11" s="12">
        <f>SUM(BT12:BT13)</f>
        <v>376969</v>
      </c>
      <c r="BU11" s="174">
        <f t="shared" si="40"/>
        <v>0.17041389570625642</v>
      </c>
      <c r="BV11" s="174">
        <f t="shared" si="41"/>
        <v>0.33900592834130761</v>
      </c>
      <c r="BW11" s="33">
        <f>BW12+BW13</f>
        <v>336763</v>
      </c>
      <c r="BX11" s="174">
        <f>BW11/$BW$6</f>
        <v>0.1510888520696467</v>
      </c>
      <c r="BY11" s="174">
        <f t="shared" si="43"/>
        <v>0.18508834593742418</v>
      </c>
      <c r="BZ11" s="12">
        <f>BZ12+BZ13</f>
        <v>378940</v>
      </c>
      <c r="CA11" s="174">
        <f t="shared" si="116"/>
        <v>0.14237664623232033</v>
      </c>
      <c r="CB11" s="174">
        <f t="shared" si="44"/>
        <v>0.21585676928753639</v>
      </c>
      <c r="CC11" s="12">
        <f>CC12+CC13</f>
        <v>393152</v>
      </c>
      <c r="CD11" s="174">
        <f t="shared" si="117"/>
        <v>0.1317752548681014</v>
      </c>
      <c r="CE11" s="174">
        <f t="shared" si="45"/>
        <v>0.42808572466400285</v>
      </c>
      <c r="CF11" s="12">
        <f>CF12+CF13</f>
        <v>465443</v>
      </c>
      <c r="CG11" s="569">
        <f t="shared" si="118"/>
        <v>0.16277036566093386</v>
      </c>
      <c r="CH11" s="174">
        <f t="shared" si="46"/>
        <v>0.23469834389565181</v>
      </c>
      <c r="CI11" s="12">
        <f>CI12+CI13</f>
        <v>461742</v>
      </c>
      <c r="CJ11" s="569">
        <f t="shared" si="119"/>
        <v>0.15868900505854669</v>
      </c>
      <c r="CK11" s="174">
        <f t="shared" si="47"/>
        <v>0.37111856112458907</v>
      </c>
      <c r="CL11" s="12">
        <f>CL12+CL13</f>
        <v>515020</v>
      </c>
      <c r="CM11" s="174">
        <f t="shared" si="120"/>
        <v>0.15502494600675762</v>
      </c>
      <c r="CN11" s="174">
        <f t="shared" si="48"/>
        <v>0.35910698263577356</v>
      </c>
      <c r="CO11" s="12">
        <f>CO12+CO13</f>
        <v>454011</v>
      </c>
      <c r="CP11" s="174">
        <f t="shared" si="75"/>
        <v>0.12042642654112913</v>
      </c>
      <c r="CQ11" s="174">
        <f t="shared" si="121"/>
        <v>0.15479763552010417</v>
      </c>
      <c r="CR11" s="12">
        <f>CR12+CR13</f>
        <v>533648</v>
      </c>
      <c r="CS11" s="174">
        <f t="shared" si="103"/>
        <v>0.15310396390560166</v>
      </c>
      <c r="CT11" s="174">
        <f t="shared" si="122"/>
        <v>0.14653781451219583</v>
      </c>
      <c r="CU11" s="12">
        <f>CU12+CU13</f>
        <v>542758</v>
      </c>
      <c r="CV11" s="174">
        <f t="shared" si="123"/>
        <v>0.15449383271987399</v>
      </c>
      <c r="CW11" s="174">
        <f t="shared" si="124"/>
        <v>0.1754572900017759</v>
      </c>
      <c r="CX11" s="12">
        <f>CX12+CX13</f>
        <v>585049</v>
      </c>
      <c r="CY11" s="174">
        <f t="shared" si="49"/>
        <v>0.14569999241795914</v>
      </c>
      <c r="CZ11" s="174">
        <f t="shared" si="50"/>
        <v>0.13597336025785411</v>
      </c>
      <c r="DA11" s="12">
        <f>DA12+DA13</f>
        <v>506990</v>
      </c>
      <c r="DB11" s="174">
        <f t="shared" si="76"/>
        <v>0.11227711335384331</v>
      </c>
      <c r="DC11" s="174">
        <f t="shared" si="77"/>
        <v>0.11669100528401288</v>
      </c>
      <c r="DD11" s="12">
        <f>DD12+DD13</f>
        <v>581743</v>
      </c>
      <c r="DE11" s="174">
        <f t="shared" si="51"/>
        <v>0.13526739552662376</v>
      </c>
      <c r="DF11" s="174">
        <f>(DD11/CR11)-1</f>
        <v>9.0124951278745646E-2</v>
      </c>
      <c r="DG11" s="12">
        <f>DG12+DG13</f>
        <v>568293</v>
      </c>
      <c r="DH11" s="174">
        <f t="shared" si="52"/>
        <v>0.12901095528306711</v>
      </c>
      <c r="DI11" s="174">
        <f t="shared" si="78"/>
        <v>4.7046750116995106E-2</v>
      </c>
      <c r="DJ11" s="12">
        <f>DJ12+DJ13</f>
        <v>674462</v>
      </c>
      <c r="DK11" s="174">
        <f t="shared" si="53"/>
        <v>0.14957640547092388</v>
      </c>
      <c r="DL11" s="174">
        <f t="shared" si="79"/>
        <v>0.15282993390297217</v>
      </c>
      <c r="DM11" s="12">
        <f>DM12+DM13</f>
        <v>612299.77</v>
      </c>
      <c r="DN11" s="174">
        <f t="shared" si="80"/>
        <v>0.11511809553980912</v>
      </c>
      <c r="DO11" s="174">
        <f t="shared" si="54"/>
        <v>0.20771567486538189</v>
      </c>
      <c r="DP11" s="12">
        <f>SUM(DP12:DP13)</f>
        <v>705073</v>
      </c>
      <c r="DQ11" s="174">
        <f t="shared" si="55"/>
        <v>0.13890559633090782</v>
      </c>
      <c r="DR11" s="174">
        <f t="shared" si="56"/>
        <v>0.21200083198250774</v>
      </c>
      <c r="DS11" s="12">
        <f>SUM(DS12:DS13)</f>
        <v>688231</v>
      </c>
      <c r="DT11" s="174">
        <f t="shared" si="81"/>
        <v>0.13154983845635262</v>
      </c>
      <c r="DU11" s="174">
        <f t="shared" ref="DU11:DU24" si="129">(DS11/DG11)-1</f>
        <v>0.21104958181782996</v>
      </c>
      <c r="DV11" s="12">
        <v>763646</v>
      </c>
      <c r="DW11" s="174">
        <f t="shared" si="82"/>
        <v>0.1442816534709305</v>
      </c>
      <c r="DX11" s="174">
        <f t="shared" si="104"/>
        <v>0.13222983652155351</v>
      </c>
      <c r="DY11" s="12">
        <v>622534</v>
      </c>
      <c r="DZ11" s="174">
        <f t="shared" si="57"/>
        <v>0.10616709293197713</v>
      </c>
      <c r="EA11" s="174">
        <f t="shared" si="83"/>
        <v>1.6714410982058725E-2</v>
      </c>
      <c r="EB11" s="12">
        <v>674815</v>
      </c>
      <c r="EC11" s="174">
        <f t="shared" si="84"/>
        <v>0.12112465366801382</v>
      </c>
      <c r="ED11" s="174">
        <f t="shared" ref="ED11:ED20" si="130">(EB11/DP11)-1</f>
        <v>-4.291470528583563E-2</v>
      </c>
      <c r="EE11" s="12">
        <v>701042</v>
      </c>
      <c r="EF11" s="174">
        <f t="shared" si="58"/>
        <v>0.12060690714461071</v>
      </c>
      <c r="EG11" s="174">
        <f t="shared" si="59"/>
        <v>1.8614389645337015E-2</v>
      </c>
      <c r="EH11" s="12">
        <v>788558</v>
      </c>
      <c r="EI11" s="174">
        <f t="shared" si="60"/>
        <v>0.13896930951519931</v>
      </c>
      <c r="EJ11" s="174">
        <f t="shared" si="61"/>
        <v>3.2622445478664108E-2</v>
      </c>
      <c r="EK11" s="12">
        <v>782266</v>
      </c>
      <c r="EL11" s="174">
        <f t="shared" si="62"/>
        <v>0.12080932639734421</v>
      </c>
      <c r="EM11" s="174">
        <f t="shared" si="63"/>
        <v>0.25658357615808947</v>
      </c>
      <c r="EN11" s="12">
        <v>920794</v>
      </c>
      <c r="EO11" s="174">
        <f t="shared" si="85"/>
        <v>0.14728165368560026</v>
      </c>
      <c r="EP11" s="174">
        <f t="shared" si="65"/>
        <v>0.36451323696124116</v>
      </c>
      <c r="EQ11" s="12">
        <v>874699</v>
      </c>
      <c r="ER11" s="174">
        <f t="shared" si="66"/>
        <v>0.13260020862537525</v>
      </c>
      <c r="ES11" s="174">
        <f>(EQ11/EE11)-1</f>
        <v>0.24771269053779954</v>
      </c>
      <c r="ET11" s="12">
        <v>948666</v>
      </c>
      <c r="EU11" s="174">
        <f t="shared" si="68"/>
        <v>0.14625085966120446</v>
      </c>
      <c r="EV11" s="174">
        <f>(ET11/EH11)-1</f>
        <v>0.20303896479396566</v>
      </c>
      <c r="EW11" s="12">
        <v>923176</v>
      </c>
      <c r="EX11" s="174">
        <f t="shared" si="70"/>
        <v>0.12231290818953376</v>
      </c>
      <c r="EY11" s="174">
        <f>(EW11/EK11)-1</f>
        <v>0.18013054383035954</v>
      </c>
      <c r="EZ11" s="12">
        <v>1096172</v>
      </c>
      <c r="FA11" s="174">
        <f t="shared" si="105"/>
        <v>0.15599974668250138</v>
      </c>
      <c r="FB11" s="174">
        <f>(EZ11/EN11)-1</f>
        <v>0.19046388225813815</v>
      </c>
      <c r="FC11" s="12">
        <f>SUM(FC12:FC13)</f>
        <v>1085675</v>
      </c>
      <c r="FD11" s="174">
        <f t="shared" si="127"/>
        <v>0.14861456198897596</v>
      </c>
      <c r="FE11" s="174">
        <f>(FC11/EQ11)-1</f>
        <v>0.24119840082131105</v>
      </c>
      <c r="FF11" s="12">
        <v>1212285</v>
      </c>
      <c r="FG11" s="174">
        <f t="shared" si="88"/>
        <v>0.16062601328271536</v>
      </c>
      <c r="FH11" s="174">
        <f t="shared" si="89"/>
        <v>0.27788389169633998</v>
      </c>
      <c r="FI11" s="12">
        <v>1110305</v>
      </c>
      <c r="FJ11" s="174">
        <f t="shared" si="108"/>
        <v>0.12586996465726069</v>
      </c>
      <c r="FK11" s="174">
        <f t="shared" si="90"/>
        <v>0.202701326724265</v>
      </c>
      <c r="FL11" s="12">
        <v>1247414</v>
      </c>
      <c r="FM11" s="174">
        <f t="shared" si="109"/>
        <v>0.12395905720227926</v>
      </c>
      <c r="FN11" s="174">
        <f t="shared" si="72"/>
        <v>0.13797287287031601</v>
      </c>
      <c r="FO11" s="12">
        <v>1148162</v>
      </c>
      <c r="FP11" s="174">
        <f t="shared" si="73"/>
        <v>0.11569655825104384</v>
      </c>
      <c r="FQ11" s="174">
        <f t="shared" si="74"/>
        <v>5.7555898404218597E-2</v>
      </c>
      <c r="FR11" s="12">
        <v>1246374</v>
      </c>
      <c r="FS11" s="174">
        <f t="shared" si="91"/>
        <v>0.1221659103343891</v>
      </c>
      <c r="FT11" s="174">
        <f t="shared" si="92"/>
        <v>2.8119625335626619E-2</v>
      </c>
      <c r="FU11" s="12">
        <v>1124506</v>
      </c>
      <c r="FV11" s="174">
        <f t="shared" si="93"/>
        <v>9.7335370801206481E-2</v>
      </c>
      <c r="FW11" s="174">
        <f t="shared" si="94"/>
        <v>1.2790179275063984E-2</v>
      </c>
      <c r="FX11" s="12">
        <v>1405648</v>
      </c>
      <c r="FY11" s="174">
        <f t="shared" si="95"/>
        <v>0.12218288578367745</v>
      </c>
      <c r="FZ11" s="174">
        <f t="shared" si="96"/>
        <v>0.12684962650731824</v>
      </c>
      <c r="GA11" s="12">
        <v>1578963</v>
      </c>
      <c r="GB11" s="174">
        <f t="shared" si="97"/>
        <v>0.12308654980160307</v>
      </c>
      <c r="GC11" s="174">
        <f t="shared" si="98"/>
        <v>0.37520924747553042</v>
      </c>
      <c r="GD11" s="8">
        <v>1523235</v>
      </c>
      <c r="GE11" s="174">
        <f t="shared" si="99"/>
        <v>0.11733357263737965</v>
      </c>
      <c r="GF11" s="174">
        <f t="shared" si="110"/>
        <v>0.22213316388178828</v>
      </c>
      <c r="GG11" s="8">
        <v>1381662</v>
      </c>
      <c r="GH11" s="174">
        <f t="shared" si="101"/>
        <v>9.4359171465854083E-2</v>
      </c>
      <c r="GI11" s="174">
        <f t="shared" si="111"/>
        <v>0.22868352858944285</v>
      </c>
    </row>
    <row r="12" spans="1:254" s="171" customFormat="1" ht="16.5" customHeight="1">
      <c r="B12" s="172" t="s">
        <v>168</v>
      </c>
      <c r="C12" s="173" t="s">
        <v>24</v>
      </c>
      <c r="D12" s="10">
        <v>94845</v>
      </c>
      <c r="E12" s="174">
        <f t="shared" si="0"/>
        <v>0.14103639332268628</v>
      </c>
      <c r="F12" s="10">
        <v>84761</v>
      </c>
      <c r="G12" s="174">
        <f t="shared" si="1"/>
        <v>0.12059202645139812</v>
      </c>
      <c r="H12" s="10">
        <v>92975</v>
      </c>
      <c r="I12" s="174">
        <f t="shared" si="2"/>
        <v>0.10639734415750125</v>
      </c>
      <c r="J12" s="10">
        <v>92254</v>
      </c>
      <c r="K12" s="174">
        <f t="shared" si="3"/>
        <v>8.643809895023255E-2</v>
      </c>
      <c r="L12" s="12">
        <v>122023</v>
      </c>
      <c r="M12" s="174">
        <f t="shared" si="4"/>
        <v>0.13216551368575882</v>
      </c>
      <c r="N12" s="174">
        <f t="shared" si="5"/>
        <v>0.28655174231641101</v>
      </c>
      <c r="O12" s="12">
        <v>114611</v>
      </c>
      <c r="P12" s="174">
        <f t="shared" si="6"/>
        <v>0.10823202113815918</v>
      </c>
      <c r="Q12" s="174">
        <f t="shared" si="7"/>
        <v>0.35216668043085853</v>
      </c>
      <c r="R12" s="12">
        <v>133899</v>
      </c>
      <c r="S12" s="174">
        <f t="shared" si="8"/>
        <v>0.12014094010314791</v>
      </c>
      <c r="T12" s="174">
        <f t="shared" si="9"/>
        <v>0.44016133369185262</v>
      </c>
      <c r="U12" s="10">
        <v>117533</v>
      </c>
      <c r="V12" s="174">
        <f t="shared" si="10"/>
        <v>8.2414407743517035E-2</v>
      </c>
      <c r="W12" s="174">
        <f t="shared" si="11"/>
        <v>0.27401521885229907</v>
      </c>
      <c r="X12" s="10">
        <v>160650</v>
      </c>
      <c r="Y12" s="174">
        <f t="shared" si="12"/>
        <v>0.12675566258139701</v>
      </c>
      <c r="Z12" s="174">
        <f t="shared" si="13"/>
        <v>0.31655507568245334</v>
      </c>
      <c r="AA12" s="12">
        <v>122149</v>
      </c>
      <c r="AB12" s="174">
        <f t="shared" si="14"/>
        <v>9.2545324093120371E-2</v>
      </c>
      <c r="AC12" s="174">
        <f t="shared" si="15"/>
        <v>6.5770301279981958E-2</v>
      </c>
      <c r="AD12" s="10">
        <v>152266</v>
      </c>
      <c r="AE12" s="174">
        <f t="shared" si="16"/>
        <v>0.11225173594088771</v>
      </c>
      <c r="AF12" s="174">
        <f t="shared" si="17"/>
        <v>0.13717055392497324</v>
      </c>
      <c r="AG12" s="12">
        <v>142000</v>
      </c>
      <c r="AH12" s="174">
        <f t="shared" si="18"/>
        <v>8.8288911161459274E-2</v>
      </c>
      <c r="AI12" s="174">
        <f t="shared" si="19"/>
        <v>0.20817132209677291</v>
      </c>
      <c r="AJ12" s="12">
        <v>190787</v>
      </c>
      <c r="AK12" s="174">
        <f t="shared" si="20"/>
        <v>0.13085384522529245</v>
      </c>
      <c r="AL12" s="174">
        <f t="shared" si="21"/>
        <v>0.18759414877061942</v>
      </c>
      <c r="AM12" s="12">
        <v>187314</v>
      </c>
      <c r="AN12" s="174">
        <f t="shared" si="22"/>
        <v>0.12438443272188311</v>
      </c>
      <c r="AO12" s="174">
        <f t="shared" si="23"/>
        <v>0.53348778950298414</v>
      </c>
      <c r="AP12" s="12">
        <v>186038</v>
      </c>
      <c r="AQ12" s="174">
        <f t="shared" si="24"/>
        <v>0.12962477808032866</v>
      </c>
      <c r="AR12" s="174">
        <f t="shared" si="25"/>
        <v>0.22179606740835123</v>
      </c>
      <c r="AS12" s="12">
        <v>141208</v>
      </c>
      <c r="AT12" s="174">
        <f t="shared" si="26"/>
        <v>8.6824832216828435E-2</v>
      </c>
      <c r="AU12" s="174">
        <f t="shared" si="27"/>
        <v>-5.5774647887324447E-3</v>
      </c>
      <c r="AV12" s="12">
        <v>203569</v>
      </c>
      <c r="AW12" s="174">
        <f t="shared" si="28"/>
        <v>0.1401810787323387</v>
      </c>
      <c r="AX12" s="174">
        <f t="shared" si="29"/>
        <v>6.6996178984941368E-2</v>
      </c>
      <c r="AY12" s="12">
        <v>215236</v>
      </c>
      <c r="AZ12" s="174">
        <f t="shared" si="30"/>
        <v>0.13568044782187985</v>
      </c>
      <c r="BA12" s="174">
        <f t="shared" si="31"/>
        <v>0.1490652060177029</v>
      </c>
      <c r="BB12" s="12">
        <v>222561</v>
      </c>
      <c r="BC12" s="174">
        <f t="shared" si="32"/>
        <v>0.13655808417035323</v>
      </c>
      <c r="BD12" s="174">
        <f t="shared" si="33"/>
        <v>0.19632010664487898</v>
      </c>
      <c r="BE12" s="12">
        <v>186226</v>
      </c>
      <c r="BF12" s="174">
        <f t="shared" si="34"/>
        <v>9.6932277116818316E-2</v>
      </c>
      <c r="BG12" s="174">
        <f t="shared" si="35"/>
        <v>0.31880629992634968</v>
      </c>
      <c r="BH12" s="12">
        <v>273326</v>
      </c>
      <c r="BI12" s="174">
        <f t="shared" si="112"/>
        <v>0.14918222296936626</v>
      </c>
      <c r="BJ12" s="174">
        <f t="shared" si="113"/>
        <v>0.34267005290589436</v>
      </c>
      <c r="BK12" s="12">
        <v>279987</v>
      </c>
      <c r="BL12" s="174">
        <f t="shared" si="114"/>
        <v>0.14957529328803129</v>
      </c>
      <c r="BM12" s="174">
        <f t="shared" si="115"/>
        <v>0.30083722053931505</v>
      </c>
      <c r="BN12" s="12">
        <v>301656</v>
      </c>
      <c r="BO12" s="174">
        <f t="shared" si="36"/>
        <v>0.15830290486481152</v>
      </c>
      <c r="BP12" s="174">
        <f t="shared" si="37"/>
        <v>0.35538571447827794</v>
      </c>
      <c r="BQ12" s="12">
        <v>252608</v>
      </c>
      <c r="BR12" s="174">
        <f t="shared" si="38"/>
        <v>0.10285279202285003</v>
      </c>
      <c r="BS12" s="174">
        <f t="shared" si="39"/>
        <v>0.35645935583645683</v>
      </c>
      <c r="BT12" s="12">
        <v>348012</v>
      </c>
      <c r="BU12" s="174">
        <f t="shared" si="40"/>
        <v>0.15732349522779249</v>
      </c>
      <c r="BV12" s="174">
        <f t="shared" si="41"/>
        <v>0.27324879447985184</v>
      </c>
      <c r="BW12" s="33">
        <v>317614</v>
      </c>
      <c r="BX12" s="174">
        <f t="shared" si="42"/>
        <v>0.1424976457070663</v>
      </c>
      <c r="BY12" s="174">
        <f t="shared" si="43"/>
        <v>0.13438838231775052</v>
      </c>
      <c r="BZ12" s="12">
        <v>351339</v>
      </c>
      <c r="CA12" s="174">
        <f t="shared" si="116"/>
        <v>0.13200630313668971</v>
      </c>
      <c r="CB12" s="174">
        <f t="shared" si="44"/>
        <v>0.16470085130081946</v>
      </c>
      <c r="CC12" s="12">
        <v>307473</v>
      </c>
      <c r="CD12" s="174">
        <f t="shared" si="117"/>
        <v>0.10305767982881874</v>
      </c>
      <c r="CE12" s="174">
        <f t="shared" si="45"/>
        <v>0.21719422979478087</v>
      </c>
      <c r="CF12" s="12">
        <v>454344</v>
      </c>
      <c r="CG12" s="569">
        <f t="shared" si="118"/>
        <v>0.1588889273570584</v>
      </c>
      <c r="CH12" s="174">
        <f t="shared" si="46"/>
        <v>0.30554118823488841</v>
      </c>
      <c r="CI12" s="12">
        <v>423479</v>
      </c>
      <c r="CJ12" s="569">
        <f t="shared" si="119"/>
        <v>0.14553898318365732</v>
      </c>
      <c r="CK12" s="174">
        <f t="shared" si="47"/>
        <v>0.33331339298645535</v>
      </c>
      <c r="CL12" s="12">
        <v>478868</v>
      </c>
      <c r="CM12" s="174">
        <f t="shared" si="120"/>
        <v>0.14414291841940896</v>
      </c>
      <c r="CN12" s="174">
        <f t="shared" si="48"/>
        <v>0.3629799139862071</v>
      </c>
      <c r="CO12" s="12">
        <v>384100</v>
      </c>
      <c r="CP12" s="174">
        <f t="shared" si="75"/>
        <v>0.10188253243742487</v>
      </c>
      <c r="CQ12" s="174">
        <f t="shared" si="121"/>
        <v>0.24921537826085549</v>
      </c>
      <c r="CR12" s="12">
        <v>506638</v>
      </c>
      <c r="CS12" s="174">
        <f t="shared" si="103"/>
        <v>0.1453547770537999</v>
      </c>
      <c r="CT12" s="174">
        <f t="shared" si="122"/>
        <v>0.11509781134999031</v>
      </c>
      <c r="CU12" s="12">
        <v>502064</v>
      </c>
      <c r="CV12" s="174">
        <f t="shared" si="123"/>
        <v>0.14291045296554047</v>
      </c>
      <c r="CW12" s="174">
        <f t="shared" si="124"/>
        <v>0.18557000465194262</v>
      </c>
      <c r="CX12" s="12">
        <v>544285</v>
      </c>
      <c r="CY12" s="174">
        <f t="shared" si="49"/>
        <v>0.13554816839821776</v>
      </c>
      <c r="CZ12" s="174">
        <f t="shared" si="50"/>
        <v>0.13660758288296559</v>
      </c>
      <c r="DA12" s="12">
        <v>423221</v>
      </c>
      <c r="DB12" s="174">
        <f t="shared" si="76"/>
        <v>9.3725778004944721E-2</v>
      </c>
      <c r="DC12" s="174">
        <f t="shared" si="77"/>
        <v>0.10185108044780011</v>
      </c>
      <c r="DD12" s="12">
        <v>532213</v>
      </c>
      <c r="DE12" s="174">
        <f t="shared" si="51"/>
        <v>0.12375063623526369</v>
      </c>
      <c r="DF12" s="174">
        <f t="shared" ref="DF12:DF24" si="131">(DD12/CR12)-1</f>
        <v>5.0479829779842778E-2</v>
      </c>
      <c r="DG12" s="12">
        <v>509455</v>
      </c>
      <c r="DH12" s="174">
        <f t="shared" si="52"/>
        <v>0.11565385500742566</v>
      </c>
      <c r="DI12" s="174">
        <f t="shared" si="78"/>
        <v>1.4721230759425108E-2</v>
      </c>
      <c r="DJ12" s="12">
        <v>614078</v>
      </c>
      <c r="DK12" s="174">
        <f t="shared" si="53"/>
        <v>0.13618495915081055</v>
      </c>
      <c r="DL12" s="174">
        <f t="shared" si="79"/>
        <v>0.12822877720311965</v>
      </c>
      <c r="DM12" s="12">
        <v>499785.77</v>
      </c>
      <c r="DN12" s="174">
        <f t="shared" si="80"/>
        <v>9.3964409002304641E-2</v>
      </c>
      <c r="DO12" s="174">
        <f t="shared" si="54"/>
        <v>0.1809096665808172</v>
      </c>
      <c r="DP12" s="12">
        <v>624689</v>
      </c>
      <c r="DQ12" s="174">
        <f t="shared" si="55"/>
        <v>0.12306923973313186</v>
      </c>
      <c r="DR12" s="174">
        <f t="shared" si="56"/>
        <v>0.17375749934706586</v>
      </c>
      <c r="DS12" s="12">
        <v>590035</v>
      </c>
      <c r="DT12" s="174">
        <f t="shared" si="81"/>
        <v>0.11278046024313643</v>
      </c>
      <c r="DU12" s="174">
        <f t="shared" si="129"/>
        <v>0.15816902376068542</v>
      </c>
      <c r="DV12" s="12">
        <v>675945</v>
      </c>
      <c r="DW12" s="174">
        <f t="shared" si="82"/>
        <v>0.12771161278315885</v>
      </c>
      <c r="DX12" s="174">
        <f t="shared" si="104"/>
        <v>0.10074778774031956</v>
      </c>
      <c r="DY12" s="12">
        <v>529745</v>
      </c>
      <c r="DZ12" s="174">
        <f t="shared" si="57"/>
        <v>9.0342835323452567E-2</v>
      </c>
      <c r="EA12" s="174">
        <f t="shared" si="83"/>
        <v>5.9944143667795879E-2</v>
      </c>
      <c r="EB12" s="12">
        <v>593431</v>
      </c>
      <c r="EC12" s="174">
        <f t="shared" si="84"/>
        <v>0.10651678512016347</v>
      </c>
      <c r="ED12" s="174">
        <f t="shared" si="130"/>
        <v>-5.0037698758902405E-2</v>
      </c>
      <c r="EE12" s="12">
        <v>657906</v>
      </c>
      <c r="EF12" s="174">
        <f t="shared" si="58"/>
        <v>0.11318581176574621</v>
      </c>
      <c r="EG12" s="174">
        <f t="shared" si="59"/>
        <v>0.11502876947977669</v>
      </c>
      <c r="EH12" s="12">
        <v>707803</v>
      </c>
      <c r="EI12" s="174">
        <f t="shared" si="60"/>
        <v>0.12473767837341911</v>
      </c>
      <c r="EJ12" s="174">
        <f t="shared" si="61"/>
        <v>4.7131053562050162E-2</v>
      </c>
      <c r="EK12" s="12">
        <v>685989</v>
      </c>
      <c r="EL12" s="174">
        <f t="shared" si="62"/>
        <v>0.10594077846408735</v>
      </c>
      <c r="EM12" s="174">
        <f t="shared" si="63"/>
        <v>0.29494190601138293</v>
      </c>
      <c r="EN12" s="12">
        <v>784102</v>
      </c>
      <c r="EO12" s="174">
        <f t="shared" si="85"/>
        <v>0.12541767129041514</v>
      </c>
      <c r="EP12" s="174">
        <f t="shared" si="65"/>
        <v>0.32130272938218596</v>
      </c>
      <c r="EQ12" s="12">
        <v>773566</v>
      </c>
      <c r="ER12" s="174">
        <f t="shared" si="66"/>
        <v>0.11726892677995177</v>
      </c>
      <c r="ES12" s="174">
        <f t="shared" si="67"/>
        <v>0.17580019030074201</v>
      </c>
      <c r="ET12" s="12">
        <v>833508</v>
      </c>
      <c r="EU12" s="174">
        <f t="shared" si="68"/>
        <v>0.12849755502409826</v>
      </c>
      <c r="EV12" s="174">
        <f t="shared" ref="EV12:EV20" si="132">(ET12/EH12)-1</f>
        <v>0.17759885165787659</v>
      </c>
      <c r="EW12" s="12">
        <f>EW11-EW13</f>
        <v>797741</v>
      </c>
      <c r="EX12" s="174">
        <f t="shared" si="70"/>
        <v>0.1056938456935913</v>
      </c>
      <c r="EY12" s="174">
        <f t="shared" ref="EY12:EY20" si="133">(EW12/EK12)-1</f>
        <v>0.16290640228924946</v>
      </c>
      <c r="EZ12" s="12">
        <v>897774</v>
      </c>
      <c r="FA12" s="174">
        <f t="shared" si="105"/>
        <v>0.12776509213712448</v>
      </c>
      <c r="FB12" s="174">
        <f t="shared" ref="FB12:FB20" si="134">(EZ12/EN12)-1</f>
        <v>0.14497093490387725</v>
      </c>
      <c r="FC12" s="12">
        <v>945258</v>
      </c>
      <c r="FD12" s="174">
        <f t="shared" si="127"/>
        <v>0.12939333008181586</v>
      </c>
      <c r="FE12" s="174">
        <f t="shared" ref="FE12:FE20" si="135">(FC12/EQ12)-1</f>
        <v>0.22194874128387232</v>
      </c>
      <c r="FF12" s="12">
        <f>FF11-FF13</f>
        <v>1021526</v>
      </c>
      <c r="FG12" s="174">
        <f t="shared" si="88"/>
        <v>0.13535072103064796</v>
      </c>
      <c r="FH12" s="174">
        <f t="shared" si="89"/>
        <v>0.22557431962260721</v>
      </c>
      <c r="FI12" s="12">
        <f>FI11-FI13</f>
        <v>936069</v>
      </c>
      <c r="FJ12" s="174">
        <f t="shared" si="108"/>
        <v>0.10611766311667276</v>
      </c>
      <c r="FK12" s="174">
        <f t="shared" si="90"/>
        <v>0.17339963722561591</v>
      </c>
      <c r="FL12" s="12">
        <f>FL11-FL13</f>
        <v>1062010</v>
      </c>
      <c r="FM12" s="174">
        <f t="shared" si="109"/>
        <v>0.10553493734990356</v>
      </c>
      <c r="FN12" s="174">
        <f t="shared" si="72"/>
        <v>0.18293690839788179</v>
      </c>
      <c r="FO12" s="12">
        <f>FO11-FO13</f>
        <v>1006460</v>
      </c>
      <c r="FP12" s="174">
        <f t="shared" si="73"/>
        <v>0.10141770762082841</v>
      </c>
      <c r="FQ12" s="174">
        <f t="shared" si="74"/>
        <v>6.4746344384284393E-2</v>
      </c>
      <c r="FR12" s="12">
        <f>FR11-FR13</f>
        <v>1036063</v>
      </c>
      <c r="FS12" s="174">
        <f t="shared" si="91"/>
        <v>0.10155184523969385</v>
      </c>
      <c r="FT12" s="174">
        <f t="shared" si="92"/>
        <v>1.4230670584987504E-2</v>
      </c>
      <c r="FU12" s="12">
        <f>FU11-FU13</f>
        <v>925423</v>
      </c>
      <c r="FV12" s="174">
        <f t="shared" si="93"/>
        <v>8.0103077131615935E-2</v>
      </c>
      <c r="FW12" s="174">
        <f t="shared" si="94"/>
        <v>-1.1373093222828645E-2</v>
      </c>
      <c r="FX12" s="12">
        <f>FX11-FX13</f>
        <v>1125800</v>
      </c>
      <c r="FY12" s="174">
        <f t="shared" si="95"/>
        <v>9.7857708910953564E-2</v>
      </c>
      <c r="FZ12" s="174">
        <f t="shared" si="96"/>
        <v>6.0065347783919254E-2</v>
      </c>
      <c r="GA12" s="12">
        <f>GA11-GA13</f>
        <v>1442983</v>
      </c>
      <c r="GB12" s="174">
        <f t="shared" si="97"/>
        <v>0.11248635901687791</v>
      </c>
      <c r="GC12" s="174">
        <f t="shared" si="98"/>
        <v>0.43372116129801475</v>
      </c>
      <c r="GD12" s="12">
        <f>GD11-GD13</f>
        <v>1271570</v>
      </c>
      <c r="GE12" s="174">
        <f t="shared" si="99"/>
        <v>9.7948019155621319E-2</v>
      </c>
      <c r="GF12" s="174">
        <f t="shared" si="110"/>
        <v>0.2273095361961579</v>
      </c>
      <c r="GG12" s="12">
        <f>GG11-GG13</f>
        <v>1142668</v>
      </c>
      <c r="GH12" s="174">
        <f t="shared" si="101"/>
        <v>7.803732442561534E-2</v>
      </c>
      <c r="GI12" s="174">
        <f t="shared" si="111"/>
        <v>0.23475210795495682</v>
      </c>
    </row>
    <row r="13" spans="1:254" s="171" customFormat="1" ht="16.5" customHeight="1">
      <c r="B13" s="172" t="s">
        <v>169</v>
      </c>
      <c r="C13" s="173" t="s">
        <v>25</v>
      </c>
      <c r="D13" s="10">
        <v>5929</v>
      </c>
      <c r="E13" s="174">
        <f t="shared" si="0"/>
        <v>8.8165404186852959E-3</v>
      </c>
      <c r="F13" s="10">
        <v>0</v>
      </c>
      <c r="G13" s="174">
        <f t="shared" si="1"/>
        <v>0</v>
      </c>
      <c r="H13" s="10">
        <v>3393</v>
      </c>
      <c r="I13" s="174">
        <f t="shared" si="2"/>
        <v>3.8828307472589594E-3</v>
      </c>
      <c r="J13" s="10">
        <v>362</v>
      </c>
      <c r="K13" s="174">
        <f t="shared" si="3"/>
        <v>3.3917870032718566E-4</v>
      </c>
      <c r="L13" s="12">
        <v>7524</v>
      </c>
      <c r="M13" s="174">
        <f t="shared" si="4"/>
        <v>8.149392532323E-3</v>
      </c>
      <c r="N13" s="174">
        <f t="shared" si="5"/>
        <v>0.26901669758812607</v>
      </c>
      <c r="O13" s="12">
        <v>1601</v>
      </c>
      <c r="P13" s="174">
        <f t="shared" si="6"/>
        <v>1.5118921032203963E-3</v>
      </c>
      <c r="Q13" s="174">
        <v>1</v>
      </c>
      <c r="R13" s="12">
        <v>6033</v>
      </c>
      <c r="S13" s="174">
        <f t="shared" si="8"/>
        <v>5.413112059405159E-3</v>
      </c>
      <c r="T13" s="174">
        <f t="shared" si="9"/>
        <v>0.77807250221043334</v>
      </c>
      <c r="U13" s="10">
        <v>5489</v>
      </c>
      <c r="V13" s="174">
        <f t="shared" si="10"/>
        <v>3.8488993227788365E-3</v>
      </c>
      <c r="W13" s="174">
        <f t="shared" si="11"/>
        <v>14.162983425414364</v>
      </c>
      <c r="X13" s="10">
        <v>13874</v>
      </c>
      <c r="Y13" s="174">
        <f t="shared" si="12"/>
        <v>1.0946828899186445E-2</v>
      </c>
      <c r="Z13" s="174">
        <f t="shared" si="13"/>
        <v>0.84396597554492292</v>
      </c>
      <c r="AA13" s="12">
        <v>5297</v>
      </c>
      <c r="AB13" s="174">
        <f t="shared" si="14"/>
        <v>4.0132345063918547E-3</v>
      </c>
      <c r="AC13" s="174">
        <f t="shared" si="15"/>
        <v>2.3085571517801373</v>
      </c>
      <c r="AD13" s="10">
        <v>6747</v>
      </c>
      <c r="AE13" s="174">
        <f t="shared" si="16"/>
        <v>4.9739433779909456E-3</v>
      </c>
      <c r="AF13" s="174">
        <f t="shared" si="17"/>
        <v>0.11834908005967182</v>
      </c>
      <c r="AG13" s="12">
        <v>8594</v>
      </c>
      <c r="AH13" s="174">
        <f t="shared" si="18"/>
        <v>5.3433443839547958E-3</v>
      </c>
      <c r="AI13" s="174">
        <f t="shared" si="19"/>
        <v>0.56567680816177801</v>
      </c>
      <c r="AJ13" s="12">
        <v>32657</v>
      </c>
      <c r="AK13" s="174">
        <f t="shared" si="20"/>
        <v>2.2398245286745826E-2</v>
      </c>
      <c r="AL13" s="174">
        <f t="shared" si="21"/>
        <v>1.3538273028686754</v>
      </c>
      <c r="AM13" s="12">
        <v>13907</v>
      </c>
      <c r="AN13" s="174">
        <f t="shared" si="22"/>
        <v>9.2348372564956625E-3</v>
      </c>
      <c r="AO13" s="174">
        <f t="shared" si="23"/>
        <v>1.6254483670001889</v>
      </c>
      <c r="AP13" s="12">
        <v>45249</v>
      </c>
      <c r="AQ13" s="174">
        <f t="shared" si="24"/>
        <v>3.1527922162981711E-2</v>
      </c>
      <c r="AR13" s="174">
        <f t="shared" si="25"/>
        <v>5.7065362383281455</v>
      </c>
      <c r="AS13" s="12">
        <v>48137</v>
      </c>
      <c r="AT13" s="174">
        <f t="shared" si="26"/>
        <v>2.9598088978113633E-2</v>
      </c>
      <c r="AU13" s="174">
        <f t="shared" si="27"/>
        <v>4.6012334186641839</v>
      </c>
      <c r="AV13" s="12">
        <v>64889</v>
      </c>
      <c r="AW13" s="174">
        <f t="shared" si="28"/>
        <v>4.4683669998195827E-2</v>
      </c>
      <c r="AX13" s="174">
        <f t="shared" si="29"/>
        <v>0.98698594482040614</v>
      </c>
      <c r="AY13" s="12">
        <v>15939</v>
      </c>
      <c r="AZ13" s="174">
        <f t="shared" si="30"/>
        <v>1.0047625201327581E-2</v>
      </c>
      <c r="BA13" s="174">
        <f t="shared" si="31"/>
        <v>0.14611346803767877</v>
      </c>
      <c r="BB13" s="12">
        <v>9204</v>
      </c>
      <c r="BC13" s="174">
        <f t="shared" si="32"/>
        <v>5.647353340000859E-3</v>
      </c>
      <c r="BD13" s="174">
        <f t="shared" si="33"/>
        <v>-0.79659218988264935</v>
      </c>
      <c r="BE13" s="12">
        <f>17467-375</f>
        <v>17092</v>
      </c>
      <c r="BF13" s="174">
        <f t="shared" si="34"/>
        <v>8.8965368986106061E-3</v>
      </c>
      <c r="BG13" s="174">
        <f t="shared" si="35"/>
        <v>-0.64493009535284707</v>
      </c>
      <c r="BH13" s="12">
        <f>9650-1447</f>
        <v>8203</v>
      </c>
      <c r="BI13" s="174">
        <f t="shared" si="112"/>
        <v>4.4772241755914599E-3</v>
      </c>
      <c r="BJ13" s="174">
        <f t="shared" si="113"/>
        <v>-0.87358412057513601</v>
      </c>
      <c r="BK13" s="12">
        <f>5855-1675</f>
        <v>4180</v>
      </c>
      <c r="BL13" s="174">
        <f t="shared" si="114"/>
        <v>2.2330491270807959E-3</v>
      </c>
      <c r="BM13" s="174">
        <f t="shared" si="115"/>
        <v>-0.7377501725327813</v>
      </c>
      <c r="BN13" s="12">
        <f>12706-2697</f>
        <v>10009</v>
      </c>
      <c r="BO13" s="174">
        <f t="shared" si="36"/>
        <v>5.2525186795286637E-3</v>
      </c>
      <c r="BP13" s="174">
        <f t="shared" si="37"/>
        <v>8.7461973055193321E-2</v>
      </c>
      <c r="BQ13" s="12">
        <f>23342-650</f>
        <v>22692</v>
      </c>
      <c r="BR13" s="174">
        <f t="shared" si="38"/>
        <v>9.2393572514825849E-3</v>
      </c>
      <c r="BS13" s="174">
        <f t="shared" si="39"/>
        <v>0.32763866136204078</v>
      </c>
      <c r="BT13" s="12">
        <f>30114-1157</f>
        <v>28957</v>
      </c>
      <c r="BU13" s="174">
        <f t="shared" si="40"/>
        <v>1.3090400478463925E-2</v>
      </c>
      <c r="BV13" s="174">
        <f t="shared" si="41"/>
        <v>2.530049981714007</v>
      </c>
      <c r="BW13" s="33">
        <f>19859-710</f>
        <v>19149</v>
      </c>
      <c r="BX13" s="174">
        <f t="shared" si="42"/>
        <v>8.5912063625804037E-3</v>
      </c>
      <c r="BY13" s="174">
        <f t="shared" si="43"/>
        <v>3.5811004784688993</v>
      </c>
      <c r="BZ13" s="12">
        <f>43621-16020</f>
        <v>27601</v>
      </c>
      <c r="CA13" s="174">
        <f t="shared" si="116"/>
        <v>1.0370343095630636E-2</v>
      </c>
      <c r="CB13" s="174">
        <f t="shared" si="44"/>
        <v>1.7576181436706966</v>
      </c>
      <c r="CC13" s="12">
        <f>95275-9596</f>
        <v>85679</v>
      </c>
      <c r="CD13" s="174">
        <f t="shared" si="117"/>
        <v>2.871757503928267E-2</v>
      </c>
      <c r="CE13" s="174">
        <f t="shared" si="45"/>
        <v>2.7757359421822669</v>
      </c>
      <c r="CF13" s="12">
        <f>16534-5435</f>
        <v>11099</v>
      </c>
      <c r="CG13" s="569">
        <f t="shared" si="118"/>
        <v>3.8814383038754583E-3</v>
      </c>
      <c r="CH13" s="174">
        <f t="shared" si="46"/>
        <v>-0.61670753185758187</v>
      </c>
      <c r="CI13" s="12">
        <f>54717-16454</f>
        <v>38263</v>
      </c>
      <c r="CJ13" s="569">
        <f t="shared" si="119"/>
        <v>1.3150021874889379E-2</v>
      </c>
      <c r="CK13" s="174">
        <f t="shared" si="47"/>
        <v>0.99817222831479446</v>
      </c>
      <c r="CL13" s="12">
        <f>45403-9251</f>
        <v>36152</v>
      </c>
      <c r="CM13" s="174">
        <f t="shared" si="120"/>
        <v>1.088202758734865E-2</v>
      </c>
      <c r="CN13" s="174">
        <f t="shared" si="48"/>
        <v>0.30980761566609916</v>
      </c>
      <c r="CO13" s="12">
        <v>69911</v>
      </c>
      <c r="CP13" s="174">
        <f t="shared" si="75"/>
        <v>1.8543894103704269E-2</v>
      </c>
      <c r="CQ13" s="174">
        <f t="shared" si="121"/>
        <v>-0.18403576138843825</v>
      </c>
      <c r="CR13" s="12">
        <v>27010</v>
      </c>
      <c r="CS13" s="174">
        <f t="shared" si="103"/>
        <v>7.7491868518017506E-3</v>
      </c>
      <c r="CT13" s="174">
        <f t="shared" si="122"/>
        <v>1.4335525723038112</v>
      </c>
      <c r="CU13" s="12">
        <v>40694</v>
      </c>
      <c r="CV13" s="174">
        <f t="shared" si="123"/>
        <v>1.1583379754333521E-2</v>
      </c>
      <c r="CW13" s="174">
        <f t="shared" si="124"/>
        <v>6.3533962313462089E-2</v>
      </c>
      <c r="CX13" s="12">
        <v>40764</v>
      </c>
      <c r="CY13" s="174">
        <f>CX13/$CX$6</f>
        <v>1.0151824019741401E-2</v>
      </c>
      <c r="CZ13" s="174">
        <f t="shared" si="50"/>
        <v>0.12757247178579334</v>
      </c>
      <c r="DA13" s="12">
        <v>83769</v>
      </c>
      <c r="DB13" s="174">
        <f t="shared" si="76"/>
        <v>1.85513353488986E-2</v>
      </c>
      <c r="DC13" s="174">
        <f t="shared" si="77"/>
        <v>0.1982234555363247</v>
      </c>
      <c r="DD13" s="12">
        <v>49530</v>
      </c>
      <c r="DE13" s="174">
        <f t="shared" ref="DE13:DE29" si="136">DD13/$DD$6</f>
        <v>1.1516759291360059E-2</v>
      </c>
      <c r="DF13" s="174">
        <f t="shared" si="131"/>
        <v>0.83376527212143658</v>
      </c>
      <c r="DG13" s="12">
        <v>58838</v>
      </c>
      <c r="DH13" s="174">
        <f t="shared" si="52"/>
        <v>1.3357100275641442E-2</v>
      </c>
      <c r="DI13" s="174">
        <f t="shared" si="78"/>
        <v>0.44586425517275274</v>
      </c>
      <c r="DJ13" s="12">
        <v>60384</v>
      </c>
      <c r="DK13" s="174">
        <f t="shared" si="53"/>
        <v>1.3391446320113316E-2</v>
      </c>
      <c r="DL13" s="174">
        <f t="shared" si="79"/>
        <v>0.48130703561966448</v>
      </c>
      <c r="DM13" s="12">
        <v>112514</v>
      </c>
      <c r="DN13" s="174">
        <f t="shared" si="80"/>
        <v>2.1153686537504466E-2</v>
      </c>
      <c r="DO13" s="174">
        <f t="shared" si="54"/>
        <v>0.34314603254187115</v>
      </c>
      <c r="DP13" s="12">
        <v>80384</v>
      </c>
      <c r="DQ13" s="174">
        <f t="shared" si="55"/>
        <v>1.5836356597775967E-2</v>
      </c>
      <c r="DR13" s="174">
        <f t="shared" si="56"/>
        <v>0.62293559458913794</v>
      </c>
      <c r="DS13" s="12">
        <v>98196</v>
      </c>
      <c r="DT13" s="174">
        <f t="shared" si="81"/>
        <v>1.8769378213216208E-2</v>
      </c>
      <c r="DU13" s="174">
        <f t="shared" si="129"/>
        <v>0.66892144532445008</v>
      </c>
      <c r="DV13" s="12">
        <v>87701</v>
      </c>
      <c r="DW13" s="174">
        <f t="shared" si="82"/>
        <v>1.6570040687771657E-2</v>
      </c>
      <c r="DX13" s="174">
        <f t="shared" si="104"/>
        <v>0.4523880498145203</v>
      </c>
      <c r="DY13" s="12">
        <v>92789</v>
      </c>
      <c r="DZ13" s="174">
        <f t="shared" si="57"/>
        <v>1.5824257608524555E-2</v>
      </c>
      <c r="EA13" s="174">
        <f t="shared" si="83"/>
        <v>-0.17531151678902179</v>
      </c>
      <c r="EB13" s="12">
        <v>81384</v>
      </c>
      <c r="EC13" s="174">
        <f t="shared" si="84"/>
        <v>1.4607868547850355E-2</v>
      </c>
      <c r="ED13" s="174">
        <f t="shared" si="130"/>
        <v>1.2440286624203711E-2</v>
      </c>
      <c r="EE13" s="12">
        <v>43136</v>
      </c>
      <c r="EF13" s="174">
        <f t="shared" si="58"/>
        <v>7.4210953788645014E-3</v>
      </c>
      <c r="EG13" s="174">
        <f t="shared" si="59"/>
        <v>-0.56071530408570613</v>
      </c>
      <c r="EH13" s="12">
        <v>80755</v>
      </c>
      <c r="EI13" s="174">
        <f t="shared" si="60"/>
        <v>1.4231631141780212E-2</v>
      </c>
      <c r="EJ13" s="174">
        <f t="shared" si="61"/>
        <v>-7.9200921312185701E-2</v>
      </c>
      <c r="EK13" s="12">
        <v>96277</v>
      </c>
      <c r="EL13" s="174">
        <f t="shared" si="62"/>
        <v>1.4868547933256857E-2</v>
      </c>
      <c r="EM13" s="174">
        <f t="shared" si="63"/>
        <v>3.7590662686309839E-2</v>
      </c>
      <c r="EN13" s="12">
        <v>136692</v>
      </c>
      <c r="EO13" s="174">
        <f t="shared" si="85"/>
        <v>2.18639823951851E-2</v>
      </c>
      <c r="EP13" s="174">
        <f t="shared" si="65"/>
        <v>0.67959304040106172</v>
      </c>
      <c r="EQ13" s="12">
        <v>101133</v>
      </c>
      <c r="ER13" s="174">
        <f t="shared" si="66"/>
        <v>1.5331281845423483E-2</v>
      </c>
      <c r="ES13" s="174">
        <f t="shared" si="67"/>
        <v>1.3445150222551927</v>
      </c>
      <c r="ET13" s="12">
        <v>115158</v>
      </c>
      <c r="EU13" s="174">
        <f t="shared" si="68"/>
        <v>1.7753304637106192E-2</v>
      </c>
      <c r="EV13" s="174">
        <f t="shared" si="132"/>
        <v>0.42601696489381458</v>
      </c>
      <c r="EW13" s="12">
        <v>125435</v>
      </c>
      <c r="EX13" s="174">
        <f t="shared" si="70"/>
        <v>1.6619062495942451E-2</v>
      </c>
      <c r="EY13" s="174">
        <f t="shared" si="133"/>
        <v>0.30285530292800988</v>
      </c>
      <c r="EZ13" s="12">
        <v>198398</v>
      </c>
      <c r="FA13" s="174">
        <f t="shared" si="105"/>
        <v>2.8234654545376919E-2</v>
      </c>
      <c r="FB13" s="174">
        <f t="shared" si="134"/>
        <v>0.45142363854505008</v>
      </c>
      <c r="FC13" s="12">
        <v>140417</v>
      </c>
      <c r="FD13" s="174">
        <f t="shared" si="127"/>
        <v>1.9221231907160095E-2</v>
      </c>
      <c r="FE13" s="174">
        <f t="shared" si="135"/>
        <v>0.38843898628538653</v>
      </c>
      <c r="FF13" s="12">
        <v>190759</v>
      </c>
      <c r="FG13" s="174">
        <f t="shared" si="88"/>
        <v>2.5275292252067375E-2</v>
      </c>
      <c r="FH13" s="174">
        <f t="shared" si="89"/>
        <v>0.65649802879522046</v>
      </c>
      <c r="FI13" s="12">
        <v>174236</v>
      </c>
      <c r="FJ13" s="174">
        <f t="shared" si="108"/>
        <v>1.9752301540587922E-2</v>
      </c>
      <c r="FK13" s="174">
        <f t="shared" si="90"/>
        <v>0.38905409176067285</v>
      </c>
      <c r="FL13" s="570">
        <v>185404</v>
      </c>
      <c r="FM13" s="174">
        <f t="shared" si="109"/>
        <v>1.84241198523757E-2</v>
      </c>
      <c r="FN13" s="174">
        <f t="shared" si="72"/>
        <v>-6.5494611840845152E-2</v>
      </c>
      <c r="FO13" s="570">
        <v>141702</v>
      </c>
      <c r="FP13" s="174">
        <f t="shared" si="73"/>
        <v>1.4278850630215435E-2</v>
      </c>
      <c r="FQ13" s="174">
        <f t="shared" si="74"/>
        <v>9.1513135873861895E-3</v>
      </c>
      <c r="FR13" s="570">
        <v>210311</v>
      </c>
      <c r="FS13" s="174">
        <f t="shared" si="91"/>
        <v>2.0614065094695259E-2</v>
      </c>
      <c r="FT13" s="174">
        <f t="shared" si="92"/>
        <v>0.1024958193322465</v>
      </c>
      <c r="FU13" s="12">
        <v>199083</v>
      </c>
      <c r="FV13" s="174">
        <f t="shared" si="93"/>
        <v>1.7232293669590549E-2</v>
      </c>
      <c r="FW13" s="174">
        <f t="shared" si="94"/>
        <v>0.14260543171330831</v>
      </c>
      <c r="FX13" s="570">
        <v>279848</v>
      </c>
      <c r="FY13" s="174">
        <f t="shared" si="95"/>
        <v>2.4325176872723873E-2</v>
      </c>
      <c r="FZ13" s="174">
        <f t="shared" si="96"/>
        <v>0.50939569804319218</v>
      </c>
      <c r="GA13" s="12">
        <v>135980</v>
      </c>
      <c r="GB13" s="174">
        <f t="shared" si="97"/>
        <v>1.0600190784725155E-2</v>
      </c>
      <c r="GC13" s="174">
        <f t="shared" si="98"/>
        <v>-4.0380516859324533E-2</v>
      </c>
      <c r="GD13" s="12">
        <v>251665</v>
      </c>
      <c r="GE13" s="174">
        <f t="shared" si="99"/>
        <v>1.9385553481758331E-2</v>
      </c>
      <c r="GF13" s="174">
        <f t="shared" si="110"/>
        <v>0.19663260599778432</v>
      </c>
      <c r="GG13" s="12">
        <v>238994</v>
      </c>
      <c r="GH13" s="174">
        <f t="shared" si="101"/>
        <v>1.6321847040238733E-2</v>
      </c>
      <c r="GI13" s="174">
        <f t="shared" si="111"/>
        <v>0.20047417408819435</v>
      </c>
    </row>
    <row r="14" spans="1:254" s="151" customFormat="1" ht="16.5" customHeight="1">
      <c r="B14" s="163" t="s">
        <v>26</v>
      </c>
      <c r="C14" s="164" t="s">
        <v>27</v>
      </c>
      <c r="D14" s="7">
        <f>19243-5929-2912</f>
        <v>10402</v>
      </c>
      <c r="E14" s="165">
        <f t="shared" si="0"/>
        <v>1.5467980002557674E-2</v>
      </c>
      <c r="F14" s="7">
        <v>10972</v>
      </c>
      <c r="G14" s="165">
        <f t="shared" si="1"/>
        <v>1.5610194714842205E-2</v>
      </c>
      <c r="H14" s="7">
        <v>15128</v>
      </c>
      <c r="I14" s="165">
        <f t="shared" si="2"/>
        <v>1.7311955067649144E-2</v>
      </c>
      <c r="J14" s="7">
        <v>19483</v>
      </c>
      <c r="K14" s="165">
        <f t="shared" si="3"/>
        <v>1.8254747564846845E-2</v>
      </c>
      <c r="L14" s="8">
        <v>7450</v>
      </c>
      <c r="M14" s="165">
        <f t="shared" si="4"/>
        <v>8.0692416754128589E-3</v>
      </c>
      <c r="N14" s="165">
        <f t="shared" si="5"/>
        <v>-0.28379157854258796</v>
      </c>
      <c r="O14" s="8">
        <v>16893</v>
      </c>
      <c r="P14" s="165">
        <f t="shared" si="6"/>
        <v>1.5952775327734012E-2</v>
      </c>
      <c r="Q14" s="165">
        <f t="shared" ref="Q14:Q20" si="137">(O14/F14)-1</f>
        <v>0.53964637258476111</v>
      </c>
      <c r="R14" s="166">
        <v>24379</v>
      </c>
      <c r="S14" s="165">
        <f t="shared" si="8"/>
        <v>2.1874069102641863E-2</v>
      </c>
      <c r="T14" s="165">
        <f t="shared" si="9"/>
        <v>0.61151507139079841</v>
      </c>
      <c r="U14" s="7">
        <v>28432</v>
      </c>
      <c r="V14" s="165">
        <f t="shared" si="10"/>
        <v>1.9936583265667312E-2</v>
      </c>
      <c r="W14" s="165">
        <f t="shared" si="11"/>
        <v>0.45932351280603601</v>
      </c>
      <c r="X14" s="7">
        <v>34818</v>
      </c>
      <c r="Y14" s="165">
        <f t="shared" si="12"/>
        <v>2.747201157646487E-2</v>
      </c>
      <c r="Z14" s="165">
        <f t="shared" si="13"/>
        <v>3.673557046979866</v>
      </c>
      <c r="AA14" s="8">
        <v>14683</v>
      </c>
      <c r="AB14" s="165">
        <f t="shared" si="14"/>
        <v>1.1124470881131131E-2</v>
      </c>
      <c r="AC14" s="165">
        <f t="shared" si="15"/>
        <v>-0.13082341798378028</v>
      </c>
      <c r="AD14" s="7">
        <v>17775</v>
      </c>
      <c r="AE14" s="165">
        <f t="shared" si="16"/>
        <v>1.3103874839749379E-2</v>
      </c>
      <c r="AF14" s="165">
        <f t="shared" si="17"/>
        <v>-0.27088887977357556</v>
      </c>
      <c r="AG14" s="8">
        <v>14951</v>
      </c>
      <c r="AH14" s="165">
        <f t="shared" si="18"/>
        <v>9.2958275406688565E-3</v>
      </c>
      <c r="AI14" s="165">
        <f t="shared" si="19"/>
        <v>-0.47414884637028698</v>
      </c>
      <c r="AJ14" s="8">
        <v>14760</v>
      </c>
      <c r="AK14" s="165">
        <f t="shared" si="20"/>
        <v>1.0123345697166561E-2</v>
      </c>
      <c r="AL14" s="165">
        <f t="shared" si="21"/>
        <v>-0.57608133723935895</v>
      </c>
      <c r="AM14" s="8">
        <v>14597</v>
      </c>
      <c r="AN14" s="165">
        <f t="shared" si="22"/>
        <v>9.6930264926344423E-3</v>
      </c>
      <c r="AO14" s="165">
        <f t="shared" si="23"/>
        <v>-5.8571136688687631E-3</v>
      </c>
      <c r="AP14" s="8">
        <v>14872</v>
      </c>
      <c r="AQ14" s="165">
        <f t="shared" si="24"/>
        <v>1.0362289960172908E-2</v>
      </c>
      <c r="AR14" s="165">
        <f t="shared" si="25"/>
        <v>-0.16331926863572432</v>
      </c>
      <c r="AS14" s="8">
        <v>21991</v>
      </c>
      <c r="AT14" s="165">
        <f t="shared" si="26"/>
        <v>1.3521648102659014E-2</v>
      </c>
      <c r="AU14" s="165">
        <f t="shared" si="27"/>
        <v>0.47087151361112967</v>
      </c>
      <c r="AV14" s="8">
        <v>22547</v>
      </c>
      <c r="AW14" s="165">
        <f t="shared" si="28"/>
        <v>1.5526248015061431E-2</v>
      </c>
      <c r="AX14" s="165">
        <f t="shared" si="29"/>
        <v>0.52757452574525754</v>
      </c>
      <c r="AY14" s="8">
        <v>17779</v>
      </c>
      <c r="AZ14" s="165">
        <f t="shared" si="30"/>
        <v>1.120752421446785E-2</v>
      </c>
      <c r="BA14" s="165">
        <f t="shared" si="31"/>
        <v>0.21798999794478324</v>
      </c>
      <c r="BB14" s="8">
        <v>22251</v>
      </c>
      <c r="BC14" s="165">
        <f t="shared" si="32"/>
        <v>1.3652679179526197E-2</v>
      </c>
      <c r="BD14" s="165">
        <f t="shared" si="33"/>
        <v>0.49616729424421724</v>
      </c>
      <c r="BE14" s="8">
        <v>16025</v>
      </c>
      <c r="BF14" s="165">
        <f t="shared" si="34"/>
        <v>8.3411539784832064E-3</v>
      </c>
      <c r="BG14" s="165">
        <f t="shared" si="35"/>
        <v>-0.27129280160065483</v>
      </c>
      <c r="BH14" s="8">
        <v>19574</v>
      </c>
      <c r="BI14" s="165">
        <f t="shared" si="112"/>
        <v>1.068355309192091E-2</v>
      </c>
      <c r="BJ14" s="165">
        <f t="shared" si="113"/>
        <v>-0.13185789683771676</v>
      </c>
      <c r="BK14" s="8">
        <v>13757</v>
      </c>
      <c r="BL14" s="165">
        <f t="shared" si="114"/>
        <v>7.3492958950360067E-3</v>
      </c>
      <c r="BM14" s="165">
        <f t="shared" si="115"/>
        <v>-0.22622194724112721</v>
      </c>
      <c r="BN14" s="8">
        <v>20204</v>
      </c>
      <c r="BO14" s="165">
        <f t="shared" si="36"/>
        <v>1.0602646358397156E-2</v>
      </c>
      <c r="BP14" s="165">
        <f t="shared" si="37"/>
        <v>-9.1995865354366102E-2</v>
      </c>
      <c r="BQ14" s="8">
        <v>18610</v>
      </c>
      <c r="BR14" s="165">
        <f t="shared" si="38"/>
        <v>7.5773152851265155E-3</v>
      </c>
      <c r="BS14" s="165">
        <f t="shared" si="39"/>
        <v>0.16131045241809683</v>
      </c>
      <c r="BT14" s="8">
        <v>21178</v>
      </c>
      <c r="BU14" s="165">
        <f t="shared" si="40"/>
        <v>9.5737991274271843E-3</v>
      </c>
      <c r="BV14" s="165">
        <f t="shared" si="41"/>
        <v>8.1945437825687195E-2</v>
      </c>
      <c r="BW14" s="167">
        <v>22084</v>
      </c>
      <c r="BX14" s="165">
        <f>BW14/$BW$6</f>
        <v>9.9079952640464593E-3</v>
      </c>
      <c r="BY14" s="165">
        <f>(BW14/BK14)-1</f>
        <v>0.60529185142109476</v>
      </c>
      <c r="BZ14" s="8">
        <v>23469</v>
      </c>
      <c r="CA14" s="165">
        <f t="shared" si="116"/>
        <v>8.8178537774484776E-3</v>
      </c>
      <c r="CB14" s="165">
        <f t="shared" si="44"/>
        <v>0.16160166303702228</v>
      </c>
      <c r="CC14" s="8">
        <v>30445</v>
      </c>
      <c r="CD14" s="165">
        <f t="shared" si="117"/>
        <v>1.0204444170344669E-2</v>
      </c>
      <c r="CE14" s="165">
        <f t="shared" si="45"/>
        <v>0.63594841483073616</v>
      </c>
      <c r="CF14" s="8">
        <v>33972</v>
      </c>
      <c r="CG14" s="188">
        <f t="shared" si="118"/>
        <v>1.1880369588184257E-2</v>
      </c>
      <c r="CH14" s="165">
        <f t="shared" si="46"/>
        <v>0.60411748040419311</v>
      </c>
      <c r="CI14" s="8">
        <v>41445</v>
      </c>
      <c r="CJ14" s="188">
        <f t="shared" si="119"/>
        <v>1.4243594506567449E-2</v>
      </c>
      <c r="CK14" s="165">
        <f t="shared" si="47"/>
        <v>0.87669806194529976</v>
      </c>
      <c r="CL14" s="8">
        <v>47609</v>
      </c>
      <c r="CM14" s="165">
        <f t="shared" si="120"/>
        <v>1.4330671924266482E-2</v>
      </c>
      <c r="CN14" s="165">
        <f t="shared" si="48"/>
        <v>1.0285909071541184</v>
      </c>
      <c r="CO14" s="8">
        <v>47598</v>
      </c>
      <c r="CP14" s="165">
        <f t="shared" si="75"/>
        <v>1.262537042165204E-2</v>
      </c>
      <c r="CQ14" s="165">
        <f t="shared" si="121"/>
        <v>0.56340942683527673</v>
      </c>
      <c r="CR14" s="8">
        <v>71551</v>
      </c>
      <c r="CS14" s="165">
        <f t="shared" si="103"/>
        <v>2.0528029190420845E-2</v>
      </c>
      <c r="CT14" s="165">
        <f t="shared" si="122"/>
        <v>1.1061756740845401</v>
      </c>
      <c r="CU14" s="8">
        <v>58603</v>
      </c>
      <c r="CV14" s="165">
        <f t="shared" si="123"/>
        <v>1.6681102957271522E-2</v>
      </c>
      <c r="CW14" s="165">
        <f>(CU14/CI14)-1</f>
        <v>0.41399445047653516</v>
      </c>
      <c r="CX14" s="8">
        <v>57062</v>
      </c>
      <c r="CY14" s="165">
        <f>CX14/$CX$6</f>
        <v>1.4210660931569126E-2</v>
      </c>
      <c r="CZ14" s="165">
        <f t="shared" si="50"/>
        <v>0.19855489508286239</v>
      </c>
      <c r="DA14" s="8">
        <v>68374</v>
      </c>
      <c r="DB14" s="165">
        <f t="shared" si="76"/>
        <v>1.5141985736317646E-2</v>
      </c>
      <c r="DC14" s="165">
        <f t="shared" si="77"/>
        <v>0.43648892810622297</v>
      </c>
      <c r="DD14" s="8">
        <v>36603</v>
      </c>
      <c r="DE14" s="165">
        <f t="shared" si="136"/>
        <v>8.5109618482061833E-3</v>
      </c>
      <c r="DF14" s="165">
        <f t="shared" si="131"/>
        <v>-0.4884348227138684</v>
      </c>
      <c r="DG14" s="8">
        <v>38489</v>
      </c>
      <c r="DH14" s="165">
        <f t="shared" si="52"/>
        <v>8.7375749092281092E-3</v>
      </c>
      <c r="DI14" s="165">
        <f t="shared" si="78"/>
        <v>-0.34322474958619864</v>
      </c>
      <c r="DJ14" s="8">
        <v>54425</v>
      </c>
      <c r="DK14" s="165">
        <f t="shared" si="53"/>
        <v>1.2069910340026618E-2</v>
      </c>
      <c r="DL14" s="165">
        <f t="shared" si="79"/>
        <v>-4.6212891241106169E-2</v>
      </c>
      <c r="DM14" s="8">
        <v>68127</v>
      </c>
      <c r="DN14" s="165">
        <f t="shared" si="80"/>
        <v>1.2808514520331398E-2</v>
      </c>
      <c r="DO14" s="165">
        <f t="shared" si="54"/>
        <v>-3.6124842776493749E-3</v>
      </c>
      <c r="DP14" s="8">
        <v>80577</v>
      </c>
      <c r="DQ14" s="165">
        <f t="shared" si="55"/>
        <v>1.5874379299101737E-2</v>
      </c>
      <c r="DR14" s="165">
        <f t="shared" si="56"/>
        <v>1.2013769363166955</v>
      </c>
      <c r="DS14" s="8">
        <v>92741</v>
      </c>
      <c r="DT14" s="165">
        <f t="shared" si="81"/>
        <v>1.7726698693143146E-2</v>
      </c>
      <c r="DU14" s="165">
        <f t="shared" si="129"/>
        <v>1.409545584452701</v>
      </c>
      <c r="DV14" s="8">
        <v>87838</v>
      </c>
      <c r="DW14" s="165">
        <f t="shared" si="82"/>
        <v>1.6595925176822235E-2</v>
      </c>
      <c r="DX14" s="165">
        <f t="shared" si="104"/>
        <v>0.61392742305925596</v>
      </c>
      <c r="DY14" s="8">
        <v>87630</v>
      </c>
      <c r="DZ14" s="165">
        <f t="shared" si="57"/>
        <v>1.4944440550442474E-2</v>
      </c>
      <c r="EA14" s="165">
        <f t="shared" si="83"/>
        <v>0.28627416442820031</v>
      </c>
      <c r="EB14" s="8">
        <v>114862</v>
      </c>
      <c r="EC14" s="165">
        <f t="shared" si="84"/>
        <v>2.061693941245438E-2</v>
      </c>
      <c r="ED14" s="165">
        <f t="shared" si="130"/>
        <v>0.42549362721372108</v>
      </c>
      <c r="EE14" s="8">
        <v>106496</v>
      </c>
      <c r="EF14" s="165">
        <f t="shared" si="58"/>
        <v>1.832151737452601E-2</v>
      </c>
      <c r="EG14" s="165">
        <f t="shared" si="59"/>
        <v>0.14831627866855013</v>
      </c>
      <c r="EH14" s="8">
        <v>90497</v>
      </c>
      <c r="EI14" s="165">
        <f t="shared" si="60"/>
        <v>1.5948485213766132E-2</v>
      </c>
      <c r="EJ14" s="165">
        <f t="shared" si="61"/>
        <v>3.027163642159425E-2</v>
      </c>
      <c r="EK14" s="8">
        <v>135841</v>
      </c>
      <c r="EL14" s="165">
        <f t="shared" si="62"/>
        <v>2.0978618151807231E-2</v>
      </c>
      <c r="EM14" s="165">
        <f t="shared" si="63"/>
        <v>0.55016546844687886</v>
      </c>
      <c r="EN14" s="8">
        <v>127100</v>
      </c>
      <c r="EO14" s="165">
        <f t="shared" si="85"/>
        <v>2.0329735188804217E-2</v>
      </c>
      <c r="EP14" s="165">
        <f t="shared" si="65"/>
        <v>0.10654524559906675</v>
      </c>
      <c r="EQ14" s="8">
        <v>139690</v>
      </c>
      <c r="ER14" s="165">
        <f t="shared" si="66"/>
        <v>2.1176339681283126E-2</v>
      </c>
      <c r="ES14" s="165">
        <f t="shared" si="67"/>
        <v>0.31169245793269229</v>
      </c>
      <c r="ET14" s="8">
        <v>124320</v>
      </c>
      <c r="EU14" s="165">
        <f t="shared" si="68"/>
        <v>1.9165762104977873E-2</v>
      </c>
      <c r="EV14" s="165">
        <f t="shared" si="132"/>
        <v>0.37374719603964768</v>
      </c>
      <c r="EW14" s="8">
        <v>140273</v>
      </c>
      <c r="EX14" s="165">
        <f t="shared" si="70"/>
        <v>1.8584970331194127E-2</v>
      </c>
      <c r="EY14" s="165">
        <f t="shared" si="133"/>
        <v>3.2626379369998793E-2</v>
      </c>
      <c r="EZ14" s="8">
        <v>133218</v>
      </c>
      <c r="FA14" s="165">
        <f t="shared" si="105"/>
        <v>1.8958680073518999E-2</v>
      </c>
      <c r="FB14" s="165">
        <f t="shared" si="134"/>
        <v>4.8135326514555432E-2</v>
      </c>
      <c r="FC14" s="8">
        <v>209967</v>
      </c>
      <c r="FD14" s="165">
        <f t="shared" si="127"/>
        <v>2.8741707911796179E-2</v>
      </c>
      <c r="FE14" s="165">
        <f t="shared" si="135"/>
        <v>0.50309256210179676</v>
      </c>
      <c r="FF14" s="8">
        <v>253836</v>
      </c>
      <c r="FG14" s="165">
        <f t="shared" si="88"/>
        <v>3.3632903737678299E-2</v>
      </c>
      <c r="FH14" s="165">
        <f t="shared" si="89"/>
        <v>1.041795366795367</v>
      </c>
      <c r="FI14" s="8">
        <v>208840</v>
      </c>
      <c r="FJ14" s="165">
        <f t="shared" si="108"/>
        <v>2.3675191428501465E-2</v>
      </c>
      <c r="FK14" s="165">
        <f t="shared" si="90"/>
        <v>0.48881110406136608</v>
      </c>
      <c r="FL14" s="8">
        <v>201784</v>
      </c>
      <c r="FM14" s="165">
        <f t="shared" si="109"/>
        <v>2.005184677942104E-2</v>
      </c>
      <c r="FN14" s="165">
        <f t="shared" si="72"/>
        <v>0.51469020702908019</v>
      </c>
      <c r="FO14" s="8">
        <v>234288</v>
      </c>
      <c r="FP14" s="165">
        <f t="shared" si="73"/>
        <v>2.3608441351935145E-2</v>
      </c>
      <c r="FQ14" s="165">
        <f t="shared" si="74"/>
        <v>0.11583248796239398</v>
      </c>
      <c r="FR14" s="8">
        <v>237499</v>
      </c>
      <c r="FS14" s="165">
        <f t="shared" si="91"/>
        <v>2.3278952817137617E-2</v>
      </c>
      <c r="FT14" s="165">
        <f t="shared" si="92"/>
        <v>-6.4360453206007029E-2</v>
      </c>
      <c r="FU14" s="8">
        <v>258396</v>
      </c>
      <c r="FV14" s="165">
        <f t="shared" si="93"/>
        <v>2.236632839090992E-2</v>
      </c>
      <c r="FW14" s="165">
        <f t="shared" si="94"/>
        <v>0.23729170656962273</v>
      </c>
      <c r="FX14" s="8">
        <v>246096</v>
      </c>
      <c r="FY14" s="165">
        <f t="shared" si="95"/>
        <v>2.1391357907399208E-2</v>
      </c>
      <c r="FZ14" s="165">
        <f t="shared" si="96"/>
        <v>0.21960115767355193</v>
      </c>
      <c r="GA14" s="8">
        <v>924520</v>
      </c>
      <c r="GB14" s="165">
        <f t="shared" si="97"/>
        <v>7.2070071953920428E-2</v>
      </c>
      <c r="GC14" s="165">
        <f t="shared" si="98"/>
        <v>2.9460834528443627</v>
      </c>
      <c r="GD14" s="8">
        <v>1028428</v>
      </c>
      <c r="GE14" s="165">
        <f t="shared" si="99"/>
        <v>7.9218985540848968E-2</v>
      </c>
      <c r="GF14" s="165">
        <f t="shared" si="110"/>
        <v>3.3302413904900652</v>
      </c>
      <c r="GG14" s="8">
        <v>961997</v>
      </c>
      <c r="GH14" s="165">
        <f t="shared" si="101"/>
        <v>6.5698586103285189E-2</v>
      </c>
      <c r="GI14" s="165">
        <f t="shared" si="111"/>
        <v>2.7229562377126579</v>
      </c>
    </row>
    <row r="15" spans="1:254" s="151" customFormat="1" ht="16.5" customHeight="1">
      <c r="B15" s="163" t="s">
        <v>363</v>
      </c>
      <c r="C15" s="164" t="s">
        <v>374</v>
      </c>
      <c r="D15" s="7">
        <v>0</v>
      </c>
      <c r="E15" s="165">
        <f t="shared" si="0"/>
        <v>0</v>
      </c>
      <c r="F15" s="7">
        <v>0</v>
      </c>
      <c r="G15" s="165">
        <f t="shared" si="1"/>
        <v>0</v>
      </c>
      <c r="H15" s="7">
        <v>0</v>
      </c>
      <c r="I15" s="165">
        <f t="shared" si="2"/>
        <v>0</v>
      </c>
      <c r="J15" s="7">
        <v>0</v>
      </c>
      <c r="K15" s="165">
        <f t="shared" si="3"/>
        <v>0</v>
      </c>
      <c r="L15" s="8">
        <v>0</v>
      </c>
      <c r="M15" s="165">
        <f t="shared" si="4"/>
        <v>0</v>
      </c>
      <c r="N15" s="165" t="e">
        <f>(L15/D15)-1</f>
        <v>#DIV/0!</v>
      </c>
      <c r="O15" s="8">
        <v>0</v>
      </c>
      <c r="P15" s="165">
        <f t="shared" si="6"/>
        <v>0</v>
      </c>
      <c r="Q15" s="165" t="e">
        <f t="shared" si="137"/>
        <v>#DIV/0!</v>
      </c>
      <c r="R15" s="166">
        <v>0</v>
      </c>
      <c r="S15" s="165">
        <f t="shared" si="8"/>
        <v>0</v>
      </c>
      <c r="T15" s="165" t="e">
        <f t="shared" si="9"/>
        <v>#DIV/0!</v>
      </c>
      <c r="U15" s="7">
        <v>0</v>
      </c>
      <c r="V15" s="165">
        <f t="shared" si="10"/>
        <v>0</v>
      </c>
      <c r="W15" s="165" t="e">
        <f t="shared" si="11"/>
        <v>#DIV/0!</v>
      </c>
      <c r="X15" s="7">
        <v>0</v>
      </c>
      <c r="Y15" s="165">
        <f t="shared" si="12"/>
        <v>0</v>
      </c>
      <c r="Z15" s="165" t="e">
        <f t="shared" si="13"/>
        <v>#DIV/0!</v>
      </c>
      <c r="AA15" s="8">
        <v>0</v>
      </c>
      <c r="AB15" s="165">
        <f t="shared" si="14"/>
        <v>0</v>
      </c>
      <c r="AC15" s="165" t="e">
        <f t="shared" si="15"/>
        <v>#DIV/0!</v>
      </c>
      <c r="AD15" s="7">
        <v>0</v>
      </c>
      <c r="AE15" s="165">
        <f t="shared" si="16"/>
        <v>0</v>
      </c>
      <c r="AF15" s="165" t="e">
        <f t="shared" si="17"/>
        <v>#DIV/0!</v>
      </c>
      <c r="AG15" s="8">
        <v>0</v>
      </c>
      <c r="AH15" s="165">
        <f t="shared" si="18"/>
        <v>0</v>
      </c>
      <c r="AI15" s="165" t="e">
        <f t="shared" si="19"/>
        <v>#DIV/0!</v>
      </c>
      <c r="AJ15" s="8">
        <v>0</v>
      </c>
      <c r="AK15" s="165">
        <f t="shared" si="20"/>
        <v>0</v>
      </c>
      <c r="AL15" s="165" t="e">
        <f t="shared" si="21"/>
        <v>#DIV/0!</v>
      </c>
      <c r="AM15" s="8">
        <v>0</v>
      </c>
      <c r="AN15" s="165">
        <f t="shared" si="22"/>
        <v>0</v>
      </c>
      <c r="AO15" s="165" t="e">
        <f t="shared" si="23"/>
        <v>#DIV/0!</v>
      </c>
      <c r="AP15" s="8">
        <v>0</v>
      </c>
      <c r="AQ15" s="165">
        <f t="shared" si="24"/>
        <v>0</v>
      </c>
      <c r="AR15" s="165" t="e">
        <f t="shared" si="25"/>
        <v>#DIV/0!</v>
      </c>
      <c r="AS15" s="8">
        <v>0</v>
      </c>
      <c r="AT15" s="165">
        <f t="shared" si="26"/>
        <v>0</v>
      </c>
      <c r="AU15" s="165" t="e">
        <f t="shared" si="27"/>
        <v>#DIV/0!</v>
      </c>
      <c r="AV15" s="8">
        <v>0</v>
      </c>
      <c r="AW15" s="165">
        <f t="shared" si="28"/>
        <v>0</v>
      </c>
      <c r="AX15" s="165" t="e">
        <f t="shared" si="29"/>
        <v>#DIV/0!</v>
      </c>
      <c r="AY15" s="8">
        <v>0</v>
      </c>
      <c r="AZ15" s="165">
        <f t="shared" si="30"/>
        <v>0</v>
      </c>
      <c r="BA15" s="165" t="e">
        <f t="shared" si="31"/>
        <v>#DIV/0!</v>
      </c>
      <c r="BB15" s="8">
        <v>0</v>
      </c>
      <c r="BC15" s="165">
        <f t="shared" si="32"/>
        <v>0</v>
      </c>
      <c r="BD15" s="165" t="e">
        <f t="shared" si="33"/>
        <v>#DIV/0!</v>
      </c>
      <c r="BE15" s="8">
        <v>375</v>
      </c>
      <c r="BF15" s="165">
        <f>BE15/$BE$6</f>
        <v>1.9519081072893617E-4</v>
      </c>
      <c r="BG15" s="165" t="e">
        <f>(BE15/AS15)-1</f>
        <v>#DIV/0!</v>
      </c>
      <c r="BH15" s="8">
        <v>1447</v>
      </c>
      <c r="BI15" s="165">
        <f>BH15/$BH$6</f>
        <v>7.8977732318430362E-4</v>
      </c>
      <c r="BJ15" s="165" t="e">
        <f>(BH15/AV15)-1</f>
        <v>#DIV/0!</v>
      </c>
      <c r="BK15" s="8">
        <v>1675</v>
      </c>
      <c r="BL15" s="165">
        <f>BK15/$BK$6</f>
        <v>8.9482231766993612E-4</v>
      </c>
      <c r="BM15" s="165" t="e">
        <f>(BK15/AY15)-1</f>
        <v>#DIV/0!</v>
      </c>
      <c r="BN15" s="8">
        <v>2697</v>
      </c>
      <c r="BO15" s="165">
        <f>BN15/$BN$6</f>
        <v>1.4153304904274959E-3</v>
      </c>
      <c r="BP15" s="165" t="e">
        <f>(BN15/BB15)-1</f>
        <v>#DIV/0!</v>
      </c>
      <c r="BQ15" s="8">
        <v>650</v>
      </c>
      <c r="BR15" s="165">
        <f>BQ15/$BQ$6</f>
        <v>2.6465636406943768E-4</v>
      </c>
      <c r="BS15" s="165">
        <f>(BQ15/BE15)-1</f>
        <v>0.73333333333333339</v>
      </c>
      <c r="BT15" s="8">
        <v>1157</v>
      </c>
      <c r="BU15" s="165">
        <f>BT15/$BT$6</f>
        <v>5.2303737795982876E-4</v>
      </c>
      <c r="BV15" s="165">
        <f>(BT15/BH15)-1</f>
        <v>-0.20041465100207323</v>
      </c>
      <c r="BW15" s="167">
        <v>710</v>
      </c>
      <c r="BX15" s="165">
        <f>BW15/$BW$6</f>
        <v>3.1854177854885823E-4</v>
      </c>
      <c r="BY15" s="165">
        <f>(BW15/BK15)-1</f>
        <v>-0.57611940298507469</v>
      </c>
      <c r="BZ15" s="8">
        <v>16020</v>
      </c>
      <c r="CA15" s="165">
        <f>BZ15/$BZ$6</f>
        <v>6.0190897573277344E-3</v>
      </c>
      <c r="CB15" s="165">
        <f>(BZ15/BN15)-1</f>
        <v>4.939933259176863</v>
      </c>
      <c r="CC15" s="8">
        <v>10665</v>
      </c>
      <c r="CD15" s="165">
        <f>CC15/$CC$6</f>
        <v>3.5746558409172572E-3</v>
      </c>
      <c r="CE15" s="165">
        <f>(CC15/BQ15)-1</f>
        <v>15.407692307692308</v>
      </c>
      <c r="CF15" s="8">
        <v>8701</v>
      </c>
      <c r="CG15" s="188">
        <f>CF15/$CF$6</f>
        <v>3.0428322084890859E-3</v>
      </c>
      <c r="CH15" s="165">
        <f>(CF15/BT15)-1</f>
        <v>6.5203111495246331</v>
      </c>
      <c r="CI15" s="8">
        <v>24265</v>
      </c>
      <c r="CJ15" s="188">
        <f>CI15/$CI$6</f>
        <v>8.3392645844338077E-3</v>
      </c>
      <c r="CK15" s="165">
        <f>(CI15/BW15)-1</f>
        <v>33.176056338028168</v>
      </c>
      <c r="CL15" s="8">
        <v>9251</v>
      </c>
      <c r="CM15" s="165">
        <f>CL15/$CL$6</f>
        <v>2.7846215205400075E-3</v>
      </c>
      <c r="CN15" s="165">
        <f>(CL15/BZ15)-1</f>
        <v>-0.42253433208489388</v>
      </c>
      <c r="CO15" s="8">
        <v>3828</v>
      </c>
      <c r="CP15" s="165">
        <f>CO15/$CO$6</f>
        <v>1.0153770741225265E-3</v>
      </c>
      <c r="CQ15" s="165">
        <f>(CO15/CC15)-1</f>
        <v>-0.64106891701828417</v>
      </c>
      <c r="CR15" s="8">
        <v>2545.5649999999996</v>
      </c>
      <c r="CS15" s="165">
        <f>CR15/$CR$6</f>
        <v>7.3032428094804594E-4</v>
      </c>
      <c r="CT15" s="165">
        <f>(CR15/CF15)-1</f>
        <v>-0.70743994943109989</v>
      </c>
      <c r="CU15" s="8">
        <v>28959.41367110498</v>
      </c>
      <c r="CV15" s="165">
        <f>CU15/$CU$6</f>
        <v>8.2431780118751366E-3</v>
      </c>
      <c r="CW15" s="165">
        <f>(CU15/CI15)-1</f>
        <v>0.19346440021038447</v>
      </c>
      <c r="CX15" s="8">
        <v>6874.9110000000001</v>
      </c>
      <c r="CY15" s="165">
        <f>CX15/$CX$6</f>
        <v>1.7121206609602682E-3</v>
      </c>
      <c r="CZ15" s="165">
        <f t="shared" si="50"/>
        <v>-0.25684671927359204</v>
      </c>
      <c r="DA15" s="8">
        <v>8800.4562723295239</v>
      </c>
      <c r="DB15" s="165">
        <f>DA15/$DA$6</f>
        <v>1.9489335617149913E-3</v>
      </c>
      <c r="DC15" s="165">
        <f>(DA15/CO15)-1</f>
        <v>1.2989697681111609</v>
      </c>
      <c r="DD15" s="8">
        <v>65</v>
      </c>
      <c r="DE15" s="165">
        <f>DD15/$DD$6</f>
        <v>1.511385733774286E-5</v>
      </c>
      <c r="DF15" s="165">
        <f>(DD15/CR15)-1</f>
        <v>-0.97446539373380758</v>
      </c>
      <c r="DG15" s="8">
        <v>0</v>
      </c>
      <c r="DH15" s="165">
        <f>DG15/$DG$6</f>
        <v>0</v>
      </c>
      <c r="DI15" s="165">
        <f>(DG15/CU15)-1</f>
        <v>-1</v>
      </c>
      <c r="DJ15" s="8">
        <v>17332.488000000001</v>
      </c>
      <c r="DK15" s="165">
        <f>DJ15/$DJ$6</f>
        <v>3.8438507327439096E-3</v>
      </c>
      <c r="DL15" s="165">
        <f>(DJ15/CX15)-1</f>
        <v>1.5211218007040386</v>
      </c>
      <c r="DM15" s="8">
        <v>30470</v>
      </c>
      <c r="DN15" s="165">
        <f>DM15/$DM$6</f>
        <v>5.7286455800856879E-3</v>
      </c>
      <c r="DO15" s="165">
        <f>(DM15/DA15)-1</f>
        <v>2.4623204817009383</v>
      </c>
      <c r="DP15" s="8">
        <v>80243</v>
      </c>
      <c r="DQ15" s="165">
        <f t="shared" si="55"/>
        <v>1.5808578354838489E-2</v>
      </c>
      <c r="DR15" s="165">
        <f t="shared" si="56"/>
        <v>1233.5076923076922</v>
      </c>
      <c r="DS15" s="8">
        <v>35510</v>
      </c>
      <c r="DT15" s="165">
        <f t="shared" si="81"/>
        <v>6.7874518346094292E-3</v>
      </c>
      <c r="DU15" s="165" t="e">
        <f t="shared" si="129"/>
        <v>#DIV/0!</v>
      </c>
      <c r="DV15" s="8">
        <v>170840</v>
      </c>
      <c r="DW15" s="165">
        <f t="shared" ref="DW15:DW26" si="138">DV15/DV$6</f>
        <v>3.2278146783946707E-2</v>
      </c>
      <c r="DX15" s="165">
        <f t="shared" si="104"/>
        <v>8.8566345466386593</v>
      </c>
      <c r="DY15" s="8">
        <v>99469</v>
      </c>
      <c r="DZ15" s="165">
        <f t="shared" si="57"/>
        <v>1.6963466359830679E-2</v>
      </c>
      <c r="EA15" s="165">
        <f t="shared" si="83"/>
        <v>2.2644896619625863</v>
      </c>
      <c r="EB15" s="8">
        <v>6362</v>
      </c>
      <c r="EC15" s="165">
        <f t="shared" si="84"/>
        <v>1.1419352661631765E-3</v>
      </c>
      <c r="ED15" s="165">
        <f t="shared" si="130"/>
        <v>-0.9207158256794985</v>
      </c>
      <c r="EE15" s="8">
        <v>0</v>
      </c>
      <c r="EF15" s="165">
        <f t="shared" si="58"/>
        <v>0</v>
      </c>
      <c r="EG15" s="165">
        <f t="shared" si="59"/>
        <v>-1</v>
      </c>
      <c r="EH15" s="8">
        <v>438</v>
      </c>
      <c r="EI15" s="165">
        <f t="shared" si="60"/>
        <v>7.7189702682183554E-5</v>
      </c>
      <c r="EJ15" s="165">
        <f t="shared" si="61"/>
        <v>-0.99743619761180047</v>
      </c>
      <c r="EK15" s="8">
        <v>366</v>
      </c>
      <c r="EL15" s="165">
        <f t="shared" si="62"/>
        <v>5.6523245879826022E-5</v>
      </c>
      <c r="EM15" s="165">
        <f t="shared" si="63"/>
        <v>-0.99632046165136878</v>
      </c>
      <c r="EN15" s="8">
        <v>80</v>
      </c>
      <c r="EO15" s="165">
        <f t="shared" si="85"/>
        <v>1.2796056767146636E-5</v>
      </c>
      <c r="EP15" s="165">
        <f t="shared" si="65"/>
        <v>-0.98742533794404275</v>
      </c>
      <c r="EQ15" s="8">
        <v>7713</v>
      </c>
      <c r="ER15" s="165">
        <f t="shared" si="66"/>
        <v>1.1692541195628661E-3</v>
      </c>
      <c r="ES15" s="165" t="s">
        <v>112</v>
      </c>
      <c r="ET15" s="8">
        <v>654</v>
      </c>
      <c r="EU15" s="165">
        <f t="shared" si="68"/>
        <v>1.0082374852522143E-4</v>
      </c>
      <c r="EV15" s="165">
        <f t="shared" si="132"/>
        <v>0.49315068493150682</v>
      </c>
      <c r="EW15" s="8">
        <v>6917</v>
      </c>
      <c r="EX15" s="165">
        <f t="shared" si="70"/>
        <v>9.1644321987032265E-4</v>
      </c>
      <c r="EY15" s="165">
        <f t="shared" si="133"/>
        <v>17.898907103825138</v>
      </c>
      <c r="EZ15" s="8">
        <v>3381</v>
      </c>
      <c r="FA15" s="165">
        <f t="shared" si="105"/>
        <v>4.8116093417231709E-4</v>
      </c>
      <c r="FB15" s="165">
        <f t="shared" si="134"/>
        <v>41.262500000000003</v>
      </c>
      <c r="FC15" s="8">
        <v>44610</v>
      </c>
      <c r="FD15" s="165">
        <f t="shared" si="127"/>
        <v>6.1065195480491099E-3</v>
      </c>
      <c r="FE15" s="165">
        <f t="shared" si="135"/>
        <v>4.7837417347335665</v>
      </c>
      <c r="FF15" s="8">
        <v>25915</v>
      </c>
      <c r="FG15" s="165">
        <f t="shared" si="88"/>
        <v>3.4337001070058348E-3</v>
      </c>
      <c r="FH15" s="165">
        <f t="shared" si="89"/>
        <v>38.625382262996943</v>
      </c>
      <c r="FI15" s="8">
        <v>10860</v>
      </c>
      <c r="FJ15" s="165">
        <f t="shared" si="108"/>
        <v>1.2311462311507659E-3</v>
      </c>
      <c r="FK15" s="165">
        <f t="shared" si="90"/>
        <v>0.57004481711724742</v>
      </c>
      <c r="FL15" s="8">
        <v>15121</v>
      </c>
      <c r="FM15" s="165">
        <f t="shared" si="109"/>
        <v>1.5026165362547355E-3</v>
      </c>
      <c r="FN15" s="165">
        <f t="shared" si="72"/>
        <v>3.4723454599230994</v>
      </c>
      <c r="FO15" s="8">
        <v>5417</v>
      </c>
      <c r="FP15" s="165">
        <f t="shared" si="73"/>
        <v>5.4585350851700759E-4</v>
      </c>
      <c r="FQ15" s="165">
        <f t="shared" si="74"/>
        <v>-0.87856982739296119</v>
      </c>
      <c r="FR15" s="8">
        <v>24068</v>
      </c>
      <c r="FS15" s="165">
        <f t="shared" si="91"/>
        <v>2.3590745072731597E-3</v>
      </c>
      <c r="FT15" s="165">
        <f t="shared" si="92"/>
        <v>-7.1271464402855478E-2</v>
      </c>
      <c r="FU15" s="8">
        <v>4382</v>
      </c>
      <c r="FV15" s="165">
        <f t="shared" si="93"/>
        <v>3.7929863855851978E-4</v>
      </c>
      <c r="FW15" s="165">
        <f t="shared" si="94"/>
        <v>-0.59650092081031314</v>
      </c>
      <c r="FX15" s="8">
        <v>94964</v>
      </c>
      <c r="FY15" s="165">
        <f t="shared" si="95"/>
        <v>8.2545385228457932E-3</v>
      </c>
      <c r="FZ15" s="165">
        <f t="shared" si="96"/>
        <v>5.2802724687520666</v>
      </c>
      <c r="GA15" s="8">
        <v>41594</v>
      </c>
      <c r="GB15" s="165">
        <f t="shared" si="97"/>
        <v>3.2424204699210038E-3</v>
      </c>
      <c r="GC15" s="165">
        <f t="shared" si="98"/>
        <v>6.6784197895514126</v>
      </c>
      <c r="GD15" s="8">
        <v>29724</v>
      </c>
      <c r="GE15" s="165">
        <f t="shared" si="99"/>
        <v>2.2896159247085793E-3</v>
      </c>
      <c r="GF15" s="165">
        <f t="shared" si="110"/>
        <v>0.23500083097889313</v>
      </c>
      <c r="GG15" s="8">
        <v>5435</v>
      </c>
      <c r="GH15" s="165">
        <f t="shared" si="101"/>
        <v>3.7117768087775222E-4</v>
      </c>
      <c r="GI15" s="165">
        <f t="shared" si="111"/>
        <v>0.2403012323140119</v>
      </c>
    </row>
    <row r="16" spans="1:254" s="151" customFormat="1" ht="16.5" customHeight="1">
      <c r="B16" s="163" t="s">
        <v>28</v>
      </c>
      <c r="C16" s="164" t="s">
        <v>29</v>
      </c>
      <c r="D16" s="7">
        <v>2912</v>
      </c>
      <c r="E16" s="165">
        <f t="shared" si="0"/>
        <v>4.3302016696258362E-3</v>
      </c>
      <c r="F16" s="7">
        <v>4845</v>
      </c>
      <c r="G16" s="165">
        <f t="shared" si="1"/>
        <v>6.8931273599535624E-3</v>
      </c>
      <c r="H16" s="7">
        <f>8630-3393</f>
        <v>5237</v>
      </c>
      <c r="I16" s="165">
        <f t="shared" si="2"/>
        <v>5.9930399715281968E-3</v>
      </c>
      <c r="J16" s="7">
        <f>3573-362</f>
        <v>3211</v>
      </c>
      <c r="K16" s="165">
        <f t="shared" si="3"/>
        <v>3.0085712893662795E-3</v>
      </c>
      <c r="L16" s="8">
        <v>7557</v>
      </c>
      <c r="M16" s="165">
        <f t="shared" si="4"/>
        <v>8.1851354820261703E-3</v>
      </c>
      <c r="N16" s="165">
        <f t="shared" si="5"/>
        <v>1.5951236263736264</v>
      </c>
      <c r="O16" s="8">
        <v>8998</v>
      </c>
      <c r="P16" s="165">
        <f t="shared" si="6"/>
        <v>8.497192470191834E-3</v>
      </c>
      <c r="Q16" s="165">
        <f t="shared" si="137"/>
        <v>0.85717234262125896</v>
      </c>
      <c r="R16" s="166">
        <v>5503</v>
      </c>
      <c r="S16" s="165">
        <f t="shared" si="8"/>
        <v>4.9375693125984733E-3</v>
      </c>
      <c r="T16" s="165">
        <f t="shared" si="9"/>
        <v>5.079243841894221E-2</v>
      </c>
      <c r="U16" s="7">
        <v>5595</v>
      </c>
      <c r="V16" s="165">
        <f t="shared" si="10"/>
        <v>3.9232267646106015E-3</v>
      </c>
      <c r="W16" s="165">
        <f t="shared" si="11"/>
        <v>0.74244783556524441</v>
      </c>
      <c r="X16" s="7">
        <v>4908</v>
      </c>
      <c r="Y16" s="165">
        <f t="shared" si="12"/>
        <v>3.872497926856499E-3</v>
      </c>
      <c r="Z16" s="165">
        <f t="shared" si="13"/>
        <v>-0.35053592695514091</v>
      </c>
      <c r="AA16" s="8">
        <v>6593</v>
      </c>
      <c r="AB16" s="165">
        <f t="shared" si="14"/>
        <v>4.9951397207176696E-3</v>
      </c>
      <c r="AC16" s="165">
        <f t="shared" si="15"/>
        <v>-0.26728161813736384</v>
      </c>
      <c r="AD16" s="7">
        <v>7293</v>
      </c>
      <c r="AE16" s="165">
        <f t="shared" si="16"/>
        <v>5.3764590270769181E-3</v>
      </c>
      <c r="AF16" s="165">
        <f t="shared" si="17"/>
        <v>0.32527712157005273</v>
      </c>
      <c r="AG16" s="8">
        <v>7541</v>
      </c>
      <c r="AH16" s="165">
        <f t="shared" si="18"/>
        <v>4.68863858498989E-3</v>
      </c>
      <c r="AI16" s="165">
        <f t="shared" si="19"/>
        <v>0.34781054512957987</v>
      </c>
      <c r="AJ16" s="8">
        <v>8080</v>
      </c>
      <c r="AK16" s="165">
        <f t="shared" si="20"/>
        <v>5.5417773193161121E-3</v>
      </c>
      <c r="AL16" s="165">
        <f t="shared" si="21"/>
        <v>0.64629176854115733</v>
      </c>
      <c r="AM16" s="8">
        <v>9250</v>
      </c>
      <c r="AN16" s="165">
        <f t="shared" si="22"/>
        <v>6.1423919337445084E-3</v>
      </c>
      <c r="AO16" s="165">
        <f t="shared" si="23"/>
        <v>0.40300318519642042</v>
      </c>
      <c r="AP16" s="8">
        <v>7768</v>
      </c>
      <c r="AQ16" s="165">
        <f t="shared" si="24"/>
        <v>5.412470979735285E-3</v>
      </c>
      <c r="AR16" s="165">
        <f t="shared" si="25"/>
        <v>6.513094748388859E-2</v>
      </c>
      <c r="AS16" s="8">
        <v>26632</v>
      </c>
      <c r="AT16" s="165">
        <f t="shared" si="26"/>
        <v>1.6375268622164287E-2</v>
      </c>
      <c r="AU16" s="165">
        <f t="shared" si="27"/>
        <v>2.5316271051584671</v>
      </c>
      <c r="AV16" s="8">
        <v>23670</v>
      </c>
      <c r="AW16" s="165">
        <f t="shared" si="28"/>
        <v>1.6299564931764939E-2</v>
      </c>
      <c r="AX16" s="165">
        <f t="shared" si="29"/>
        <v>1.9294554455445545</v>
      </c>
      <c r="AY16" s="8">
        <v>22683</v>
      </c>
      <c r="AZ16" s="165">
        <f t="shared" si="30"/>
        <v>1.4298907236446045E-2</v>
      </c>
      <c r="BA16" s="165">
        <f t="shared" si="31"/>
        <v>1.4522162162162164</v>
      </c>
      <c r="BB16" s="8">
        <v>24937</v>
      </c>
      <c r="BC16" s="165">
        <f t="shared" si="32"/>
        <v>1.5300744267666387E-2</v>
      </c>
      <c r="BD16" s="165">
        <f t="shared" si="33"/>
        <v>2.210221421215242</v>
      </c>
      <c r="BE16" s="8">
        <v>24812</v>
      </c>
      <c r="BF16" s="165">
        <f>BE16/$BE$6</f>
        <v>1.2914865055483638E-2</v>
      </c>
      <c r="BG16" s="165">
        <f>(BE16/AS16)-1</f>
        <v>-6.8338840492640385E-2</v>
      </c>
      <c r="BH16" s="8">
        <v>25877</v>
      </c>
      <c r="BI16" s="165">
        <f>BH16/$BH$6</f>
        <v>1.4123751065680873E-2</v>
      </c>
      <c r="BJ16" s="165">
        <f>(BH16/AV16)-1</f>
        <v>9.3240388677650943E-2</v>
      </c>
      <c r="BK16" s="8">
        <v>27076</v>
      </c>
      <c r="BL16" s="165">
        <f>BK16/$BK$6</f>
        <v>1.4464602431779815E-2</v>
      </c>
      <c r="BM16" s="165">
        <f>(BK16/AY16)-1</f>
        <v>0.19366926773354498</v>
      </c>
      <c r="BN16" s="8">
        <v>25950</v>
      </c>
      <c r="BO16" s="165">
        <f>BN16/$BN$6</f>
        <v>1.3618029746604938E-2</v>
      </c>
      <c r="BP16" s="165">
        <f>(BN16/BB16)-1</f>
        <v>4.0622368368288031E-2</v>
      </c>
      <c r="BQ16" s="8">
        <v>30255</v>
      </c>
      <c r="BR16" s="165">
        <f>BQ16/$BQ$6</f>
        <v>1.2318735838339749E-2</v>
      </c>
      <c r="BS16" s="165"/>
      <c r="BT16" s="8">
        <v>15867</v>
      </c>
      <c r="BU16" s="165">
        <f>BT16/$BT$6</f>
        <v>7.1728902991258451E-3</v>
      </c>
      <c r="BV16" s="165">
        <f>(BT16/BH16)-1</f>
        <v>-0.38683000347799201</v>
      </c>
      <c r="BW16" s="167">
        <v>13302</v>
      </c>
      <c r="BX16" s="165">
        <f>BW16/$BW$6</f>
        <v>5.9679475186717075E-3</v>
      </c>
      <c r="BY16" s="165">
        <f>(BW16/BK16)-1</f>
        <v>-0.50871620623430347</v>
      </c>
      <c r="BZ16" s="8">
        <v>14174</v>
      </c>
      <c r="CA16" s="165">
        <f>BZ16/$BZ$6</f>
        <v>5.3255042584496445E-3</v>
      </c>
      <c r="CB16" s="165">
        <f>(BZ16/BN16)-1</f>
        <v>-0.45379576107899811</v>
      </c>
      <c r="CC16" s="8">
        <v>15067</v>
      </c>
      <c r="CD16" s="165">
        <f>CC16/$CC$6</f>
        <v>5.0501021617534282E-3</v>
      </c>
      <c r="CE16" s="165">
        <f>(CC16/BQ16)-1</f>
        <v>-0.50199966947611963</v>
      </c>
      <c r="CF16" s="8">
        <v>16428</v>
      </c>
      <c r="CG16" s="188">
        <f>CF16/$CF$6</f>
        <v>5.7450462614709458E-3</v>
      </c>
      <c r="CH16" s="165">
        <f>(CF16/BT16)-1</f>
        <v>3.5356400075628569E-2</v>
      </c>
      <c r="CI16" s="8">
        <v>16622</v>
      </c>
      <c r="CJ16" s="188">
        <f>CI16/$CI$6</f>
        <v>5.7125594857802909E-3</v>
      </c>
      <c r="CK16" s="165">
        <f>(CI16/BW16)-1</f>
        <v>0.24958652834160278</v>
      </c>
      <c r="CL16" s="8">
        <v>17253</v>
      </c>
      <c r="CM16" s="165">
        <f>CL16/$CL$6</f>
        <v>5.193284519930467E-3</v>
      </c>
      <c r="CN16" s="165">
        <f>(CL16/BZ16)-1</f>
        <v>0.2172287286581065</v>
      </c>
      <c r="CO16" s="8">
        <v>26629</v>
      </c>
      <c r="CP16" s="165">
        <f>CO16/$CO$6</f>
        <v>7.0633427656240219E-3</v>
      </c>
      <c r="CQ16" s="165">
        <f>(CO16/CC16)-1</f>
        <v>0.76737240326541456</v>
      </c>
      <c r="CR16" s="8">
        <v>24007.435000000001</v>
      </c>
      <c r="CS16" s="165">
        <f>CR16/$CR$6</f>
        <v>6.8877489688073E-3</v>
      </c>
      <c r="CT16" s="165">
        <f>(CR16/CF16)-1</f>
        <v>0.46137296079863654</v>
      </c>
      <c r="CU16" s="8">
        <v>27232.586328894831</v>
      </c>
      <c r="CV16" s="165">
        <f>CU16/$CU$6</f>
        <v>7.7516437101356516E-3</v>
      </c>
      <c r="CW16" s="165">
        <f>(CU16/CI16)-1</f>
        <v>0.63834594687130508</v>
      </c>
      <c r="CX16" s="8">
        <v>38859.125000000313</v>
      </c>
      <c r="CY16" s="165">
        <f>CX16/$CX$6</f>
        <v>9.6774359376198792E-3</v>
      </c>
      <c r="CZ16" s="165">
        <f t="shared" si="50"/>
        <v>1.2523111922564372</v>
      </c>
      <c r="DA16" s="8">
        <v>39886.543727670476</v>
      </c>
      <c r="DB16" s="165">
        <f t="shared" si="76"/>
        <v>8.8332037937724345E-3</v>
      </c>
      <c r="DC16" s="165">
        <f t="shared" si="77"/>
        <v>0.49786111861769045</v>
      </c>
      <c r="DD16" s="8">
        <v>26574</v>
      </c>
      <c r="DE16" s="165">
        <f t="shared" si="136"/>
        <v>6.179009921433519E-3</v>
      </c>
      <c r="DF16" s="165">
        <f t="shared" si="131"/>
        <v>0.10690708940792715</v>
      </c>
      <c r="DG16" s="8">
        <v>29081</v>
      </c>
      <c r="DH16" s="165">
        <f t="shared" si="52"/>
        <v>6.6018191154683841E-3</v>
      </c>
      <c r="DI16" s="165">
        <f t="shared" si="78"/>
        <v>6.7875068815771211E-2</v>
      </c>
      <c r="DJ16" s="8">
        <v>33582.512000000002</v>
      </c>
      <c r="DK16" s="165">
        <f t="shared" si="53"/>
        <v>7.4476418710678546E-3</v>
      </c>
      <c r="DL16" s="165">
        <f t="shared" si="79"/>
        <v>-0.13578826080104145</v>
      </c>
      <c r="DM16" s="8">
        <v>39337</v>
      </c>
      <c r="DN16" s="165">
        <f t="shared" si="80"/>
        <v>7.395724686046299E-3</v>
      </c>
      <c r="DO16" s="165">
        <f t="shared" si="54"/>
        <v>-1.3777672275204988E-2</v>
      </c>
      <c r="DP16" s="8">
        <v>40546</v>
      </c>
      <c r="DQ16" s="165">
        <f t="shared" si="55"/>
        <v>7.9879194194544239E-3</v>
      </c>
      <c r="DR16" s="165">
        <f t="shared" si="56"/>
        <v>0.52577707533679541</v>
      </c>
      <c r="DS16" s="8">
        <v>46291</v>
      </c>
      <c r="DT16" s="165">
        <f t="shared" si="81"/>
        <v>8.8481535588821481E-3</v>
      </c>
      <c r="DU16" s="165">
        <f t="shared" si="129"/>
        <v>0.59179533028437814</v>
      </c>
      <c r="DV16" s="8">
        <v>43116</v>
      </c>
      <c r="DW16" s="165">
        <f t="shared" si="138"/>
        <v>8.1462454737570005E-3</v>
      </c>
      <c r="DX16" s="165">
        <f t="shared" si="104"/>
        <v>0.28388251599522984</v>
      </c>
      <c r="DY16" s="8">
        <v>48879</v>
      </c>
      <c r="DZ16" s="165">
        <f t="shared" si="57"/>
        <v>8.33583601124133E-3</v>
      </c>
      <c r="EA16" s="165">
        <f t="shared" si="83"/>
        <v>0.24257060782469431</v>
      </c>
      <c r="EB16" s="8">
        <v>50907</v>
      </c>
      <c r="EC16" s="165">
        <f t="shared" si="84"/>
        <v>9.1374565536889076E-3</v>
      </c>
      <c r="ED16" s="165">
        <f t="shared" si="130"/>
        <v>0.25553692102796832</v>
      </c>
      <c r="EE16" s="8">
        <v>51689</v>
      </c>
      <c r="EF16" s="165">
        <f t="shared" si="58"/>
        <v>8.8925491245856643E-3</v>
      </c>
      <c r="EG16" s="165">
        <f t="shared" si="59"/>
        <v>0.11661014020003879</v>
      </c>
      <c r="EH16" s="8">
        <v>48609</v>
      </c>
      <c r="EI16" s="165">
        <f t="shared" si="60"/>
        <v>8.566470907941234E-3</v>
      </c>
      <c r="EJ16" s="165">
        <f t="shared" si="61"/>
        <v>0.12740050097411637</v>
      </c>
      <c r="EK16" s="8">
        <v>56654</v>
      </c>
      <c r="EL16" s="165">
        <f t="shared" si="62"/>
        <v>8.7493660439225771E-3</v>
      </c>
      <c r="EM16" s="165">
        <f t="shared" si="63"/>
        <v>0.15906626567646631</v>
      </c>
      <c r="EN16" s="8">
        <v>60420</v>
      </c>
      <c r="EO16" s="165">
        <f t="shared" si="85"/>
        <v>9.6642218733874966E-3</v>
      </c>
      <c r="EP16" s="165">
        <f t="shared" si="65"/>
        <v>0.18687017502504566</v>
      </c>
      <c r="EQ16" s="8">
        <v>55194</v>
      </c>
      <c r="ER16" s="165">
        <f t="shared" si="66"/>
        <v>8.3671479158761615E-3</v>
      </c>
      <c r="ES16" s="165">
        <f t="shared" si="67"/>
        <v>6.7809398518059893E-2</v>
      </c>
      <c r="ET16" s="8">
        <v>39413</v>
      </c>
      <c r="EU16" s="165">
        <f t="shared" si="68"/>
        <v>6.0760954137990099E-3</v>
      </c>
      <c r="EV16" s="165">
        <f t="shared" si="132"/>
        <v>-0.18918307309346005</v>
      </c>
      <c r="EW16" s="8">
        <f>45818+5266</f>
        <v>51084</v>
      </c>
      <c r="EX16" s="165">
        <f t="shared" si="70"/>
        <v>6.7681921994875759E-3</v>
      </c>
      <c r="EY16" s="165">
        <f t="shared" si="133"/>
        <v>-9.8316094185759151E-2</v>
      </c>
      <c r="EZ16" s="8">
        <v>55641</v>
      </c>
      <c r="FA16" s="165">
        <f t="shared" si="105"/>
        <v>7.9184488430292504E-3</v>
      </c>
      <c r="FB16" s="165">
        <f t="shared" si="134"/>
        <v>-7.9096325719960281E-2</v>
      </c>
      <c r="FC16" s="8">
        <v>46288</v>
      </c>
      <c r="FD16" s="165">
        <f t="shared" si="127"/>
        <v>6.3362155758820262E-3</v>
      </c>
      <c r="FE16" s="165">
        <f t="shared" si="135"/>
        <v>-0.16135811863608363</v>
      </c>
      <c r="FF16" s="8">
        <v>38713</v>
      </c>
      <c r="FG16" s="165">
        <f t="shared" si="88"/>
        <v>5.1294166406527829E-3</v>
      </c>
      <c r="FH16" s="165">
        <f t="shared" si="89"/>
        <v>-1.7760637353157582E-2</v>
      </c>
      <c r="FI16" s="8">
        <v>53296</v>
      </c>
      <c r="FJ16" s="165">
        <f t="shared" si="108"/>
        <v>6.0419124802404429E-3</v>
      </c>
      <c r="FK16" s="165">
        <f t="shared" si="90"/>
        <v>4.3301229347741055E-2</v>
      </c>
      <c r="FL16" s="8">
        <v>80943</v>
      </c>
      <c r="FM16" s="165">
        <f t="shared" si="109"/>
        <v>8.043534838573313E-3</v>
      </c>
      <c r="FN16" s="165">
        <f t="shared" si="72"/>
        <v>0.45473661508599772</v>
      </c>
      <c r="FO16" s="8">
        <v>143923</v>
      </c>
      <c r="FP16" s="165">
        <f t="shared" si="73"/>
        <v>1.4502653591710039E-2</v>
      </c>
      <c r="FQ16" s="165">
        <f t="shared" si="74"/>
        <v>2.1092939854821986</v>
      </c>
      <c r="FR16" s="8">
        <v>86872</v>
      </c>
      <c r="FS16" s="165">
        <f t="shared" si="91"/>
        <v>8.5149377013392855E-3</v>
      </c>
      <c r="FT16" s="165">
        <f t="shared" si="92"/>
        <v>1.2440007232712524</v>
      </c>
      <c r="FU16" s="8">
        <v>70662</v>
      </c>
      <c r="FV16" s="165">
        <f t="shared" si="93"/>
        <v>6.1163853030173718E-3</v>
      </c>
      <c r="FW16" s="165">
        <f t="shared" si="94"/>
        <v>0.32584058841188823</v>
      </c>
      <c r="FX16" s="8">
        <v>95669</v>
      </c>
      <c r="FY16" s="165">
        <f t="shared" si="95"/>
        <v>8.3158191097903872E-3</v>
      </c>
      <c r="FZ16" s="165">
        <f t="shared" si="96"/>
        <v>0.18193049429845698</v>
      </c>
      <c r="GA16" s="8">
        <v>87675</v>
      </c>
      <c r="GB16" s="165">
        <f t="shared" si="97"/>
        <v>6.8346207313632733E-3</v>
      </c>
      <c r="GC16" s="165">
        <f t="shared" si="98"/>
        <v>-0.39082009129881956</v>
      </c>
      <c r="GD16" s="8">
        <v>74314</v>
      </c>
      <c r="GE16" s="165">
        <f t="shared" si="99"/>
        <v>5.7243479285692825E-3</v>
      </c>
      <c r="GF16" s="165">
        <f t="shared" si="110"/>
        <v>-0.14455750989962246</v>
      </c>
      <c r="GG16" s="8">
        <v>63651</v>
      </c>
      <c r="GH16" s="165">
        <f t="shared" si="101"/>
        <v>4.3469789449033687E-3</v>
      </c>
      <c r="GI16" s="165">
        <f t="shared" si="111"/>
        <v>-9.9218816336927862E-2</v>
      </c>
    </row>
    <row r="17" spans="1:254" s="151" customFormat="1" ht="16.5" customHeight="1">
      <c r="B17" s="163" t="s">
        <v>30</v>
      </c>
      <c r="C17" s="164" t="s">
        <v>31</v>
      </c>
      <c r="D17" s="7">
        <v>1347</v>
      </c>
      <c r="E17" s="165">
        <f t="shared" si="0"/>
        <v>2.003015676162775E-3</v>
      </c>
      <c r="F17" s="7">
        <v>1252</v>
      </c>
      <c r="G17" s="165">
        <f t="shared" si="1"/>
        <v>1.7812580917774736E-3</v>
      </c>
      <c r="H17" s="7">
        <v>683</v>
      </c>
      <c r="I17" s="165">
        <f t="shared" si="2"/>
        <v>7.816013558437575E-4</v>
      </c>
      <c r="J17" s="7">
        <v>527</v>
      </c>
      <c r="K17" s="165">
        <f t="shared" si="3"/>
        <v>4.9377672671941113E-4</v>
      </c>
      <c r="L17" s="8">
        <v>4749</v>
      </c>
      <c r="M17" s="165">
        <f t="shared" si="4"/>
        <v>5.1437353981927062E-3</v>
      </c>
      <c r="N17" s="165">
        <f t="shared" si="5"/>
        <v>2.5256124721603563</v>
      </c>
      <c r="O17" s="8">
        <v>1674</v>
      </c>
      <c r="P17" s="165">
        <f t="shared" si="6"/>
        <v>1.5808290948100834E-3</v>
      </c>
      <c r="Q17" s="165">
        <f t="shared" si="137"/>
        <v>0.33706070287539935</v>
      </c>
      <c r="R17" s="166">
        <v>1047</v>
      </c>
      <c r="S17" s="165">
        <f t="shared" si="8"/>
        <v>9.3942123755962233E-4</v>
      </c>
      <c r="T17" s="165">
        <f t="shared" si="9"/>
        <v>0.53294289897510971</v>
      </c>
      <c r="U17" s="7">
        <v>1038</v>
      </c>
      <c r="V17" s="165">
        <f t="shared" si="10"/>
        <v>7.2784796812614913E-4</v>
      </c>
      <c r="W17" s="165">
        <f t="shared" si="11"/>
        <v>0.96963946869070217</v>
      </c>
      <c r="X17" s="7">
        <v>2925</v>
      </c>
      <c r="Y17" s="165">
        <f t="shared" si="12"/>
        <v>2.307876209465212E-3</v>
      </c>
      <c r="Z17" s="165">
        <f t="shared" si="13"/>
        <v>-0.38408085912823753</v>
      </c>
      <c r="AA17" s="8">
        <v>2510</v>
      </c>
      <c r="AB17" s="165">
        <f t="shared" si="14"/>
        <v>1.9016837098439787E-3</v>
      </c>
      <c r="AC17" s="165">
        <f t="shared" si="15"/>
        <v>0.49940262843488648</v>
      </c>
      <c r="AD17" s="7">
        <v>2079</v>
      </c>
      <c r="AE17" s="165">
        <f t="shared" si="16"/>
        <v>1.5326557407504336E-3</v>
      </c>
      <c r="AF17" s="165">
        <f t="shared" si="17"/>
        <v>0.98567335243553011</v>
      </c>
      <c r="AG17" s="8">
        <v>1814</v>
      </c>
      <c r="AH17" s="165">
        <f t="shared" si="18"/>
        <v>1.1278597524428671E-3</v>
      </c>
      <c r="AI17" s="165">
        <f t="shared" si="19"/>
        <v>0.74759152215799607</v>
      </c>
      <c r="AJ17" s="8">
        <v>4034</v>
      </c>
      <c r="AK17" s="165">
        <f t="shared" si="20"/>
        <v>2.7667734784803458E-3</v>
      </c>
      <c r="AL17" s="165">
        <f t="shared" si="21"/>
        <v>0.37914529914529904</v>
      </c>
      <c r="AM17" s="8">
        <v>2892</v>
      </c>
      <c r="AN17" s="165">
        <f t="shared" si="22"/>
        <v>1.9204105375555803E-3</v>
      </c>
      <c r="AO17" s="165">
        <f t="shared" si="23"/>
        <v>0.15219123505976095</v>
      </c>
      <c r="AP17" s="8">
        <v>4147</v>
      </c>
      <c r="AQ17" s="165">
        <f t="shared" si="24"/>
        <v>2.8894847004328305E-3</v>
      </c>
      <c r="AR17" s="165">
        <f t="shared" si="25"/>
        <v>0.99470899470899465</v>
      </c>
      <c r="AS17" s="8">
        <v>623</v>
      </c>
      <c r="AT17" s="165">
        <f t="shared" si="26"/>
        <v>3.830651979426386E-4</v>
      </c>
      <c r="AU17" s="165">
        <f t="shared" si="27"/>
        <v>-0.6565600882028666</v>
      </c>
      <c r="AV17" s="8">
        <v>3270</v>
      </c>
      <c r="AW17" s="165">
        <f t="shared" si="28"/>
        <v>2.251777664844586E-3</v>
      </c>
      <c r="AX17" s="165">
        <f t="shared" si="29"/>
        <v>-0.18939018344075365</v>
      </c>
      <c r="AY17" s="8">
        <v>3190</v>
      </c>
      <c r="AZ17" s="165">
        <f t="shared" si="30"/>
        <v>2.0109118760420967E-3</v>
      </c>
      <c r="BA17" s="165">
        <f t="shared" si="31"/>
        <v>0.10304287690179814</v>
      </c>
      <c r="BB17" s="8">
        <v>2022</v>
      </c>
      <c r="BC17" s="165">
        <f t="shared" si="32"/>
        <v>1.2406506359715055E-3</v>
      </c>
      <c r="BD17" s="165">
        <f t="shared" si="33"/>
        <v>-0.51241861586689175</v>
      </c>
      <c r="BE17" s="8">
        <v>3993</v>
      </c>
      <c r="BF17" s="165">
        <f t="shared" si="34"/>
        <v>2.0783917526417126E-3</v>
      </c>
      <c r="BG17" s="165">
        <f t="shared" si="35"/>
        <v>5.4093097913322632</v>
      </c>
      <c r="BH17" s="8">
        <v>3476</v>
      </c>
      <c r="BI17" s="165">
        <f t="shared" si="112"/>
        <v>1.8972121460875185E-3</v>
      </c>
      <c r="BJ17" s="165">
        <f t="shared" si="113"/>
        <v>6.2996941896024561E-2</v>
      </c>
      <c r="BK17" s="8">
        <v>3318</v>
      </c>
      <c r="BL17" s="165">
        <f t="shared" si="114"/>
        <v>1.7725495224052824E-3</v>
      </c>
      <c r="BM17" s="165">
        <f t="shared" si="115"/>
        <v>4.0125391849529679E-2</v>
      </c>
      <c r="BN17" s="8">
        <v>3384</v>
      </c>
      <c r="BO17" s="165">
        <f t="shared" si="36"/>
        <v>1.7758540525052453E-3</v>
      </c>
      <c r="BP17" s="165">
        <f t="shared" si="37"/>
        <v>0.67359050445103863</v>
      </c>
      <c r="BQ17" s="8">
        <v>952</v>
      </c>
      <c r="BR17" s="165">
        <f t="shared" si="38"/>
        <v>3.8761978245246872E-4</v>
      </c>
      <c r="BS17" s="165">
        <f t="shared" si="39"/>
        <v>-0.76158276984723261</v>
      </c>
      <c r="BT17" s="8">
        <v>2228</v>
      </c>
      <c r="BU17" s="165">
        <f t="shared" si="40"/>
        <v>1.0071973017238534E-3</v>
      </c>
      <c r="BV17" s="165">
        <f t="shared" si="41"/>
        <v>-0.35903337169159955</v>
      </c>
      <c r="BW17" s="167">
        <v>1815</v>
      </c>
      <c r="BX17" s="165">
        <f t="shared" si="42"/>
        <v>8.1430046206503902E-4</v>
      </c>
      <c r="BY17" s="165">
        <f t="shared" si="43"/>
        <v>-0.4529837251356239</v>
      </c>
      <c r="BZ17" s="8">
        <v>2799</v>
      </c>
      <c r="CA17" s="165">
        <f t="shared" si="116"/>
        <v>1.0516499519825425E-3</v>
      </c>
      <c r="CB17" s="165">
        <f t="shared" si="44"/>
        <v>-0.1728723404255319</v>
      </c>
      <c r="CC17" s="8">
        <v>1647</v>
      </c>
      <c r="CD17" s="165">
        <f t="shared" si="117"/>
        <v>5.5203545897709535E-4</v>
      </c>
      <c r="CE17" s="165">
        <f t="shared" si="45"/>
        <v>0.73004201680672276</v>
      </c>
      <c r="CF17" s="8">
        <v>3859</v>
      </c>
      <c r="CG17" s="188">
        <f t="shared" si="118"/>
        <v>1.3495333286472108E-3</v>
      </c>
      <c r="CH17" s="165">
        <f t="shared" si="46"/>
        <v>0.73204667863554751</v>
      </c>
      <c r="CI17" s="8">
        <v>3634</v>
      </c>
      <c r="CJ17" s="188">
        <f t="shared" si="119"/>
        <v>1.2489135586166273E-3</v>
      </c>
      <c r="CK17" s="165">
        <f t="shared" si="47"/>
        <v>1.0022038567493112</v>
      </c>
      <c r="CL17" s="8">
        <v>3698</v>
      </c>
      <c r="CM17" s="165">
        <f t="shared" si="120"/>
        <v>1.1131261899207598E-3</v>
      </c>
      <c r="CN17" s="165">
        <f t="shared" si="48"/>
        <v>0.32118613790639516</v>
      </c>
      <c r="CO17" s="8">
        <v>1856</v>
      </c>
      <c r="CP17" s="165">
        <f t="shared" si="75"/>
        <v>4.9230403593819463E-4</v>
      </c>
      <c r="CQ17" s="165">
        <f t="shared" si="121"/>
        <v>0.12689738919247118</v>
      </c>
      <c r="CR17" s="8">
        <v>3550</v>
      </c>
      <c r="CS17" s="165">
        <f t="shared" si="103"/>
        <v>1.0184973463123366E-3</v>
      </c>
      <c r="CT17" s="165">
        <f t="shared" si="122"/>
        <v>-8.0072557657424159E-2</v>
      </c>
      <c r="CU17" s="8">
        <v>3747</v>
      </c>
      <c r="CV17" s="165">
        <f t="shared" si="123"/>
        <v>1.0665681412367351E-3</v>
      </c>
      <c r="CW17" s="165">
        <f t="shared" si="124"/>
        <v>3.1095211887727014E-2</v>
      </c>
      <c r="CX17" s="8">
        <v>7686</v>
      </c>
      <c r="CY17" s="165">
        <f>CX17/$CX$6</f>
        <v>1.9141134190887158E-3</v>
      </c>
      <c r="CZ17" s="165">
        <f t="shared" si="50"/>
        <v>1.0784207679826934</v>
      </c>
      <c r="DA17" s="8">
        <v>3176</v>
      </c>
      <c r="DB17" s="165">
        <f t="shared" si="76"/>
        <v>7.0335137184521668E-4</v>
      </c>
      <c r="DC17" s="165">
        <f t="shared" si="77"/>
        <v>0.7112068965517242</v>
      </c>
      <c r="DD17" s="8">
        <v>10786</v>
      </c>
      <c r="DE17" s="165">
        <f t="shared" si="136"/>
        <v>2.5079702345368383E-3</v>
      </c>
      <c r="DF17" s="165">
        <f t="shared" si="131"/>
        <v>2.0383098591549298</v>
      </c>
      <c r="DG17" s="8">
        <v>8068</v>
      </c>
      <c r="DH17" s="165">
        <f t="shared" si="52"/>
        <v>1.8315558826587435E-3</v>
      </c>
      <c r="DI17" s="165">
        <f t="shared" si="78"/>
        <v>1.1531892180410996</v>
      </c>
      <c r="DJ17" s="8">
        <v>6691</v>
      </c>
      <c r="DK17" s="165">
        <f t="shared" si="53"/>
        <v>1.4838726703742416E-3</v>
      </c>
      <c r="DL17" s="165">
        <f t="shared" si="79"/>
        <v>-0.12945615404631794</v>
      </c>
      <c r="DM17" s="8">
        <v>3397</v>
      </c>
      <c r="DN17" s="165">
        <f t="shared" si="80"/>
        <v>6.3866783838369156E-4</v>
      </c>
      <c r="DO17" s="165">
        <f t="shared" si="54"/>
        <v>6.9584382871536565E-2</v>
      </c>
      <c r="DP17" s="8">
        <v>8890</v>
      </c>
      <c r="DQ17" s="165">
        <f t="shared" si="55"/>
        <v>1.7514083667673709E-3</v>
      </c>
      <c r="DR17" s="165">
        <f t="shared" si="56"/>
        <v>-0.17578342295568328</v>
      </c>
      <c r="DS17" s="8">
        <v>9432</v>
      </c>
      <c r="DT17" s="165">
        <f t="shared" si="81"/>
        <v>1.8028511885112965E-3</v>
      </c>
      <c r="DU17" s="165">
        <f t="shared" si="129"/>
        <v>0.16906296479920679</v>
      </c>
      <c r="DV17" s="8">
        <v>8273</v>
      </c>
      <c r="DW17" s="165">
        <f t="shared" si="138"/>
        <v>1.5630830504775877E-3</v>
      </c>
      <c r="DX17" s="165">
        <f t="shared" si="104"/>
        <v>0.23643700493199815</v>
      </c>
      <c r="DY17" s="8">
        <v>5336</v>
      </c>
      <c r="DZ17" s="165">
        <f t="shared" si="57"/>
        <v>9.1000267918704832E-4</v>
      </c>
      <c r="EA17" s="165">
        <f t="shared" si="83"/>
        <v>0.57079776273182214</v>
      </c>
      <c r="EB17" s="8">
        <v>11654</v>
      </c>
      <c r="EC17" s="165">
        <f t="shared" si="84"/>
        <v>2.0918128877500252E-3</v>
      </c>
      <c r="ED17" s="165">
        <f t="shared" si="130"/>
        <v>0.3109111361079866</v>
      </c>
      <c r="EE17" s="8">
        <v>11206</v>
      </c>
      <c r="EF17" s="165">
        <f t="shared" si="58"/>
        <v>1.9278745088917749E-3</v>
      </c>
      <c r="EG17" s="165">
        <f t="shared" si="59"/>
        <v>0.18808312128922822</v>
      </c>
      <c r="EH17" s="8">
        <v>8693</v>
      </c>
      <c r="EI17" s="165">
        <f t="shared" si="60"/>
        <v>1.5319864963840677E-3</v>
      </c>
      <c r="EJ17" s="165">
        <f t="shared" si="61"/>
        <v>5.0767557113501782E-2</v>
      </c>
      <c r="EK17" s="8">
        <v>6198</v>
      </c>
      <c r="EL17" s="165">
        <f t="shared" si="62"/>
        <v>9.5718873760426682E-4</v>
      </c>
      <c r="EM17" s="165">
        <f t="shared" si="63"/>
        <v>0.16154422788605705</v>
      </c>
      <c r="EN17" s="8">
        <v>15813</v>
      </c>
      <c r="EO17" s="165">
        <f t="shared" si="85"/>
        <v>2.5293005707361219E-3</v>
      </c>
      <c r="EP17" s="165">
        <f t="shared" si="65"/>
        <v>0.35687317659172813</v>
      </c>
      <c r="EQ17" s="8">
        <v>16661</v>
      </c>
      <c r="ER17" s="165">
        <f t="shared" si="66"/>
        <v>2.5257283658805798E-3</v>
      </c>
      <c r="ES17" s="165">
        <f t="shared" si="67"/>
        <v>0.48679278957701233</v>
      </c>
      <c r="ET17" s="8">
        <v>10109</v>
      </c>
      <c r="EU17" s="165">
        <f t="shared" si="68"/>
        <v>1.5584514890542255E-3</v>
      </c>
      <c r="EV17" s="165">
        <f t="shared" si="132"/>
        <v>0.16288968135281268</v>
      </c>
      <c r="EW17" s="8">
        <v>0</v>
      </c>
      <c r="EX17" s="165">
        <f t="shared" si="70"/>
        <v>0</v>
      </c>
      <c r="EY17" s="165">
        <f t="shared" si="133"/>
        <v>-1</v>
      </c>
      <c r="EZ17" s="8">
        <v>18584</v>
      </c>
      <c r="FA17" s="165">
        <f t="shared" si="105"/>
        <v>2.6447485361308313E-3</v>
      </c>
      <c r="FB17" s="165">
        <f t="shared" si="134"/>
        <v>0.17523556567381271</v>
      </c>
      <c r="FC17" s="8">
        <v>17590</v>
      </c>
      <c r="FD17" s="165">
        <f t="shared" si="127"/>
        <v>2.4078385754356386E-3</v>
      </c>
      <c r="FE17" s="165">
        <f t="shared" si="135"/>
        <v>5.5758958045735607E-2</v>
      </c>
      <c r="FF17" s="8">
        <v>12739</v>
      </c>
      <c r="FG17" s="165">
        <f t="shared" si="88"/>
        <v>1.6878991187785964E-3</v>
      </c>
      <c r="FH17" s="165">
        <f t="shared" si="89"/>
        <v>0.26016421010980317</v>
      </c>
      <c r="FI17" s="8">
        <v>0</v>
      </c>
      <c r="FJ17" s="165">
        <f t="shared" si="108"/>
        <v>0</v>
      </c>
      <c r="FK17" s="165" t="s">
        <v>112</v>
      </c>
      <c r="FL17" s="8">
        <v>0</v>
      </c>
      <c r="FM17" s="165">
        <f t="shared" si="109"/>
        <v>0</v>
      </c>
      <c r="FN17" s="165" t="s">
        <v>112</v>
      </c>
      <c r="FO17" s="8">
        <v>0</v>
      </c>
      <c r="FP17" s="165">
        <f t="shared" si="73"/>
        <v>0</v>
      </c>
      <c r="FQ17" s="165" t="s">
        <v>112</v>
      </c>
      <c r="FR17" s="8">
        <v>0</v>
      </c>
      <c r="FS17" s="165">
        <f t="shared" si="91"/>
        <v>0</v>
      </c>
      <c r="FT17" s="165">
        <f t="shared" si="92"/>
        <v>-1</v>
      </c>
      <c r="FU17" s="8">
        <v>0</v>
      </c>
      <c r="FV17" s="165">
        <f t="shared" si="93"/>
        <v>0</v>
      </c>
      <c r="FW17" s="165" t="e">
        <f t="shared" si="94"/>
        <v>#DIV/0!</v>
      </c>
      <c r="FX17" s="8">
        <v>0</v>
      </c>
      <c r="FY17" s="165">
        <f t="shared" si="95"/>
        <v>0</v>
      </c>
      <c r="FZ17" s="165" t="e">
        <f t="shared" si="96"/>
        <v>#DIV/0!</v>
      </c>
      <c r="GA17" s="8">
        <v>0</v>
      </c>
      <c r="GB17" s="165">
        <f t="shared" si="97"/>
        <v>0</v>
      </c>
      <c r="GC17" s="165" t="e">
        <f t="shared" si="98"/>
        <v>#DIV/0!</v>
      </c>
      <c r="GD17" s="8">
        <v>0</v>
      </c>
      <c r="GE17" s="165">
        <f t="shared" si="99"/>
        <v>0</v>
      </c>
      <c r="GF17" s="165" t="e">
        <f t="shared" si="110"/>
        <v>#DIV/0!</v>
      </c>
      <c r="GG17" s="8">
        <v>0</v>
      </c>
      <c r="GH17" s="165">
        <f t="shared" si="101"/>
        <v>0</v>
      </c>
      <c r="GI17" s="165" t="e">
        <f t="shared" si="111"/>
        <v>#DIV/0!</v>
      </c>
    </row>
    <row r="18" spans="1:254" s="154" customFormat="1" ht="16.5" customHeight="1">
      <c r="B18" s="155" t="s">
        <v>166</v>
      </c>
      <c r="C18" s="161" t="s">
        <v>167</v>
      </c>
      <c r="D18" s="162">
        <f>SUM(D19:D29)</f>
        <v>207148</v>
      </c>
      <c r="E18" s="158">
        <f t="shared" si="0"/>
        <v>0.30803317838586974</v>
      </c>
      <c r="F18" s="162">
        <f>SUM(F19:F29)</f>
        <v>218345</v>
      </c>
      <c r="G18" s="158">
        <f t="shared" si="1"/>
        <v>0.31064600483159144</v>
      </c>
      <c r="H18" s="162">
        <f>SUM(H19:H29)</f>
        <v>223323</v>
      </c>
      <c r="I18" s="158">
        <f t="shared" si="2"/>
        <v>0.25556304478930525</v>
      </c>
      <c r="J18" s="162">
        <f>SUM(J19:J29)</f>
        <v>255673</v>
      </c>
      <c r="K18" s="158">
        <f t="shared" si="3"/>
        <v>0.23955479516229983</v>
      </c>
      <c r="L18" s="162">
        <f>SUM(L19:L29)</f>
        <v>256478</v>
      </c>
      <c r="M18" s="158">
        <f t="shared" si="4"/>
        <v>0.27779637133242135</v>
      </c>
      <c r="N18" s="158">
        <f t="shared" si="5"/>
        <v>0.23813891517176122</v>
      </c>
      <c r="O18" s="162">
        <f>SUM(O19:O29)</f>
        <v>285899</v>
      </c>
      <c r="P18" s="158">
        <f t="shared" si="6"/>
        <v>0.26998653367808123</v>
      </c>
      <c r="Q18" s="158">
        <f t="shared" si="137"/>
        <v>0.30939110123886504</v>
      </c>
      <c r="R18" s="162">
        <f>SUM(R19:R29)</f>
        <v>299841</v>
      </c>
      <c r="S18" s="158">
        <f t="shared" si="8"/>
        <v>0.26903247687785548</v>
      </c>
      <c r="T18" s="158">
        <f t="shared" si="9"/>
        <v>0.34263376365175113</v>
      </c>
      <c r="U18" s="162">
        <f>SUM(U19:U29)</f>
        <v>352986</v>
      </c>
      <c r="V18" s="158">
        <f t="shared" si="10"/>
        <v>0.24751458851346519</v>
      </c>
      <c r="W18" s="158">
        <f t="shared" si="11"/>
        <v>0.38061508254684684</v>
      </c>
      <c r="X18" s="162">
        <f>SUM(X19:X29)</f>
        <v>349380</v>
      </c>
      <c r="Y18" s="158">
        <f t="shared" si="12"/>
        <v>0.27566693677366005</v>
      </c>
      <c r="Z18" s="158">
        <f t="shared" si="13"/>
        <v>0.36222210092093676</v>
      </c>
      <c r="AA18" s="162">
        <f>SUM(AA19:AA29)</f>
        <v>371177</v>
      </c>
      <c r="AB18" s="158">
        <f t="shared" si="14"/>
        <v>0.28121962325448546</v>
      </c>
      <c r="AC18" s="158">
        <f t="shared" si="15"/>
        <v>0.29828016187534767</v>
      </c>
      <c r="AD18" s="162">
        <f>SUM(AD19:AD29)</f>
        <v>367021</v>
      </c>
      <c r="AE18" s="158">
        <f t="shared" si="16"/>
        <v>0.27057087187396101</v>
      </c>
      <c r="AF18" s="158">
        <f t="shared" si="17"/>
        <v>0.22405208093622964</v>
      </c>
      <c r="AG18" s="162">
        <f>SUM(AG19:AG29)</f>
        <v>420652</v>
      </c>
      <c r="AH18" s="158">
        <f t="shared" si="18"/>
        <v>0.26154159899922652</v>
      </c>
      <c r="AI18" s="158">
        <f t="shared" si="19"/>
        <v>0.19169598794286458</v>
      </c>
      <c r="AJ18" s="162">
        <f>SUM(AJ19:AJ29)</f>
        <v>416078</v>
      </c>
      <c r="AK18" s="158">
        <f t="shared" si="20"/>
        <v>0.28537272567653577</v>
      </c>
      <c r="AL18" s="158">
        <f t="shared" si="21"/>
        <v>0.19090388688533966</v>
      </c>
      <c r="AM18" s="162">
        <f>SUM(AM19:AM29)</f>
        <v>433774</v>
      </c>
      <c r="AN18" s="158">
        <f t="shared" si="22"/>
        <v>0.28804431553168547</v>
      </c>
      <c r="AO18" s="158">
        <f t="shared" si="23"/>
        <v>0.16864460890626298</v>
      </c>
      <c r="AP18" s="162">
        <f>SUM(AP19:AP29)</f>
        <v>452025</v>
      </c>
      <c r="AQ18" s="158">
        <f t="shared" si="24"/>
        <v>0.31495522587729691</v>
      </c>
      <c r="AR18" s="158">
        <f t="shared" si="25"/>
        <v>0.2316052759923819</v>
      </c>
      <c r="AS18" s="162">
        <f>SUM(AS19:AS29)</f>
        <v>494995</v>
      </c>
      <c r="AT18" s="158">
        <f t="shared" si="26"/>
        <v>0.30435851951142279</v>
      </c>
      <c r="AU18" s="158">
        <f t="shared" si="27"/>
        <v>0.17673278624611322</v>
      </c>
      <c r="AV18" s="162">
        <f>SUM(AV19:AV29)</f>
        <v>477401</v>
      </c>
      <c r="AW18" s="158">
        <f t="shared" si="28"/>
        <v>0.3287464553438747</v>
      </c>
      <c r="AX18" s="158">
        <f t="shared" si="29"/>
        <v>0.14738342330043896</v>
      </c>
      <c r="AY18" s="162">
        <f>SUM(AY19:AY29)</f>
        <v>482855</v>
      </c>
      <c r="AZ18" s="158">
        <f t="shared" si="30"/>
        <v>0.30438208586404597</v>
      </c>
      <c r="BA18" s="158">
        <f t="shared" si="31"/>
        <v>0.11314878254574956</v>
      </c>
      <c r="BB18" s="162">
        <f>SUM(BB19:BB29)</f>
        <v>477316</v>
      </c>
      <c r="BC18" s="158">
        <f t="shared" si="32"/>
        <v>0.29286963351106582</v>
      </c>
      <c r="BD18" s="158">
        <f t="shared" si="33"/>
        <v>5.5950445218737821E-2</v>
      </c>
      <c r="BE18" s="162">
        <f>SUM(BE19:BE29)</f>
        <v>492892</v>
      </c>
      <c r="BF18" s="158">
        <f t="shared" si="34"/>
        <v>0.25655463755148483</v>
      </c>
      <c r="BG18" s="158">
        <f t="shared" si="35"/>
        <v>-4.2485277629067397E-3</v>
      </c>
      <c r="BH18" s="162">
        <f>SUM(BH19:BH29)</f>
        <v>484157</v>
      </c>
      <c r="BI18" s="158">
        <f>BH18/$BH$6</f>
        <v>0.26425447094743804</v>
      </c>
      <c r="BJ18" s="158">
        <f>(BH18/AV18)-1</f>
        <v>1.4151625153696834E-2</v>
      </c>
      <c r="BK18" s="162">
        <f>SUM(BK19:BK29)</f>
        <v>492641</v>
      </c>
      <c r="BL18" s="158">
        <f>BK18/$BK$6</f>
        <v>0.26317979785028955</v>
      </c>
      <c r="BM18" s="158">
        <f>(BK18/AY18)-1</f>
        <v>2.0266953847428271E-2</v>
      </c>
      <c r="BN18" s="162">
        <f>SUM(BN19:BN29)</f>
        <v>500973</v>
      </c>
      <c r="BO18" s="158">
        <f t="shared" si="36"/>
        <v>0.2629003936896307</v>
      </c>
      <c r="BP18" s="158">
        <f t="shared" si="37"/>
        <v>4.9562553947489763E-2</v>
      </c>
      <c r="BQ18" s="162">
        <f>SUM(BQ19:BQ29)</f>
        <v>583094</v>
      </c>
      <c r="BR18" s="158">
        <f t="shared" si="38"/>
        <v>0.23741467377031492</v>
      </c>
      <c r="BS18" s="158">
        <f t="shared" si="39"/>
        <v>0.18300560771933805</v>
      </c>
      <c r="BT18" s="162">
        <f>SUM(BT19:BT29)</f>
        <v>569482</v>
      </c>
      <c r="BU18" s="158">
        <f t="shared" si="40"/>
        <v>0.2574419810504055</v>
      </c>
      <c r="BV18" s="158">
        <f t="shared" si="41"/>
        <v>0.17623415544957521</v>
      </c>
      <c r="BW18" s="159">
        <f>SUM(BW19:BW29)</f>
        <v>787063</v>
      </c>
      <c r="BX18" s="158">
        <f t="shared" si="42"/>
        <v>0.35311612373239437</v>
      </c>
      <c r="BY18" s="158">
        <f t="shared" si="43"/>
        <v>0.59764006649872825</v>
      </c>
      <c r="BZ18" s="162">
        <f>SUM(BZ19:BZ29)</f>
        <v>823269</v>
      </c>
      <c r="CA18" s="158">
        <f>BZ18/$BZ$6</f>
        <v>0.30932147349721889</v>
      </c>
      <c r="CB18" s="158">
        <f t="shared" si="44"/>
        <v>0.64334006024276746</v>
      </c>
      <c r="CC18" s="162">
        <f>SUM(CC19:CC29)</f>
        <v>947949</v>
      </c>
      <c r="CD18" s="158">
        <f t="shared" ref="CD18:CD24" si="139">CC18/$CC$6</f>
        <v>0.31773009186513573</v>
      </c>
      <c r="CE18" s="158">
        <f t="shared" si="45"/>
        <v>0.62572243926365223</v>
      </c>
      <c r="CF18" s="162">
        <f>SUM(CF19:CF29)</f>
        <v>982718</v>
      </c>
      <c r="CG18" s="158">
        <f>CF18/$CF$6</f>
        <v>0.34366693279645755</v>
      </c>
      <c r="CH18" s="158">
        <f t="shared" si="46"/>
        <v>0.72563487520237691</v>
      </c>
      <c r="CI18" s="159">
        <f>SUM(CI19:CI29)</f>
        <v>1044887</v>
      </c>
      <c r="CJ18" s="158">
        <f>CI18/$CI$6</f>
        <v>0.35910113965939783</v>
      </c>
      <c r="CK18" s="158">
        <f t="shared" si="47"/>
        <v>0.32757733497826735</v>
      </c>
      <c r="CL18" s="159">
        <f>SUM(CL19:CL29)</f>
        <v>1133732</v>
      </c>
      <c r="CM18" s="158">
        <f>CL18/$CL$6</f>
        <v>0.34126197445950318</v>
      </c>
      <c r="CN18" s="158">
        <f t="shared" si="48"/>
        <v>0.37711003329409953</v>
      </c>
      <c r="CO18" s="159">
        <f>SUM(CO19:CO29)</f>
        <v>1273138</v>
      </c>
      <c r="CP18" s="158">
        <f t="shared" si="75"/>
        <v>0.33769987915209115</v>
      </c>
      <c r="CQ18" s="158">
        <f>(CO18/CC18)-1</f>
        <v>0.34304482625120136</v>
      </c>
      <c r="CR18" s="159">
        <f>SUM(CR19:CR29)</f>
        <v>1263843</v>
      </c>
      <c r="CS18" s="158">
        <f t="shared" si="103"/>
        <v>0.36259739201561197</v>
      </c>
      <c r="CT18" s="158">
        <f t="shared" si="122"/>
        <v>0.2860688417226509</v>
      </c>
      <c r="CU18" s="159">
        <f>SUM(CU19:CU29)</f>
        <v>1271273</v>
      </c>
      <c r="CV18" s="158">
        <f>CU18/$CU$6</f>
        <v>0.36186263160246812</v>
      </c>
      <c r="CW18" s="158">
        <f t="shared" si="124"/>
        <v>0.216660748961371</v>
      </c>
      <c r="CX18" s="159">
        <f>SUM(CX19:CX29)</f>
        <v>1358172</v>
      </c>
      <c r="CY18" s="158">
        <f t="shared" ref="CY18:CY29" si="140">CX18/$CX$6</f>
        <v>0.33823773752674463</v>
      </c>
      <c r="CZ18" s="158">
        <f t="shared" si="50"/>
        <v>0.1979656567866126</v>
      </c>
      <c r="DA18" s="159">
        <f>SUM(DA19:DA29)</f>
        <v>1514262</v>
      </c>
      <c r="DB18" s="158">
        <f t="shared" si="76"/>
        <v>0.33534579818421961</v>
      </c>
      <c r="DC18" s="158">
        <f t="shared" si="77"/>
        <v>0.18939345145616571</v>
      </c>
      <c r="DD18" s="159">
        <f>SUM(DD19:DD29)</f>
        <v>1543581</v>
      </c>
      <c r="DE18" s="158">
        <f t="shared" si="136"/>
        <v>0.35891481574231476</v>
      </c>
      <c r="DF18" s="158">
        <f t="shared" si="131"/>
        <v>0.22133920115077577</v>
      </c>
      <c r="DG18" s="159">
        <f>SUM(DG19:DG29)</f>
        <v>1627080</v>
      </c>
      <c r="DH18" s="158">
        <f t="shared" si="52"/>
        <v>0.36937133683148099</v>
      </c>
      <c r="DI18" s="158">
        <f t="shared" si="78"/>
        <v>0.2798824485378042</v>
      </c>
      <c r="DJ18" s="159">
        <f>SUM(DJ19:DJ29)</f>
        <v>1701025</v>
      </c>
      <c r="DK18" s="158">
        <f t="shared" si="53"/>
        <v>0.37723875491306891</v>
      </c>
      <c r="DL18" s="158">
        <f t="shared" si="79"/>
        <v>0.25243709927755842</v>
      </c>
      <c r="DM18" s="159">
        <f>SUM(DM19:DM29)</f>
        <v>1822395</v>
      </c>
      <c r="DN18" s="158">
        <f t="shared" si="80"/>
        <v>0.34262734039777676</v>
      </c>
      <c r="DO18" s="158">
        <f t="shared" si="54"/>
        <v>0.20348724329079126</v>
      </c>
      <c r="DP18" s="159">
        <f>SUM(DP19:DP29)</f>
        <v>1801845</v>
      </c>
      <c r="DQ18" s="158">
        <f t="shared" si="55"/>
        <v>0.35497934855095092</v>
      </c>
      <c r="DR18" s="158">
        <f t="shared" si="56"/>
        <v>0.16731483479001108</v>
      </c>
      <c r="DS18" s="159">
        <f>SUM(DS19:DS29)</f>
        <v>1916830</v>
      </c>
      <c r="DT18" s="158">
        <f t="shared" si="81"/>
        <v>0.36638668826061366</v>
      </c>
      <c r="DU18" s="158">
        <f t="shared" si="129"/>
        <v>0.17807975022740119</v>
      </c>
      <c r="DV18" s="159">
        <f>SUM(DV19:DV29)</f>
        <v>1988654</v>
      </c>
      <c r="DW18" s="158">
        <f>DV18/DV$6</f>
        <v>0.37573206341888754</v>
      </c>
      <c r="DX18" s="158">
        <f t="shared" si="104"/>
        <v>0.16909157713731426</v>
      </c>
      <c r="DY18" s="159">
        <f>SUM(DY19:DY29)</f>
        <v>2142508</v>
      </c>
      <c r="DZ18" s="158">
        <f>DY18/DY$6</f>
        <v>0.36538381187775198</v>
      </c>
      <c r="EA18" s="158">
        <f t="shared" si="83"/>
        <v>0.17565511318896299</v>
      </c>
      <c r="EB18" s="159">
        <f>SUM(EB19:EB29)</f>
        <v>2185848</v>
      </c>
      <c r="EC18" s="158">
        <f t="shared" si="84"/>
        <v>0.39234468998306304</v>
      </c>
      <c r="ED18" s="158">
        <f t="shared" si="130"/>
        <v>0.21311655553058118</v>
      </c>
      <c r="EE18" s="159">
        <f>SUM(EE19:EE29)</f>
        <v>2300211</v>
      </c>
      <c r="EF18" s="158">
        <f t="shared" si="58"/>
        <v>0.39572712403823473</v>
      </c>
      <c r="EG18" s="158">
        <f t="shared" si="59"/>
        <v>0.20000782542009454</v>
      </c>
      <c r="EH18" s="159">
        <f>SUM(EH19:EH29)</f>
        <v>2317423</v>
      </c>
      <c r="EI18" s="158">
        <f t="shared" si="60"/>
        <v>0.40840454876450655</v>
      </c>
      <c r="EJ18" s="158">
        <f t="shared" si="61"/>
        <v>0.16532237382671888</v>
      </c>
      <c r="EK18" s="159">
        <f>SUM(EK19:EK29)</f>
        <v>2389735</v>
      </c>
      <c r="EL18" s="158">
        <f t="shared" si="62"/>
        <v>0.36905895899624597</v>
      </c>
      <c r="EM18" s="158">
        <f t="shared" si="63"/>
        <v>0.11539140110562007</v>
      </c>
      <c r="EN18" s="159">
        <f>SUM(EN19:EN29)</f>
        <v>2360997</v>
      </c>
      <c r="EO18" s="158">
        <f t="shared" si="85"/>
        <v>0.37764314548828631</v>
      </c>
      <c r="EP18" s="158">
        <f t="shared" si="65"/>
        <v>8.0128627425145815E-2</v>
      </c>
      <c r="EQ18" s="159">
        <f>SUM(EQ19:EQ29)</f>
        <v>2390515</v>
      </c>
      <c r="ER18" s="158">
        <f t="shared" si="66"/>
        <v>0.36239070551365549</v>
      </c>
      <c r="ES18" s="158">
        <f t="shared" si="67"/>
        <v>3.9259007108478405E-2</v>
      </c>
      <c r="ET18" s="159">
        <f>SUM(ET19:ET29)</f>
        <v>2475664</v>
      </c>
      <c r="EU18" s="158">
        <f t="shared" si="68"/>
        <v>0.38166012931031162</v>
      </c>
      <c r="EV18" s="158">
        <f t="shared" si="132"/>
        <v>6.828317488865876E-2</v>
      </c>
      <c r="EW18" s="159">
        <f>SUM(EW19:EW29)</f>
        <v>2639717</v>
      </c>
      <c r="EX18" s="158">
        <f t="shared" si="70"/>
        <v>0.34973987957588965</v>
      </c>
      <c r="EY18" s="158">
        <f t="shared" si="133"/>
        <v>0.10460657771677617</v>
      </c>
      <c r="EZ18" s="159">
        <f>SUM(EZ19:EZ29)</f>
        <v>2666605</v>
      </c>
      <c r="FA18" s="158">
        <f t="shared" si="105"/>
        <v>0.37949309460768166</v>
      </c>
      <c r="FB18" s="158">
        <f t="shared" si="134"/>
        <v>0.1294402322408712</v>
      </c>
      <c r="FC18" s="159">
        <f>SUM(FC19:FC29)</f>
        <v>2695916</v>
      </c>
      <c r="FD18" s="158">
        <f t="shared" si="127"/>
        <v>0.36903527805196962</v>
      </c>
      <c r="FE18" s="158">
        <f t="shared" si="135"/>
        <v>0.12775531632305182</v>
      </c>
      <c r="FF18" s="159">
        <f>SUM(FF19:FF29)</f>
        <v>2767897</v>
      </c>
      <c r="FG18" s="158">
        <f t="shared" si="88"/>
        <v>0.36674235867571403</v>
      </c>
      <c r="FH18" s="158">
        <f t="shared" si="89"/>
        <v>0.11804227067970441</v>
      </c>
      <c r="FI18" s="159">
        <f>SUM(FI19:FI29)</f>
        <v>2890713</v>
      </c>
      <c r="FJ18" s="158">
        <f t="shared" si="108"/>
        <v>0.32770629975032445</v>
      </c>
      <c r="FK18" s="158">
        <f t="shared" ref="FK18:FK20" si="141">(FI18/EW18)-1</f>
        <v>9.5084435187559935E-2</v>
      </c>
      <c r="FL18" s="159">
        <f>SUM(FL19:FL29)</f>
        <v>4489127</v>
      </c>
      <c r="FM18" s="158">
        <f t="shared" si="109"/>
        <v>0.44609724644848964</v>
      </c>
      <c r="FN18" s="158">
        <f t="shared" ref="FN18:FN20" si="142">(FL18/EZ18)-1</f>
        <v>0.6834615550484604</v>
      </c>
      <c r="FO18" s="159">
        <f>SUM(FO19:FO29)</f>
        <v>4547645</v>
      </c>
      <c r="FP18" s="158">
        <f t="shared" si="73"/>
        <v>0.4582514267564754</v>
      </c>
      <c r="FQ18" s="158">
        <f t="shared" ref="FQ18" si="143">(FO18/FC18)-1</f>
        <v>0.68686450171296132</v>
      </c>
      <c r="FR18" s="159">
        <f>SUM(FR19:FR29)</f>
        <v>4677520</v>
      </c>
      <c r="FS18" s="158">
        <f t="shared" si="91"/>
        <v>0.45847674045455999</v>
      </c>
      <c r="FT18" s="158">
        <f t="shared" si="92"/>
        <v>0.68991837485282148</v>
      </c>
      <c r="FU18" s="159">
        <f>SUM(FU19:FU29)</f>
        <v>4896693</v>
      </c>
      <c r="FV18" s="158">
        <f t="shared" si="93"/>
        <v>0.42384960938818661</v>
      </c>
      <c r="FW18" s="158">
        <f t="shared" si="94"/>
        <v>0.69393952287895755</v>
      </c>
      <c r="FX18" s="159">
        <f>SUM(FX19:FX29)</f>
        <v>4905798</v>
      </c>
      <c r="FY18" s="158">
        <f t="shared" si="95"/>
        <v>0.42642578847036616</v>
      </c>
      <c r="FZ18" s="158">
        <f t="shared" si="96"/>
        <v>9.2817824044630459E-2</v>
      </c>
      <c r="GA18" s="159">
        <f>SUM(GA19:GA29)</f>
        <v>5624425</v>
      </c>
      <c r="GB18" s="158">
        <f t="shared" si="97"/>
        <v>0.43844666902763479</v>
      </c>
      <c r="GC18" s="158">
        <f t="shared" si="98"/>
        <v>0.23677749692423222</v>
      </c>
      <c r="GD18" s="159">
        <f>SUM(GD19:GD29)</f>
        <v>5716214</v>
      </c>
      <c r="GE18" s="158">
        <f t="shared" si="99"/>
        <v>0.44031538835426343</v>
      </c>
      <c r="GF18" s="158">
        <f t="shared" si="110"/>
        <v>0.2220608356565017</v>
      </c>
      <c r="GG18" s="159">
        <f>SUM(GG19:GG29)</f>
        <v>5745817</v>
      </c>
      <c r="GH18" s="158">
        <f t="shared" si="101"/>
        <v>0.39240460511646069</v>
      </c>
      <c r="GI18" s="158">
        <f t="shared" si="111"/>
        <v>0.17340764471041981</v>
      </c>
    </row>
    <row r="19" spans="1:254" s="151" customFormat="1" ht="16.5" customHeight="1">
      <c r="B19" s="172" t="s">
        <v>32</v>
      </c>
      <c r="C19" s="164" t="s">
        <v>33</v>
      </c>
      <c r="D19" s="7">
        <v>4510</v>
      </c>
      <c r="E19" s="165">
        <f t="shared" si="0"/>
        <v>6.7064593166251789E-3</v>
      </c>
      <c r="F19" s="166">
        <v>4498</v>
      </c>
      <c r="G19" s="165">
        <f t="shared" si="1"/>
        <v>6.3994400134305719E-3</v>
      </c>
      <c r="H19" s="7">
        <v>4185</v>
      </c>
      <c r="I19" s="165">
        <f t="shared" si="2"/>
        <v>4.7891678978127751E-3</v>
      </c>
      <c r="J19" s="7">
        <v>2178</v>
      </c>
      <c r="K19" s="165">
        <f t="shared" si="3"/>
        <v>2.0406939483773767E-3</v>
      </c>
      <c r="L19" s="166">
        <v>2176</v>
      </c>
      <c r="M19" s="165">
        <f t="shared" si="4"/>
        <v>2.3568684410333394E-3</v>
      </c>
      <c r="N19" s="165">
        <f t="shared" si="5"/>
        <v>-0.51751662971175172</v>
      </c>
      <c r="O19" s="166">
        <v>2106</v>
      </c>
      <c r="P19" s="165">
        <f t="shared" si="6"/>
        <v>1.9887849902449437E-3</v>
      </c>
      <c r="Q19" s="165">
        <f t="shared" si="137"/>
        <v>-0.53179190751445082</v>
      </c>
      <c r="R19" s="166">
        <v>2374</v>
      </c>
      <c r="S19" s="165">
        <f t="shared" si="8"/>
        <v>2.1300726055076824E-3</v>
      </c>
      <c r="T19" s="165">
        <f t="shared" si="9"/>
        <v>-0.43273596176821982</v>
      </c>
      <c r="U19" s="166">
        <v>2276</v>
      </c>
      <c r="V19" s="165">
        <f t="shared" si="10"/>
        <v>1.5959363925386468E-3</v>
      </c>
      <c r="W19" s="165">
        <f t="shared" si="11"/>
        <v>4.4995408631772316E-2</v>
      </c>
      <c r="X19" s="166">
        <v>2232</v>
      </c>
      <c r="Y19" s="165">
        <f t="shared" si="12"/>
        <v>1.7610870767611462E-3</v>
      </c>
      <c r="Z19" s="165">
        <f t="shared" si="13"/>
        <v>2.5735294117646967E-2</v>
      </c>
      <c r="AA19" s="166">
        <v>2182</v>
      </c>
      <c r="AB19" s="165">
        <f t="shared" si="14"/>
        <v>1.6531768346133709E-3</v>
      </c>
      <c r="AC19" s="165">
        <f t="shared" si="15"/>
        <v>3.6087369420702675E-2</v>
      </c>
      <c r="AD19" s="166">
        <v>2417</v>
      </c>
      <c r="AE19" s="165">
        <f t="shared" si="16"/>
        <v>1.7818320949465119E-3</v>
      </c>
      <c r="AF19" s="165">
        <f t="shared" si="17"/>
        <v>1.8112889637742269E-2</v>
      </c>
      <c r="AG19" s="166">
        <v>8104</v>
      </c>
      <c r="AH19" s="165">
        <f t="shared" si="18"/>
        <v>5.0386854651582116E-3</v>
      </c>
      <c r="AI19" s="165">
        <f t="shared" si="19"/>
        <v>2.5606326889279436</v>
      </c>
      <c r="AJ19" s="166">
        <v>10468</v>
      </c>
      <c r="AK19" s="165">
        <f t="shared" si="20"/>
        <v>7.1796194280446856E-3</v>
      </c>
      <c r="AL19" s="165">
        <f t="shared" si="21"/>
        <v>3.6899641577060933</v>
      </c>
      <c r="AM19" s="166">
        <v>11173</v>
      </c>
      <c r="AN19" s="165">
        <f t="shared" si="22"/>
        <v>7.4193454135921509E-3</v>
      </c>
      <c r="AO19" s="165">
        <f t="shared" si="23"/>
        <v>4.120531622364803</v>
      </c>
      <c r="AP19" s="166">
        <v>12141</v>
      </c>
      <c r="AQ19" s="165">
        <f t="shared" si="24"/>
        <v>8.4594245835435244E-3</v>
      </c>
      <c r="AR19" s="165">
        <f t="shared" si="25"/>
        <v>4.0231692180388912</v>
      </c>
      <c r="AS19" s="166">
        <v>12290</v>
      </c>
      <c r="AT19" s="165">
        <f t="shared" si="26"/>
        <v>7.5567757346950695E-3</v>
      </c>
      <c r="AU19" s="165">
        <f t="shared" si="27"/>
        <v>0.51653504442250742</v>
      </c>
      <c r="AV19" s="166">
        <v>12263</v>
      </c>
      <c r="AW19" s="165">
        <f t="shared" si="28"/>
        <v>8.4445105516786426E-3</v>
      </c>
      <c r="AX19" s="165">
        <f t="shared" si="29"/>
        <v>0.17147497134123046</v>
      </c>
      <c r="AY19" s="166">
        <v>12790</v>
      </c>
      <c r="AZ19" s="165">
        <f t="shared" si="30"/>
        <v>8.0625589011217615E-3</v>
      </c>
      <c r="BA19" s="165">
        <f t="shared" si="31"/>
        <v>0.14472388794415103</v>
      </c>
      <c r="BB19" s="166">
        <f>34900-22074</f>
        <v>12826</v>
      </c>
      <c r="BC19" s="165">
        <f t="shared" si="32"/>
        <v>7.8697255474631696E-3</v>
      </c>
      <c r="BD19" s="165">
        <f t="shared" si="33"/>
        <v>5.642039370727292E-2</v>
      </c>
      <c r="BE19" s="166">
        <v>9443</v>
      </c>
      <c r="BF19" s="165">
        <f t="shared" si="34"/>
        <v>4.9151648685689178E-3</v>
      </c>
      <c r="BG19" s="165">
        <f t="shared" si="35"/>
        <v>-0.23165174938974775</v>
      </c>
      <c r="BH19" s="166">
        <v>9281</v>
      </c>
      <c r="BI19" s="165">
        <f>BH19/$BH$6</f>
        <v>5.0656000943148042E-3</v>
      </c>
      <c r="BJ19" s="165">
        <f>(BH19/AV19)-1</f>
        <v>-0.24317051292505909</v>
      </c>
      <c r="BK19" s="166">
        <v>9332</v>
      </c>
      <c r="BL19" s="165">
        <f>BK19/$BK$6</f>
        <v>4.9853623095497575E-3</v>
      </c>
      <c r="BM19" s="165">
        <f>(BK19/AY19)-1</f>
        <v>-0.27036747458952304</v>
      </c>
      <c r="BN19" s="166">
        <v>9486</v>
      </c>
      <c r="BO19" s="165">
        <f t="shared" si="36"/>
        <v>4.9780589663311926E-3</v>
      </c>
      <c r="BP19" s="165">
        <f t="shared" si="37"/>
        <v>-0.26040854514267897</v>
      </c>
      <c r="BQ19" s="166">
        <v>9515</v>
      </c>
      <c r="BR19" s="165">
        <f t="shared" si="38"/>
        <v>3.8741620063395378E-3</v>
      </c>
      <c r="BS19" s="165">
        <f t="shared" si="39"/>
        <v>7.6246955416710005E-3</v>
      </c>
      <c r="BT19" s="166">
        <v>9480</v>
      </c>
      <c r="BU19" s="165">
        <f t="shared" si="40"/>
        <v>4.2855612299560726E-3</v>
      </c>
      <c r="BV19" s="165">
        <f t="shared" si="41"/>
        <v>2.1441654994073911E-2</v>
      </c>
      <c r="BW19" s="168">
        <v>10089</v>
      </c>
      <c r="BX19" s="165">
        <f t="shared" si="42"/>
        <v>4.5264338081400434E-3</v>
      </c>
      <c r="BY19" s="165">
        <f t="shared" si="43"/>
        <v>8.1118731247320941E-2</v>
      </c>
      <c r="BZ19" s="166">
        <v>26654</v>
      </c>
      <c r="CA19" s="165">
        <f>BZ19/$BZ$6</f>
        <v>1.0014532983259265E-2</v>
      </c>
      <c r="CB19" s="165">
        <f t="shared" si="44"/>
        <v>1.8098250052709255</v>
      </c>
      <c r="CC19" s="166">
        <v>6189</v>
      </c>
      <c r="CD19" s="165">
        <f t="shared" si="139"/>
        <v>2.0744064697081014E-3</v>
      </c>
      <c r="CE19" s="165">
        <f t="shared" si="45"/>
        <v>-0.34955333683657386</v>
      </c>
      <c r="CF19" s="166">
        <f>26486-19888</f>
        <v>6598</v>
      </c>
      <c r="CG19" s="188">
        <f>CF19/$CF$6</f>
        <v>2.3073907495243062E-3</v>
      </c>
      <c r="CH19" s="165">
        <f t="shared" si="46"/>
        <v>-0.30400843881856543</v>
      </c>
      <c r="CI19" s="166">
        <v>6653</v>
      </c>
      <c r="CJ19" s="188">
        <f>CI19/$CI$6</f>
        <v>2.2864672277040231E-3</v>
      </c>
      <c r="CK19" s="165">
        <f t="shared" si="47"/>
        <v>-0.34056893646545738</v>
      </c>
      <c r="CL19" s="166">
        <v>6844</v>
      </c>
      <c r="CM19" s="165">
        <f>CL19/$CL$6</f>
        <v>2.0600961719355543E-3</v>
      </c>
      <c r="CN19" s="165">
        <f t="shared" si="48"/>
        <v>-0.74322803331582499</v>
      </c>
      <c r="CO19" s="166">
        <v>7021</v>
      </c>
      <c r="CP19" s="165">
        <f t="shared" si="75"/>
        <v>1.8623203859493881E-3</v>
      </c>
      <c r="CQ19" s="165">
        <f>(CO19/CC19)-1</f>
        <v>0.13443205687510096</v>
      </c>
      <c r="CR19" s="166">
        <v>6919</v>
      </c>
      <c r="CS19" s="165">
        <f t="shared" si="103"/>
        <v>1.9850656729957909E-3</v>
      </c>
      <c r="CT19" s="165">
        <f t="shared" si="122"/>
        <v>4.8651106395877441E-2</v>
      </c>
      <c r="CU19" s="166">
        <v>7125</v>
      </c>
      <c r="CV19" s="165">
        <f>CU19/$CU$6</f>
        <v>2.0281019499097247E-3</v>
      </c>
      <c r="CW19" s="165">
        <f t="shared" si="124"/>
        <v>7.0945438148203754E-2</v>
      </c>
      <c r="CX19" s="166">
        <v>7111</v>
      </c>
      <c r="CY19" s="165">
        <f t="shared" si="140"/>
        <v>1.7709160191438794E-3</v>
      </c>
      <c r="CZ19" s="165">
        <f t="shared" si="50"/>
        <v>3.9012273524254848E-2</v>
      </c>
      <c r="DA19" s="166">
        <v>6893</v>
      </c>
      <c r="DB19" s="165">
        <f t="shared" si="76"/>
        <v>1.526511651803866E-3</v>
      </c>
      <c r="DC19" s="165">
        <f t="shared" si="77"/>
        <v>-1.8231021222048116E-2</v>
      </c>
      <c r="DD19" s="166">
        <v>6941</v>
      </c>
      <c r="DE19" s="165">
        <f t="shared" si="136"/>
        <v>1.6139274427888182E-3</v>
      </c>
      <c r="DF19" s="165">
        <f t="shared" si="131"/>
        <v>3.1796502384737746E-3</v>
      </c>
      <c r="DG19" s="166">
        <v>7072</v>
      </c>
      <c r="DH19" s="165">
        <f t="shared" si="52"/>
        <v>1.605449083064283E-3</v>
      </c>
      <c r="DI19" s="165">
        <f t="shared" si="78"/>
        <v>-7.4385964912280222E-3</v>
      </c>
      <c r="DJ19" s="166">
        <v>6194</v>
      </c>
      <c r="DK19" s="165">
        <f t="shared" si="53"/>
        <v>1.3736522672691753E-3</v>
      </c>
      <c r="DL19" s="165">
        <f t="shared" si="79"/>
        <v>-0.12895513992406127</v>
      </c>
      <c r="DM19" s="166">
        <v>6833</v>
      </c>
      <c r="DN19" s="165">
        <f t="shared" si="80"/>
        <v>1.2846680422948968E-3</v>
      </c>
      <c r="DO19" s="165">
        <f t="shared" si="54"/>
        <v>-8.704482808646441E-3</v>
      </c>
      <c r="DP19" s="166">
        <v>5267</v>
      </c>
      <c r="DQ19" s="165">
        <f t="shared" si="55"/>
        <v>1.0376454294447404E-3</v>
      </c>
      <c r="DR19" s="165">
        <f t="shared" si="56"/>
        <v>-0.24117562310906204</v>
      </c>
      <c r="DS19" s="166">
        <v>8151</v>
      </c>
      <c r="DT19" s="165">
        <f t="shared" si="81"/>
        <v>1.557998307628878E-3</v>
      </c>
      <c r="DU19" s="165">
        <f>(DS19/DG19)-1</f>
        <v>0.15257352941176472</v>
      </c>
      <c r="DV19" s="166">
        <v>10844</v>
      </c>
      <c r="DW19" s="165">
        <f t="shared" si="138"/>
        <v>2.0488423303975534E-3</v>
      </c>
      <c r="DX19" s="165">
        <f t="shared" si="104"/>
        <v>0.75072650952534703</v>
      </c>
      <c r="DY19" s="166">
        <v>10825</v>
      </c>
      <c r="DZ19" s="165">
        <f t="shared" ref="DZ19:DZ31" si="144">DY19/DY$6</f>
        <v>1.8460980139055093E-3</v>
      </c>
      <c r="EA19" s="165">
        <f t="shared" si="83"/>
        <v>0.58422362066442268</v>
      </c>
      <c r="EB19" s="166">
        <v>10799</v>
      </c>
      <c r="EC19" s="165">
        <f t="shared" si="84"/>
        <v>1.9383462652147348E-3</v>
      </c>
      <c r="ED19" s="165">
        <f t="shared" si="130"/>
        <v>1.0503132713119423</v>
      </c>
      <c r="EE19" s="166">
        <v>10481</v>
      </c>
      <c r="EF19" s="165">
        <f t="shared" si="58"/>
        <v>1.8031458796800546E-3</v>
      </c>
      <c r="EG19" s="165">
        <f t="shared" si="59"/>
        <v>0.28585449638081206</v>
      </c>
      <c r="EH19" s="166">
        <v>10293</v>
      </c>
      <c r="EI19" s="165">
        <f t="shared" si="60"/>
        <v>1.8139580130313137E-3</v>
      </c>
      <c r="EJ19" s="165">
        <f t="shared" si="61"/>
        <v>-5.0811508668388017E-2</v>
      </c>
      <c r="EK19" s="166">
        <v>10444</v>
      </c>
      <c r="EL19" s="165">
        <f t="shared" si="62"/>
        <v>1.6129201638494617E-3</v>
      </c>
      <c r="EM19" s="165">
        <f t="shared" si="63"/>
        <v>-3.5196304849884563E-2</v>
      </c>
      <c r="EN19" s="166">
        <v>10524</v>
      </c>
      <c r="EO19" s="165">
        <f t="shared" si="85"/>
        <v>1.68332126771814E-3</v>
      </c>
      <c r="EP19" s="165">
        <f t="shared" si="65"/>
        <v>-2.5465320863042873E-2</v>
      </c>
      <c r="EQ19" s="166">
        <v>10583</v>
      </c>
      <c r="ER19" s="165">
        <f t="shared" si="66"/>
        <v>1.6043324708069249E-3</v>
      </c>
      <c r="ES19" s="165">
        <f t="shared" si="67"/>
        <v>9.7318958114682719E-3</v>
      </c>
      <c r="ET19" s="166">
        <v>10521</v>
      </c>
      <c r="EU19" s="165">
        <f t="shared" si="68"/>
        <v>1.6219673673300531E-3</v>
      </c>
      <c r="EV19" s="165">
        <f t="shared" si="132"/>
        <v>2.2150976391722477E-2</v>
      </c>
      <c r="EW19" s="166">
        <v>0</v>
      </c>
      <c r="EX19" s="165">
        <f t="shared" si="70"/>
        <v>0</v>
      </c>
      <c r="EY19" s="165">
        <f t="shared" si="133"/>
        <v>-1</v>
      </c>
      <c r="EZ19" s="166">
        <v>10012</v>
      </c>
      <c r="FA19" s="165">
        <f t="shared" si="105"/>
        <v>1.4248397731242942E-3</v>
      </c>
      <c r="FB19" s="165">
        <f t="shared" si="134"/>
        <v>-4.8650703154693997E-2</v>
      </c>
      <c r="FC19" s="166">
        <v>10007</v>
      </c>
      <c r="FD19" s="165">
        <f t="shared" si="127"/>
        <v>1.3698260730178758E-3</v>
      </c>
      <c r="FE19" s="165">
        <f t="shared" si="135"/>
        <v>-5.44269110838137E-2</v>
      </c>
      <c r="FF19" s="166">
        <v>10091</v>
      </c>
      <c r="FG19" s="165">
        <f t="shared" si="88"/>
        <v>1.3370429396023877E-3</v>
      </c>
      <c r="FH19" s="165">
        <f t="shared" si="89"/>
        <v>-4.0870639673034836E-2</v>
      </c>
      <c r="FI19" s="166">
        <v>0</v>
      </c>
      <c r="FJ19" s="165">
        <f t="shared" si="108"/>
        <v>0</v>
      </c>
      <c r="FK19" s="165" t="s">
        <v>112</v>
      </c>
      <c r="FL19" s="166">
        <f>0</f>
        <v>0</v>
      </c>
      <c r="FM19" s="165">
        <f t="shared" si="109"/>
        <v>0</v>
      </c>
      <c r="FN19" s="165" t="s">
        <v>112</v>
      </c>
      <c r="FO19" s="166">
        <f>0</f>
        <v>0</v>
      </c>
      <c r="FP19" s="165">
        <f t="shared" si="73"/>
        <v>0</v>
      </c>
      <c r="FQ19" s="165" t="s">
        <v>112</v>
      </c>
      <c r="FR19" s="166">
        <f>0</f>
        <v>0</v>
      </c>
      <c r="FS19" s="165">
        <f t="shared" si="91"/>
        <v>0</v>
      </c>
      <c r="FT19" s="165">
        <f t="shared" si="92"/>
        <v>-1</v>
      </c>
      <c r="FU19" s="8">
        <v>0</v>
      </c>
      <c r="FV19" s="165">
        <f t="shared" si="93"/>
        <v>0</v>
      </c>
      <c r="FW19" s="165" t="e">
        <f t="shared" si="94"/>
        <v>#DIV/0!</v>
      </c>
      <c r="FX19" s="166">
        <f>0</f>
        <v>0</v>
      </c>
      <c r="FY19" s="165">
        <f t="shared" si="95"/>
        <v>0</v>
      </c>
      <c r="FZ19" s="165" t="e">
        <f t="shared" si="96"/>
        <v>#DIV/0!</v>
      </c>
      <c r="GA19" s="8">
        <v>0</v>
      </c>
      <c r="GB19" s="165">
        <f t="shared" si="97"/>
        <v>0</v>
      </c>
      <c r="GC19" s="165" t="e">
        <f t="shared" si="98"/>
        <v>#DIV/0!</v>
      </c>
      <c r="GD19" s="8">
        <v>0</v>
      </c>
      <c r="GE19" s="165">
        <f t="shared" si="99"/>
        <v>0</v>
      </c>
      <c r="GF19" s="165" t="e">
        <f t="shared" si="110"/>
        <v>#DIV/0!</v>
      </c>
      <c r="GG19" s="8">
        <v>0</v>
      </c>
      <c r="GH19" s="165">
        <f t="shared" si="101"/>
        <v>0</v>
      </c>
      <c r="GI19" s="165" t="e">
        <f t="shared" si="111"/>
        <v>#DIV/0!</v>
      </c>
    </row>
    <row r="20" spans="1:254" s="151" customFormat="1" ht="16.5" customHeight="1">
      <c r="B20" s="172" t="s">
        <v>26</v>
      </c>
      <c r="C20" s="164" t="s">
        <v>27</v>
      </c>
      <c r="D20" s="7">
        <v>5072</v>
      </c>
      <c r="E20" s="165">
        <f t="shared" si="0"/>
        <v>7.5421644465460992E-3</v>
      </c>
      <c r="F20" s="166">
        <v>4469</v>
      </c>
      <c r="G20" s="165">
        <f t="shared" si="1"/>
        <v>6.3581808403782181E-3</v>
      </c>
      <c r="H20" s="7">
        <v>9070</v>
      </c>
      <c r="I20" s="165">
        <f t="shared" si="2"/>
        <v>1.0379391357983721E-2</v>
      </c>
      <c r="J20" s="7">
        <v>10176</v>
      </c>
      <c r="K20" s="165">
        <f t="shared" si="3"/>
        <v>9.5344819185896167E-3</v>
      </c>
      <c r="L20" s="166">
        <v>10495</v>
      </c>
      <c r="M20" s="165">
        <f t="shared" si="4"/>
        <v>1.1367341125296368E-2</v>
      </c>
      <c r="N20" s="165">
        <f t="shared" si="5"/>
        <v>1.0692034700315456</v>
      </c>
      <c r="O20" s="166">
        <v>11791</v>
      </c>
      <c r="P20" s="165">
        <f t="shared" si="6"/>
        <v>1.113474065526027E-2</v>
      </c>
      <c r="Q20" s="165">
        <f t="shared" si="137"/>
        <v>1.6383978518684268</v>
      </c>
      <c r="R20" s="166">
        <v>12231</v>
      </c>
      <c r="S20" s="165">
        <f t="shared" si="8"/>
        <v>1.0974270445646361E-2</v>
      </c>
      <c r="T20" s="165">
        <f t="shared" si="9"/>
        <v>0.34851157662624033</v>
      </c>
      <c r="U20" s="166">
        <v>13453</v>
      </c>
      <c r="V20" s="165">
        <f t="shared" si="10"/>
        <v>9.4332742921012375E-3</v>
      </c>
      <c r="W20" s="165">
        <f t="shared" si="11"/>
        <v>0.32203223270440251</v>
      </c>
      <c r="X20" s="166">
        <v>13965</v>
      </c>
      <c r="Y20" s="165">
        <f t="shared" si="12"/>
        <v>1.1018629492369807E-2</v>
      </c>
      <c r="Z20" s="165">
        <f t="shared" si="13"/>
        <v>0.33063363506431642</v>
      </c>
      <c r="AA20" s="166">
        <v>14676</v>
      </c>
      <c r="AB20" s="165">
        <f t="shared" si="14"/>
        <v>1.1119167380745112E-2</v>
      </c>
      <c r="AC20" s="165">
        <f t="shared" si="15"/>
        <v>0.24467814434738355</v>
      </c>
      <c r="AD20" s="166">
        <v>14253</v>
      </c>
      <c r="AE20" s="165">
        <f t="shared" si="16"/>
        <v>1.0507427740700303E-2</v>
      </c>
      <c r="AF20" s="165">
        <f t="shared" si="17"/>
        <v>0.16531763551631107</v>
      </c>
      <c r="AG20" s="166">
        <v>9325</v>
      </c>
      <c r="AH20" s="165">
        <f t="shared" si="18"/>
        <v>5.7978457505676604E-3</v>
      </c>
      <c r="AI20" s="165">
        <f t="shared" si="19"/>
        <v>-0.30684605664164122</v>
      </c>
      <c r="AJ20" s="166">
        <v>9996</v>
      </c>
      <c r="AK20" s="165">
        <f t="shared" si="20"/>
        <v>6.855891842064833E-3</v>
      </c>
      <c r="AL20" s="165">
        <f t="shared" si="21"/>
        <v>-0.28421052631578947</v>
      </c>
      <c r="AM20" s="166">
        <v>10655</v>
      </c>
      <c r="AN20" s="165">
        <f t="shared" si="22"/>
        <v>7.0753714653024576E-3</v>
      </c>
      <c r="AO20" s="165">
        <f t="shared" si="23"/>
        <v>-0.2739847369855547</v>
      </c>
      <c r="AP20" s="166">
        <v>11328</v>
      </c>
      <c r="AQ20" s="165">
        <f t="shared" si="24"/>
        <v>7.8929545904275634E-3</v>
      </c>
      <c r="AR20" s="165">
        <f t="shared" si="25"/>
        <v>-0.20521995369395918</v>
      </c>
      <c r="AS20" s="166">
        <v>13017</v>
      </c>
      <c r="AT20" s="165">
        <f t="shared" si="26"/>
        <v>8.0037876109459501E-3</v>
      </c>
      <c r="AU20" s="165">
        <f t="shared" si="27"/>
        <v>0.39592493297587139</v>
      </c>
      <c r="AV20" s="166">
        <v>12283</v>
      </c>
      <c r="AW20" s="165">
        <f t="shared" si="28"/>
        <v>8.4582828921364074E-3</v>
      </c>
      <c r="AX20" s="165">
        <f t="shared" si="29"/>
        <v>0.22879151660664276</v>
      </c>
      <c r="AY20" s="166">
        <v>12429</v>
      </c>
      <c r="AZ20" s="165">
        <f t="shared" si="30"/>
        <v>7.8349917577828273E-3</v>
      </c>
      <c r="BA20" s="165">
        <f t="shared" si="31"/>
        <v>0.16649460347254808</v>
      </c>
      <c r="BB20" s="166">
        <v>11979</v>
      </c>
      <c r="BC20" s="165">
        <f t="shared" si="32"/>
        <v>7.3500266905552249E-3</v>
      </c>
      <c r="BD20" s="165">
        <f t="shared" si="33"/>
        <v>5.7468220338983134E-2</v>
      </c>
      <c r="BE20" s="166">
        <v>11726</v>
      </c>
      <c r="BF20" s="165">
        <f t="shared" si="34"/>
        <v>6.1034865242866818E-3</v>
      </c>
      <c r="BG20" s="165">
        <f t="shared" si="35"/>
        <v>-9.9177998002611956E-2</v>
      </c>
      <c r="BH20" s="166">
        <v>11042</v>
      </c>
      <c r="BI20" s="165">
        <f t="shared" ref="BI20:BI29" si="145">BH20/$BH$6</f>
        <v>6.0267596424333656E-3</v>
      </c>
      <c r="BJ20" s="165">
        <f t="shared" ref="BJ20:BJ29" si="146">(BH20/AV20)-1</f>
        <v>-0.10103394936090526</v>
      </c>
      <c r="BK20" s="166">
        <v>10764</v>
      </c>
      <c r="BL20" s="165">
        <f t="shared" ref="BL20:BL29" si="147">BK20/$BK$6</f>
        <v>5.7503686133726518E-3</v>
      </c>
      <c r="BM20" s="165">
        <f t="shared" ref="BM20:BM29" si="148">(BK20/AY20)-1</f>
        <v>-0.13396089790007237</v>
      </c>
      <c r="BN20" s="166">
        <v>10252</v>
      </c>
      <c r="BO20" s="165">
        <f t="shared" si="36"/>
        <v>5.3800401141500514E-3</v>
      </c>
      <c r="BP20" s="165">
        <f t="shared" si="37"/>
        <v>-0.14416896235078058</v>
      </c>
      <c r="BQ20" s="166">
        <v>12607</v>
      </c>
      <c r="BR20" s="165">
        <f t="shared" si="38"/>
        <v>5.1331119720360013E-3</v>
      </c>
      <c r="BS20" s="165">
        <f t="shared" si="39"/>
        <v>7.5132184888282438E-2</v>
      </c>
      <c r="BT20" s="166">
        <v>11859</v>
      </c>
      <c r="BU20" s="165">
        <f t="shared" si="40"/>
        <v>5.3610201082330243E-3</v>
      </c>
      <c r="BV20" s="165">
        <f t="shared" si="41"/>
        <v>7.3990219163195148E-2</v>
      </c>
      <c r="BW20" s="168">
        <v>13510</v>
      </c>
      <c r="BX20" s="165">
        <f t="shared" si="42"/>
        <v>6.0612668002747536E-3</v>
      </c>
      <c r="BY20" s="165">
        <f t="shared" si="43"/>
        <v>0.25510962467484211</v>
      </c>
      <c r="BZ20" s="166">
        <v>13081</v>
      </c>
      <c r="CA20" s="165">
        <f t="shared" ref="CA20:CA29" si="149">BZ20/$BZ$6</f>
        <v>4.9148385215732893E-3</v>
      </c>
      <c r="CB20" s="165">
        <f t="shared" si="44"/>
        <v>0.27594615684744439</v>
      </c>
      <c r="CC20" s="166">
        <v>17277</v>
      </c>
      <c r="CD20" s="165">
        <f t="shared" si="139"/>
        <v>5.7908419093790388E-3</v>
      </c>
      <c r="CE20" s="165">
        <f t="shared" si="45"/>
        <v>0.37042912667565631</v>
      </c>
      <c r="CF20" s="166">
        <v>19222</v>
      </c>
      <c r="CG20" s="188">
        <f t="shared" ref="CG20:CG29" si="150">CF20/$CF$6</f>
        <v>6.7221377671046094E-3</v>
      </c>
      <c r="CH20" s="165">
        <f t="shared" si="46"/>
        <v>0.62087865755965943</v>
      </c>
      <c r="CI20" s="166">
        <v>22158</v>
      </c>
      <c r="CJ20" s="188">
        <f t="shared" ref="CJ20:CJ29" si="151">CI20/$CI$6</f>
        <v>7.6151421661604908E-3</v>
      </c>
      <c r="CK20" s="165">
        <f t="shared" si="47"/>
        <v>0.64011843079200603</v>
      </c>
      <c r="CL20" s="166">
        <v>23889</v>
      </c>
      <c r="CM20" s="165">
        <f t="shared" ref="CM20:CM29" si="152">CL20/$CL$6</f>
        <v>7.1907711062782669E-3</v>
      </c>
      <c r="CN20" s="165">
        <f t="shared" si="48"/>
        <v>0.8262365262594602</v>
      </c>
      <c r="CO20" s="166">
        <v>28456</v>
      </c>
      <c r="CP20" s="165">
        <f t="shared" ref="CP20:CP29" si="153">CO20/$CO$6</f>
        <v>7.5479545510006825E-3</v>
      </c>
      <c r="CQ20" s="165">
        <f t="shared" ref="CQ20:CQ29" si="154">(CO20/CC20)-1</f>
        <v>0.64704520460728143</v>
      </c>
      <c r="CR20" s="166">
        <v>26259</v>
      </c>
      <c r="CS20" s="165">
        <f t="shared" si="103"/>
        <v>7.5337244554410281E-3</v>
      </c>
      <c r="CT20" s="165">
        <f t="shared" si="122"/>
        <v>0.36609093746748522</v>
      </c>
      <c r="CU20" s="166">
        <v>26525</v>
      </c>
      <c r="CV20" s="165">
        <f t="shared" ref="CV20:CV29" si="155">CU20/$CU$6</f>
        <v>7.550232171418308E-3</v>
      </c>
      <c r="CW20" s="165">
        <f t="shared" si="124"/>
        <v>0.19708457442007399</v>
      </c>
      <c r="CX20" s="166">
        <v>27495</v>
      </c>
      <c r="CY20" s="165">
        <f t="shared" si="140"/>
        <v>6.8473261069274313E-3</v>
      </c>
      <c r="CZ20" s="165">
        <f t="shared" si="50"/>
        <v>0.15094813512495286</v>
      </c>
      <c r="DA20" s="166">
        <v>31581</v>
      </c>
      <c r="DB20" s="165">
        <f t="shared" si="76"/>
        <v>6.9938726934016962E-3</v>
      </c>
      <c r="DC20" s="165">
        <f t="shared" si="77"/>
        <v>0.10981866741636215</v>
      </c>
      <c r="DD20" s="166">
        <v>30874</v>
      </c>
      <c r="DE20" s="165">
        <f t="shared" si="136"/>
        <v>7.1788497145457387E-3</v>
      </c>
      <c r="DF20" s="165">
        <f t="shared" si="131"/>
        <v>0.17574926691800896</v>
      </c>
      <c r="DG20" s="166">
        <v>35671</v>
      </c>
      <c r="DH20" s="165">
        <f t="shared" si="52"/>
        <v>8.097847036479925E-3</v>
      </c>
      <c r="DI20" s="165">
        <f t="shared" si="78"/>
        <v>0.34480678605089543</v>
      </c>
      <c r="DJ20" s="166">
        <v>37312</v>
      </c>
      <c r="DK20" s="165">
        <f t="shared" si="53"/>
        <v>8.2747357759682706E-3</v>
      </c>
      <c r="DL20" s="165">
        <f t="shared" si="79"/>
        <v>0.35704673577014012</v>
      </c>
      <c r="DM20" s="166">
        <v>39984</v>
      </c>
      <c r="DN20" s="165">
        <f t="shared" si="80"/>
        <v>7.517366750054026E-3</v>
      </c>
      <c r="DO20" s="165">
        <f t="shared" si="54"/>
        <v>0.26607770494917826</v>
      </c>
      <c r="DP20" s="166">
        <v>37601</v>
      </c>
      <c r="DQ20" s="165">
        <f t="shared" si="55"/>
        <v>7.4077284588098891E-3</v>
      </c>
      <c r="DR20" s="165">
        <f t="shared" si="56"/>
        <v>0.21788559953358821</v>
      </c>
      <c r="DS20" s="166">
        <v>42164</v>
      </c>
      <c r="DT20" s="165">
        <f t="shared" si="81"/>
        <v>8.0593105929166985E-3</v>
      </c>
      <c r="DU20" s="165">
        <f t="shared" si="129"/>
        <v>0.18202461383196433</v>
      </c>
      <c r="DV20" s="166">
        <v>48232</v>
      </c>
      <c r="DW20" s="165">
        <f t="shared" si="138"/>
        <v>9.1128516488136121E-3</v>
      </c>
      <c r="DX20" s="165">
        <f t="shared" si="104"/>
        <v>0.2926672384219553</v>
      </c>
      <c r="DY20" s="166">
        <v>59108</v>
      </c>
      <c r="DZ20" s="165">
        <f t="shared" si="144"/>
        <v>1.0080292046736892E-2</v>
      </c>
      <c r="EA20" s="165">
        <f t="shared" si="83"/>
        <v>0.47829131652661072</v>
      </c>
      <c r="EB20" s="166">
        <v>56978</v>
      </c>
      <c r="EC20" s="165">
        <f t="shared" si="84"/>
        <v>1.0227159320252354E-2</v>
      </c>
      <c r="ED20" s="165">
        <f t="shared" si="130"/>
        <v>0.51533203904151481</v>
      </c>
      <c r="EE20" s="166">
        <v>63482</v>
      </c>
      <c r="EF20" s="165">
        <f t="shared" si="58"/>
        <v>1.092141081326679E-2</v>
      </c>
      <c r="EG20" s="165">
        <f t="shared" si="59"/>
        <v>0.50559719191727548</v>
      </c>
      <c r="EH20" s="166">
        <v>64341</v>
      </c>
      <c r="EI20" s="165">
        <f t="shared" si="60"/>
        <v>1.133895584537528E-2</v>
      </c>
      <c r="EJ20" s="165">
        <f t="shared" si="61"/>
        <v>0.33398988223586001</v>
      </c>
      <c r="EK20" s="166">
        <v>66624</v>
      </c>
      <c r="EL20" s="165">
        <f t="shared" si="62"/>
        <v>1.0289083971304723E-2</v>
      </c>
      <c r="EM20" s="165">
        <f t="shared" si="63"/>
        <v>0.12715706841713481</v>
      </c>
      <c r="EN20" s="166">
        <v>64915</v>
      </c>
      <c r="EO20" s="165">
        <f t="shared" si="85"/>
        <v>1.0383200312991548E-2</v>
      </c>
      <c r="EP20" s="165">
        <f t="shared" si="65"/>
        <v>0.13929937870757136</v>
      </c>
      <c r="EQ20" s="166">
        <v>69737</v>
      </c>
      <c r="ER20" s="165">
        <f t="shared" si="66"/>
        <v>1.0571797554253285E-2</v>
      </c>
      <c r="ES20" s="165">
        <f t="shared" si="67"/>
        <v>9.8531867300967191E-2</v>
      </c>
      <c r="ET20" s="166">
        <v>73126</v>
      </c>
      <c r="EU20" s="165">
        <f t="shared" si="68"/>
        <v>1.1273451734947006E-2</v>
      </c>
      <c r="EV20" s="165">
        <f t="shared" si="132"/>
        <v>0.13653813276138083</v>
      </c>
      <c r="EW20" s="166">
        <v>80331</v>
      </c>
      <c r="EX20" s="165">
        <f t="shared" si="70"/>
        <v>1.064316904661022E-2</v>
      </c>
      <c r="EY20" s="165">
        <f t="shared" si="133"/>
        <v>0.20573667146974062</v>
      </c>
      <c r="EZ20" s="166">
        <v>80330</v>
      </c>
      <c r="FA20" s="165">
        <f t="shared" si="105"/>
        <v>1.1432019474138489E-2</v>
      </c>
      <c r="FB20" s="165">
        <f t="shared" si="134"/>
        <v>0.23746437649233609</v>
      </c>
      <c r="FC20" s="166">
        <v>85231</v>
      </c>
      <c r="FD20" s="165">
        <f t="shared" si="127"/>
        <v>1.1666997704545476E-2</v>
      </c>
      <c r="FE20" s="165">
        <f t="shared" si="135"/>
        <v>0.22217761016390147</v>
      </c>
      <c r="FF20" s="166">
        <v>85418</v>
      </c>
      <c r="FG20" s="165">
        <f t="shared" si="88"/>
        <v>1.1317761749574547E-2</v>
      </c>
      <c r="FH20" s="165">
        <f t="shared" si="89"/>
        <v>0.16809342778218417</v>
      </c>
      <c r="FI20" s="166">
        <v>78327</v>
      </c>
      <c r="FJ20" s="165">
        <f t="shared" si="108"/>
        <v>8.8795571682639077E-3</v>
      </c>
      <c r="FK20" s="165">
        <f t="shared" si="141"/>
        <v>-2.4946782686634084E-2</v>
      </c>
      <c r="FL20" s="166">
        <v>82380</v>
      </c>
      <c r="FM20" s="165">
        <f t="shared" si="109"/>
        <v>8.1863335927957886E-3</v>
      </c>
      <c r="FN20" s="165">
        <f t="shared" si="142"/>
        <v>2.5519731109174604E-2</v>
      </c>
      <c r="FO20" s="166">
        <v>82027</v>
      </c>
      <c r="FP20" s="165">
        <f t="shared" si="73"/>
        <v>8.2655945621422523E-3</v>
      </c>
      <c r="FQ20" s="165">
        <f t="shared" ref="FQ20" si="156">(FO20/FC20)-1</f>
        <v>-3.7591955978458547E-2</v>
      </c>
      <c r="FR20" s="166">
        <v>71198</v>
      </c>
      <c r="FS20" s="165">
        <f t="shared" si="91"/>
        <v>6.9786183633386411E-3</v>
      </c>
      <c r="FT20" s="165">
        <f t="shared" si="92"/>
        <v>-0.16647545013931486</v>
      </c>
      <c r="FU20" s="8">
        <v>73345</v>
      </c>
      <c r="FV20" s="165">
        <f t="shared" si="93"/>
        <v>6.3486213247545943E-3</v>
      </c>
      <c r="FW20" s="165">
        <f t="shared" si="94"/>
        <v>-6.360514254343963E-2</v>
      </c>
      <c r="FX20" s="166">
        <v>80468</v>
      </c>
      <c r="FY20" s="165">
        <f t="shared" si="95"/>
        <v>6.9945053478829384E-3</v>
      </c>
      <c r="FZ20" s="165">
        <f t="shared" si="96"/>
        <v>-2.3209516873027414E-2</v>
      </c>
      <c r="GA20" s="8">
        <v>817499</v>
      </c>
      <c r="GB20" s="165">
        <f t="shared" si="97"/>
        <v>6.3727352304177295E-2</v>
      </c>
      <c r="GC20" s="165">
        <f t="shared" si="98"/>
        <v>8.9662184402696674</v>
      </c>
      <c r="GD20" s="8">
        <v>670286</v>
      </c>
      <c r="GE20" s="165">
        <f t="shared" si="99"/>
        <v>5.1631593988333155E-2</v>
      </c>
      <c r="GF20" s="165">
        <f t="shared" si="110"/>
        <v>8.4143936627433362</v>
      </c>
      <c r="GG20" s="8">
        <v>661111</v>
      </c>
      <c r="GH20" s="165">
        <f t="shared" si="101"/>
        <v>4.514988919646213E-2</v>
      </c>
      <c r="GI20" s="165">
        <f t="shared" si="111"/>
        <v>8.0137159997273155</v>
      </c>
    </row>
    <row r="21" spans="1:254" s="151" customFormat="1" ht="16.5" customHeight="1">
      <c r="B21" s="172" t="s">
        <v>30</v>
      </c>
      <c r="C21" s="164" t="s">
        <v>31</v>
      </c>
      <c r="D21" s="7"/>
      <c r="E21" s="165"/>
      <c r="F21" s="166"/>
      <c r="G21" s="165"/>
      <c r="H21" s="7"/>
      <c r="I21" s="165"/>
      <c r="J21" s="7"/>
      <c r="K21" s="165"/>
      <c r="L21" s="166"/>
      <c r="M21" s="165"/>
      <c r="N21" s="165"/>
      <c r="O21" s="166"/>
      <c r="P21" s="165"/>
      <c r="Q21" s="165"/>
      <c r="R21" s="166"/>
      <c r="S21" s="165"/>
      <c r="T21" s="165"/>
      <c r="U21" s="166"/>
      <c r="V21" s="165"/>
      <c r="W21" s="165"/>
      <c r="X21" s="166"/>
      <c r="Y21" s="165"/>
      <c r="Z21" s="165"/>
      <c r="AA21" s="166"/>
      <c r="AB21" s="165"/>
      <c r="AC21" s="165"/>
      <c r="AD21" s="166"/>
      <c r="AE21" s="165"/>
      <c r="AF21" s="165"/>
      <c r="AG21" s="166"/>
      <c r="AH21" s="165"/>
      <c r="AI21" s="165"/>
      <c r="AJ21" s="166"/>
      <c r="AK21" s="165"/>
      <c r="AL21" s="165"/>
      <c r="AM21" s="166"/>
      <c r="AN21" s="165"/>
      <c r="AO21" s="165"/>
      <c r="AP21" s="166"/>
      <c r="AQ21" s="165"/>
      <c r="AR21" s="165"/>
      <c r="AS21" s="166"/>
      <c r="AT21" s="165"/>
      <c r="AU21" s="165"/>
      <c r="AV21" s="166"/>
      <c r="AW21" s="165"/>
      <c r="AX21" s="165"/>
      <c r="AY21" s="166"/>
      <c r="AZ21" s="165"/>
      <c r="BA21" s="165"/>
      <c r="BB21" s="166"/>
      <c r="BC21" s="165"/>
      <c r="BD21" s="165"/>
      <c r="BE21" s="166"/>
      <c r="BF21" s="165"/>
      <c r="BG21" s="165"/>
      <c r="BH21" s="166"/>
      <c r="BI21" s="165"/>
      <c r="BJ21" s="165"/>
      <c r="BK21" s="166"/>
      <c r="BL21" s="165"/>
      <c r="BM21" s="165"/>
      <c r="BN21" s="166"/>
      <c r="BO21" s="165"/>
      <c r="BP21" s="165"/>
      <c r="BQ21" s="166"/>
      <c r="BR21" s="165"/>
      <c r="BS21" s="165"/>
      <c r="BT21" s="166"/>
      <c r="BU21" s="165"/>
      <c r="BV21" s="165"/>
      <c r="BW21" s="168"/>
      <c r="BX21" s="165"/>
      <c r="BY21" s="165"/>
      <c r="BZ21" s="166"/>
      <c r="CA21" s="165"/>
      <c r="CB21" s="165"/>
      <c r="CC21" s="166"/>
      <c r="CD21" s="165"/>
      <c r="CE21" s="165"/>
      <c r="CF21" s="166"/>
      <c r="CG21" s="188"/>
      <c r="CH21" s="165"/>
      <c r="CI21" s="166"/>
      <c r="CJ21" s="188"/>
      <c r="CK21" s="165"/>
      <c r="CL21" s="166"/>
      <c r="CM21" s="165"/>
      <c r="CN21" s="165"/>
      <c r="CO21" s="166"/>
      <c r="CP21" s="165"/>
      <c r="CQ21" s="165"/>
      <c r="CR21" s="166"/>
      <c r="CS21" s="165"/>
      <c r="CT21" s="165"/>
      <c r="CU21" s="166"/>
      <c r="CV21" s="165"/>
      <c r="CW21" s="165"/>
      <c r="CX21" s="166"/>
      <c r="CY21" s="165"/>
      <c r="CZ21" s="165"/>
      <c r="DA21" s="166"/>
      <c r="DB21" s="165"/>
      <c r="DC21" s="165"/>
      <c r="DD21" s="166"/>
      <c r="DE21" s="165"/>
      <c r="DF21" s="165"/>
      <c r="DG21" s="166"/>
      <c r="DH21" s="165"/>
      <c r="DI21" s="165"/>
      <c r="DJ21" s="166"/>
      <c r="DK21" s="165"/>
      <c r="DL21" s="391"/>
      <c r="DM21" s="166"/>
      <c r="DN21" s="165"/>
      <c r="DO21" s="165"/>
      <c r="DP21" s="166"/>
      <c r="DQ21" s="165"/>
      <c r="DR21" s="165"/>
      <c r="DS21" s="166"/>
      <c r="DT21" s="165"/>
      <c r="DU21" s="165"/>
      <c r="DV21" s="166"/>
      <c r="DW21" s="165"/>
      <c r="DX21" s="165"/>
      <c r="DY21" s="166"/>
      <c r="DZ21" s="165"/>
      <c r="EA21" s="165"/>
      <c r="EB21" s="166"/>
      <c r="EC21" s="165"/>
      <c r="ED21" s="165" t="s">
        <v>112</v>
      </c>
      <c r="EE21" s="166" t="s">
        <v>112</v>
      </c>
      <c r="EF21" s="165" t="s">
        <v>112</v>
      </c>
      <c r="EG21" s="165" t="s">
        <v>112</v>
      </c>
      <c r="EH21" s="166">
        <v>0</v>
      </c>
      <c r="EI21" s="165" t="s">
        <v>112</v>
      </c>
      <c r="EJ21" s="165" t="s">
        <v>112</v>
      </c>
      <c r="EK21" s="166">
        <v>0</v>
      </c>
      <c r="EL21" s="165" t="s">
        <v>112</v>
      </c>
      <c r="EM21" s="165" t="s">
        <v>112</v>
      </c>
      <c r="EN21" s="166">
        <v>0</v>
      </c>
      <c r="EO21" s="165" t="s">
        <v>112</v>
      </c>
      <c r="EP21" s="165" t="s">
        <v>112</v>
      </c>
      <c r="EQ21" s="166">
        <v>0</v>
      </c>
      <c r="ER21" s="165" t="s">
        <v>112</v>
      </c>
      <c r="ES21" s="165" t="s">
        <v>112</v>
      </c>
      <c r="ET21" s="166">
        <v>250</v>
      </c>
      <c r="EU21" s="165">
        <f t="shared" ref="EU21" si="157">ET21/ET$6</f>
        <v>3.8541188274167214E-5</v>
      </c>
      <c r="EV21" s="165" t="s">
        <v>112</v>
      </c>
      <c r="EW21" s="166">
        <v>0</v>
      </c>
      <c r="EX21" s="165">
        <f t="shared" si="70"/>
        <v>0</v>
      </c>
      <c r="EY21" s="165" t="s">
        <v>112</v>
      </c>
      <c r="EZ21" s="166">
        <v>326</v>
      </c>
      <c r="FA21" s="165">
        <f t="shared" si="105"/>
        <v>4.6394103679436669E-5</v>
      </c>
      <c r="FB21" s="165" t="s">
        <v>112</v>
      </c>
      <c r="FC21" s="166">
        <v>295</v>
      </c>
      <c r="FD21" s="165">
        <f t="shared" si="127"/>
        <v>4.0381602032604519E-5</v>
      </c>
      <c r="FE21" s="165" t="s">
        <v>112</v>
      </c>
      <c r="FF21" s="166">
        <v>1421</v>
      </c>
      <c r="FG21" s="165">
        <f t="shared" si="88"/>
        <v>1.8828044962590357E-4</v>
      </c>
      <c r="FH21" s="165">
        <f t="shared" si="89"/>
        <v>4.6840000000000002</v>
      </c>
      <c r="FI21" s="166">
        <v>0</v>
      </c>
      <c r="FJ21" s="165">
        <f t="shared" si="108"/>
        <v>0</v>
      </c>
      <c r="FK21" s="165" t="s">
        <v>112</v>
      </c>
      <c r="FL21" s="166">
        <v>0</v>
      </c>
      <c r="FM21" s="165">
        <f t="shared" si="109"/>
        <v>0</v>
      </c>
      <c r="FN21" s="165" t="s">
        <v>112</v>
      </c>
      <c r="FO21" s="166">
        <v>0</v>
      </c>
      <c r="FP21" s="165">
        <f t="shared" si="73"/>
        <v>0</v>
      </c>
      <c r="FQ21" s="165" t="s">
        <v>112</v>
      </c>
      <c r="FR21" s="166">
        <v>0</v>
      </c>
      <c r="FS21" s="165">
        <f t="shared" si="91"/>
        <v>0</v>
      </c>
      <c r="FT21" s="165">
        <f t="shared" si="92"/>
        <v>-1</v>
      </c>
      <c r="FU21" s="8">
        <v>0</v>
      </c>
      <c r="FV21" s="165">
        <f t="shared" si="93"/>
        <v>0</v>
      </c>
      <c r="FW21" s="165" t="e">
        <f t="shared" si="94"/>
        <v>#DIV/0!</v>
      </c>
      <c r="FX21" s="166">
        <v>0</v>
      </c>
      <c r="FY21" s="165">
        <f t="shared" si="95"/>
        <v>0</v>
      </c>
      <c r="FZ21" s="165" t="e">
        <f t="shared" si="96"/>
        <v>#DIV/0!</v>
      </c>
      <c r="GA21" s="8">
        <v>0</v>
      </c>
      <c r="GB21" s="165">
        <f t="shared" si="97"/>
        <v>0</v>
      </c>
      <c r="GC21" s="165" t="e">
        <f t="shared" si="98"/>
        <v>#DIV/0!</v>
      </c>
      <c r="GD21" s="8">
        <v>0</v>
      </c>
      <c r="GE21" s="165">
        <f t="shared" si="99"/>
        <v>0</v>
      </c>
      <c r="GF21" s="165" t="e">
        <f t="shared" si="110"/>
        <v>#DIV/0!</v>
      </c>
      <c r="GG21" s="8">
        <v>0</v>
      </c>
      <c r="GH21" s="165">
        <f t="shared" si="101"/>
        <v>0</v>
      </c>
      <c r="GI21" s="165" t="e">
        <f t="shared" si="111"/>
        <v>#DIV/0!</v>
      </c>
    </row>
    <row r="22" spans="1:254" s="151" customFormat="1" ht="16.5" customHeight="1">
      <c r="B22" s="172" t="s">
        <v>363</v>
      </c>
      <c r="C22" s="164" t="s">
        <v>374</v>
      </c>
      <c r="D22" s="7">
        <v>0</v>
      </c>
      <c r="E22" s="165">
        <f t="shared" si="0"/>
        <v>0</v>
      </c>
      <c r="F22" s="166">
        <v>0</v>
      </c>
      <c r="G22" s="165">
        <f t="shared" si="1"/>
        <v>0</v>
      </c>
      <c r="H22" s="7">
        <v>0</v>
      </c>
      <c r="I22" s="165">
        <f t="shared" si="2"/>
        <v>0</v>
      </c>
      <c r="J22" s="7">
        <v>0</v>
      </c>
      <c r="K22" s="165">
        <f t="shared" si="3"/>
        <v>0</v>
      </c>
      <c r="L22" s="166">
        <v>0</v>
      </c>
      <c r="M22" s="165">
        <f>L22/$L$6</f>
        <v>0</v>
      </c>
      <c r="N22" s="165" t="e">
        <f>(L22/D22)-1</f>
        <v>#DIV/0!</v>
      </c>
      <c r="O22" s="166">
        <v>0</v>
      </c>
      <c r="P22" s="165">
        <f>O22/$O$6</f>
        <v>0</v>
      </c>
      <c r="Q22" s="165" t="e">
        <f>(O22/F22)-1</f>
        <v>#DIV/0!</v>
      </c>
      <c r="R22" s="166">
        <v>0</v>
      </c>
      <c r="S22" s="165">
        <f t="shared" si="8"/>
        <v>0</v>
      </c>
      <c r="T22" s="165" t="e">
        <f t="shared" si="9"/>
        <v>#DIV/0!</v>
      </c>
      <c r="U22" s="166">
        <v>0</v>
      </c>
      <c r="V22" s="165">
        <f t="shared" si="10"/>
        <v>0</v>
      </c>
      <c r="W22" s="165" t="e">
        <f t="shared" si="11"/>
        <v>#DIV/0!</v>
      </c>
      <c r="X22" s="166">
        <v>0</v>
      </c>
      <c r="Y22" s="165">
        <f t="shared" si="12"/>
        <v>0</v>
      </c>
      <c r="Z22" s="165" t="e">
        <f t="shared" si="13"/>
        <v>#DIV/0!</v>
      </c>
      <c r="AA22" s="166">
        <v>0</v>
      </c>
      <c r="AB22" s="165">
        <f>AA22/$AA$6</f>
        <v>0</v>
      </c>
      <c r="AC22" s="165" t="e">
        <f>(AA22/O22)-1</f>
        <v>#DIV/0!</v>
      </c>
      <c r="AD22" s="166">
        <v>0</v>
      </c>
      <c r="AE22" s="165">
        <f t="shared" si="16"/>
        <v>0</v>
      </c>
      <c r="AF22" s="165" t="e">
        <f t="shared" si="17"/>
        <v>#DIV/0!</v>
      </c>
      <c r="AG22" s="166">
        <v>0</v>
      </c>
      <c r="AH22" s="165">
        <f>AG22/$AG$6</f>
        <v>0</v>
      </c>
      <c r="AI22" s="165" t="e">
        <f>(AG22/U22)-1</f>
        <v>#DIV/0!</v>
      </c>
      <c r="AJ22" s="166">
        <v>0</v>
      </c>
      <c r="AK22" s="165">
        <f>AJ22/$AJ$6</f>
        <v>0</v>
      </c>
      <c r="AL22" s="165" t="e">
        <f>(AJ22/X22)-1</f>
        <v>#DIV/0!</v>
      </c>
      <c r="AM22" s="166">
        <v>0</v>
      </c>
      <c r="AN22" s="165">
        <f>AM22/$AM$6</f>
        <v>0</v>
      </c>
      <c r="AO22" s="165" t="e">
        <f>(AM22/AA22)-1</f>
        <v>#DIV/0!</v>
      </c>
      <c r="AP22" s="166">
        <v>0</v>
      </c>
      <c r="AQ22" s="165">
        <f>AP22/$AP$6</f>
        <v>0</v>
      </c>
      <c r="AR22" s="165" t="e">
        <f>(AP22/AD22)-1</f>
        <v>#DIV/0!</v>
      </c>
      <c r="AS22" s="166">
        <v>0</v>
      </c>
      <c r="AT22" s="165">
        <f>AS22/$AS$6</f>
        <v>0</v>
      </c>
      <c r="AU22" s="165" t="e">
        <f>(AS22/AG22)-1</f>
        <v>#DIV/0!</v>
      </c>
      <c r="AV22" s="166">
        <v>0</v>
      </c>
      <c r="AW22" s="165">
        <f>AV22/$AV$6</f>
        <v>0</v>
      </c>
      <c r="AX22" s="165" t="e">
        <f>(AV22/AJ22)-1</f>
        <v>#DIV/0!</v>
      </c>
      <c r="AY22" s="166">
        <v>0</v>
      </c>
      <c r="AZ22" s="165">
        <f>AY22/$AY$6</f>
        <v>0</v>
      </c>
      <c r="BA22" s="165" t="e">
        <f>(AY22/AM22)-1</f>
        <v>#DIV/0!</v>
      </c>
      <c r="BB22" s="166">
        <v>0</v>
      </c>
      <c r="BC22" s="165">
        <f>BB22/$BB$6</f>
        <v>0</v>
      </c>
      <c r="BD22" s="165" t="e">
        <f>(BB22/AP22)-1</f>
        <v>#DIV/0!</v>
      </c>
      <c r="BE22" s="166">
        <v>0</v>
      </c>
      <c r="BF22" s="165">
        <f>BE22/$BE$6</f>
        <v>0</v>
      </c>
      <c r="BG22" s="165" t="e">
        <f>(BE22/AS22)-1</f>
        <v>#DIV/0!</v>
      </c>
      <c r="BH22" s="166">
        <v>0</v>
      </c>
      <c r="BI22" s="165">
        <f>BH22/$BH$6</f>
        <v>0</v>
      </c>
      <c r="BJ22" s="165" t="e">
        <f>(BH22/AV22)-1</f>
        <v>#DIV/0!</v>
      </c>
      <c r="BK22" s="166">
        <v>0</v>
      </c>
      <c r="BL22" s="165">
        <f>BK22/$BK$6</f>
        <v>0</v>
      </c>
      <c r="BM22" s="165" t="e">
        <f>(BK22/AY22)-1</f>
        <v>#DIV/0!</v>
      </c>
      <c r="BN22" s="166">
        <v>0</v>
      </c>
      <c r="BO22" s="165">
        <f>BN22/$BN$6</f>
        <v>0</v>
      </c>
      <c r="BP22" s="165" t="e">
        <f>(BN22/BB22)-1</f>
        <v>#DIV/0!</v>
      </c>
      <c r="BQ22" s="166">
        <v>0</v>
      </c>
      <c r="BR22" s="165">
        <f>BQ22/$BQ$6</f>
        <v>0</v>
      </c>
      <c r="BS22" s="165" t="e">
        <f>(BQ22/BE22)-1</f>
        <v>#DIV/0!</v>
      </c>
      <c r="BT22" s="166">
        <v>0</v>
      </c>
      <c r="BU22" s="165">
        <f>BT22/$BT$6</f>
        <v>0</v>
      </c>
      <c r="BV22" s="165" t="e">
        <f>(BT22/BH22)-1</f>
        <v>#DIV/0!</v>
      </c>
      <c r="BW22" s="168">
        <v>0</v>
      </c>
      <c r="BX22" s="165">
        <f>BW22/$BW$6</f>
        <v>0</v>
      </c>
      <c r="BY22" s="165" t="e">
        <f>(BW22/BK22)-1</f>
        <v>#DIV/0!</v>
      </c>
      <c r="BZ22" s="166">
        <v>0</v>
      </c>
      <c r="CA22" s="165">
        <f>BZ22/$BZ$6</f>
        <v>0</v>
      </c>
      <c r="CB22" s="165" t="e">
        <f>(BZ22/BN22)-1</f>
        <v>#DIV/0!</v>
      </c>
      <c r="CC22" s="166">
        <v>0</v>
      </c>
      <c r="CD22" s="165">
        <f t="shared" si="139"/>
        <v>0</v>
      </c>
      <c r="CE22" s="165" t="e">
        <f>(CC22/BQ22)-1</f>
        <v>#DIV/0!</v>
      </c>
      <c r="CF22" s="166">
        <v>0</v>
      </c>
      <c r="CG22" s="188">
        <f>CF22/$CF$6</f>
        <v>0</v>
      </c>
      <c r="CH22" s="165" t="e">
        <f>(CF22/BT22)-1</f>
        <v>#DIV/0!</v>
      </c>
      <c r="CI22" s="166">
        <v>0</v>
      </c>
      <c r="CJ22" s="188">
        <f>CI22/$CI$6</f>
        <v>0</v>
      </c>
      <c r="CK22" s="165" t="e">
        <f>(CI22/BW22)-1</f>
        <v>#DIV/0!</v>
      </c>
      <c r="CL22" s="166">
        <v>0</v>
      </c>
      <c r="CM22" s="165">
        <f>CL22/$CL$6</f>
        <v>0</v>
      </c>
      <c r="CN22" s="165" t="e">
        <f>(CL22/BZ22)-1</f>
        <v>#DIV/0!</v>
      </c>
      <c r="CO22" s="166">
        <v>0</v>
      </c>
      <c r="CP22" s="165">
        <f>CO22/$CO$6</f>
        <v>0</v>
      </c>
      <c r="CQ22" s="165" t="e">
        <f>(CO22/CC22)-1</f>
        <v>#DIV/0!</v>
      </c>
      <c r="CR22" s="166">
        <v>0</v>
      </c>
      <c r="CS22" s="165">
        <f>CR22/$CR$6</f>
        <v>0</v>
      </c>
      <c r="CT22" s="165" t="e">
        <f>(CR22/CF22)-1</f>
        <v>#DIV/0!</v>
      </c>
      <c r="CU22" s="166">
        <v>0</v>
      </c>
      <c r="CV22" s="165">
        <f>CU22/$CU$6</f>
        <v>0</v>
      </c>
      <c r="CW22" s="165" t="e">
        <f>(CU22/CI22)-1</f>
        <v>#DIV/0!</v>
      </c>
      <c r="CX22" s="166">
        <v>0</v>
      </c>
      <c r="CY22" s="165">
        <f>CX22/$CX$6</f>
        <v>0</v>
      </c>
      <c r="CZ22" s="165" t="e">
        <f t="shared" si="50"/>
        <v>#DIV/0!</v>
      </c>
      <c r="DA22" s="166">
        <v>0</v>
      </c>
      <c r="DB22" s="165">
        <f>DA22/$DA$6</f>
        <v>0</v>
      </c>
      <c r="DC22" s="165" t="s">
        <v>112</v>
      </c>
      <c r="DD22" s="166">
        <v>0</v>
      </c>
      <c r="DE22" s="165">
        <f>DD22/$DD$6</f>
        <v>0</v>
      </c>
      <c r="DF22" s="165" t="s">
        <v>112</v>
      </c>
      <c r="DG22" s="166">
        <v>0</v>
      </c>
      <c r="DH22" s="165">
        <f>DG22/$DG$6</f>
        <v>0</v>
      </c>
      <c r="DI22" s="165" t="s">
        <v>112</v>
      </c>
      <c r="DJ22" s="166">
        <v>0</v>
      </c>
      <c r="DK22" s="165">
        <f>DJ22/$DJ$6</f>
        <v>0</v>
      </c>
      <c r="DL22" s="166" t="s">
        <v>112</v>
      </c>
      <c r="DM22" s="166">
        <v>198</v>
      </c>
      <c r="DN22" s="165">
        <f>DM22/$DM$6</f>
        <v>3.7225855755069458E-5</v>
      </c>
      <c r="DO22" s="165" t="s">
        <v>112</v>
      </c>
      <c r="DP22" s="166">
        <v>440</v>
      </c>
      <c r="DQ22" s="165">
        <f t="shared" si="55"/>
        <v>8.6683878670151094E-5</v>
      </c>
      <c r="DR22" s="165" t="s">
        <v>112</v>
      </c>
      <c r="DS22" s="166">
        <v>0</v>
      </c>
      <c r="DT22" s="165">
        <f t="shared" si="81"/>
        <v>0</v>
      </c>
      <c r="DU22" s="165" t="s">
        <v>112</v>
      </c>
      <c r="DV22" s="166">
        <v>1911</v>
      </c>
      <c r="DW22" s="165">
        <f t="shared" si="138"/>
        <v>3.6106028157411701E-4</v>
      </c>
      <c r="DX22" s="165" t="s">
        <v>112</v>
      </c>
      <c r="DY22" s="166">
        <v>51</v>
      </c>
      <c r="DZ22" s="165">
        <f t="shared" si="144"/>
        <v>8.6975518438042479E-6</v>
      </c>
      <c r="EA22" s="165" t="s">
        <v>112</v>
      </c>
      <c r="EB22" s="166">
        <v>0</v>
      </c>
      <c r="EC22" s="165">
        <f t="shared" si="84"/>
        <v>0</v>
      </c>
      <c r="ED22" s="165" t="s">
        <v>112</v>
      </c>
      <c r="EE22" s="166" t="s">
        <v>112</v>
      </c>
      <c r="EF22" s="165" t="s">
        <v>112</v>
      </c>
      <c r="EG22" s="165" t="s">
        <v>112</v>
      </c>
      <c r="EH22" s="166">
        <v>0</v>
      </c>
      <c r="EI22" s="165" t="s">
        <v>112</v>
      </c>
      <c r="EJ22" s="165" t="s">
        <v>112</v>
      </c>
      <c r="EK22" s="166">
        <v>0</v>
      </c>
      <c r="EL22" s="165" t="s">
        <v>112</v>
      </c>
      <c r="EM22" s="165" t="s">
        <v>112</v>
      </c>
      <c r="EN22" s="166">
        <v>0</v>
      </c>
      <c r="EO22" s="165" t="s">
        <v>112</v>
      </c>
      <c r="EP22" s="165" t="s">
        <v>112</v>
      </c>
      <c r="EQ22" s="166">
        <v>0</v>
      </c>
      <c r="ER22" s="165" t="s">
        <v>112</v>
      </c>
      <c r="ES22" s="165" t="s">
        <v>112</v>
      </c>
      <c r="ET22" s="166">
        <v>0</v>
      </c>
      <c r="EU22" s="165" t="s">
        <v>112</v>
      </c>
      <c r="EV22" s="165" t="s">
        <v>112</v>
      </c>
      <c r="EW22" s="166" t="s">
        <v>112</v>
      </c>
      <c r="EX22" s="165" t="s">
        <v>112</v>
      </c>
      <c r="EY22" s="165" t="s">
        <v>112</v>
      </c>
      <c r="EZ22" s="166" t="s">
        <v>112</v>
      </c>
      <c r="FA22" s="165" t="s">
        <v>112</v>
      </c>
      <c r="FB22" s="165" t="s">
        <v>112</v>
      </c>
      <c r="FC22" s="165" t="s">
        <v>112</v>
      </c>
      <c r="FD22" s="165" t="s">
        <v>112</v>
      </c>
      <c r="FE22" s="165" t="s">
        <v>112</v>
      </c>
      <c r="FF22" s="166">
        <f>0</f>
        <v>0</v>
      </c>
      <c r="FG22" s="165">
        <f t="shared" si="88"/>
        <v>0</v>
      </c>
      <c r="FH22" s="165" t="s">
        <v>112</v>
      </c>
      <c r="FI22" s="166">
        <v>0</v>
      </c>
      <c r="FJ22" s="165">
        <f t="shared" si="108"/>
        <v>0</v>
      </c>
      <c r="FK22" s="165" t="s">
        <v>112</v>
      </c>
      <c r="FL22" s="166">
        <v>0</v>
      </c>
      <c r="FM22" s="165">
        <f t="shared" si="109"/>
        <v>0</v>
      </c>
      <c r="FN22" s="165" t="s">
        <v>112</v>
      </c>
      <c r="FO22" s="166">
        <v>0</v>
      </c>
      <c r="FP22" s="165">
        <f t="shared" si="73"/>
        <v>0</v>
      </c>
      <c r="FQ22" s="165" t="s">
        <v>112</v>
      </c>
      <c r="FR22" s="166">
        <v>0</v>
      </c>
      <c r="FS22" s="165">
        <f t="shared" si="91"/>
        <v>0</v>
      </c>
      <c r="FT22" s="165" t="s">
        <v>112</v>
      </c>
      <c r="FU22" s="166">
        <v>0</v>
      </c>
      <c r="FV22" s="165">
        <f t="shared" si="93"/>
        <v>0</v>
      </c>
      <c r="FW22" s="165" t="s">
        <v>112</v>
      </c>
      <c r="FX22" s="166">
        <v>0</v>
      </c>
      <c r="FY22" s="165">
        <f t="shared" si="95"/>
        <v>0</v>
      </c>
      <c r="FZ22" s="165" t="s">
        <v>112</v>
      </c>
      <c r="GA22" s="166">
        <v>0</v>
      </c>
      <c r="GB22" s="165">
        <f t="shared" si="97"/>
        <v>0</v>
      </c>
      <c r="GC22" s="165" t="s">
        <v>112</v>
      </c>
      <c r="GD22" s="166">
        <v>0</v>
      </c>
      <c r="GE22" s="165">
        <f t="shared" si="99"/>
        <v>0</v>
      </c>
      <c r="GF22" s="165" t="s">
        <v>112</v>
      </c>
      <c r="GG22" s="166">
        <v>0</v>
      </c>
      <c r="GH22" s="165">
        <f t="shared" si="101"/>
        <v>0</v>
      </c>
      <c r="GI22" s="165" t="s">
        <v>112</v>
      </c>
    </row>
    <row r="23" spans="1:254" s="151" customFormat="1" ht="16.5" customHeight="1">
      <c r="B23" s="172" t="s">
        <v>28</v>
      </c>
      <c r="C23" s="164" t="s">
        <v>29</v>
      </c>
      <c r="D23" s="7">
        <v>0</v>
      </c>
      <c r="E23" s="165">
        <f t="shared" si="0"/>
        <v>0</v>
      </c>
      <c r="F23" s="166">
        <v>0</v>
      </c>
      <c r="G23" s="165">
        <f t="shared" si="1"/>
        <v>0</v>
      </c>
      <c r="H23" s="7">
        <v>2567</v>
      </c>
      <c r="I23" s="165">
        <f t="shared" si="2"/>
        <v>2.9375851836763184E-3</v>
      </c>
      <c r="J23" s="7">
        <v>2201</v>
      </c>
      <c r="K23" s="165">
        <f t="shared" si="3"/>
        <v>2.0622439762987173E-3</v>
      </c>
      <c r="L23" s="166">
        <v>1834</v>
      </c>
      <c r="M23" s="165">
        <f t="shared" si="4"/>
        <v>1.9864415077459306E-3</v>
      </c>
      <c r="N23" s="165">
        <v>1</v>
      </c>
      <c r="O23" s="166">
        <v>1467</v>
      </c>
      <c r="P23" s="165">
        <f t="shared" si="6"/>
        <v>1.3853502282475461E-3</v>
      </c>
      <c r="Q23" s="165" t="s">
        <v>112</v>
      </c>
      <c r="R23" s="166">
        <v>4027</v>
      </c>
      <c r="S23" s="165">
        <f t="shared" si="8"/>
        <v>3.6132276252651375E-3</v>
      </c>
      <c r="T23" s="165">
        <f t="shared" si="9"/>
        <v>0.56875730424620174</v>
      </c>
      <c r="U23" s="166">
        <v>5445</v>
      </c>
      <c r="V23" s="165">
        <f t="shared" si="10"/>
        <v>3.8180464223958399E-3</v>
      </c>
      <c r="W23" s="165">
        <f t="shared" si="11"/>
        <v>1.473875511131304</v>
      </c>
      <c r="X23" s="166">
        <v>5368</v>
      </c>
      <c r="Y23" s="165">
        <f t="shared" si="12"/>
        <v>4.2354459803108568E-3</v>
      </c>
      <c r="Z23" s="165">
        <f t="shared" si="13"/>
        <v>1.9269356597600873</v>
      </c>
      <c r="AA23" s="166">
        <v>6542</v>
      </c>
      <c r="AB23" s="165">
        <f t="shared" si="14"/>
        <v>4.9564999321909595E-3</v>
      </c>
      <c r="AC23" s="165">
        <f t="shared" si="15"/>
        <v>3.4594410361281529</v>
      </c>
      <c r="AD23" s="166">
        <v>7396</v>
      </c>
      <c r="AE23" s="165">
        <f t="shared" si="16"/>
        <v>5.4523914663733557E-3</v>
      </c>
      <c r="AF23" s="165">
        <f t="shared" si="17"/>
        <v>0.83660293022100829</v>
      </c>
      <c r="AG23" s="166">
        <v>10027</v>
      </c>
      <c r="AH23" s="165">
        <f t="shared" si="18"/>
        <v>6.2343162832109306E-3</v>
      </c>
      <c r="AI23" s="165">
        <f t="shared" si="19"/>
        <v>0.8415059687786961</v>
      </c>
      <c r="AJ23" s="166">
        <v>10152</v>
      </c>
      <c r="AK23" s="165">
        <f t="shared" si="20"/>
        <v>6.9628865526852931E-3</v>
      </c>
      <c r="AL23" s="165">
        <f t="shared" si="21"/>
        <v>0.89120715350223545</v>
      </c>
      <c r="AM23" s="166">
        <v>8397</v>
      </c>
      <c r="AN23" s="165">
        <f t="shared" si="22"/>
        <v>5.5759637910975822E-3</v>
      </c>
      <c r="AO23" s="165">
        <f t="shared" si="23"/>
        <v>0.28355243044940392</v>
      </c>
      <c r="AP23" s="166">
        <v>8553</v>
      </c>
      <c r="AQ23" s="165">
        <f t="shared" si="24"/>
        <v>5.9594315511941158E-3</v>
      </c>
      <c r="AR23" s="165">
        <f t="shared" si="25"/>
        <v>0.15643591130340728</v>
      </c>
      <c r="AS23" s="166">
        <v>6657</v>
      </c>
      <c r="AT23" s="165">
        <f t="shared" si="26"/>
        <v>4.0932022836342617E-3</v>
      </c>
      <c r="AU23" s="165">
        <f t="shared" si="27"/>
        <v>-0.3360925501146903</v>
      </c>
      <c r="AV23" s="166">
        <v>6449</v>
      </c>
      <c r="AW23" s="165">
        <f t="shared" si="28"/>
        <v>4.4408911806063413E-3</v>
      </c>
      <c r="AX23" s="165">
        <f t="shared" si="29"/>
        <v>-0.36475571315996846</v>
      </c>
      <c r="AY23" s="166">
        <v>6063</v>
      </c>
      <c r="AZ23" s="165">
        <f t="shared" si="30"/>
        <v>3.8219933242768754E-3</v>
      </c>
      <c r="BA23" s="165">
        <f t="shared" si="31"/>
        <v>-0.27795641300464446</v>
      </c>
      <c r="BB23" s="166">
        <v>5428</v>
      </c>
      <c r="BC23" s="165">
        <f t="shared" si="32"/>
        <v>3.330490431282558E-3</v>
      </c>
      <c r="BD23" s="165">
        <f t="shared" si="33"/>
        <v>-0.36536887641763127</v>
      </c>
      <c r="BE23" s="166">
        <v>4998</v>
      </c>
      <c r="BF23" s="165">
        <f t="shared" si="34"/>
        <v>2.6015031253952613E-3</v>
      </c>
      <c r="BG23" s="165">
        <f t="shared" si="35"/>
        <v>-0.24921135646687698</v>
      </c>
      <c r="BH23" s="166">
        <v>6861</v>
      </c>
      <c r="BI23" s="165">
        <f t="shared" si="145"/>
        <v>3.7447561951399495E-3</v>
      </c>
      <c r="BJ23" s="165">
        <f t="shared" si="146"/>
        <v>6.3885873778880553E-2</v>
      </c>
      <c r="BK23" s="166">
        <v>6230</v>
      </c>
      <c r="BL23" s="165">
        <f t="shared" si="147"/>
        <v>3.3282047994529565E-3</v>
      </c>
      <c r="BM23" s="165">
        <f t="shared" si="148"/>
        <v>2.7544120072571232E-2</v>
      </c>
      <c r="BN23" s="166">
        <v>5707</v>
      </c>
      <c r="BO23" s="165">
        <f t="shared" si="36"/>
        <v>2.9949169851204E-3</v>
      </c>
      <c r="BP23" s="165">
        <f t="shared" si="37"/>
        <v>5.1400147383935169E-2</v>
      </c>
      <c r="BQ23" s="166">
        <v>5872</v>
      </c>
      <c r="BR23" s="165">
        <f t="shared" si="38"/>
        <v>2.3908648766395972E-3</v>
      </c>
      <c r="BS23" s="165">
        <f t="shared" si="39"/>
        <v>0.17486994797919175</v>
      </c>
      <c r="BT23" s="166">
        <v>5171</v>
      </c>
      <c r="BU23" s="165">
        <f t="shared" si="40"/>
        <v>2.3376199493779382E-3</v>
      </c>
      <c r="BV23" s="165">
        <f t="shared" si="41"/>
        <v>-0.24631977845795072</v>
      </c>
      <c r="BW23" s="168">
        <v>5428</v>
      </c>
      <c r="BX23" s="165">
        <f t="shared" si="42"/>
        <v>2.4352743295256375E-3</v>
      </c>
      <c r="BY23" s="165">
        <f t="shared" si="43"/>
        <v>-0.12873194221508832</v>
      </c>
      <c r="BZ23" s="166">
        <v>4700</v>
      </c>
      <c r="CA23" s="165">
        <f t="shared" si="149"/>
        <v>1.7659002409138797E-3</v>
      </c>
      <c r="CB23" s="165">
        <f t="shared" si="44"/>
        <v>-0.17644997371648852</v>
      </c>
      <c r="CC23" s="166">
        <v>4564</v>
      </c>
      <c r="CD23" s="165">
        <f t="shared" si="139"/>
        <v>1.5297448905716232E-3</v>
      </c>
      <c r="CE23" s="165">
        <f t="shared" si="45"/>
        <v>-0.22275204359673029</v>
      </c>
      <c r="CF23" s="166">
        <f>3512-22</f>
        <v>3490</v>
      </c>
      <c r="CG23" s="188">
        <f t="shared" si="150"/>
        <v>1.2204901054622354E-3</v>
      </c>
      <c r="CH23" s="165">
        <f t="shared" si="46"/>
        <v>-0.32508218913169595</v>
      </c>
      <c r="CI23" s="166">
        <v>2642</v>
      </c>
      <c r="CJ23" s="188">
        <f t="shared" si="151"/>
        <v>9.0798833843289183E-4</v>
      </c>
      <c r="CK23" s="165">
        <f t="shared" si="47"/>
        <v>-0.51326455416359618</v>
      </c>
      <c r="CL23" s="166">
        <v>1964</v>
      </c>
      <c r="CM23" s="165">
        <f t="shared" si="152"/>
        <v>5.9117897160745599E-4</v>
      </c>
      <c r="CN23" s="165">
        <f t="shared" si="48"/>
        <v>-0.5821276595744681</v>
      </c>
      <c r="CO23" s="166">
        <v>2042</v>
      </c>
      <c r="CP23" s="165">
        <f t="shared" si="153"/>
        <v>5.4164053953975936E-4</v>
      </c>
      <c r="CQ23" s="165">
        <f t="shared" si="154"/>
        <v>-0.55258545135845749</v>
      </c>
      <c r="CR23" s="166">
        <v>3408</v>
      </c>
      <c r="CS23" s="165">
        <f t="shared" si="103"/>
        <v>9.7775745245984313E-4</v>
      </c>
      <c r="CT23" s="165">
        <f t="shared" si="122"/>
        <v>-2.3495702005730701E-2</v>
      </c>
      <c r="CU23" s="166">
        <v>2878</v>
      </c>
      <c r="CV23" s="165">
        <f t="shared" si="155"/>
        <v>8.1921086481967541E-4</v>
      </c>
      <c r="CW23" s="165">
        <f t="shared" si="124"/>
        <v>8.9326267978803831E-2</v>
      </c>
      <c r="CX23" s="166">
        <v>4028</v>
      </c>
      <c r="CY23" s="165">
        <f t="shared" si="140"/>
        <v>1.0031289164831312E-3</v>
      </c>
      <c r="CZ23" s="165">
        <f t="shared" si="50"/>
        <v>1.05091649694501</v>
      </c>
      <c r="DA23" s="166">
        <v>5249</v>
      </c>
      <c r="DB23" s="165">
        <f t="shared" si="76"/>
        <v>1.162434304412954E-3</v>
      </c>
      <c r="DC23" s="165">
        <f t="shared" si="77"/>
        <v>1.5705190989226248</v>
      </c>
      <c r="DD23" s="166">
        <v>5283</v>
      </c>
      <c r="DE23" s="165">
        <f t="shared" si="136"/>
        <v>1.2284078202353158E-3</v>
      </c>
      <c r="DF23" s="165">
        <f t="shared" si="131"/>
        <v>0.55017605633802824</v>
      </c>
      <c r="DG23" s="166">
        <v>5434</v>
      </c>
      <c r="DH23" s="165">
        <f t="shared" si="52"/>
        <v>1.2335987439721879E-3</v>
      </c>
      <c r="DI23" s="165">
        <f t="shared" si="78"/>
        <v>0.88811674774148708</v>
      </c>
      <c r="DJ23" s="166">
        <v>7101</v>
      </c>
      <c r="DK23" s="165">
        <f t="shared" si="53"/>
        <v>1.5747989586500507E-3</v>
      </c>
      <c r="DL23" s="165">
        <f t="shared" si="79"/>
        <v>0.76290963257199595</v>
      </c>
      <c r="DM23" s="166">
        <v>7498</v>
      </c>
      <c r="DN23" s="165">
        <f t="shared" si="80"/>
        <v>1.4096942750076301E-3</v>
      </c>
      <c r="DO23" s="165">
        <f t="shared" si="54"/>
        <v>0.42846256429796159</v>
      </c>
      <c r="DP23" s="166">
        <v>8576</v>
      </c>
      <c r="DQ23" s="165">
        <f t="shared" si="55"/>
        <v>1.6895475988073087E-3</v>
      </c>
      <c r="DR23" s="165">
        <f>(DP23/DD23)-1</f>
        <v>0.62332008328601174</v>
      </c>
      <c r="DS23" s="166">
        <v>8576</v>
      </c>
      <c r="DT23" s="165">
        <f t="shared" si="81"/>
        <v>1.6392336506226546E-3</v>
      </c>
      <c r="DU23" s="165">
        <f t="shared" si="129"/>
        <v>0.57821126242178877</v>
      </c>
      <c r="DV23" s="166">
        <v>9223</v>
      </c>
      <c r="DW23" s="165">
        <f t="shared" si="138"/>
        <v>1.7425740329450976E-3</v>
      </c>
      <c r="DX23" s="165">
        <f>(DV23/DJ23)-1</f>
        <v>0.29883115054217724</v>
      </c>
      <c r="DY23" s="166">
        <v>8563</v>
      </c>
      <c r="DZ23" s="165">
        <f t="shared" si="144"/>
        <v>1.4603360085979563E-3</v>
      </c>
      <c r="EA23" s="165">
        <f>(DY23/DM23)-1</f>
        <v>0.14203787676713797</v>
      </c>
      <c r="EB23" s="166">
        <v>7468</v>
      </c>
      <c r="EC23" s="165">
        <f t="shared" si="84"/>
        <v>1.3404546632673061E-3</v>
      </c>
      <c r="ED23" s="165">
        <f>(EB23/DP23)-1</f>
        <v>-0.12919776119402981</v>
      </c>
      <c r="EE23" s="166">
        <v>8293</v>
      </c>
      <c r="EF23" s="165">
        <f t="shared" ref="EF23:EF29" si="158">EE23/EE$6</f>
        <v>1.4267234786935114E-3</v>
      </c>
      <c r="EG23" s="165">
        <f>(EE23/DS23)-1</f>
        <v>-3.2999067164179108E-2</v>
      </c>
      <c r="EH23" s="166">
        <v>10936</v>
      </c>
      <c r="EI23" s="165">
        <f t="shared" ref="EI23:EI29" si="159">EH23/EH$6</f>
        <v>1.9272753162839255E-3</v>
      </c>
      <c r="EJ23" s="165">
        <f>(EH23/DV23)-1</f>
        <v>0.1857313238642524</v>
      </c>
      <c r="EK23" s="166">
        <v>10692</v>
      </c>
      <c r="EL23" s="165">
        <f t="shared" ref="EL23:EL29" si="160">EK23/EK$6</f>
        <v>1.6512200681614748E-3</v>
      </c>
      <c r="EM23" s="165">
        <f>(EK23/DY23)-1</f>
        <v>0.24862781735373107</v>
      </c>
      <c r="EN23" s="166">
        <v>10619</v>
      </c>
      <c r="EO23" s="165">
        <f t="shared" ref="EO23:EO29" si="161">EN23/EN$6</f>
        <v>1.6985165851291265E-3</v>
      </c>
      <c r="EP23" s="165">
        <f>(EN23/EB23)-1</f>
        <v>0.42193358328869834</v>
      </c>
      <c r="EQ23" s="166">
        <v>11449</v>
      </c>
      <c r="ER23" s="165">
        <f t="shared" ref="ER23:ER29" si="162">EQ23/EQ$6</f>
        <v>1.7356139524018219E-3</v>
      </c>
      <c r="ES23" s="165">
        <f>(EQ23/EE23)-1</f>
        <v>0.38056191969130593</v>
      </c>
      <c r="ET23" s="166">
        <v>9798</v>
      </c>
      <c r="EU23" s="165">
        <f t="shared" ref="EU23:EU29" si="163">ET23/ET$6</f>
        <v>1.5105062508411614E-3</v>
      </c>
      <c r="EV23" s="165">
        <f>(ET23/EH23)-1</f>
        <v>-0.10405998536942207</v>
      </c>
      <c r="EW23" s="166">
        <f>9299+353+10615</f>
        <v>20267</v>
      </c>
      <c r="EX23" s="165">
        <f t="shared" ref="EX23:EX29" si="164">EW23/EW$6</f>
        <v>2.6852038075917059E-3</v>
      </c>
      <c r="EY23" s="165">
        <f>(EW23/EK23)-1</f>
        <v>0.89552936775158987</v>
      </c>
      <c r="EZ23" s="166">
        <v>8302</v>
      </c>
      <c r="FA23" s="165">
        <f>EZ23/EZ$6</f>
        <v>1.1814841986094577E-3</v>
      </c>
      <c r="FB23" s="165">
        <f>(EZ23/EN23)-1</f>
        <v>-0.21819380355965723</v>
      </c>
      <c r="FC23" s="166">
        <v>7712</v>
      </c>
      <c r="FD23" s="165">
        <f>FC23/FC$6</f>
        <v>1.055670897882868E-3</v>
      </c>
      <c r="FE23" s="165">
        <f>(FC23/EQ23)-1</f>
        <v>-0.32640405275569917</v>
      </c>
      <c r="FF23" s="166">
        <v>8144</v>
      </c>
      <c r="FG23" s="165">
        <f t="shared" si="88"/>
        <v>1.0790682489467689E-3</v>
      </c>
      <c r="FH23" s="165">
        <f t="shared" si="89"/>
        <v>-0.16880996121657477</v>
      </c>
      <c r="FI23" s="166">
        <v>29403</v>
      </c>
      <c r="FJ23" s="165">
        <f t="shared" si="108"/>
        <v>3.3332774064941035E-3</v>
      </c>
      <c r="FK23" s="165">
        <f t="shared" ref="FK23:FK24" si="165">(FI23/EW23)-1</f>
        <v>0.45078205950560024</v>
      </c>
      <c r="FL23" s="166">
        <v>24606</v>
      </c>
      <c r="FM23" s="165">
        <f t="shared" si="109"/>
        <v>2.4451678123856902E-3</v>
      </c>
      <c r="FN23" s="165">
        <f t="shared" ref="FN23:FN24" si="166">(FL23/EZ23)-1</f>
        <v>1.9638641291255121</v>
      </c>
      <c r="FO23" s="166">
        <v>23705</v>
      </c>
      <c r="FP23" s="165">
        <f t="shared" si="73"/>
        <v>2.3886759127553377E-3</v>
      </c>
      <c r="FQ23" s="165">
        <f t="shared" ref="FQ23:FQ24" si="167">(FO23/FC23)-1</f>
        <v>2.0737811203319501</v>
      </c>
      <c r="FR23" s="166">
        <v>21180</v>
      </c>
      <c r="FS23" s="165">
        <f t="shared" si="91"/>
        <v>2.0760012491293635E-3</v>
      </c>
      <c r="FT23" s="165">
        <f t="shared" ref="FT23:FT24" si="168">(FR23/FF23)-1</f>
        <v>1.6006876227897839</v>
      </c>
      <c r="FU23" s="166">
        <v>16208</v>
      </c>
      <c r="FV23" s="165">
        <f t="shared" si="93"/>
        <v>1.4029375476395454E-3</v>
      </c>
      <c r="FW23" s="165">
        <f t="shared" ref="FW23:FW24" si="169">(FU23/FI23)-1</f>
        <v>-0.44876373159201444</v>
      </c>
      <c r="FX23" s="166">
        <v>16944</v>
      </c>
      <c r="FY23" s="165">
        <f t="shared" si="95"/>
        <v>1.4728202343108877E-3</v>
      </c>
      <c r="FZ23" s="165">
        <f t="shared" ref="FZ23:FZ24" si="170">(FX23/FL23)-1</f>
        <v>-0.31138746647159232</v>
      </c>
      <c r="GA23" s="166">
        <v>16958</v>
      </c>
      <c r="GB23" s="165">
        <f t="shared" si="97"/>
        <v>1.3219446633870361E-3</v>
      </c>
      <c r="GC23" s="165">
        <f t="shared" ref="GC23:GC24" si="171">(GA23/FO23)-1</f>
        <v>-0.28462349715249946</v>
      </c>
      <c r="GD23" s="166">
        <v>16092</v>
      </c>
      <c r="GE23" s="165">
        <f t="shared" si="99"/>
        <v>1.2395538776884154E-3</v>
      </c>
      <c r="GF23" s="165">
        <f t="shared" ref="GF23:GF24" si="172">(GD23/FR23)-1</f>
        <v>-0.24022662889518409</v>
      </c>
      <c r="GG23" s="166">
        <v>12847</v>
      </c>
      <c r="GH23" s="165">
        <f t="shared" si="101"/>
        <v>8.7737252368656543E-4</v>
      </c>
      <c r="GI23" s="165">
        <f t="shared" ref="GI23:GI24" si="173">(GG23/FU23)-1</f>
        <v>-0.2073667324777887</v>
      </c>
    </row>
    <row r="24" spans="1:254" s="151" customFormat="1" ht="16.5" customHeight="1">
      <c r="B24" s="163" t="s">
        <v>1084</v>
      </c>
      <c r="C24" s="164" t="s">
        <v>34</v>
      </c>
      <c r="D24" s="7">
        <v>36041</v>
      </c>
      <c r="E24" s="165">
        <f t="shared" si="0"/>
        <v>5.3593680760640368E-2</v>
      </c>
      <c r="F24" s="166">
        <v>30148</v>
      </c>
      <c r="G24" s="165">
        <f t="shared" si="1"/>
        <v>4.2892467213184723E-2</v>
      </c>
      <c r="H24" s="7">
        <v>29962</v>
      </c>
      <c r="I24" s="165">
        <f t="shared" si="2"/>
        <v>3.4287466799107852E-2</v>
      </c>
      <c r="J24" s="7">
        <v>39532</v>
      </c>
      <c r="K24" s="165">
        <f t="shared" si="3"/>
        <v>3.7039813208105808E-2</v>
      </c>
      <c r="L24" s="166">
        <v>32661</v>
      </c>
      <c r="M24" s="165">
        <f t="shared" si="4"/>
        <v>3.5375772128947568E-2</v>
      </c>
      <c r="N24" s="165">
        <f>(L24/D24)-1</f>
        <v>-9.3782081518270832E-2</v>
      </c>
      <c r="O24" s="166">
        <v>38046</v>
      </c>
      <c r="P24" s="165">
        <f t="shared" si="6"/>
        <v>3.5928449068784007E-2</v>
      </c>
      <c r="Q24" s="165">
        <f>(O24/F24)-1</f>
        <v>0.26197426031577553</v>
      </c>
      <c r="R24" s="166">
        <v>37054</v>
      </c>
      <c r="S24" s="165">
        <f t="shared" si="8"/>
        <v>3.3246718755047033E-2</v>
      </c>
      <c r="T24" s="165">
        <f t="shared" si="9"/>
        <v>0.23669981977171073</v>
      </c>
      <c r="U24" s="166">
        <v>51379</v>
      </c>
      <c r="V24" s="165">
        <f t="shared" si="10"/>
        <v>3.6027072017681516E-2</v>
      </c>
      <c r="W24" s="165">
        <f t="shared" si="11"/>
        <v>0.29968127086916918</v>
      </c>
      <c r="X24" s="166">
        <v>47564</v>
      </c>
      <c r="Y24" s="165">
        <f t="shared" si="12"/>
        <v>3.7528828727180628E-2</v>
      </c>
      <c r="Z24" s="165">
        <f t="shared" si="13"/>
        <v>0.45629343865772642</v>
      </c>
      <c r="AA24" s="166">
        <v>56060</v>
      </c>
      <c r="AB24" s="165">
        <f t="shared" si="14"/>
        <v>4.2473461662889817E-2</v>
      </c>
      <c r="AC24" s="165">
        <f t="shared" si="15"/>
        <v>0.47347947221784148</v>
      </c>
      <c r="AD24" s="166">
        <v>49178</v>
      </c>
      <c r="AE24" s="165">
        <f t="shared" si="16"/>
        <v>3.6254422327380867E-2</v>
      </c>
      <c r="AF24" s="165">
        <f t="shared" si="17"/>
        <v>0.32719814325039143</v>
      </c>
      <c r="AG24" s="166">
        <v>57956</v>
      </c>
      <c r="AH24" s="165">
        <f t="shared" si="18"/>
        <v>3.6034310811785451E-2</v>
      </c>
      <c r="AI24" s="165">
        <f t="shared" si="19"/>
        <v>0.1280094980439479</v>
      </c>
      <c r="AJ24" s="166">
        <v>46686</v>
      </c>
      <c r="AK24" s="165">
        <f t="shared" si="20"/>
        <v>3.2020224743761386E-2</v>
      </c>
      <c r="AL24" s="165">
        <f t="shared" si="21"/>
        <v>-1.845933899587926E-2</v>
      </c>
      <c r="AM24" s="166">
        <v>49911</v>
      </c>
      <c r="AN24" s="165">
        <f t="shared" si="22"/>
        <v>3.3143018789742934E-2</v>
      </c>
      <c r="AO24" s="165">
        <f t="shared" si="23"/>
        <v>-0.10968605066000714</v>
      </c>
      <c r="AP24" s="166">
        <v>45842</v>
      </c>
      <c r="AQ24" s="165">
        <f t="shared" si="24"/>
        <v>3.1941103843077363E-2</v>
      </c>
      <c r="AR24" s="165">
        <f t="shared" si="25"/>
        <v>-6.7835210866647677E-2</v>
      </c>
      <c r="AS24" s="166">
        <v>53860</v>
      </c>
      <c r="AT24" s="165">
        <f t="shared" si="26"/>
        <v>3.3117000900787341E-2</v>
      </c>
      <c r="AU24" s="165">
        <f t="shared" si="27"/>
        <v>-7.0674304644902985E-2</v>
      </c>
      <c r="AV24" s="166">
        <v>48987</v>
      </c>
      <c r="AW24" s="165">
        <f t="shared" si="28"/>
        <v>3.373328210022683E-2</v>
      </c>
      <c r="AX24" s="165">
        <f t="shared" si="29"/>
        <v>4.9286724071456067E-2</v>
      </c>
      <c r="AY24" s="166">
        <v>51090</v>
      </c>
      <c r="AZ24" s="165">
        <f t="shared" si="30"/>
        <v>3.2206109011595839E-2</v>
      </c>
      <c r="BA24" s="165">
        <f t="shared" si="31"/>
        <v>2.3622047244094446E-2</v>
      </c>
      <c r="BB24" s="166">
        <v>51321</v>
      </c>
      <c r="BC24" s="165">
        <f t="shared" si="32"/>
        <v>3.1489332981549767E-2</v>
      </c>
      <c r="BD24" s="165">
        <f t="shared" si="33"/>
        <v>0.11951921818419797</v>
      </c>
      <c r="BE24" s="166">
        <v>62977</v>
      </c>
      <c r="BF24" s="165">
        <f t="shared" si="34"/>
        <v>3.2780084499403235E-2</v>
      </c>
      <c r="BG24" s="165">
        <f t="shared" si="35"/>
        <v>0.1692721871518752</v>
      </c>
      <c r="BH24" s="166">
        <v>56591</v>
      </c>
      <c r="BI24" s="165">
        <f t="shared" si="145"/>
        <v>3.0887552519919089E-2</v>
      </c>
      <c r="BJ24" s="165">
        <f t="shared" si="146"/>
        <v>0.15522485557392773</v>
      </c>
      <c r="BK24" s="166">
        <v>63787</v>
      </c>
      <c r="BL24" s="165">
        <f t="shared" si="147"/>
        <v>3.4076436523708786E-2</v>
      </c>
      <c r="BM24" s="165">
        <f t="shared" si="148"/>
        <v>0.24852221569778821</v>
      </c>
      <c r="BN24" s="166">
        <v>64597</v>
      </c>
      <c r="BO24" s="165">
        <f t="shared" si="36"/>
        <v>3.3899185647068945E-2</v>
      </c>
      <c r="BP24" s="165">
        <f t="shared" si="37"/>
        <v>0.25868552834122482</v>
      </c>
      <c r="BQ24" s="166">
        <v>75457</v>
      </c>
      <c r="BR24" s="165">
        <f t="shared" si="38"/>
        <v>3.0723346559365476E-2</v>
      </c>
      <c r="BS24" s="165">
        <f t="shared" si="39"/>
        <v>0.19816758499134601</v>
      </c>
      <c r="BT24" s="166">
        <v>60954</v>
      </c>
      <c r="BU24" s="165">
        <f t="shared" si="40"/>
        <v>2.7555073756407433E-2</v>
      </c>
      <c r="BV24" s="165">
        <f t="shared" si="41"/>
        <v>7.709706490431345E-2</v>
      </c>
      <c r="BW24" s="168">
        <v>68047</v>
      </c>
      <c r="BX24" s="165">
        <f t="shared" si="42"/>
        <v>3.0529313246357968E-2</v>
      </c>
      <c r="BY24" s="165">
        <f t="shared" si="43"/>
        <v>6.6784768056187049E-2</v>
      </c>
      <c r="BZ24" s="166">
        <v>57399</v>
      </c>
      <c r="CA24" s="165">
        <f t="shared" si="149"/>
        <v>2.1566150623024635E-2</v>
      </c>
      <c r="CB24" s="165">
        <f t="shared" si="44"/>
        <v>-0.11142932334318933</v>
      </c>
      <c r="CC24" s="166">
        <v>115517</v>
      </c>
      <c r="CD24" s="165">
        <f t="shared" si="139"/>
        <v>3.8718567161297589E-2</v>
      </c>
      <c r="CE24" s="165">
        <f t="shared" si="45"/>
        <v>0.53089839246193193</v>
      </c>
      <c r="CF24" s="166">
        <v>110253</v>
      </c>
      <c r="CG24" s="188">
        <f t="shared" si="150"/>
        <v>3.855664630301657E-2</v>
      </c>
      <c r="CH24" s="165">
        <f t="shared" si="46"/>
        <v>0.80879023525937588</v>
      </c>
      <c r="CI24" s="166">
        <v>115765</v>
      </c>
      <c r="CJ24" s="188">
        <f t="shared" si="151"/>
        <v>3.9785492050977943E-2</v>
      </c>
      <c r="CK24" s="165">
        <f t="shared" si="47"/>
        <v>0.70125060619865676</v>
      </c>
      <c r="CL24" s="166">
        <v>80138</v>
      </c>
      <c r="CM24" s="165">
        <f t="shared" si="152"/>
        <v>2.4122148893420726E-2</v>
      </c>
      <c r="CN24" s="165">
        <f t="shared" si="48"/>
        <v>0.39615672746911956</v>
      </c>
      <c r="CO24" s="166">
        <v>133187</v>
      </c>
      <c r="CP24" s="165">
        <f t="shared" si="153"/>
        <v>3.5327854328933365E-2</v>
      </c>
      <c r="CQ24" s="165">
        <f t="shared" si="154"/>
        <v>0.15296449873178841</v>
      </c>
      <c r="CR24" s="166">
        <v>127375</v>
      </c>
      <c r="CS24" s="165">
        <f t="shared" si="103"/>
        <v>3.6543971686347571E-2</v>
      </c>
      <c r="CT24" s="165">
        <f t="shared" si="122"/>
        <v>0.15529736152304241</v>
      </c>
      <c r="CU24" s="166">
        <f>71012+40000</f>
        <v>111012</v>
      </c>
      <c r="CV24" s="165">
        <f t="shared" si="155"/>
        <v>3.1599109286088188E-2</v>
      </c>
      <c r="CW24" s="165">
        <f>(CU24/CI24)-1</f>
        <v>-4.105731438690452E-2</v>
      </c>
      <c r="CX24" s="166">
        <v>74698</v>
      </c>
      <c r="CY24" s="165">
        <f t="shared" si="140"/>
        <v>1.8602711967094572E-2</v>
      </c>
      <c r="CZ24" s="165">
        <f t="shared" si="50"/>
        <v>-6.7882901994060219E-2</v>
      </c>
      <c r="DA24" s="166">
        <v>84925</v>
      </c>
      <c r="DB24" s="165">
        <f t="shared" si="76"/>
        <v>1.8807341074922865E-2</v>
      </c>
      <c r="DC24" s="165">
        <f t="shared" si="77"/>
        <v>-0.36236269305562852</v>
      </c>
      <c r="DD24" s="166">
        <v>85953</v>
      </c>
      <c r="DE24" s="165">
        <f t="shared" si="136"/>
        <v>1.99858673807848E-2</v>
      </c>
      <c r="DF24" s="165">
        <f t="shared" si="131"/>
        <v>-0.32519725220804707</v>
      </c>
      <c r="DG24" s="166">
        <v>100119</v>
      </c>
      <c r="DH24" s="165">
        <f t="shared" si="52"/>
        <v>2.2728500671282938E-2</v>
      </c>
      <c r="DI24" s="165">
        <f t="shared" si="78"/>
        <v>-9.8124527078153667E-2</v>
      </c>
      <c r="DJ24" s="166">
        <v>95289</v>
      </c>
      <c r="DK24" s="165">
        <f t="shared" si="53"/>
        <v>2.1132378252472141E-2</v>
      </c>
      <c r="DL24" s="165">
        <f t="shared" si="79"/>
        <v>0.27565664408685642</v>
      </c>
      <c r="DM24" s="166">
        <v>95670</v>
      </c>
      <c r="DN24" s="165">
        <f t="shared" si="80"/>
        <v>1.7986856667108558E-2</v>
      </c>
      <c r="DO24" s="165">
        <f t="shared" si="54"/>
        <v>0.12652340300264941</v>
      </c>
      <c r="DP24" s="166">
        <v>68031</v>
      </c>
      <c r="DQ24" s="165">
        <f t="shared" si="55"/>
        <v>1.3402706704111476E-2</v>
      </c>
      <c r="DR24" s="165">
        <f>(DP24/DD24)-1</f>
        <v>-0.20850930159505776</v>
      </c>
      <c r="DS24" s="166">
        <v>94156</v>
      </c>
      <c r="DT24" s="165">
        <f t="shared" si="81"/>
        <v>1.7997164599816543E-2</v>
      </c>
      <c r="DU24" s="165">
        <f t="shared" si="129"/>
        <v>-5.9559124641676453E-2</v>
      </c>
      <c r="DV24" s="166">
        <v>56606</v>
      </c>
      <c r="DW24" s="165">
        <f t="shared" si="138"/>
        <v>1.0695017424795641E-2</v>
      </c>
      <c r="DX24" s="165">
        <f>(DV24/DJ24)-1</f>
        <v>-0.40595451731049759</v>
      </c>
      <c r="DY24" s="166">
        <v>97899</v>
      </c>
      <c r="DZ24" s="165">
        <f t="shared" si="144"/>
        <v>1.6695718195227294E-2</v>
      </c>
      <c r="EA24" s="165">
        <f>(DY24/DM24)-1</f>
        <v>2.3298839761680679E-2</v>
      </c>
      <c r="EB24" s="166">
        <v>130728</v>
      </c>
      <c r="EC24" s="165">
        <f t="shared" si="84"/>
        <v>2.3464777345957203E-2</v>
      </c>
      <c r="ED24" s="165">
        <f>(EB24/DP24)-1</f>
        <v>0.92159456718260802</v>
      </c>
      <c r="EE24" s="166">
        <v>158017</v>
      </c>
      <c r="EF24" s="165">
        <f t="shared" si="158"/>
        <v>2.718516386503227E-2</v>
      </c>
      <c r="EG24" s="165">
        <f>(EE24/DS24)-1</f>
        <v>0.67824673945367264</v>
      </c>
      <c r="EH24" s="166">
        <v>155916</v>
      </c>
      <c r="EI24" s="165">
        <f t="shared" si="159"/>
        <v>2.7477419368482494E-2</v>
      </c>
      <c r="EJ24" s="165">
        <f>(EH24/DV24)-1</f>
        <v>1.7544076599653748</v>
      </c>
      <c r="EK24" s="166">
        <v>156616</v>
      </c>
      <c r="EL24" s="165">
        <f t="shared" si="160"/>
        <v>2.4187007313428502E-2</v>
      </c>
      <c r="EM24" s="165">
        <f>(EK24/DY24)-1</f>
        <v>0.59977119275988522</v>
      </c>
      <c r="EN24" s="166">
        <v>142727</v>
      </c>
      <c r="EO24" s="165">
        <f t="shared" si="161"/>
        <v>2.2829284927556724E-2</v>
      </c>
      <c r="EP24" s="165">
        <f>(EN24/EB24)-1</f>
        <v>9.1785998408909997E-2</v>
      </c>
      <c r="EQ24" s="166">
        <v>128431</v>
      </c>
      <c r="ER24" s="165">
        <f t="shared" si="162"/>
        <v>1.9469528825305126E-2</v>
      </c>
      <c r="ES24" s="165">
        <f>(EQ24/EE24)-1</f>
        <v>-0.18723301923210789</v>
      </c>
      <c r="ET24" s="166">
        <v>163752</v>
      </c>
      <c r="EU24" s="165">
        <f t="shared" si="163"/>
        <v>2.5244786649085717E-2</v>
      </c>
      <c r="EV24" s="165">
        <f>(ET24/EH24)-1</f>
        <v>5.02578311398445E-2</v>
      </c>
      <c r="EW24" s="166">
        <v>199211</v>
      </c>
      <c r="EX24" s="165">
        <f t="shared" si="164"/>
        <v>2.6393750220267003E-2</v>
      </c>
      <c r="EY24" s="165">
        <f>(EW24/EK24)-1</f>
        <v>0.27197093528119742</v>
      </c>
      <c r="EZ24" s="166">
        <v>207201</v>
      </c>
      <c r="FA24" s="165">
        <f t="shared" ref="FA24" si="174">EZ24/EZ$6</f>
        <v>2.948743765792318E-2</v>
      </c>
      <c r="FB24" s="165">
        <f>(EZ24/EN24)-1</f>
        <v>0.45172952559781954</v>
      </c>
      <c r="FC24" s="166">
        <v>173568</v>
      </c>
      <c r="FD24" s="165">
        <f t="shared" ref="FD24" si="175">FC24/FC$6</f>
        <v>2.3759165768118984E-2</v>
      </c>
      <c r="FE24" s="165">
        <f>(FC24/EQ24)-1</f>
        <v>0.35144941641815453</v>
      </c>
      <c r="FF24" s="166">
        <v>169552</v>
      </c>
      <c r="FG24" s="165">
        <f t="shared" si="88"/>
        <v>2.2465395351844619E-2</v>
      </c>
      <c r="FH24" s="165">
        <f t="shared" si="89"/>
        <v>3.5419414724705556E-2</v>
      </c>
      <c r="FI24" s="166">
        <v>153458</v>
      </c>
      <c r="FJ24" s="165">
        <f t="shared" si="108"/>
        <v>1.739679911049118E-2</v>
      </c>
      <c r="FK24" s="165">
        <f t="shared" si="165"/>
        <v>-0.22967105230132878</v>
      </c>
      <c r="FL24" s="166">
        <v>141273</v>
      </c>
      <c r="FM24" s="165">
        <f t="shared" si="109"/>
        <v>1.4038697568038836E-2</v>
      </c>
      <c r="FN24" s="165">
        <f t="shared" si="166"/>
        <v>-0.31818379254926377</v>
      </c>
      <c r="FO24" s="166">
        <v>164604</v>
      </c>
      <c r="FP24" s="165">
        <f t="shared" si="73"/>
        <v>1.6586610839197623E-2</v>
      </c>
      <c r="FQ24" s="165">
        <f t="shared" si="167"/>
        <v>-5.1645464601769886E-2</v>
      </c>
      <c r="FR24" s="166">
        <v>176196</v>
      </c>
      <c r="FS24" s="165">
        <f t="shared" si="91"/>
        <v>1.7270213224343595E-2</v>
      </c>
      <c r="FT24" s="165">
        <f t="shared" si="168"/>
        <v>3.9185618571293768E-2</v>
      </c>
      <c r="FU24" s="12">
        <v>214505</v>
      </c>
      <c r="FV24" s="165">
        <f t="shared" si="93"/>
        <v>1.856719636330335E-2</v>
      </c>
      <c r="FW24" s="165">
        <f t="shared" si="169"/>
        <v>0.39780917254232429</v>
      </c>
      <c r="FX24" s="166">
        <v>236498</v>
      </c>
      <c r="FY24" s="165">
        <f t="shared" si="95"/>
        <v>2.0557072696769138E-2</v>
      </c>
      <c r="FZ24" s="165">
        <f t="shared" si="170"/>
        <v>0.67404953529690737</v>
      </c>
      <c r="GA24" s="12">
        <v>239731</v>
      </c>
      <c r="GB24" s="165">
        <f t="shared" si="97"/>
        <v>1.8688000713435404E-2</v>
      </c>
      <c r="GC24" s="165">
        <f t="shared" si="171"/>
        <v>0.45641053680347987</v>
      </c>
      <c r="GD24" s="12">
        <v>284453</v>
      </c>
      <c r="GE24" s="165">
        <f t="shared" si="99"/>
        <v>2.1911186873608178E-2</v>
      </c>
      <c r="GF24" s="165">
        <f t="shared" si="172"/>
        <v>0.61441235896388102</v>
      </c>
      <c r="GG24" s="12">
        <v>276925</v>
      </c>
      <c r="GH24" s="165">
        <f t="shared" si="101"/>
        <v>1.8912305294769373E-2</v>
      </c>
      <c r="GI24" s="165">
        <f t="shared" si="173"/>
        <v>0.29099554788932669</v>
      </c>
    </row>
    <row r="25" spans="1:254" s="151" customFormat="1" ht="16.5" customHeight="1">
      <c r="B25" s="163" t="s">
        <v>140</v>
      </c>
      <c r="C25" s="164" t="s">
        <v>35</v>
      </c>
      <c r="D25" s="7">
        <v>0</v>
      </c>
      <c r="E25" s="165" t="s">
        <v>112</v>
      </c>
      <c r="F25" s="166">
        <v>0</v>
      </c>
      <c r="G25" s="165" t="s">
        <v>112</v>
      </c>
      <c r="H25" s="7">
        <v>0</v>
      </c>
      <c r="I25" s="165" t="s">
        <v>112</v>
      </c>
      <c r="J25" s="7">
        <v>0</v>
      </c>
      <c r="K25" s="165" t="s">
        <v>112</v>
      </c>
      <c r="L25" s="166">
        <v>0</v>
      </c>
      <c r="M25" s="165" t="s">
        <v>112</v>
      </c>
      <c r="N25" s="165" t="s">
        <v>112</v>
      </c>
      <c r="O25" s="166">
        <v>0</v>
      </c>
      <c r="P25" s="165">
        <v>0</v>
      </c>
      <c r="Q25" s="165" t="s">
        <v>112</v>
      </c>
      <c r="R25" s="166">
        <v>0</v>
      </c>
      <c r="S25" s="165" t="s">
        <v>112</v>
      </c>
      <c r="T25" s="165">
        <v>0</v>
      </c>
      <c r="U25" s="166" t="s">
        <v>112</v>
      </c>
      <c r="V25" s="165">
        <v>0</v>
      </c>
      <c r="W25" s="165" t="s">
        <v>112</v>
      </c>
      <c r="X25" s="166">
        <v>0</v>
      </c>
      <c r="Y25" s="165">
        <v>0</v>
      </c>
      <c r="Z25" s="165" t="s">
        <v>112</v>
      </c>
      <c r="AA25" s="166">
        <v>0</v>
      </c>
      <c r="AB25" s="165" t="s">
        <v>112</v>
      </c>
      <c r="AC25" s="165">
        <v>0</v>
      </c>
      <c r="AD25" s="166" t="s">
        <v>112</v>
      </c>
      <c r="AE25" s="165">
        <v>0</v>
      </c>
      <c r="AF25" s="165" t="s">
        <v>112</v>
      </c>
      <c r="AG25" s="166">
        <v>0</v>
      </c>
      <c r="AH25" s="165">
        <v>0</v>
      </c>
      <c r="AI25" s="165" t="s">
        <v>112</v>
      </c>
      <c r="AJ25" s="166">
        <v>0</v>
      </c>
      <c r="AK25" s="165" t="s">
        <v>112</v>
      </c>
      <c r="AL25" s="165">
        <v>0</v>
      </c>
      <c r="AM25" s="166" t="s">
        <v>112</v>
      </c>
      <c r="AN25" s="165">
        <v>0</v>
      </c>
      <c r="AO25" s="165" t="s">
        <v>112</v>
      </c>
      <c r="AP25" s="166">
        <v>0</v>
      </c>
      <c r="AQ25" s="165" t="s">
        <v>112</v>
      </c>
      <c r="AR25" s="165" t="s">
        <v>112</v>
      </c>
      <c r="AS25" s="166">
        <v>0</v>
      </c>
      <c r="AT25" s="165" t="s">
        <v>112</v>
      </c>
      <c r="AU25" s="165" t="s">
        <v>112</v>
      </c>
      <c r="AV25" s="166">
        <v>0</v>
      </c>
      <c r="AW25" s="165" t="s">
        <v>112</v>
      </c>
      <c r="AX25" s="165" t="s">
        <v>112</v>
      </c>
      <c r="AY25" s="166">
        <v>0</v>
      </c>
      <c r="AZ25" s="165" t="s">
        <v>112</v>
      </c>
      <c r="BA25" s="165" t="s">
        <v>112</v>
      </c>
      <c r="BB25" s="166">
        <v>0</v>
      </c>
      <c r="BC25" s="165" t="s">
        <v>112</v>
      </c>
      <c r="BD25" s="165" t="s">
        <v>112</v>
      </c>
      <c r="BE25" s="166">
        <v>0</v>
      </c>
      <c r="BF25" s="165" t="s">
        <v>112</v>
      </c>
      <c r="BG25" s="165" t="s">
        <v>112</v>
      </c>
      <c r="BH25" s="166">
        <v>0</v>
      </c>
      <c r="BI25" s="165" t="s">
        <v>112</v>
      </c>
      <c r="BJ25" s="165" t="s">
        <v>112</v>
      </c>
      <c r="BK25" s="166">
        <v>0</v>
      </c>
      <c r="BL25" s="165" t="s">
        <v>112</v>
      </c>
      <c r="BM25" s="165" t="s">
        <v>112</v>
      </c>
      <c r="BN25" s="166">
        <v>5569</v>
      </c>
      <c r="BO25" s="165">
        <f t="shared" si="36"/>
        <v>2.9224974049650446E-3</v>
      </c>
      <c r="BP25" s="165" t="s">
        <v>112</v>
      </c>
      <c r="BQ25" s="166">
        <v>0</v>
      </c>
      <c r="BR25" s="165" t="s">
        <v>112</v>
      </c>
      <c r="BS25" s="165" t="s">
        <v>112</v>
      </c>
      <c r="BT25" s="166" t="s">
        <v>112</v>
      </c>
      <c r="BU25" s="165" t="s">
        <v>112</v>
      </c>
      <c r="BV25" s="165" t="s">
        <v>112</v>
      </c>
      <c r="BW25" s="168">
        <v>0</v>
      </c>
      <c r="BX25" s="165" t="s">
        <v>112</v>
      </c>
      <c r="BY25" s="165" t="s">
        <v>112</v>
      </c>
      <c r="BZ25" s="166">
        <v>0</v>
      </c>
      <c r="CA25" s="165" t="s">
        <v>112</v>
      </c>
      <c r="CB25" s="165" t="s">
        <v>112</v>
      </c>
      <c r="CC25" s="166">
        <v>0</v>
      </c>
      <c r="CD25" s="165">
        <v>0</v>
      </c>
      <c r="CE25" s="165" t="s">
        <v>112</v>
      </c>
      <c r="CF25" s="166">
        <v>0</v>
      </c>
      <c r="CG25" s="188" t="s">
        <v>112</v>
      </c>
      <c r="CH25" s="165" t="s">
        <v>112</v>
      </c>
      <c r="CI25" s="166" t="s">
        <v>112</v>
      </c>
      <c r="CJ25" s="188" t="s">
        <v>112</v>
      </c>
      <c r="CK25" s="165" t="s">
        <v>112</v>
      </c>
      <c r="CL25" s="166" t="s">
        <v>112</v>
      </c>
      <c r="CM25" s="165" t="s">
        <v>112</v>
      </c>
      <c r="CN25" s="165" t="s">
        <v>112</v>
      </c>
      <c r="CO25" s="166" t="s">
        <v>112</v>
      </c>
      <c r="CP25" s="165" t="s">
        <v>112</v>
      </c>
      <c r="CQ25" s="165" t="s">
        <v>112</v>
      </c>
      <c r="CR25" s="166" t="s">
        <v>112</v>
      </c>
      <c r="CS25" s="165" t="s">
        <v>112</v>
      </c>
      <c r="CT25" s="165" t="s">
        <v>112</v>
      </c>
      <c r="CU25" s="166">
        <v>0</v>
      </c>
      <c r="CV25" s="165" t="s">
        <v>112</v>
      </c>
      <c r="CW25" s="165" t="s">
        <v>112</v>
      </c>
      <c r="CX25" s="166">
        <v>0</v>
      </c>
      <c r="CY25" s="165" t="s">
        <v>112</v>
      </c>
      <c r="CZ25" s="165" t="s">
        <v>112</v>
      </c>
      <c r="DA25" s="166">
        <v>0</v>
      </c>
      <c r="DB25" s="165" t="s">
        <v>112</v>
      </c>
      <c r="DC25" s="165" t="s">
        <v>112</v>
      </c>
      <c r="DD25" s="166">
        <v>0</v>
      </c>
      <c r="DE25" s="165" t="s">
        <v>112</v>
      </c>
      <c r="DF25" s="165" t="s">
        <v>112</v>
      </c>
      <c r="DG25" s="166">
        <v>0</v>
      </c>
      <c r="DH25" s="165" t="s">
        <v>112</v>
      </c>
      <c r="DI25" s="165" t="s">
        <v>112</v>
      </c>
      <c r="DJ25" s="166">
        <v>0</v>
      </c>
      <c r="DK25" s="165">
        <f t="shared" si="53"/>
        <v>0</v>
      </c>
      <c r="DL25" s="165" t="s">
        <v>112</v>
      </c>
      <c r="DM25" s="166">
        <v>0</v>
      </c>
      <c r="DN25" s="165">
        <f t="shared" si="80"/>
        <v>0</v>
      </c>
      <c r="DO25" s="165" t="s">
        <v>112</v>
      </c>
      <c r="DP25" s="166">
        <v>0</v>
      </c>
      <c r="DQ25" s="165">
        <f t="shared" si="55"/>
        <v>0</v>
      </c>
      <c r="DR25" s="165" t="s">
        <v>112</v>
      </c>
      <c r="DS25" s="166">
        <v>0</v>
      </c>
      <c r="DT25" s="165">
        <f t="shared" si="81"/>
        <v>0</v>
      </c>
      <c r="DU25" s="165" t="s">
        <v>112</v>
      </c>
      <c r="DV25" s="166">
        <v>0</v>
      </c>
      <c r="DW25" s="165">
        <f t="shared" si="138"/>
        <v>0</v>
      </c>
      <c r="DX25" s="165" t="s">
        <v>112</v>
      </c>
      <c r="DY25" s="166">
        <v>0</v>
      </c>
      <c r="DZ25" s="165">
        <f t="shared" si="144"/>
        <v>0</v>
      </c>
      <c r="EA25" s="165" t="s">
        <v>112</v>
      </c>
      <c r="EB25" s="166">
        <v>0</v>
      </c>
      <c r="EC25" s="165">
        <f t="shared" si="84"/>
        <v>0</v>
      </c>
      <c r="ED25" s="165" t="s">
        <v>112</v>
      </c>
      <c r="EE25" s="166">
        <v>0</v>
      </c>
      <c r="EF25" s="165">
        <f t="shared" si="158"/>
        <v>0</v>
      </c>
      <c r="EG25" s="165" t="s">
        <v>112</v>
      </c>
      <c r="EH25" s="166">
        <v>0</v>
      </c>
      <c r="EI25" s="165">
        <f t="shared" si="159"/>
        <v>0</v>
      </c>
      <c r="EJ25" s="165" t="s">
        <v>112</v>
      </c>
      <c r="EK25" s="166">
        <v>0</v>
      </c>
      <c r="EL25" s="165">
        <f t="shared" si="160"/>
        <v>0</v>
      </c>
      <c r="EM25" s="165" t="s">
        <v>112</v>
      </c>
      <c r="EN25" s="166">
        <v>0</v>
      </c>
      <c r="EO25" s="165">
        <f t="shared" si="161"/>
        <v>0</v>
      </c>
      <c r="EP25" s="165" t="s">
        <v>112</v>
      </c>
      <c r="EQ25" s="166">
        <v>0</v>
      </c>
      <c r="ER25" s="165">
        <f t="shared" si="162"/>
        <v>0</v>
      </c>
      <c r="ES25" s="165" t="s">
        <v>112</v>
      </c>
      <c r="ET25" s="166">
        <v>0</v>
      </c>
      <c r="EU25" s="165">
        <f t="shared" si="163"/>
        <v>0</v>
      </c>
      <c r="EV25" s="165" t="s">
        <v>112</v>
      </c>
      <c r="EW25" s="166" t="s">
        <v>112</v>
      </c>
      <c r="EX25" s="165" t="s">
        <v>112</v>
      </c>
      <c r="EY25" s="165" t="s">
        <v>112</v>
      </c>
      <c r="EZ25" s="166" t="s">
        <v>112</v>
      </c>
      <c r="FA25" s="165" t="s">
        <v>112</v>
      </c>
      <c r="FB25" s="165" t="s">
        <v>112</v>
      </c>
      <c r="FC25" s="165" t="s">
        <v>112</v>
      </c>
      <c r="FD25" s="165" t="s">
        <v>112</v>
      </c>
      <c r="FE25" s="165" t="s">
        <v>112</v>
      </c>
      <c r="FF25" s="434">
        <v>0</v>
      </c>
      <c r="FG25" s="165">
        <f t="shared" si="88"/>
        <v>0</v>
      </c>
      <c r="FH25" s="165" t="s">
        <v>112</v>
      </c>
      <c r="FI25" s="434">
        <v>0</v>
      </c>
      <c r="FJ25" s="165">
        <f t="shared" si="108"/>
        <v>0</v>
      </c>
      <c r="FK25" s="165" t="s">
        <v>112</v>
      </c>
      <c r="FL25" s="434">
        <v>0</v>
      </c>
      <c r="FM25" s="165">
        <f t="shared" si="109"/>
        <v>0</v>
      </c>
      <c r="FN25" s="165" t="s">
        <v>112</v>
      </c>
      <c r="FO25" s="434">
        <v>0</v>
      </c>
      <c r="FP25" s="165">
        <f t="shared" si="73"/>
        <v>0</v>
      </c>
      <c r="FQ25" s="165" t="s">
        <v>112</v>
      </c>
      <c r="FR25" s="434">
        <v>0</v>
      </c>
      <c r="FS25" s="165">
        <f t="shared" si="91"/>
        <v>0</v>
      </c>
      <c r="FT25" s="165" t="s">
        <v>112</v>
      </c>
      <c r="FU25" s="434">
        <v>0</v>
      </c>
      <c r="FV25" s="165">
        <f t="shared" si="93"/>
        <v>0</v>
      </c>
      <c r="FW25" s="165" t="s">
        <v>112</v>
      </c>
      <c r="FX25" s="434">
        <v>0</v>
      </c>
      <c r="FY25" s="165">
        <f t="shared" si="95"/>
        <v>0</v>
      </c>
      <c r="FZ25" s="165" t="s">
        <v>112</v>
      </c>
      <c r="GA25" s="434">
        <v>0</v>
      </c>
      <c r="GB25" s="165">
        <f t="shared" si="97"/>
        <v>0</v>
      </c>
      <c r="GC25" s="165" t="s">
        <v>112</v>
      </c>
      <c r="GD25" s="434">
        <v>0</v>
      </c>
      <c r="GE25" s="165">
        <f t="shared" si="99"/>
        <v>0</v>
      </c>
      <c r="GF25" s="165" t="s">
        <v>112</v>
      </c>
      <c r="GG25" s="12">
        <v>0</v>
      </c>
      <c r="GH25" s="165">
        <f t="shared" si="101"/>
        <v>0</v>
      </c>
      <c r="GI25" s="165" t="s">
        <v>112</v>
      </c>
    </row>
    <row r="26" spans="1:254" s="151" customFormat="1" ht="16.5" customHeight="1">
      <c r="B26" s="163" t="s">
        <v>36</v>
      </c>
      <c r="C26" s="164" t="s">
        <v>37</v>
      </c>
      <c r="D26" s="7">
        <v>76</v>
      </c>
      <c r="E26" s="165">
        <f t="shared" si="0"/>
        <v>1.1301350511386111E-4</v>
      </c>
      <c r="F26" s="166">
        <v>63</v>
      </c>
      <c r="G26" s="165">
        <f t="shared" si="1"/>
        <v>8.9631996630975104E-5</v>
      </c>
      <c r="H26" s="7">
        <v>63</v>
      </c>
      <c r="I26" s="165">
        <f t="shared" si="2"/>
        <v>7.2095000612235326E-5</v>
      </c>
      <c r="J26" s="7">
        <v>63</v>
      </c>
      <c r="K26" s="165">
        <f>J26/$J$6</f>
        <v>5.902833734975883E-5</v>
      </c>
      <c r="L26" s="166">
        <v>63</v>
      </c>
      <c r="M26" s="165">
        <f t="shared" si="4"/>
        <v>6.8236540342417459E-5</v>
      </c>
      <c r="N26" s="165">
        <f>(L26/D26)-1</f>
        <v>-0.17105263157894735</v>
      </c>
      <c r="O26" s="166">
        <v>63</v>
      </c>
      <c r="P26" s="165">
        <f t="shared" si="6"/>
        <v>5.9493568084250445E-5</v>
      </c>
      <c r="Q26" s="165">
        <f>(O26/F26)-1</f>
        <v>0</v>
      </c>
      <c r="R26" s="166">
        <v>63</v>
      </c>
      <c r="S26" s="165">
        <f t="shared" si="8"/>
        <v>5.6526779337398476E-5</v>
      </c>
      <c r="T26" s="165">
        <f>(R26/H26)-1</f>
        <v>0</v>
      </c>
      <c r="U26" s="166">
        <v>63</v>
      </c>
      <c r="V26" s="165">
        <f t="shared" si="10"/>
        <v>4.4175743730199798E-5</v>
      </c>
      <c r="W26" s="165">
        <f>(U26/J26)-1</f>
        <v>0</v>
      </c>
      <c r="X26" s="166">
        <v>63</v>
      </c>
      <c r="Y26" s="165">
        <f t="shared" si="12"/>
        <v>4.9708102973096872E-5</v>
      </c>
      <c r="Z26" s="165">
        <f>(X26/L26)-1</f>
        <v>0</v>
      </c>
      <c r="AA26" s="166">
        <v>63</v>
      </c>
      <c r="AB26" s="165">
        <f t="shared" si="14"/>
        <v>4.7731503474171575E-5</v>
      </c>
      <c r="AC26" s="165">
        <f>(AA26/O26)-1</f>
        <v>0</v>
      </c>
      <c r="AD26" s="166">
        <v>63</v>
      </c>
      <c r="AE26" s="165">
        <f t="shared" si="16"/>
        <v>4.6444113356073746E-5</v>
      </c>
      <c r="AF26" s="165">
        <f>(AD26/R26)-1</f>
        <v>0</v>
      </c>
      <c r="AG26" s="166">
        <v>63</v>
      </c>
      <c r="AH26" s="165">
        <f t="shared" si="18"/>
        <v>3.9170432416703762E-5</v>
      </c>
      <c r="AI26" s="165">
        <f>(AG26/U26)-1</f>
        <v>0</v>
      </c>
      <c r="AJ26" s="166">
        <v>63</v>
      </c>
      <c r="AK26" s="165">
        <f t="shared" si="20"/>
        <v>4.3209402365954831E-5</v>
      </c>
      <c r="AL26" s="165">
        <f>(AJ26/X26)-1</f>
        <v>0</v>
      </c>
      <c r="AM26" s="166">
        <v>63</v>
      </c>
      <c r="AN26" s="165">
        <f t="shared" si="22"/>
        <v>4.1834669386584221E-5</v>
      </c>
      <c r="AO26" s="165">
        <f>(AM26/AA26)-1</f>
        <v>0</v>
      </c>
      <c r="AP26" s="166">
        <v>63</v>
      </c>
      <c r="AQ26" s="165">
        <f t="shared" si="24"/>
        <v>4.3896198728543117E-5</v>
      </c>
      <c r="AR26" s="165">
        <f>(AP26/AD26)-1</f>
        <v>0</v>
      </c>
      <c r="AS26" s="166">
        <v>63</v>
      </c>
      <c r="AT26" s="165">
        <f t="shared" si="26"/>
        <v>3.8736930129030867E-5</v>
      </c>
      <c r="AU26" s="165">
        <f>(AS26/AG26)-1</f>
        <v>0</v>
      </c>
      <c r="AV26" s="166">
        <v>63</v>
      </c>
      <c r="AW26" s="165">
        <f>AV26/$AV$6</f>
        <v>4.3382872441959916E-5</v>
      </c>
      <c r="AX26" s="165">
        <f>(AV26/AJ26)-1</f>
        <v>0</v>
      </c>
      <c r="AY26" s="166">
        <v>63</v>
      </c>
      <c r="AZ26" s="165">
        <f t="shared" si="30"/>
        <v>3.97139336020853E-5</v>
      </c>
      <c r="BA26" s="165">
        <f>(AY26/AM26)-1</f>
        <v>0</v>
      </c>
      <c r="BB26" s="166">
        <v>63</v>
      </c>
      <c r="BC26" s="165">
        <f>BB26/$BB$6</f>
        <v>3.8655286877450467E-5</v>
      </c>
      <c r="BD26" s="165">
        <f>(BB26/AP26)-1</f>
        <v>0</v>
      </c>
      <c r="BE26" s="166">
        <v>63</v>
      </c>
      <c r="BF26" s="165">
        <f>BE26/$BE$6</f>
        <v>3.2792056202461278E-5</v>
      </c>
      <c r="BG26" s="165">
        <f>(BE26/AS26)-1</f>
        <v>0</v>
      </c>
      <c r="BH26" s="166">
        <v>63</v>
      </c>
      <c r="BI26" s="165">
        <f t="shared" si="145"/>
        <v>3.4385605639675967E-5</v>
      </c>
      <c r="BJ26" s="165">
        <f t="shared" si="146"/>
        <v>0</v>
      </c>
      <c r="BK26" s="166">
        <v>63</v>
      </c>
      <c r="BL26" s="165">
        <f t="shared" si="147"/>
        <v>3.3656003589973714E-5</v>
      </c>
      <c r="BM26" s="165">
        <f t="shared" si="148"/>
        <v>0</v>
      </c>
      <c r="BN26" s="166">
        <v>63</v>
      </c>
      <c r="BO26" s="165">
        <f t="shared" si="36"/>
        <v>3.3061112679618925E-5</v>
      </c>
      <c r="BP26" s="165">
        <f>(BN26/BB26)-1</f>
        <v>0</v>
      </c>
      <c r="BQ26" s="166">
        <v>63</v>
      </c>
      <c r="BR26" s="165">
        <f t="shared" si="38"/>
        <v>2.5651309132883959E-5</v>
      </c>
      <c r="BS26" s="165">
        <f>(BQ26/BE26)-1</f>
        <v>0</v>
      </c>
      <c r="BT26" s="166">
        <v>63</v>
      </c>
      <c r="BU26" s="165">
        <f>BT26/$BT$6</f>
        <v>2.8479995515530863E-5</v>
      </c>
      <c r="BV26" s="165">
        <f>(BT26/BH26)-1</f>
        <v>0</v>
      </c>
      <c r="BW26" s="168">
        <v>63</v>
      </c>
      <c r="BX26" s="165">
        <f t="shared" si="42"/>
        <v>2.8264974716307141E-5</v>
      </c>
      <c r="BY26" s="165">
        <f>(BW26/BK26)-1</f>
        <v>0</v>
      </c>
      <c r="BZ26" s="166">
        <v>63</v>
      </c>
      <c r="CA26" s="165">
        <f t="shared" si="149"/>
        <v>2.3670577697356259E-5</v>
      </c>
      <c r="CB26" s="165">
        <f>(BZ26/BN26)-1</f>
        <v>0</v>
      </c>
      <c r="CC26" s="166">
        <v>63</v>
      </c>
      <c r="CD26" s="165">
        <f>CC26/$CC$6</f>
        <v>2.1116110452675779E-5</v>
      </c>
      <c r="CE26" s="165">
        <f>(CC26/BQ26)-1</f>
        <v>0</v>
      </c>
      <c r="CF26" s="166">
        <v>63</v>
      </c>
      <c r="CG26" s="188">
        <f t="shared" si="150"/>
        <v>2.2031769812069003E-5</v>
      </c>
      <c r="CH26" s="165">
        <f>(CF26/BT26)-1</f>
        <v>0</v>
      </c>
      <c r="CI26" s="166">
        <v>63</v>
      </c>
      <c r="CJ26" s="188">
        <f t="shared" si="151"/>
        <v>2.165150087860416E-5</v>
      </c>
      <c r="CK26" s="165">
        <f>(CI26/BW26)-1</f>
        <v>0</v>
      </c>
      <c r="CL26" s="166">
        <v>63</v>
      </c>
      <c r="CM26" s="165">
        <f t="shared" si="152"/>
        <v>1.8963480250137334E-5</v>
      </c>
      <c r="CN26" s="165">
        <f>(CL26/BZ26)-1</f>
        <v>0</v>
      </c>
      <c r="CO26" s="166">
        <v>63</v>
      </c>
      <c r="CP26" s="165">
        <f t="shared" si="153"/>
        <v>1.6710751219884839E-5</v>
      </c>
      <c r="CQ26" s="165">
        <f t="shared" si="154"/>
        <v>0</v>
      </c>
      <c r="CR26" s="166">
        <v>63</v>
      </c>
      <c r="CS26" s="165">
        <f t="shared" si="103"/>
        <v>1.8074741638782312E-5</v>
      </c>
      <c r="CT26" s="165">
        <f>(CR26/CF26)-1</f>
        <v>0</v>
      </c>
      <c r="CU26" s="166">
        <v>63</v>
      </c>
      <c r="CV26" s="165">
        <f t="shared" si="155"/>
        <v>1.7932690925517565E-5</v>
      </c>
      <c r="CW26" s="165">
        <f>(CU26/CI26)-1</f>
        <v>0</v>
      </c>
      <c r="CX26" s="166">
        <v>63</v>
      </c>
      <c r="CY26" s="165">
        <f t="shared" si="140"/>
        <v>1.5689454254825539E-5</v>
      </c>
      <c r="CZ26" s="165">
        <f>(CX26/CL26)-1</f>
        <v>0</v>
      </c>
      <c r="DA26" s="166">
        <v>63</v>
      </c>
      <c r="DB26" s="165">
        <f t="shared" si="76"/>
        <v>1.3951869151841514E-5</v>
      </c>
      <c r="DC26" s="165">
        <f>(DA26/CO26)-1</f>
        <v>0</v>
      </c>
      <c r="DD26" s="166">
        <v>63</v>
      </c>
      <c r="DE26" s="165">
        <f t="shared" si="136"/>
        <v>1.4648815573504618E-5</v>
      </c>
      <c r="DF26" s="165">
        <f>(DD26/CR26)-1</f>
        <v>0</v>
      </c>
      <c r="DG26" s="166">
        <v>63</v>
      </c>
      <c r="DH26" s="165">
        <f t="shared" si="52"/>
        <v>1.4301936118926729E-5</v>
      </c>
      <c r="DI26" s="165">
        <f t="shared" si="78"/>
        <v>0</v>
      </c>
      <c r="DJ26" s="166">
        <v>63</v>
      </c>
      <c r="DK26" s="165">
        <f t="shared" si="53"/>
        <v>1.3971600393599943E-5</v>
      </c>
      <c r="DL26" s="165">
        <f>(DJ26/CX26)-1</f>
        <v>0</v>
      </c>
      <c r="DM26" s="166">
        <v>63</v>
      </c>
      <c r="DN26" s="165">
        <f t="shared" si="80"/>
        <v>1.18445904675221E-5</v>
      </c>
      <c r="DO26" s="165">
        <f>(DM26/DA26)-1</f>
        <v>0</v>
      </c>
      <c r="DP26" s="166">
        <v>63</v>
      </c>
      <c r="DQ26" s="165">
        <f t="shared" si="55"/>
        <v>1.2411555355044361E-5</v>
      </c>
      <c r="DR26" s="165">
        <f>(DP26/DD26)-1</f>
        <v>0</v>
      </c>
      <c r="DS26" s="166">
        <v>63</v>
      </c>
      <c r="DT26" s="165">
        <f t="shared" si="81"/>
        <v>1.2041944961430414E-5</v>
      </c>
      <c r="DU26" s="165">
        <f>(DS26/DG26)-1</f>
        <v>0</v>
      </c>
      <c r="DV26" s="166">
        <v>63</v>
      </c>
      <c r="DW26" s="165">
        <f t="shared" si="138"/>
        <v>1.1903086205740122E-5</v>
      </c>
      <c r="DX26" s="165">
        <f>(DV26/DJ26)-1</f>
        <v>0</v>
      </c>
      <c r="DY26" s="166">
        <v>63</v>
      </c>
      <c r="DZ26" s="165">
        <f t="shared" si="144"/>
        <v>1.0744034630581718E-5</v>
      </c>
      <c r="EA26" s="165">
        <f>(DY26/DM26)-1</f>
        <v>0</v>
      </c>
      <c r="EB26" s="166">
        <v>63</v>
      </c>
      <c r="EC26" s="165">
        <f t="shared" si="84"/>
        <v>1.1308066923652957E-5</v>
      </c>
      <c r="ED26" s="165">
        <f>(EB26/DP26)-1</f>
        <v>0</v>
      </c>
      <c r="EE26" s="166">
        <v>50</v>
      </c>
      <c r="EF26" s="165">
        <f t="shared" si="158"/>
        <v>8.6019744283944979E-6</v>
      </c>
      <c r="EG26" s="165">
        <f>(EE26/DS26)-1</f>
        <v>-0.20634920634920639</v>
      </c>
      <c r="EH26" s="166">
        <v>50</v>
      </c>
      <c r="EI26" s="165">
        <f t="shared" si="159"/>
        <v>8.8116098952264336E-6</v>
      </c>
      <c r="EJ26" s="165">
        <f>(EH26/DV26)-1</f>
        <v>-0.20634920634920639</v>
      </c>
      <c r="EK26" s="166">
        <v>46</v>
      </c>
      <c r="EL26" s="165">
        <f t="shared" si="160"/>
        <v>7.10401450948633E-6</v>
      </c>
      <c r="EM26" s="165">
        <f>(EK26/DY26)-1</f>
        <v>-0.26984126984126988</v>
      </c>
      <c r="EN26" s="166">
        <v>46</v>
      </c>
      <c r="EO26" s="165">
        <f t="shared" si="161"/>
        <v>7.3577326411093155E-6</v>
      </c>
      <c r="EP26" s="165">
        <f>(EN26/EB26)-1</f>
        <v>-0.26984126984126988</v>
      </c>
      <c r="EQ26" s="166">
        <v>46</v>
      </c>
      <c r="ER26" s="165">
        <f t="shared" si="162"/>
        <v>6.9733812394518136E-6</v>
      </c>
      <c r="ES26" s="165">
        <f>(EQ26/EE26)-1</f>
        <v>-7.999999999999996E-2</v>
      </c>
      <c r="ET26" s="166">
        <v>46</v>
      </c>
      <c r="EU26" s="165">
        <f t="shared" si="163"/>
        <v>7.0915786424467669E-6</v>
      </c>
      <c r="EV26" s="165">
        <f>(ET26/EH26)-1</f>
        <v>-7.999999999999996E-2</v>
      </c>
      <c r="EW26" s="166">
        <v>46</v>
      </c>
      <c r="EX26" s="165">
        <f t="shared" si="164"/>
        <v>6.0946057704257404E-6</v>
      </c>
      <c r="EY26" s="165">
        <f>(EW26/EK26)-1</f>
        <v>0</v>
      </c>
      <c r="EZ26" s="166">
        <v>46</v>
      </c>
      <c r="FA26" s="165">
        <f t="shared" ref="FA26:FA29" si="176">EZ26/EZ$6</f>
        <v>6.5464072676505729E-6</v>
      </c>
      <c r="FB26" s="165">
        <f>(EZ26/EN26)-1</f>
        <v>0</v>
      </c>
      <c r="FC26" s="166">
        <v>46</v>
      </c>
      <c r="FD26" s="165">
        <f t="shared" ref="FD26:FD29" si="177">FC26/FC$6</f>
        <v>6.2967921813552803E-6</v>
      </c>
      <c r="FE26" s="165">
        <f>(FC26/EQ26)-1</f>
        <v>0</v>
      </c>
      <c r="FF26" s="166">
        <v>46</v>
      </c>
      <c r="FG26" s="165">
        <f t="shared" si="88"/>
        <v>6.0949336261728113E-6</v>
      </c>
      <c r="FH26" s="165">
        <f t="shared" si="89"/>
        <v>0</v>
      </c>
      <c r="FI26" s="166">
        <v>0</v>
      </c>
      <c r="FJ26" s="165">
        <f t="shared" si="108"/>
        <v>0</v>
      </c>
      <c r="FK26" s="165">
        <f t="shared" ref="FK26:FK29" si="178">(FI26/EW26)-1</f>
        <v>-1</v>
      </c>
      <c r="FL26" s="166">
        <v>0</v>
      </c>
      <c r="FM26" s="165">
        <f t="shared" si="109"/>
        <v>0</v>
      </c>
      <c r="FN26" s="165">
        <f t="shared" ref="FN26:FN29" si="179">(FL26/EZ26)-1</f>
        <v>-1</v>
      </c>
      <c r="FO26" s="166">
        <v>0</v>
      </c>
      <c r="FP26" s="165">
        <f t="shared" si="73"/>
        <v>0</v>
      </c>
      <c r="FQ26" s="165">
        <f t="shared" ref="FQ26:FQ27" si="180">(FO26/FC26)-1</f>
        <v>-1</v>
      </c>
      <c r="FR26" s="166">
        <v>0</v>
      </c>
      <c r="FS26" s="165">
        <f t="shared" si="91"/>
        <v>0</v>
      </c>
      <c r="FT26" s="165">
        <f t="shared" ref="FT26:FT27" si="181">(FR26/FF26)-1</f>
        <v>-1</v>
      </c>
      <c r="FU26" s="166">
        <v>0</v>
      </c>
      <c r="FV26" s="165">
        <f t="shared" si="93"/>
        <v>0</v>
      </c>
      <c r="FW26" s="165" t="e">
        <f t="shared" ref="FW26:FW27" si="182">(FU26/FI26)-1</f>
        <v>#DIV/0!</v>
      </c>
      <c r="FX26" s="166">
        <v>0</v>
      </c>
      <c r="FY26" s="165">
        <f t="shared" si="95"/>
        <v>0</v>
      </c>
      <c r="FZ26" s="165" t="e">
        <f t="shared" ref="FZ26:FZ27" si="183">(FX26/FL26)-1</f>
        <v>#DIV/0!</v>
      </c>
      <c r="GA26" s="166">
        <v>0</v>
      </c>
      <c r="GB26" s="165">
        <f t="shared" si="97"/>
        <v>0</v>
      </c>
      <c r="GC26" s="165" t="e">
        <f t="shared" ref="GC26:GC29" si="184">(GA26/FO26)-1</f>
        <v>#DIV/0!</v>
      </c>
      <c r="GD26" s="166">
        <v>0</v>
      </c>
      <c r="GE26" s="165">
        <f t="shared" si="99"/>
        <v>0</v>
      </c>
      <c r="GF26" s="165" t="e">
        <f t="shared" ref="GF26:GF29" si="185">(GD26/FR26)-1</f>
        <v>#DIV/0!</v>
      </c>
      <c r="GG26" s="12">
        <v>0</v>
      </c>
      <c r="GH26" s="165">
        <f t="shared" si="101"/>
        <v>0</v>
      </c>
      <c r="GI26" s="165" t="e">
        <f t="shared" ref="GI26:GI29" si="186">(GG26/FU26)-1</f>
        <v>#DIV/0!</v>
      </c>
    </row>
    <row r="27" spans="1:254" s="151" customFormat="1" ht="16.5" customHeight="1">
      <c r="B27" s="163" t="s">
        <v>156</v>
      </c>
      <c r="C27" s="164" t="s">
        <v>158</v>
      </c>
      <c r="D27" s="7">
        <f>161449-D29</f>
        <v>139857</v>
      </c>
      <c r="E27" s="165">
        <f t="shared" si="0"/>
        <v>0.20797012874617465</v>
      </c>
      <c r="F27" s="166">
        <f>179167-F29</f>
        <v>150146</v>
      </c>
      <c r="G27" s="165">
        <f t="shared" si="1"/>
        <v>0.21361723438340299</v>
      </c>
      <c r="H27" s="7">
        <f>177476-H29</f>
        <v>149895</v>
      </c>
      <c r="I27" s="165">
        <f t="shared" si="2"/>
        <v>0.17153460502811133</v>
      </c>
      <c r="J27" s="7">
        <v>166813</v>
      </c>
      <c r="K27" s="165">
        <f>J27/$J$6</f>
        <v>0.15629673076706857</v>
      </c>
      <c r="L27" s="166">
        <v>172994</v>
      </c>
      <c r="M27" s="165">
        <f t="shared" si="4"/>
        <v>0.18737320730152643</v>
      </c>
      <c r="N27" s="165">
        <f>(L27/D27)-1</f>
        <v>0.23693486918781326</v>
      </c>
      <c r="O27" s="166">
        <v>194615</v>
      </c>
      <c r="P27" s="165">
        <f t="shared" si="6"/>
        <v>0.18378318655105397</v>
      </c>
      <c r="Q27" s="165">
        <f>(O27/F27)-1</f>
        <v>0.29617172618651177</v>
      </c>
      <c r="R27" s="166">
        <v>205646</v>
      </c>
      <c r="S27" s="165">
        <f t="shared" si="8"/>
        <v>0.18451596926378805</v>
      </c>
      <c r="T27" s="165">
        <f>(R27/H27)-1</f>
        <v>0.37193368691417317</v>
      </c>
      <c r="U27" s="166">
        <v>241062</v>
      </c>
      <c r="V27" s="165">
        <f t="shared" si="10"/>
        <v>0.16903322436649879</v>
      </c>
      <c r="W27" s="165">
        <f>(U27/J27)-1</f>
        <v>0.44510319939093468</v>
      </c>
      <c r="X27" s="166">
        <v>240716</v>
      </c>
      <c r="Y27" s="165">
        <f t="shared" si="12"/>
        <v>0.18992913833765057</v>
      </c>
      <c r="Z27" s="165">
        <f>(X27/L27)-1</f>
        <v>0.39147022440084633</v>
      </c>
      <c r="AA27" s="166">
        <v>252846</v>
      </c>
      <c r="AB27" s="165">
        <f t="shared" si="14"/>
        <v>0.19156697980048232</v>
      </c>
      <c r="AC27" s="165">
        <f>(AA27/O27)-1</f>
        <v>0.29921126326336611</v>
      </c>
      <c r="AD27" s="166">
        <v>254146</v>
      </c>
      <c r="AE27" s="165">
        <f t="shared" si="16"/>
        <v>0.18735850211099553</v>
      </c>
      <c r="AF27" s="165">
        <f>(AD27/R27)-1</f>
        <v>0.23584217538877494</v>
      </c>
      <c r="AG27" s="166">
        <v>283768</v>
      </c>
      <c r="AH27" s="165">
        <f t="shared" si="18"/>
        <v>0.1764335756511618</v>
      </c>
      <c r="AI27" s="165">
        <f>(AG27/U27)-1</f>
        <v>0.177157743651011</v>
      </c>
      <c r="AJ27" s="166">
        <v>289734</v>
      </c>
      <c r="AK27" s="165">
        <f t="shared" si="20"/>
        <v>0.19871798389043741</v>
      </c>
      <c r="AL27" s="165">
        <f>(AJ27/X27)-1</f>
        <v>0.2036341580950165</v>
      </c>
      <c r="AM27" s="166">
        <v>305779</v>
      </c>
      <c r="AN27" s="165">
        <f t="shared" si="22"/>
        <v>0.20305021222794184</v>
      </c>
      <c r="AO27" s="165">
        <f>(AM27/AA27)-1</f>
        <v>0.20934877356177273</v>
      </c>
      <c r="AP27" s="166">
        <v>324554</v>
      </c>
      <c r="AQ27" s="165">
        <f t="shared" si="24"/>
        <v>0.22613788701815213</v>
      </c>
      <c r="AR27" s="165">
        <f>(AP27/AD27)-1</f>
        <v>0.27703760830388835</v>
      </c>
      <c r="AS27" s="166">
        <v>358628</v>
      </c>
      <c r="AT27" s="165">
        <f t="shared" si="26"/>
        <v>0.22051028219546162</v>
      </c>
      <c r="AU27" s="165">
        <f>(AS27/AG27)-1</f>
        <v>0.26380705364946011</v>
      </c>
      <c r="AV27" s="166">
        <v>350828</v>
      </c>
      <c r="AW27" s="165">
        <f>AV27/$AV$6</f>
        <v>0.24158613290583988</v>
      </c>
      <c r="AX27" s="165">
        <f>(AV27/AJ27)-1</f>
        <v>0.2108623772149627</v>
      </c>
      <c r="AY27" s="166">
        <v>356578</v>
      </c>
      <c r="AZ27" s="165">
        <f t="shared" si="30"/>
        <v>0.22477960342800588</v>
      </c>
      <c r="BA27" s="165">
        <f>(AY27/AM27)-1</f>
        <v>0.16612978654518451</v>
      </c>
      <c r="BB27" s="166">
        <v>354209</v>
      </c>
      <c r="BC27" s="165">
        <f>BB27/$BB$6</f>
        <v>0.21733413507261673</v>
      </c>
      <c r="BD27" s="165">
        <f>(BB27/AP27)-1</f>
        <v>9.1371543718456794E-2</v>
      </c>
      <c r="BE27" s="166">
        <v>357572</v>
      </c>
      <c r="BF27" s="165">
        <f>BE27/$BE$6</f>
        <v>0.18611938286391244</v>
      </c>
      <c r="BG27" s="165">
        <f>(BE27/AS27)-1</f>
        <v>-2.9445553609869224E-3</v>
      </c>
      <c r="BH27" s="166">
        <v>356790</v>
      </c>
      <c r="BI27" s="165">
        <f t="shared" si="145"/>
        <v>0.19473714660603156</v>
      </c>
      <c r="BJ27" s="165">
        <f t="shared" si="146"/>
        <v>1.6994082570376268E-2</v>
      </c>
      <c r="BK27" s="166">
        <v>360491</v>
      </c>
      <c r="BL27" s="165">
        <f t="shared" si="147"/>
        <v>0.19258232365322564</v>
      </c>
      <c r="BM27" s="165">
        <f t="shared" si="148"/>
        <v>1.0973756092636178E-2</v>
      </c>
      <c r="BN27" s="166">
        <v>364293</v>
      </c>
      <c r="BO27" s="165">
        <f t="shared" si="36"/>
        <v>0.19117352256184789</v>
      </c>
      <c r="BP27" s="165">
        <f>(BN27/BB27)-1</f>
        <v>2.846906769732005E-2</v>
      </c>
      <c r="BQ27" s="166">
        <v>412603</v>
      </c>
      <c r="BR27" s="165">
        <f t="shared" si="38"/>
        <v>0.16799693812944955</v>
      </c>
      <c r="BS27" s="165">
        <f>(BQ27/BE27)-1</f>
        <v>0.15390187151119217</v>
      </c>
      <c r="BT27" s="166">
        <v>414185</v>
      </c>
      <c r="BU27" s="165">
        <f>BT27/$BT$6</f>
        <v>0.18723788797778018</v>
      </c>
      <c r="BV27" s="165">
        <f>(BT27/BH27)-1</f>
        <v>0.16086493455534057</v>
      </c>
      <c r="BW27" s="168">
        <v>453996</v>
      </c>
      <c r="BX27" s="165">
        <f t="shared" si="42"/>
        <v>0.20368548351277105</v>
      </c>
      <c r="BY27" s="165">
        <f>(BW27/BK27)-1</f>
        <v>0.25938234241631553</v>
      </c>
      <c r="BZ27" s="166">
        <v>473940</v>
      </c>
      <c r="CA27" s="165">
        <f t="shared" si="149"/>
        <v>0.17807037450611152</v>
      </c>
      <c r="CB27" s="165">
        <f>(BZ27/BN27)-1</f>
        <v>0.30098574499098252</v>
      </c>
      <c r="CC27" s="166">
        <v>599481</v>
      </c>
      <c r="CD27" s="165">
        <f>CC27/$CC$6</f>
        <v>0.20093185730604016</v>
      </c>
      <c r="CE27" s="165">
        <f>(CC27/BQ27)-1</f>
        <v>0.45292448188694712</v>
      </c>
      <c r="CF27" s="166">
        <v>633359</v>
      </c>
      <c r="CG27" s="188">
        <f t="shared" si="150"/>
        <v>0.22149237613336845</v>
      </c>
      <c r="CH27" s="165">
        <f>(CF27/BT27)-1</f>
        <v>0.52916933254463583</v>
      </c>
      <c r="CI27" s="166">
        <v>671099</v>
      </c>
      <c r="CJ27" s="188">
        <f t="shared" si="151"/>
        <v>0.23063969187508526</v>
      </c>
      <c r="CK27" s="165">
        <f>(CI27/BW27)-1</f>
        <v>0.47820465378549581</v>
      </c>
      <c r="CL27" s="166">
        <v>745619</v>
      </c>
      <c r="CM27" s="165">
        <f t="shared" si="152"/>
        <v>0.22443700286709761</v>
      </c>
      <c r="CN27" s="165">
        <f>(CL27/BZ27)-1</f>
        <v>0.57323500865088417</v>
      </c>
      <c r="CO27" s="166">
        <v>846204</v>
      </c>
      <c r="CP27" s="165">
        <f t="shared" si="153"/>
        <v>0.22445562738526079</v>
      </c>
      <c r="CQ27" s="165">
        <f t="shared" si="154"/>
        <v>0.41156100026522946</v>
      </c>
      <c r="CR27" s="166">
        <v>843189</v>
      </c>
      <c r="CS27" s="165">
        <f t="shared" si="103"/>
        <v>0.24191148139147969</v>
      </c>
      <c r="CT27" s="165">
        <f>(CR27/CF27)-1</f>
        <v>0.3312971000648921</v>
      </c>
      <c r="CU27" s="166">
        <v>865645</v>
      </c>
      <c r="CV27" s="165">
        <f t="shared" si="155"/>
        <v>0.24640228946380399</v>
      </c>
      <c r="CW27" s="165">
        <f>(CU27/CI27)-1</f>
        <v>0.28989165532954164</v>
      </c>
      <c r="CX27" s="166">
        <v>936726</v>
      </c>
      <c r="CY27" s="165">
        <f t="shared" si="140"/>
        <v>0.233281265496916</v>
      </c>
      <c r="CZ27" s="165">
        <f>(CX27/CL27)-1</f>
        <v>0.25630650506491914</v>
      </c>
      <c r="DA27" s="166">
        <v>1063348</v>
      </c>
      <c r="DB27" s="165">
        <f t="shared" si="76"/>
        <v>0.23548717712495826</v>
      </c>
      <c r="DC27" s="165">
        <f>(DA27/CO27)-1</f>
        <v>0.25660951732679127</v>
      </c>
      <c r="DD27" s="166">
        <v>1101156</v>
      </c>
      <c r="DE27" s="165">
        <f t="shared" si="136"/>
        <v>0.25604176447076271</v>
      </c>
      <c r="DF27" s="165">
        <f>(DD27/CR27)-1</f>
        <v>0.30594208415906765</v>
      </c>
      <c r="DG27" s="166">
        <v>1138162</v>
      </c>
      <c r="DH27" s="165">
        <f t="shared" ref="DH27:DH66" si="187">DG27/$DG$6</f>
        <v>0.25837968598396638</v>
      </c>
      <c r="DI27" s="165">
        <f t="shared" si="78"/>
        <v>0.31481380935602932</v>
      </c>
      <c r="DJ27" s="166">
        <v>1204275</v>
      </c>
      <c r="DK27" s="165">
        <f t="shared" si="53"/>
        <v>0.2670737946667075</v>
      </c>
      <c r="DL27" s="165">
        <f>(DJ27/CX27)-1</f>
        <v>0.28562140903529953</v>
      </c>
      <c r="DM27" s="166">
        <v>1304065</v>
      </c>
      <c r="DN27" s="165">
        <f t="shared" si="80"/>
        <v>0.24517644234966993</v>
      </c>
      <c r="DO27" s="165">
        <f>(DM27/DA27)-1</f>
        <v>0.22637650138994947</v>
      </c>
      <c r="DP27" s="166">
        <v>1320473</v>
      </c>
      <c r="DQ27" s="165">
        <f t="shared" si="55"/>
        <v>0.26014482118002369</v>
      </c>
      <c r="DR27" s="165">
        <f>(DP27/DD27)-1</f>
        <v>0.19916978157499932</v>
      </c>
      <c r="DS27" s="166">
        <v>1391883</v>
      </c>
      <c r="DT27" s="165">
        <f t="shared" si="81"/>
        <v>0.26604727744048651</v>
      </c>
      <c r="DU27" s="165">
        <f>(DS27/DG27)-1</f>
        <v>0.22292169304545406</v>
      </c>
      <c r="DV27" s="166">
        <v>1475060</v>
      </c>
      <c r="DW27" s="165">
        <f>DV27/DV$6</f>
        <v>0.27869470378792099</v>
      </c>
      <c r="DX27" s="165">
        <f>(DV27/DJ27)-1</f>
        <v>0.22485312740030317</v>
      </c>
      <c r="DY27" s="166">
        <v>1544202</v>
      </c>
      <c r="DZ27" s="165">
        <f t="shared" si="144"/>
        <v>0.26334856769227855</v>
      </c>
      <c r="EA27" s="165">
        <f>(DY27/DM27)-1</f>
        <v>0.18414496209928188</v>
      </c>
      <c r="EB27" s="166">
        <v>1559316</v>
      </c>
      <c r="EC27" s="165">
        <f t="shared" si="84"/>
        <v>0.27988650290671169</v>
      </c>
      <c r="ED27" s="165">
        <f>(EB27/DP27)-1</f>
        <v>0.18087685246120144</v>
      </c>
      <c r="EE27" s="166">
        <v>1589602</v>
      </c>
      <c r="EF27" s="165">
        <f t="shared" si="158"/>
        <v>0.273474315106495</v>
      </c>
      <c r="EG27" s="165">
        <f>(EE27/DS27)-1</f>
        <v>0.14205145116363949</v>
      </c>
      <c r="EH27" s="166">
        <v>1603876</v>
      </c>
      <c r="EI27" s="165">
        <f t="shared" si="159"/>
        <v>0.28265459264632381</v>
      </c>
      <c r="EJ27" s="165">
        <f>(EH27/DV27)-1</f>
        <v>8.7329328976448517E-2</v>
      </c>
      <c r="EK27" s="166">
        <v>1645069</v>
      </c>
      <c r="EL27" s="165">
        <f t="shared" si="160"/>
        <v>0.25405639228491672</v>
      </c>
      <c r="EM27" s="165">
        <f>(EK27/DY27)-1</f>
        <v>6.5319822147620554E-2</v>
      </c>
      <c r="EN27" s="166">
        <v>1636648</v>
      </c>
      <c r="EO27" s="165">
        <f t="shared" si="161"/>
        <v>0.26178300894796258</v>
      </c>
      <c r="EP27" s="165">
        <f>(EN27/EB27)-1</f>
        <v>4.9593539731523251E-2</v>
      </c>
      <c r="EQ27" s="166">
        <v>1668458</v>
      </c>
      <c r="ER27" s="165">
        <f t="shared" si="162"/>
        <v>0.25293029817420204</v>
      </c>
      <c r="ES27" s="165">
        <f>(EQ27/EE27)-1</f>
        <v>4.9607385999765885E-2</v>
      </c>
      <c r="ET27" s="166">
        <v>1716613</v>
      </c>
      <c r="EU27" s="165">
        <f t="shared" si="163"/>
        <v>0.26464121930753204</v>
      </c>
      <c r="EV27" s="165">
        <f>(ET27/EH27)-1</f>
        <v>7.0290346635276002E-2</v>
      </c>
      <c r="EW27" s="166">
        <v>1813627</v>
      </c>
      <c r="EX27" s="165">
        <f t="shared" si="164"/>
        <v>0.24029003433912877</v>
      </c>
      <c r="EY27" s="165">
        <f>(EW27/EK27)-1</f>
        <v>0.10246257147876481</v>
      </c>
      <c r="EZ27" s="166">
        <v>1822018</v>
      </c>
      <c r="FA27" s="165">
        <f t="shared" si="176"/>
        <v>0.25929721471717743</v>
      </c>
      <c r="FB27" s="165">
        <f>(EZ27/EN27)-1</f>
        <v>0.11326198425073697</v>
      </c>
      <c r="FC27" s="166">
        <v>1853263</v>
      </c>
      <c r="FD27" s="165">
        <f t="shared" si="177"/>
        <v>0.25368721670423983</v>
      </c>
      <c r="FE27" s="165">
        <f>(FC27/EQ27)-1</f>
        <v>0.11076395090556668</v>
      </c>
      <c r="FF27" s="166">
        <v>1910603</v>
      </c>
      <c r="FG27" s="165">
        <f t="shared" si="88"/>
        <v>0.25315214067318809</v>
      </c>
      <c r="FH27" s="165">
        <f t="shared" si="89"/>
        <v>0.11300741634835565</v>
      </c>
      <c r="FI27" s="166">
        <v>1994449</v>
      </c>
      <c r="FJ27" s="165">
        <f t="shared" si="108"/>
        <v>0.22610113900298467</v>
      </c>
      <c r="FK27" s="165">
        <f t="shared" si="178"/>
        <v>9.9701868134958183E-2</v>
      </c>
      <c r="FL27" s="166">
        <v>1955428</v>
      </c>
      <c r="FM27" s="165">
        <f t="shared" si="109"/>
        <v>0.19431641083628892</v>
      </c>
      <c r="FN27" s="165">
        <f t="shared" si="179"/>
        <v>7.3221010988914426E-2</v>
      </c>
      <c r="FO27" s="166">
        <v>1976762</v>
      </c>
      <c r="FP27" s="165">
        <f t="shared" si="73"/>
        <v>0.19919189093651413</v>
      </c>
      <c r="FQ27" s="165">
        <f t="shared" si="180"/>
        <v>6.6638679993071603E-2</v>
      </c>
      <c r="FR27" s="166">
        <v>2109143</v>
      </c>
      <c r="FS27" s="165">
        <f t="shared" si="91"/>
        <v>0.20673198784666919</v>
      </c>
      <c r="FT27" s="165">
        <f t="shared" si="181"/>
        <v>0.10391483735762996</v>
      </c>
      <c r="FU27" s="166">
        <v>2173710</v>
      </c>
      <c r="FV27" s="165">
        <f t="shared" si="93"/>
        <v>0.18815272560954815</v>
      </c>
      <c r="FW27" s="165">
        <f t="shared" si="182"/>
        <v>8.9879961834070432E-2</v>
      </c>
      <c r="FX27" s="166">
        <v>2186193</v>
      </c>
      <c r="FY27" s="165">
        <f t="shared" si="95"/>
        <v>0.19003005704136108</v>
      </c>
      <c r="FZ27" s="165">
        <f t="shared" si="183"/>
        <v>0.11801252718075017</v>
      </c>
      <c r="GA27" s="166">
        <v>2147040</v>
      </c>
      <c r="GB27" s="165">
        <f t="shared" si="97"/>
        <v>0.16737044876037871</v>
      </c>
      <c r="GC27" s="165">
        <f t="shared" si="184"/>
        <v>8.6139859021976406E-2</v>
      </c>
      <c r="GD27" s="166">
        <v>2182428</v>
      </c>
      <c r="GE27" s="165">
        <f t="shared" si="99"/>
        <v>0.16811068171611812</v>
      </c>
      <c r="GF27" s="165">
        <f t="shared" si="185"/>
        <v>3.4746340101168949E-2</v>
      </c>
      <c r="GG27" s="166">
        <v>2154260</v>
      </c>
      <c r="GH27" s="165">
        <f t="shared" si="101"/>
        <v>0.14712294955063598</v>
      </c>
      <c r="GI27" s="165">
        <f t="shared" si="186"/>
        <v>-8.9478357278569565E-3</v>
      </c>
    </row>
    <row r="28" spans="1:254" s="151" customFormat="1" ht="16.5" customHeight="1">
      <c r="B28" s="163" t="s">
        <v>1361</v>
      </c>
      <c r="C28" s="164"/>
      <c r="D28" s="7"/>
      <c r="E28" s="165"/>
      <c r="F28" s="166"/>
      <c r="G28" s="165"/>
      <c r="H28" s="7"/>
      <c r="I28" s="165"/>
      <c r="J28" s="7"/>
      <c r="K28" s="165"/>
      <c r="L28" s="166"/>
      <c r="M28" s="165"/>
      <c r="N28" s="165"/>
      <c r="O28" s="166"/>
      <c r="P28" s="165"/>
      <c r="Q28" s="165"/>
      <c r="R28" s="166"/>
      <c r="S28" s="165"/>
      <c r="T28" s="165"/>
      <c r="U28" s="166"/>
      <c r="V28" s="165"/>
      <c r="W28" s="165"/>
      <c r="X28" s="166"/>
      <c r="Y28" s="165"/>
      <c r="Z28" s="165"/>
      <c r="AA28" s="166"/>
      <c r="AB28" s="165"/>
      <c r="AC28" s="165"/>
      <c r="AD28" s="166"/>
      <c r="AE28" s="165"/>
      <c r="AF28" s="165"/>
      <c r="AG28" s="166"/>
      <c r="AH28" s="165"/>
      <c r="AI28" s="165"/>
      <c r="AJ28" s="166"/>
      <c r="AK28" s="165"/>
      <c r="AL28" s="165"/>
      <c r="AM28" s="166"/>
      <c r="AN28" s="165"/>
      <c r="AO28" s="165"/>
      <c r="AP28" s="166"/>
      <c r="AQ28" s="165"/>
      <c r="AR28" s="165"/>
      <c r="AS28" s="166"/>
      <c r="AT28" s="165"/>
      <c r="AU28" s="165"/>
      <c r="AV28" s="166"/>
      <c r="AW28" s="165"/>
      <c r="AX28" s="165"/>
      <c r="AY28" s="166"/>
      <c r="AZ28" s="165"/>
      <c r="BA28" s="165"/>
      <c r="BB28" s="166"/>
      <c r="BC28" s="165"/>
      <c r="BD28" s="165"/>
      <c r="BE28" s="166"/>
      <c r="BF28" s="165"/>
      <c r="BG28" s="165"/>
      <c r="BH28" s="166"/>
      <c r="BI28" s="165"/>
      <c r="BJ28" s="165"/>
      <c r="BK28" s="166"/>
      <c r="BL28" s="165"/>
      <c r="BM28" s="165"/>
      <c r="BN28" s="166"/>
      <c r="BO28" s="165"/>
      <c r="BP28" s="165"/>
      <c r="BQ28" s="166"/>
      <c r="BR28" s="165"/>
      <c r="BS28" s="165"/>
      <c r="BT28" s="166"/>
      <c r="BU28" s="165"/>
      <c r="BV28" s="165"/>
      <c r="BW28" s="168"/>
      <c r="BX28" s="165"/>
      <c r="BY28" s="165"/>
      <c r="BZ28" s="166"/>
      <c r="CA28" s="165"/>
      <c r="CB28" s="165"/>
      <c r="CC28" s="166"/>
      <c r="CD28" s="165"/>
      <c r="CE28" s="165"/>
      <c r="CF28" s="166"/>
      <c r="CG28" s="188"/>
      <c r="CH28" s="165"/>
      <c r="CI28" s="166"/>
      <c r="CJ28" s="188"/>
      <c r="CK28" s="165"/>
      <c r="CL28" s="166"/>
      <c r="CM28" s="165"/>
      <c r="CN28" s="165"/>
      <c r="CO28" s="166"/>
      <c r="CP28" s="165"/>
      <c r="CQ28" s="165"/>
      <c r="CR28" s="166"/>
      <c r="CS28" s="165"/>
      <c r="CT28" s="165"/>
      <c r="CU28" s="166"/>
      <c r="CV28" s="165"/>
      <c r="CW28" s="165"/>
      <c r="CX28" s="166"/>
      <c r="CY28" s="165"/>
      <c r="CZ28" s="165"/>
      <c r="DA28" s="166"/>
      <c r="DB28" s="165"/>
      <c r="DC28" s="165"/>
      <c r="DD28" s="166"/>
      <c r="DE28" s="165"/>
      <c r="DF28" s="165"/>
      <c r="DG28" s="166"/>
      <c r="DH28" s="165"/>
      <c r="DI28" s="165"/>
      <c r="DJ28" s="166"/>
      <c r="DK28" s="165"/>
      <c r="DL28" s="165"/>
      <c r="DM28" s="166"/>
      <c r="DN28" s="165"/>
      <c r="DO28" s="165"/>
      <c r="DP28" s="166"/>
      <c r="DQ28" s="165"/>
      <c r="DR28" s="165"/>
      <c r="DS28" s="166"/>
      <c r="DT28" s="165"/>
      <c r="DU28" s="165"/>
      <c r="DV28" s="166"/>
      <c r="DW28" s="165"/>
      <c r="DX28" s="165"/>
      <c r="DY28" s="166"/>
      <c r="DZ28" s="165"/>
      <c r="EA28" s="165"/>
      <c r="EB28" s="166"/>
      <c r="EC28" s="165"/>
      <c r="ED28" s="165"/>
      <c r="EE28" s="166"/>
      <c r="EF28" s="165"/>
      <c r="EG28" s="165"/>
      <c r="EH28" s="166"/>
      <c r="EI28" s="165"/>
      <c r="EJ28" s="165"/>
      <c r="EK28" s="166"/>
      <c r="EL28" s="165"/>
      <c r="EM28" s="165"/>
      <c r="EN28" s="166"/>
      <c r="EO28" s="165"/>
      <c r="EP28" s="165"/>
      <c r="EQ28" s="166"/>
      <c r="ER28" s="165"/>
      <c r="ES28" s="165"/>
      <c r="ET28" s="166"/>
      <c r="EU28" s="165"/>
      <c r="EV28" s="165"/>
      <c r="EW28" s="166"/>
      <c r="EX28" s="165"/>
      <c r="EY28" s="165"/>
      <c r="EZ28" s="166"/>
      <c r="FA28" s="165"/>
      <c r="FB28" s="165"/>
      <c r="FC28" s="166"/>
      <c r="FD28" s="165"/>
      <c r="FE28" s="165"/>
      <c r="FF28" s="166"/>
      <c r="FG28" s="165">
        <f t="shared" ref="FG28" si="188">FF28/FF$6</f>
        <v>0</v>
      </c>
      <c r="FH28" s="165" t="e">
        <f t="shared" ref="FH28" si="189">(FF28/ET28)-1</f>
        <v>#DIV/0!</v>
      </c>
      <c r="FI28" s="166"/>
      <c r="FJ28" s="165">
        <f t="shared" ref="FJ28" si="190">FI28/FI$6</f>
        <v>0</v>
      </c>
      <c r="FK28" s="165" t="e">
        <f t="shared" ref="FK28" si="191">(FI28/EW28)-1</f>
        <v>#DIV/0!</v>
      </c>
      <c r="FL28" s="166">
        <v>1652588</v>
      </c>
      <c r="FM28" s="165">
        <f t="shared" ref="FM28" si="192">FL28/FL$6</f>
        <v>0.16422234352332127</v>
      </c>
      <c r="FN28" s="165" t="e">
        <f t="shared" ref="FN28" si="193">(FL28/EZ28)-1</f>
        <v>#DIV/0!</v>
      </c>
      <c r="FO28" s="166">
        <v>1618840</v>
      </c>
      <c r="FP28" s="165">
        <f t="shared" ref="FP28" si="194">FO28/FO$6</f>
        <v>0.16312525267263664</v>
      </c>
      <c r="FQ28" s="165" t="e">
        <f t="shared" ref="FQ28" si="195">(FO28/FC28)-1</f>
        <v>#DIV/0!</v>
      </c>
      <c r="FR28" s="166">
        <v>1586325</v>
      </c>
      <c r="FS28" s="165">
        <f t="shared" ref="FS28" si="196">FR28/FR$6</f>
        <v>0.15548690658758912</v>
      </c>
      <c r="FT28" s="165" t="e">
        <f t="shared" ref="FT28" si="197">(FR28/FF28)-1</f>
        <v>#DIV/0!</v>
      </c>
      <c r="FU28" s="166">
        <v>1634690</v>
      </c>
      <c r="FV28" s="165">
        <f t="shared" ref="FV28" si="198">FU28/FU$6</f>
        <v>0.14149605008334704</v>
      </c>
      <c r="FW28" s="165" t="e">
        <f t="shared" ref="FW28" si="199">(FU28/FI28)-1</f>
        <v>#DIV/0!</v>
      </c>
      <c r="FX28" s="166">
        <v>1589206</v>
      </c>
      <c r="FY28" s="165">
        <f t="shared" ref="FY28" si="200">FX28/FX$6</f>
        <v>0.13813826447640867</v>
      </c>
      <c r="FZ28" s="165">
        <f t="shared" ref="FZ28" si="201">(FX28/FL28)-1</f>
        <v>-3.8353176956385959E-2</v>
      </c>
      <c r="GA28" s="166">
        <v>1528457</v>
      </c>
      <c r="GB28" s="165">
        <f t="shared" si="97"/>
        <v>0.11914940289931354</v>
      </c>
      <c r="GC28" s="165">
        <f t="shared" si="184"/>
        <v>-5.5831953744656659E-2</v>
      </c>
      <c r="GD28" s="166">
        <v>1649238</v>
      </c>
      <c r="GE28" s="165">
        <f t="shared" si="99"/>
        <v>0.12703948285676653</v>
      </c>
      <c r="GF28" s="165">
        <f t="shared" si="185"/>
        <v>3.9659590563093872E-2</v>
      </c>
      <c r="GG28" s="166">
        <v>1700038</v>
      </c>
      <c r="GH28" s="165">
        <f t="shared" si="101"/>
        <v>0.11610232975971521</v>
      </c>
      <c r="GI28" s="165">
        <f t="shared" si="186"/>
        <v>3.9975775223436871E-2</v>
      </c>
    </row>
    <row r="29" spans="1:254" s="151" customFormat="1" ht="16.5" customHeight="1">
      <c r="B29" s="163" t="s">
        <v>157</v>
      </c>
      <c r="C29" s="164" t="s">
        <v>159</v>
      </c>
      <c r="D29" s="7">
        <v>21592</v>
      </c>
      <c r="E29" s="165">
        <f t="shared" si="0"/>
        <v>3.2107731610769595E-2</v>
      </c>
      <c r="F29" s="166">
        <v>29021</v>
      </c>
      <c r="G29" s="165">
        <f t="shared" si="1"/>
        <v>4.1289050384563951E-2</v>
      </c>
      <c r="H29" s="7">
        <v>27581</v>
      </c>
      <c r="I29" s="165">
        <f t="shared" si="2"/>
        <v>3.1562733522000994E-2</v>
      </c>
      <c r="J29" s="7">
        <v>34710</v>
      </c>
      <c r="K29" s="165">
        <f>J29/$J$6</f>
        <v>3.2521803006509982E-2</v>
      </c>
      <c r="L29" s="166">
        <v>36255</v>
      </c>
      <c r="M29" s="165">
        <f t="shared" si="4"/>
        <v>3.9268504287529288E-2</v>
      </c>
      <c r="N29" s="165">
        <f>(L29/D29)-1</f>
        <v>0.67909410892923305</v>
      </c>
      <c r="O29" s="166">
        <v>37811</v>
      </c>
      <c r="P29" s="165">
        <f t="shared" si="6"/>
        <v>3.5706528616406247E-2</v>
      </c>
      <c r="Q29" s="165">
        <f>(O29/F29)-1</f>
        <v>0.30288411839702278</v>
      </c>
      <c r="R29" s="166">
        <v>38446</v>
      </c>
      <c r="S29" s="165">
        <f t="shared" si="8"/>
        <v>3.4495691403263841E-2</v>
      </c>
      <c r="T29" s="165">
        <f>(R29/H29)-1</f>
        <v>0.3939306044015809</v>
      </c>
      <c r="U29" s="166">
        <v>39308</v>
      </c>
      <c r="V29" s="165">
        <f t="shared" si="10"/>
        <v>2.756285927851895E-2</v>
      </c>
      <c r="W29" s="165">
        <f>(U29/J29)-1</f>
        <v>0.13246902909824265</v>
      </c>
      <c r="X29" s="166">
        <v>39472</v>
      </c>
      <c r="Y29" s="165">
        <f t="shared" si="12"/>
        <v>3.1144099056413962E-2</v>
      </c>
      <c r="Z29" s="165">
        <f>(X29/L29)-1</f>
        <v>8.8732588608467777E-2</v>
      </c>
      <c r="AA29" s="166">
        <v>38808</v>
      </c>
      <c r="AB29" s="165">
        <f t="shared" si="14"/>
        <v>2.9402606140089691E-2</v>
      </c>
      <c r="AC29" s="165">
        <f>(AA29/O29)-1</f>
        <v>2.6367988151596133E-2</v>
      </c>
      <c r="AD29" s="166">
        <v>39568</v>
      </c>
      <c r="AE29" s="165">
        <f t="shared" si="16"/>
        <v>2.9169852020208348E-2</v>
      </c>
      <c r="AF29" s="165">
        <f>(AD29/R29)-1</f>
        <v>2.9183790251261499E-2</v>
      </c>
      <c r="AG29" s="166">
        <v>51409</v>
      </c>
      <c r="AH29" s="165">
        <f t="shared" si="18"/>
        <v>3.1963694604925777E-2</v>
      </c>
      <c r="AI29" s="165">
        <f>(AG29/U29)-1</f>
        <v>0.30785081917166979</v>
      </c>
      <c r="AJ29" s="166">
        <v>48979</v>
      </c>
      <c r="AK29" s="165">
        <f t="shared" si="20"/>
        <v>3.359290981717622E-2</v>
      </c>
      <c r="AL29" s="165">
        <f>(AJ29/X29)-1</f>
        <v>0.2408542764491286</v>
      </c>
      <c r="AM29" s="166">
        <v>47796</v>
      </c>
      <c r="AN29" s="165">
        <f t="shared" si="22"/>
        <v>3.1738569174621895E-2</v>
      </c>
      <c r="AO29" s="165">
        <f>(AM29/AA29)-1</f>
        <v>0.23160173160173159</v>
      </c>
      <c r="AP29" s="166">
        <v>49544</v>
      </c>
      <c r="AQ29" s="165">
        <f t="shared" si="24"/>
        <v>3.4520528092173659E-2</v>
      </c>
      <c r="AR29" s="165">
        <f>(AP29/AD29)-1</f>
        <v>0.25212292761827748</v>
      </c>
      <c r="AS29" s="166">
        <v>50480</v>
      </c>
      <c r="AT29" s="165">
        <f t="shared" si="26"/>
        <v>3.1038733855769496E-2</v>
      </c>
      <c r="AU29" s="165">
        <f>(AS29/AG29)-1</f>
        <v>-1.8070765819214518E-2</v>
      </c>
      <c r="AV29" s="166">
        <v>46528</v>
      </c>
      <c r="AW29" s="165">
        <f>AV29/$AV$6</f>
        <v>3.2039972840944619E-2</v>
      </c>
      <c r="AX29" s="165">
        <f>(AV29/AJ29)-1</f>
        <v>-5.0041854672410624E-2</v>
      </c>
      <c r="AY29" s="166">
        <v>43842</v>
      </c>
      <c r="AZ29" s="165">
        <f t="shared" si="30"/>
        <v>2.7637115507660692E-2</v>
      </c>
      <c r="BA29" s="165">
        <f>(AY29/AM29)-1</f>
        <v>-8.2726587998995682E-2</v>
      </c>
      <c r="BB29" s="166">
        <v>41490</v>
      </c>
      <c r="BC29" s="165">
        <f>BB29/$BB$6</f>
        <v>2.5457267500720953E-2</v>
      </c>
      <c r="BD29" s="165">
        <f>(BB29/AP29)-1</f>
        <v>-0.16256257064427582</v>
      </c>
      <c r="BE29" s="166">
        <v>46113</v>
      </c>
      <c r="BF29" s="165">
        <f>BE29/$BE$6</f>
        <v>2.4002223613715824E-2</v>
      </c>
      <c r="BG29" s="165">
        <f>(BE29/AS29)-1</f>
        <v>-8.6509508716323347E-2</v>
      </c>
      <c r="BH29" s="166">
        <v>43529</v>
      </c>
      <c r="BI29" s="165">
        <f t="shared" si="145"/>
        <v>2.3758270283959607E-2</v>
      </c>
      <c r="BJ29" s="165">
        <f t="shared" si="146"/>
        <v>-6.4455811554332887E-2</v>
      </c>
      <c r="BK29" s="166">
        <v>41974</v>
      </c>
      <c r="BL29" s="165">
        <f t="shared" si="147"/>
        <v>2.2423445947389788E-2</v>
      </c>
      <c r="BM29" s="165">
        <f t="shared" si="148"/>
        <v>-4.2607545276219128E-2</v>
      </c>
      <c r="BN29" s="166">
        <v>41006</v>
      </c>
      <c r="BO29" s="165">
        <f t="shared" si="36"/>
        <v>2.1519110897467518E-2</v>
      </c>
      <c r="BP29" s="165">
        <f>(BN29/BB29)-1</f>
        <v>-1.1665461557001655E-2</v>
      </c>
      <c r="BQ29" s="166">
        <v>66977</v>
      </c>
      <c r="BR29" s="165">
        <f t="shared" si="38"/>
        <v>2.7270598917351889E-2</v>
      </c>
      <c r="BS29" s="165">
        <f>(BQ29/BE29)-1</f>
        <v>0.45245375490642559</v>
      </c>
      <c r="BT29" s="166">
        <v>67770</v>
      </c>
      <c r="BU29" s="165">
        <f>BT29/$BT$6</f>
        <v>3.0636338033135344E-2</v>
      </c>
      <c r="BV29" s="165">
        <f>(BT29/BH29)-1</f>
        <v>0.55689310574559481</v>
      </c>
      <c r="BW29" s="168">
        <v>235930</v>
      </c>
      <c r="BX29" s="165">
        <f t="shared" si="42"/>
        <v>0.10585008706060862</v>
      </c>
      <c r="BY29" s="165">
        <f>(BW29/BK29)-1</f>
        <v>4.6208605327107257</v>
      </c>
      <c r="BZ29" s="166">
        <v>247432</v>
      </c>
      <c r="CA29" s="165">
        <f t="shared" si="149"/>
        <v>9.2966006044638949E-2</v>
      </c>
      <c r="CB29" s="165">
        <f>(BZ29/BN29)-1</f>
        <v>5.0340437984685167</v>
      </c>
      <c r="CC29" s="166">
        <v>204858</v>
      </c>
      <c r="CD29" s="165">
        <f>CC29/$CC$6</f>
        <v>6.8663558017686588E-2</v>
      </c>
      <c r="CE29" s="165">
        <f>(CC29/BQ29)-1</f>
        <v>2.0586320677247412</v>
      </c>
      <c r="CF29" s="166">
        <v>209733</v>
      </c>
      <c r="CG29" s="188">
        <f t="shared" si="150"/>
        <v>7.3345859968169336E-2</v>
      </c>
      <c r="CH29" s="165">
        <f>(CF29/BT29)-1</f>
        <v>2.0947764497565293</v>
      </c>
      <c r="CI29" s="166">
        <v>226507</v>
      </c>
      <c r="CJ29" s="188">
        <f t="shared" si="151"/>
        <v>7.7844706500158609E-2</v>
      </c>
      <c r="CK29" s="165">
        <f>(CI29/BW29)-1</f>
        <v>-3.9939812656296314E-2</v>
      </c>
      <c r="CL29" s="166">
        <v>275215</v>
      </c>
      <c r="CM29" s="165">
        <f t="shared" si="152"/>
        <v>8.2841812968913436E-2</v>
      </c>
      <c r="CN29" s="165">
        <f>(CL29/BZ29)-1</f>
        <v>0.11228539558343309</v>
      </c>
      <c r="CO29" s="166">
        <v>256165</v>
      </c>
      <c r="CP29" s="165">
        <f t="shared" si="153"/>
        <v>6.7947771210187302E-2</v>
      </c>
      <c r="CQ29" s="165">
        <f t="shared" si="154"/>
        <v>0.25045153228089712</v>
      </c>
      <c r="CR29" s="166">
        <v>256630</v>
      </c>
      <c r="CS29" s="165">
        <f t="shared" si="103"/>
        <v>7.362731661524928E-2</v>
      </c>
      <c r="CT29" s="165">
        <f>(CR29/CF29)-1</f>
        <v>0.22360334329838416</v>
      </c>
      <c r="CU29" s="166">
        <f>298025-40000</f>
        <v>258025</v>
      </c>
      <c r="CV29" s="165">
        <f t="shared" si="155"/>
        <v>7.3445755175502697E-2</v>
      </c>
      <c r="CW29" s="165">
        <f>(CU29/CI29)-1</f>
        <v>0.13914801750056283</v>
      </c>
      <c r="CX29" s="166">
        <v>308051</v>
      </c>
      <c r="CY29" s="165">
        <f t="shared" si="140"/>
        <v>7.6716699565924792E-2</v>
      </c>
      <c r="CZ29" s="165">
        <f>(CX29/CL29)-1</f>
        <v>0.11931035735697537</v>
      </c>
      <c r="DA29" s="166">
        <v>322203</v>
      </c>
      <c r="DB29" s="165">
        <f t="shared" si="76"/>
        <v>7.1354509465568122E-2</v>
      </c>
      <c r="DC29" s="165">
        <f>(DA29/CO29)-1</f>
        <v>0.25779478070774697</v>
      </c>
      <c r="DD29" s="166">
        <v>313311</v>
      </c>
      <c r="DE29" s="165">
        <f t="shared" si="136"/>
        <v>7.285135009762389E-2</v>
      </c>
      <c r="DF29" s="165">
        <f>(DD29/CR29)-1</f>
        <v>0.22086661730896617</v>
      </c>
      <c r="DG29" s="166">
        <v>340559</v>
      </c>
      <c r="DH29" s="165">
        <f t="shared" si="187"/>
        <v>7.7311953376596312E-2</v>
      </c>
      <c r="DI29" s="165">
        <f t="shared" si="78"/>
        <v>0.31986822982269159</v>
      </c>
      <c r="DJ29" s="166">
        <v>350791</v>
      </c>
      <c r="DK29" s="165">
        <f t="shared" si="53"/>
        <v>7.7795423391608207E-2</v>
      </c>
      <c r="DL29" s="165">
        <f>(DJ29/CX29)-1</f>
        <v>0.13874326004460302</v>
      </c>
      <c r="DM29" s="166">
        <v>368084</v>
      </c>
      <c r="DN29" s="165">
        <f t="shared" si="80"/>
        <v>6.9203241867419121E-2</v>
      </c>
      <c r="DO29" s="165">
        <f>(DM29/DA29)-1</f>
        <v>0.14239780511044287</v>
      </c>
      <c r="DP29" s="166">
        <v>361394</v>
      </c>
      <c r="DQ29" s="165">
        <f t="shared" si="55"/>
        <v>7.1197803745728608E-2</v>
      </c>
      <c r="DR29" s="165">
        <f>(DP29/DD29)-1</f>
        <v>0.15346732160696552</v>
      </c>
      <c r="DS29" s="166">
        <v>371837</v>
      </c>
      <c r="DT29" s="165">
        <f t="shared" si="81"/>
        <v>7.1073661724180975E-2</v>
      </c>
      <c r="DU29" s="165">
        <f>(DS29/DG29)-1</f>
        <v>9.1843116758036025E-2</v>
      </c>
      <c r="DV29" s="166">
        <v>386715</v>
      </c>
      <c r="DW29" s="165">
        <f>DV29/DV$6</f>
        <v>7.3065110826234778E-2</v>
      </c>
      <c r="DX29" s="165">
        <f>(DV29/DJ29)-1</f>
        <v>0.10240855666194393</v>
      </c>
      <c r="DY29" s="166">
        <v>421797</v>
      </c>
      <c r="DZ29" s="165">
        <f t="shared" si="144"/>
        <v>7.1933358334531378E-2</v>
      </c>
      <c r="EA29" s="165">
        <f>(DY29/DM29)-1</f>
        <v>0.14592592995077203</v>
      </c>
      <c r="EB29" s="166">
        <v>420496</v>
      </c>
      <c r="EC29" s="165">
        <f t="shared" si="84"/>
        <v>7.5476141414736103E-2</v>
      </c>
      <c r="ED29" s="165">
        <f>(EB29/DP29)-1</f>
        <v>0.16353896301543469</v>
      </c>
      <c r="EE29" s="166">
        <v>470286</v>
      </c>
      <c r="EF29" s="165">
        <f t="shared" si="158"/>
        <v>8.0907762920638698E-2</v>
      </c>
      <c r="EG29" s="165">
        <f>(EE29/DS29)-1</f>
        <v>0.2647638615845116</v>
      </c>
      <c r="EH29" s="166">
        <v>472011</v>
      </c>
      <c r="EI29" s="165">
        <f t="shared" si="159"/>
        <v>8.3183535965114477E-2</v>
      </c>
      <c r="EJ29" s="165">
        <f>(EH29/DV29)-1</f>
        <v>0.22056553275668134</v>
      </c>
      <c r="EK29" s="166">
        <v>500244</v>
      </c>
      <c r="EL29" s="165">
        <f t="shared" si="160"/>
        <v>7.7255231180075642E-2</v>
      </c>
      <c r="EM29" s="165">
        <f>(EK29/DY29)-1</f>
        <v>0.18598283060334708</v>
      </c>
      <c r="EN29" s="166">
        <v>495518</v>
      </c>
      <c r="EO29" s="165">
        <f t="shared" si="161"/>
        <v>7.9258455714287079E-2</v>
      </c>
      <c r="EP29" s="165">
        <f>(EN29/EB29)-1</f>
        <v>0.17841311213424138</v>
      </c>
      <c r="EQ29" s="166">
        <v>501811</v>
      </c>
      <c r="ER29" s="165">
        <f t="shared" si="162"/>
        <v>7.6072161155446821E-2</v>
      </c>
      <c r="ES29" s="165">
        <f>(EQ29/EE29)-1</f>
        <v>6.7033677379296774E-2</v>
      </c>
      <c r="ET29" s="166">
        <v>501558</v>
      </c>
      <c r="EU29" s="165">
        <f t="shared" si="163"/>
        <v>7.7322565233659032E-2</v>
      </c>
      <c r="EV29" s="165">
        <f>(ET29/EH29)-1</f>
        <v>6.2598117416755139E-2</v>
      </c>
      <c r="EW29" s="166">
        <v>526235</v>
      </c>
      <c r="EX29" s="165">
        <f t="shared" si="164"/>
        <v>6.9721627556521504E-2</v>
      </c>
      <c r="EY29" s="165">
        <f>(EW29/EK29)-1</f>
        <v>5.1956645157163361E-2</v>
      </c>
      <c r="EZ29" s="166">
        <v>538370</v>
      </c>
      <c r="FA29" s="165">
        <f t="shared" si="176"/>
        <v>7.661715827576171E-2</v>
      </c>
      <c r="FB29" s="165">
        <f>(EZ29/EN29)-1</f>
        <v>8.6479199544718943E-2</v>
      </c>
      <c r="FC29" s="166">
        <v>565794</v>
      </c>
      <c r="FD29" s="165">
        <f t="shared" si="177"/>
        <v>7.7449722509950636E-2</v>
      </c>
      <c r="FE29" s="165">
        <f>(FC29/EQ29)-1</f>
        <v>0.12750417986054519</v>
      </c>
      <c r="FF29" s="166">
        <v>582622</v>
      </c>
      <c r="FG29" s="165">
        <f t="shared" si="88"/>
        <v>7.7196574329305559E-2</v>
      </c>
      <c r="FH29" s="165">
        <f t="shared" si="89"/>
        <v>0.16162437843679101</v>
      </c>
      <c r="FI29" s="166">
        <v>635076</v>
      </c>
      <c r="FJ29" s="165">
        <f t="shared" si="108"/>
        <v>7.1995527062090586E-2</v>
      </c>
      <c r="FK29" s="165">
        <f t="shared" si="178"/>
        <v>0.20682964835102191</v>
      </c>
      <c r="FL29" s="166">
        <v>632852</v>
      </c>
      <c r="FM29" s="165">
        <f t="shared" si="109"/>
        <v>6.2888293115659147E-2</v>
      </c>
      <c r="FN29" s="165">
        <f t="shared" si="179"/>
        <v>0.17549640581756032</v>
      </c>
      <c r="FO29" s="166">
        <v>681707</v>
      </c>
      <c r="FP29" s="165">
        <f t="shared" si="73"/>
        <v>6.8693401833229403E-2</v>
      </c>
      <c r="FQ29" s="165">
        <f t="shared" ref="FQ29" si="202">(FO29/FC29)-1</f>
        <v>0.2048678494292977</v>
      </c>
      <c r="FR29" s="166">
        <v>713478</v>
      </c>
      <c r="FS29" s="165">
        <f t="shared" ref="FS29" si="203">FR29/FR$6</f>
        <v>6.9933013183490086E-2</v>
      </c>
      <c r="FT29" s="165">
        <f t="shared" ref="FT29" si="204">(FR29/FF29)-1</f>
        <v>0.22459845319950156</v>
      </c>
      <c r="FU29" s="166">
        <v>784235</v>
      </c>
      <c r="FV29" s="165">
        <f t="shared" ref="FV29" si="205">FU29/FU$6</f>
        <v>6.7882078459593959E-2</v>
      </c>
      <c r="FW29" s="165">
        <f t="shared" ref="FW29" si="206">(FU29/FI29)-1</f>
        <v>0.23486795281194683</v>
      </c>
      <c r="FX29" s="166">
        <v>796489</v>
      </c>
      <c r="FY29" s="165">
        <f t="shared" ref="FY29" si="207">FX29/FX$6</f>
        <v>6.9233068673633408E-2</v>
      </c>
      <c r="FZ29" s="165">
        <f t="shared" ref="FZ29" si="208">(FX29/FL29)-1</f>
        <v>0.25857072427676608</v>
      </c>
      <c r="GA29" s="166">
        <v>874740</v>
      </c>
      <c r="GB29" s="165">
        <f t="shared" si="97"/>
        <v>6.8189519686942798E-2</v>
      </c>
      <c r="GC29" s="165">
        <f t="shared" si="184"/>
        <v>0.28316124082633731</v>
      </c>
      <c r="GD29" s="166">
        <v>913717</v>
      </c>
      <c r="GE29" s="165">
        <f t="shared" si="99"/>
        <v>7.0382889041749053E-2</v>
      </c>
      <c r="GF29" s="165">
        <f t="shared" si="185"/>
        <v>0.28065196123776759</v>
      </c>
      <c r="GG29" s="166">
        <v>940636</v>
      </c>
      <c r="GH29" s="165">
        <f t="shared" si="101"/>
        <v>6.4239758791191412E-2</v>
      </c>
      <c r="GI29" s="165">
        <f t="shared" si="186"/>
        <v>0.19943129291602646</v>
      </c>
    </row>
    <row r="30" spans="1:254" s="153" customFormat="1" ht="16.5" customHeight="1">
      <c r="A30" s="152"/>
      <c r="B30" s="294" t="s">
        <v>15</v>
      </c>
      <c r="C30" s="295" t="s">
        <v>150</v>
      </c>
      <c r="D30" s="296"/>
      <c r="E30" s="297"/>
      <c r="F30" s="298"/>
      <c r="G30" s="297"/>
      <c r="H30" s="298"/>
      <c r="I30" s="297"/>
      <c r="J30" s="298"/>
      <c r="K30" s="297"/>
      <c r="L30" s="298"/>
      <c r="M30" s="297"/>
      <c r="N30" s="302"/>
      <c r="O30" s="298"/>
      <c r="P30" s="297"/>
      <c r="Q30" s="302"/>
      <c r="R30" s="298"/>
      <c r="S30" s="297"/>
      <c r="T30" s="302"/>
      <c r="U30" s="298"/>
      <c r="V30" s="297"/>
      <c r="W30" s="302"/>
      <c r="X30" s="299"/>
      <c r="Y30" s="297"/>
      <c r="Z30" s="302"/>
      <c r="AA30" s="300"/>
      <c r="AB30" s="297"/>
      <c r="AC30" s="302"/>
      <c r="AD30" s="300"/>
      <c r="AE30" s="297"/>
      <c r="AF30" s="302"/>
      <c r="AG30" s="300"/>
      <c r="AH30" s="297"/>
      <c r="AI30" s="302"/>
      <c r="AJ30" s="300"/>
      <c r="AK30" s="297"/>
      <c r="AL30" s="302"/>
      <c r="AM30" s="300"/>
      <c r="AN30" s="297"/>
      <c r="AO30" s="302"/>
      <c r="AP30" s="300"/>
      <c r="AQ30" s="297"/>
      <c r="AR30" s="302"/>
      <c r="AS30" s="300"/>
      <c r="AT30" s="297"/>
      <c r="AU30" s="302"/>
      <c r="AV30" s="300"/>
      <c r="AW30" s="297"/>
      <c r="AX30" s="302"/>
      <c r="AY30" s="300"/>
      <c r="AZ30" s="297"/>
      <c r="BA30" s="302"/>
      <c r="BB30" s="300"/>
      <c r="BC30" s="297"/>
      <c r="BD30" s="302"/>
      <c r="BE30" s="300"/>
      <c r="BF30" s="297"/>
      <c r="BG30" s="302"/>
      <c r="BH30" s="300"/>
      <c r="BI30" s="297"/>
      <c r="BJ30" s="302"/>
      <c r="BK30" s="300"/>
      <c r="BL30" s="297"/>
      <c r="BM30" s="302"/>
      <c r="BN30" s="300"/>
      <c r="BO30" s="297"/>
      <c r="BP30" s="302"/>
      <c r="BQ30" s="300"/>
      <c r="BR30" s="297"/>
      <c r="BS30" s="302"/>
      <c r="BT30" s="300"/>
      <c r="BU30" s="297"/>
      <c r="BV30" s="302"/>
      <c r="BW30" s="301"/>
      <c r="BX30" s="297"/>
      <c r="BY30" s="302"/>
      <c r="BZ30" s="300"/>
      <c r="CA30" s="297"/>
      <c r="CB30" s="302"/>
      <c r="CC30" s="300"/>
      <c r="CD30" s="297"/>
      <c r="CE30" s="302"/>
      <c r="CF30" s="300"/>
      <c r="CG30" s="297"/>
      <c r="CH30" s="302"/>
      <c r="CI30" s="301"/>
      <c r="CJ30" s="297"/>
      <c r="CK30" s="302"/>
      <c r="CL30" s="301"/>
      <c r="CM30" s="302"/>
      <c r="CN30" s="302"/>
      <c r="CO30" s="301"/>
      <c r="CP30" s="302"/>
      <c r="CQ30" s="302"/>
      <c r="CR30" s="301"/>
      <c r="CS30" s="302"/>
      <c r="CT30" s="302"/>
      <c r="CU30" s="301"/>
      <c r="CV30" s="302"/>
      <c r="CW30" s="302"/>
      <c r="CX30" s="301"/>
      <c r="CY30" s="302"/>
      <c r="CZ30" s="302"/>
      <c r="DA30" s="301"/>
      <c r="DB30" s="302"/>
      <c r="DC30" s="302"/>
      <c r="DD30" s="301"/>
      <c r="DE30" s="302"/>
      <c r="DF30" s="302"/>
      <c r="DG30" s="301"/>
      <c r="DH30" s="302"/>
      <c r="DI30" s="302"/>
      <c r="DJ30" s="301"/>
      <c r="DK30" s="302"/>
      <c r="DL30" s="302"/>
      <c r="DM30" s="301"/>
      <c r="DN30" s="302"/>
      <c r="DO30" s="302"/>
      <c r="DP30" s="301"/>
      <c r="DQ30" s="302"/>
      <c r="DR30" s="302"/>
      <c r="DS30" s="301"/>
      <c r="DT30" s="302"/>
      <c r="DU30" s="302"/>
      <c r="DV30" s="301"/>
      <c r="DW30" s="302"/>
      <c r="DX30" s="302"/>
      <c r="DY30" s="301"/>
      <c r="DZ30" s="302"/>
      <c r="EA30" s="302"/>
      <c r="EB30" s="301"/>
      <c r="EC30" s="302"/>
      <c r="ED30" s="302"/>
      <c r="EE30" s="301"/>
      <c r="EF30" s="302"/>
      <c r="EG30" s="302"/>
      <c r="EH30" s="301"/>
      <c r="EI30" s="302"/>
      <c r="EJ30" s="302"/>
      <c r="EK30" s="301"/>
      <c r="EL30" s="302"/>
      <c r="EM30" s="302"/>
      <c r="EN30" s="301"/>
      <c r="EO30" s="302"/>
      <c r="EP30" s="302"/>
      <c r="EQ30" s="301"/>
      <c r="ER30" s="302"/>
      <c r="ES30" s="302"/>
      <c r="ET30" s="301"/>
      <c r="EU30" s="302"/>
      <c r="EV30" s="302"/>
      <c r="EW30" s="301"/>
      <c r="EX30" s="302"/>
      <c r="EY30" s="302"/>
      <c r="EZ30" s="301"/>
      <c r="FA30" s="302"/>
      <c r="FB30" s="302"/>
      <c r="FC30" s="301"/>
      <c r="FD30" s="302"/>
      <c r="FE30" s="302"/>
      <c r="FF30" s="301"/>
      <c r="FG30" s="302"/>
      <c r="FH30" s="302"/>
      <c r="FI30" s="301"/>
      <c r="FJ30" s="302"/>
      <c r="FK30" s="302"/>
      <c r="FL30" s="301"/>
      <c r="FM30" s="302"/>
      <c r="FN30" s="302"/>
      <c r="FO30" s="301"/>
      <c r="FP30" s="302"/>
      <c r="FQ30" s="302"/>
      <c r="FR30" s="301"/>
      <c r="FS30" s="302"/>
      <c r="FT30" s="302"/>
      <c r="FU30" s="301"/>
      <c r="FV30" s="302"/>
      <c r="FW30" s="302"/>
      <c r="FX30" s="301"/>
      <c r="FY30" s="302"/>
      <c r="FZ30" s="302"/>
      <c r="GA30" s="301"/>
      <c r="GB30" s="302"/>
      <c r="GC30" s="302"/>
      <c r="GD30" s="301"/>
      <c r="GE30" s="302"/>
      <c r="GF30" s="302"/>
      <c r="GG30" s="301"/>
      <c r="GH30" s="302"/>
      <c r="GI30" s="302"/>
      <c r="GJ30" s="171"/>
      <c r="GK30" s="171"/>
      <c r="GL30" s="171"/>
      <c r="GM30" s="171"/>
      <c r="GN30" s="171"/>
      <c r="GO30" s="171"/>
      <c r="GP30" s="171"/>
      <c r="GQ30" s="171"/>
      <c r="GR30" s="171"/>
      <c r="GS30" s="171"/>
      <c r="GT30" s="171"/>
      <c r="GU30" s="171"/>
      <c r="GV30" s="171"/>
      <c r="GW30" s="171"/>
      <c r="GX30" s="171"/>
      <c r="GY30" s="171"/>
      <c r="GZ30" s="171"/>
      <c r="HA30" s="171"/>
      <c r="HB30" s="171"/>
      <c r="HC30" s="171"/>
      <c r="HD30" s="171"/>
      <c r="HE30" s="171"/>
      <c r="HF30" s="171"/>
      <c r="HG30" s="171"/>
      <c r="HH30" s="171"/>
      <c r="HI30" s="171"/>
      <c r="HJ30" s="171"/>
      <c r="HK30" s="171"/>
      <c r="HL30" s="171"/>
      <c r="HM30" s="171"/>
      <c r="HN30" s="171"/>
      <c r="HO30" s="171"/>
      <c r="HP30" s="171"/>
      <c r="HQ30" s="171"/>
      <c r="HR30" s="171"/>
      <c r="HS30" s="171"/>
      <c r="HT30" s="171"/>
      <c r="HU30" s="171"/>
      <c r="HV30" s="171"/>
      <c r="HW30" s="171"/>
      <c r="HX30" s="171"/>
      <c r="HY30" s="171"/>
      <c r="HZ30" s="171"/>
      <c r="IA30" s="171"/>
      <c r="IB30" s="171"/>
      <c r="IC30" s="171"/>
      <c r="ID30" s="171"/>
      <c r="IE30" s="171"/>
      <c r="IF30" s="171"/>
      <c r="IG30" s="171"/>
      <c r="IH30" s="171"/>
      <c r="II30" s="171"/>
      <c r="IJ30" s="171"/>
      <c r="IK30" s="171"/>
      <c r="IL30" s="171"/>
      <c r="IM30" s="171"/>
      <c r="IN30" s="171"/>
      <c r="IO30" s="171"/>
      <c r="IP30" s="171"/>
      <c r="IQ30" s="171"/>
      <c r="IR30" s="171"/>
      <c r="IS30" s="171"/>
      <c r="IT30" s="171"/>
    </row>
    <row r="31" spans="1:254" s="170" customFormat="1" ht="16.5" customHeight="1">
      <c r="B31" s="155" t="s">
        <v>270</v>
      </c>
      <c r="C31" s="156" t="s">
        <v>138</v>
      </c>
      <c r="D31" s="157">
        <f>D32+D50+D61</f>
        <v>672486</v>
      </c>
      <c r="E31" s="158">
        <f t="shared" ref="E31:E67" si="209">D31/$D$6</f>
        <v>1</v>
      </c>
      <c r="F31" s="157">
        <f>F32+F50+F61</f>
        <v>702874</v>
      </c>
      <c r="G31" s="158">
        <f t="shared" ref="G31:G67" si="210">F31/$F$6</f>
        <v>1</v>
      </c>
      <c r="H31" s="157">
        <f>H32+H50+H61</f>
        <v>873847</v>
      </c>
      <c r="I31" s="158">
        <f t="shared" ref="I31:I67" si="211">H31/$H$6</f>
        <v>1</v>
      </c>
      <c r="J31" s="157">
        <f>J32+J50+J61</f>
        <v>1067284</v>
      </c>
      <c r="K31" s="158">
        <f t="shared" ref="K31:K65" si="212">J31/$J$6</f>
        <v>1</v>
      </c>
      <c r="L31" s="157">
        <f>L32+L50+L61</f>
        <v>923259</v>
      </c>
      <c r="M31" s="158">
        <f t="shared" ref="M31:M50" si="213">L31/$L$6</f>
        <v>1</v>
      </c>
      <c r="N31" s="158">
        <f t="shared" ref="N31:N38" si="214">(L31/D31)-1</f>
        <v>0.37290441734103008</v>
      </c>
      <c r="O31" s="157">
        <f>O32+O50+O61</f>
        <v>1058938</v>
      </c>
      <c r="P31" s="158">
        <f t="shared" ref="P31:P50" si="215">O31/$O$6</f>
        <v>1</v>
      </c>
      <c r="Q31" s="158">
        <f t="shared" ref="Q31:Q38" si="216">(O31/F31)-1</f>
        <v>0.50658297219700832</v>
      </c>
      <c r="R31" s="157">
        <f>R32+R50+R61</f>
        <v>1114516</v>
      </c>
      <c r="S31" s="158">
        <f t="shared" ref="S31:S50" si="217">R31/$R$6</f>
        <v>1</v>
      </c>
      <c r="T31" s="158">
        <f t="shared" ref="T31:T38" si="218">(R31/H31)-1</f>
        <v>0.27541320162454075</v>
      </c>
      <c r="U31" s="157">
        <f>U32+U50+U61</f>
        <v>1426122</v>
      </c>
      <c r="V31" s="158">
        <f t="shared" ref="V31:V50" si="219">U31/$U$6</f>
        <v>1</v>
      </c>
      <c r="W31" s="158">
        <f t="shared" ref="W31:W38" si="220">(U31/J31)-1</f>
        <v>0.33621603996686922</v>
      </c>
      <c r="X31" s="157">
        <f>X32+X50+X61</f>
        <v>1267399</v>
      </c>
      <c r="Y31" s="158">
        <f t="shared" ref="Y31:Y50" si="221">X31/$X$6</f>
        <v>1</v>
      </c>
      <c r="Z31" s="158">
        <f t="shared" ref="Z31:Z38" si="222">(X31/L31)-1</f>
        <v>0.37274480941967525</v>
      </c>
      <c r="AA31" s="157">
        <f>AA32+AA50+AA61</f>
        <v>1319883</v>
      </c>
      <c r="AB31" s="158">
        <f t="shared" ref="AB31:AB50" si="223">AA31/$AA$6</f>
        <v>1</v>
      </c>
      <c r="AC31" s="158">
        <f t="shared" ref="AC31:AC38" si="224">(AA31/O31)-1</f>
        <v>0.24642141466261491</v>
      </c>
      <c r="AD31" s="157">
        <f>AD32+AD50+AD61</f>
        <v>1356469</v>
      </c>
      <c r="AE31" s="158">
        <f t="shared" ref="AE31:AE50" si="225">AD31/$AD$6</f>
        <v>1</v>
      </c>
      <c r="AF31" s="158">
        <f t="shared" ref="AF31:AF38" si="226">(AD31/R31)-1</f>
        <v>0.21709244192097743</v>
      </c>
      <c r="AG31" s="157">
        <f>AG32+AG50+AG61</f>
        <v>1608356</v>
      </c>
      <c r="AH31" s="158">
        <f t="shared" ref="AH31:AH50" si="227">AG31/$AG$6</f>
        <v>1</v>
      </c>
      <c r="AI31" s="158">
        <f t="shared" ref="AI31:AI38" si="228">(AG31/U31)-1</f>
        <v>0.12778289655443231</v>
      </c>
      <c r="AJ31" s="157">
        <f>AJ32+AJ50+AJ61</f>
        <v>1458016</v>
      </c>
      <c r="AK31" s="158">
        <f t="shared" ref="AK31:AK50" si="229">AJ31/$AJ$6</f>
        <v>1</v>
      </c>
      <c r="AL31" s="158">
        <f>(AJ31/X31)-1</f>
        <v>0.15040015022893338</v>
      </c>
      <c r="AM31" s="157">
        <f>AM32+AM50+AM61</f>
        <v>1505928</v>
      </c>
      <c r="AN31" s="158">
        <f t="shared" ref="AN31:AN51" si="230">AM31/$AM$6</f>
        <v>1</v>
      </c>
      <c r="AO31" s="158">
        <f>(AM31/AA31)-1</f>
        <v>0.1409556756167023</v>
      </c>
      <c r="AP31" s="157">
        <f>AP32+AP50+AP61</f>
        <v>1435204</v>
      </c>
      <c r="AQ31" s="158">
        <f t="shared" ref="AQ31:AQ51" si="231">AP31/$AP$6</f>
        <v>1</v>
      </c>
      <c r="AR31" s="158">
        <f>(AP31/AD31)-1</f>
        <v>5.8044083572864613E-2</v>
      </c>
      <c r="AS31" s="157">
        <f>AS32+AS50+AS61</f>
        <v>1626355</v>
      </c>
      <c r="AT31" s="158">
        <f t="shared" ref="AT31:AT51" si="232">AS31/$AS$6</f>
        <v>1</v>
      </c>
      <c r="AU31" s="158">
        <f>(AS31/AG31)-1</f>
        <v>1.119093036616281E-2</v>
      </c>
      <c r="AV31" s="157">
        <f>AV32+AV50+AV61</f>
        <v>1452186</v>
      </c>
      <c r="AW31" s="158">
        <f t="shared" ref="AW31:AW51" si="233">AV31/$AV$6</f>
        <v>1</v>
      </c>
      <c r="AX31" s="158">
        <f>(AV31/AJ31)-1</f>
        <v>-3.9985843776748631E-3</v>
      </c>
      <c r="AY31" s="157">
        <f>AY32+AY50+AY61</f>
        <v>1586345</v>
      </c>
      <c r="AZ31" s="158">
        <f t="shared" ref="AZ31:AZ51" si="234">AY31/$AY$6</f>
        <v>1</v>
      </c>
      <c r="BA31" s="158">
        <f>(AY31/AM31)-1</f>
        <v>5.3400295366046624E-2</v>
      </c>
      <c r="BB31" s="157">
        <f>BB32+BB50+BB61</f>
        <v>1629790</v>
      </c>
      <c r="BC31" s="158">
        <f t="shared" ref="BC31:BC51" si="235">BB31/$BB$6</f>
        <v>1</v>
      </c>
      <c r="BD31" s="158">
        <f>(BB31/AP31)-1</f>
        <v>0.13558072580622693</v>
      </c>
      <c r="BE31" s="157">
        <f>BE32+BE50+BE61</f>
        <v>1921197</v>
      </c>
      <c r="BF31" s="158">
        <f t="shared" ref="BF31:BF51" si="236">BE31/$BE$6</f>
        <v>1</v>
      </c>
      <c r="BG31" s="158">
        <f t="shared" ref="BG31:BG51" si="237">(BE31/AS31)-1</f>
        <v>0.18129006274767812</v>
      </c>
      <c r="BH31" s="157">
        <f>BH32+BH50+BH61</f>
        <v>1832162</v>
      </c>
      <c r="BI31" s="158">
        <f>BH31/$BH$6</f>
        <v>1</v>
      </c>
      <c r="BJ31" s="158">
        <f>(BH31/AV31)-1</f>
        <v>0.26165794188898661</v>
      </c>
      <c r="BK31" s="157">
        <f>BK32+BK50+BK61</f>
        <v>1871880</v>
      </c>
      <c r="BL31" s="158">
        <f>BK31/$BK$6</f>
        <v>1</v>
      </c>
      <c r="BM31" s="158">
        <f>(BK31/AY31)-1</f>
        <v>0.17999552430272114</v>
      </c>
      <c r="BN31" s="157">
        <f>BN32+BN50+BN61</f>
        <v>1905562</v>
      </c>
      <c r="BO31" s="158">
        <f t="shared" ref="BO31:BO51" si="238">BN31/$BN$6</f>
        <v>1</v>
      </c>
      <c r="BP31" s="158">
        <f t="shared" ref="BP31:BP51" si="239">(BN31/BB31)-1</f>
        <v>0.16920707575822647</v>
      </c>
      <c r="BQ31" s="157">
        <f>BQ32+BQ50+BQ61</f>
        <v>2456015</v>
      </c>
      <c r="BR31" s="158">
        <f t="shared" ref="BR31:BR67" si="240">BQ31/$BQ$6</f>
        <v>1</v>
      </c>
      <c r="BS31" s="158">
        <f t="shared" ref="BS31:BS51" si="241">(BQ31/BE31)-1</f>
        <v>0.27837749069980844</v>
      </c>
      <c r="BT31" s="157">
        <f>BT32+BT50+BT61</f>
        <v>2212079</v>
      </c>
      <c r="BU31" s="158">
        <f t="shared" ref="BU31:BU67" si="242">BT31/$BT$6</f>
        <v>1</v>
      </c>
      <c r="BV31" s="158">
        <f t="shared" ref="BV31:BV51" si="243">(BT31/BH31)-1</f>
        <v>0.20735993869537728</v>
      </c>
      <c r="BW31" s="159">
        <f>BW32+BW50+BW61</f>
        <v>2228907</v>
      </c>
      <c r="BX31" s="158">
        <f t="shared" ref="BX31:BX67" si="244">BW31/$BW$6</f>
        <v>1</v>
      </c>
      <c r="BY31" s="158">
        <f t="shared" ref="BY31:BY51" si="245">(BW31/BK31)-1</f>
        <v>0.19073177767805638</v>
      </c>
      <c r="BZ31" s="157">
        <f>BZ32+BZ50+BZ61</f>
        <v>2661531.9311654666</v>
      </c>
      <c r="CA31" s="158">
        <f>BZ31/$BZ$6</f>
        <v>0.99999997413725128</v>
      </c>
      <c r="CB31" s="158">
        <f t="shared" ref="CB31:CB51" si="246">(BZ31/BN31)-1</f>
        <v>0.39671757264548013</v>
      </c>
      <c r="CC31" s="157">
        <f>CC32+CC50+CC61</f>
        <v>2983504.3508295612</v>
      </c>
      <c r="CD31" s="158">
        <f>CC31/$CC$6</f>
        <v>1.0000001175897741</v>
      </c>
      <c r="CE31" s="158">
        <f>(CC31/BQ31)-1</f>
        <v>0.21477448257830734</v>
      </c>
      <c r="CF31" s="157">
        <f>CF32+CF50+CF61</f>
        <v>2859506.9928452717</v>
      </c>
      <c r="CG31" s="158">
        <f>CF31/$CF$6</f>
        <v>0.99999999749791546</v>
      </c>
      <c r="CH31" s="158">
        <f>(CF31/BT31)-1</f>
        <v>0.29267851322003957</v>
      </c>
      <c r="CI31" s="159">
        <f>CI32+CI50+CI61</f>
        <v>2909729.0413743593</v>
      </c>
      <c r="CJ31" s="158">
        <f>CI31/$CI$6</f>
        <v>1.0000000142193171</v>
      </c>
      <c r="CK31" s="158">
        <f>(CI31/BW31)-1</f>
        <v>0.30545107596429966</v>
      </c>
      <c r="CL31" s="159">
        <f>CL32+CL50+CL61</f>
        <v>3322175.26</v>
      </c>
      <c r="CM31" s="158">
        <f>CL31/$CL$6</f>
        <v>1.000000078261982</v>
      </c>
      <c r="CN31" s="158">
        <f>(CL31/BZ31)-1</f>
        <v>0.24821920079134352</v>
      </c>
      <c r="CO31" s="159">
        <f>CO32+CO50+CO61</f>
        <v>3770028</v>
      </c>
      <c r="CP31" s="158">
        <f>CO31/$CO$6</f>
        <v>1</v>
      </c>
      <c r="CQ31" s="158">
        <f>(CO31/CC31)-1</f>
        <v>0.26362409994533653</v>
      </c>
      <c r="CR31" s="159">
        <f>CR32+CR50+CR61</f>
        <v>3485527</v>
      </c>
      <c r="CS31" s="158">
        <f>CR31/$CR$31</f>
        <v>1</v>
      </c>
      <c r="CT31" s="158">
        <f t="shared" ref="CT31:CT53" si="247">(CR31/CF31)-1</f>
        <v>0.21892585285543387</v>
      </c>
      <c r="CU31" s="159">
        <f>CU32+CU50+CU61</f>
        <v>3513137</v>
      </c>
      <c r="CV31" s="158">
        <f>CU31/$CU$31</f>
        <v>1</v>
      </c>
      <c r="CW31" s="158">
        <f t="shared" ref="CW31:CW53" si="248">(CU31/CI31)-1</f>
        <v>0.20737599619950586</v>
      </c>
      <c r="CX31" s="159">
        <f>CX32+CX50+CX61</f>
        <v>4015436.0360000003</v>
      </c>
      <c r="CY31" s="158">
        <f t="shared" ref="CY31:CY53" si="249">CX31/$CX$31</f>
        <v>1</v>
      </c>
      <c r="CZ31" s="158">
        <f t="shared" ref="CZ31:CZ53" si="250">(CX31/CL31)-1</f>
        <v>0.20867676198395402</v>
      </c>
      <c r="DA31" s="159">
        <f>DA32+DA50+DA61</f>
        <v>4515524</v>
      </c>
      <c r="DB31" s="158">
        <f t="shared" ref="DB31:DB56" si="251">DA31/$DA$31</f>
        <v>1</v>
      </c>
      <c r="DC31" s="158">
        <f t="shared" ref="DC31:DC53" si="252">(DA31/CO31)-1</f>
        <v>0.1977428284352265</v>
      </c>
      <c r="DD31" s="159">
        <f>DD32+DD50+DD61</f>
        <v>4300689</v>
      </c>
      <c r="DE31" s="158">
        <f t="shared" ref="DE31:DE46" si="253">DD31/$CR$31</f>
        <v>1.233870516567509</v>
      </c>
      <c r="DF31" s="158">
        <f t="shared" ref="DF31:DF53" si="254">(DD31/CR31)-1</f>
        <v>0.23387051656750901</v>
      </c>
      <c r="DG31" s="159">
        <f>DG32+DG50+DG61</f>
        <v>4404997.9036800005</v>
      </c>
      <c r="DH31" s="158">
        <f t="shared" si="187"/>
        <v>0.99999997813392894</v>
      </c>
      <c r="DI31" s="158">
        <f t="shared" si="78"/>
        <v>0.25386453863882918</v>
      </c>
      <c r="DJ31" s="159">
        <f>DJ32+DJ50+DJ61</f>
        <v>4509147</v>
      </c>
      <c r="DK31" s="158">
        <f t="shared" si="53"/>
        <v>1</v>
      </c>
      <c r="DL31" s="158">
        <f t="shared" ref="DL31:DL53" si="255">(DJ31/CX31)-1</f>
        <v>0.12295326325053679</v>
      </c>
      <c r="DM31" s="159">
        <f>DM32+DM50+DM61</f>
        <v>5318884</v>
      </c>
      <c r="DN31" s="158">
        <f t="shared" si="80"/>
        <v>1.0000000432421559</v>
      </c>
      <c r="DO31" s="158">
        <f t="shared" ref="DO31:DO50" si="256">(DM31/DA31)-1</f>
        <v>0.17791069209243493</v>
      </c>
      <c r="DP31" s="159">
        <f>DP32+DP50+DP61</f>
        <v>5075915</v>
      </c>
      <c r="DQ31" s="158">
        <f t="shared" si="55"/>
        <v>1</v>
      </c>
      <c r="DR31" s="158">
        <f t="shared" ref="DR31:DR50" si="257">(DP31/DD31)-1</f>
        <v>0.18025623336167773</v>
      </c>
      <c r="DS31" s="159">
        <f>DS32+DS50+DS61</f>
        <v>5231713</v>
      </c>
      <c r="DT31" s="158">
        <f t="shared" si="81"/>
        <v>1</v>
      </c>
      <c r="DU31" s="158">
        <f>(DS31/DG31)-1</f>
        <v>0.18767661515328982</v>
      </c>
      <c r="DV31" s="159">
        <f>DV32+DV50+DV61</f>
        <v>5292745</v>
      </c>
      <c r="DW31" s="158">
        <f>DV31/DV$6</f>
        <v>1</v>
      </c>
      <c r="DX31" s="158">
        <f t="shared" ref="DX31:DX45" si="258">(DV31/DJ31)-1</f>
        <v>0.17377965278133534</v>
      </c>
      <c r="DY31" s="159">
        <f>DY32+DY50+DY61</f>
        <v>5863719</v>
      </c>
      <c r="DZ31" s="158">
        <f t="shared" si="144"/>
        <v>1</v>
      </c>
      <c r="EA31" s="158">
        <f t="shared" ref="EA31:EA49" si="259">(DY31/DM31)-1</f>
        <v>0.10243408203675819</v>
      </c>
      <c r="EB31" s="159">
        <f>EB32+EB50+EB61</f>
        <v>5571244</v>
      </c>
      <c r="EC31" s="158">
        <f t="shared" si="84"/>
        <v>1</v>
      </c>
      <c r="ED31" s="158">
        <f t="shared" ref="ED31:ED50" si="260">(EB31/DP31)-1</f>
        <v>9.7584179404107463E-2</v>
      </c>
      <c r="EE31" s="159">
        <f>EE32+EE50+EE61</f>
        <v>5812619</v>
      </c>
      <c r="EF31" s="158">
        <f>EE31/EE$6</f>
        <v>1</v>
      </c>
      <c r="EG31" s="158">
        <f>(EE31/DS31)-1</f>
        <v>0.11103552507563008</v>
      </c>
      <c r="EH31" s="159">
        <f>EH32+EH50+EH61</f>
        <v>5674332</v>
      </c>
      <c r="EI31" s="158">
        <f>EH31/EH$6</f>
        <v>1</v>
      </c>
      <c r="EJ31" s="158">
        <f>(EH31/DV31)-1</f>
        <v>7.209623739666271E-2</v>
      </c>
      <c r="EK31" s="159">
        <f>EK32+EK50+EK61</f>
        <v>6475212</v>
      </c>
      <c r="EL31" s="158">
        <f t="shared" ref="EL31:EL56" si="261">EK31/EK$6</f>
        <v>1</v>
      </c>
      <c r="EM31" s="158">
        <f>(EK31/DY31)-1</f>
        <v>0.10428415822790971</v>
      </c>
      <c r="EN31" s="159">
        <f>EN32+EN50+EN61</f>
        <v>6251926</v>
      </c>
      <c r="EO31" s="158">
        <f t="shared" ref="EO31:EO32" si="262">EN31/EN$6</f>
        <v>1</v>
      </c>
      <c r="EP31" s="158">
        <f>(EN31/EB31)-1</f>
        <v>0.12217773983691971</v>
      </c>
      <c r="EQ31" s="159">
        <f>EQ32+EQ50+EQ61</f>
        <v>6596513</v>
      </c>
      <c r="ER31" s="158">
        <f t="shared" ref="ER31:ER56" si="263">EQ31/EQ$6</f>
        <v>1</v>
      </c>
      <c r="ES31" s="158">
        <f>(EQ31/EE31)-1</f>
        <v>0.13486072285143758</v>
      </c>
      <c r="ET31" s="159">
        <f>ET32+ET50+ET61</f>
        <v>6486567</v>
      </c>
      <c r="EU31" s="158">
        <f t="shared" ref="EU31:EU56" si="264">ET31/ET$6</f>
        <v>1</v>
      </c>
      <c r="EV31" s="158">
        <f>(ET31/EH31)-1</f>
        <v>0.14314195926498474</v>
      </c>
      <c r="EW31" s="159">
        <f>EW32+EW50+EW61</f>
        <v>7547658</v>
      </c>
      <c r="EX31" s="158">
        <f t="shared" ref="EX31:EX56" si="265">EW31/EW$6</f>
        <v>1</v>
      </c>
      <c r="EY31" s="158">
        <f>(EW31/EK31)-1</f>
        <v>0.16562330314436036</v>
      </c>
      <c r="EZ31" s="159">
        <f>EZ32+EZ50+EZ61</f>
        <v>7026755</v>
      </c>
      <c r="FA31" s="158">
        <f t="shared" ref="FA31:FA34" si="266">EZ31/EZ$6</f>
        <v>1</v>
      </c>
      <c r="FB31" s="158">
        <f>(EZ31/EN31)-1</f>
        <v>0.12393444836039325</v>
      </c>
      <c r="FC31" s="159">
        <f>FC32+FC50+FC61</f>
        <v>7305307</v>
      </c>
      <c r="FD31" s="158">
        <f t="shared" ref="FD31:FD34" si="267">FC31/FC$6</f>
        <v>1</v>
      </c>
      <c r="FE31" s="158">
        <f>(FC31/EQ31)-1</f>
        <v>0.10744979961382617</v>
      </c>
      <c r="FF31" s="159">
        <f>FF32+FF50+FF61</f>
        <v>7547252</v>
      </c>
      <c r="FG31" s="158">
        <f t="shared" si="88"/>
        <v>1</v>
      </c>
      <c r="FH31" s="158">
        <f t="shared" si="89"/>
        <v>0.16352024113834029</v>
      </c>
      <c r="FI31" s="159">
        <f>FI32+FI50+FI61</f>
        <v>8821048</v>
      </c>
      <c r="FJ31" s="158">
        <f t="shared" ref="FJ31:FJ67" si="268">FI31/FI$6</f>
        <v>1</v>
      </c>
      <c r="FK31" s="158">
        <f t="shared" ref="FK31:FK34" si="269">(FI31/EW31)-1</f>
        <v>0.16871326178266166</v>
      </c>
      <c r="FL31" s="159">
        <f>FL32+FL50+FL61</f>
        <v>10063113</v>
      </c>
      <c r="FM31" s="158">
        <f t="shared" ref="FM31:FM67" si="270">FL31/FL$6</f>
        <v>1</v>
      </c>
      <c r="FN31" s="158">
        <f t="shared" ref="FN31:FN34" si="271">(FL31/EZ31)-1</f>
        <v>0.43211382779106433</v>
      </c>
      <c r="FO31" s="159">
        <f>FO32+FO50+FO61</f>
        <v>9923908</v>
      </c>
      <c r="FP31" s="158">
        <f t="shared" ref="FP31:FP58" si="272">FO31/FO$6</f>
        <v>1</v>
      </c>
      <c r="FQ31" s="158">
        <f t="shared" ref="FQ31:FQ34" si="273">(FO31/FC31)-1</f>
        <v>0.35845187614976348</v>
      </c>
      <c r="FR31" s="159">
        <f>FR32+FR50+FR61</f>
        <v>10202306</v>
      </c>
      <c r="FS31" s="158">
        <f t="shared" ref="FS31:FS67" si="274">FR31/FR$6</f>
        <v>1</v>
      </c>
      <c r="FT31" s="158">
        <f t="shared" ref="FT31:FT34" si="275">(FR31/FF31)-1</f>
        <v>0.3517908239979266</v>
      </c>
      <c r="FU31" s="159">
        <f>FU32+FU50+FU61</f>
        <v>11552902</v>
      </c>
      <c r="FV31" s="158">
        <f t="shared" ref="FV31:FV34" si="276">FU31/FU$6</f>
        <v>1</v>
      </c>
      <c r="FW31" s="158">
        <f t="shared" ref="FW31:FW34" si="277">(FU31/FI31)-1</f>
        <v>0.30969721511548287</v>
      </c>
      <c r="FX31" s="159">
        <f>FX32+FX50+FX61</f>
        <v>11504459</v>
      </c>
      <c r="FY31" s="158">
        <f t="shared" ref="FY31:FY34" si="278">FX31/FX$6</f>
        <v>1</v>
      </c>
      <c r="FZ31" s="158">
        <f t="shared" ref="FZ31:FZ34" si="279">(FX31/FL31)-1</f>
        <v>0.14323062853413249</v>
      </c>
      <c r="GA31" s="159">
        <f>GA32+GA50+GA61</f>
        <v>12828071</v>
      </c>
      <c r="GB31" s="158">
        <f t="shared" ref="GB31:GB34" si="280">GA31/GA$6</f>
        <v>1</v>
      </c>
      <c r="GC31" s="158">
        <f t="shared" ref="GC31:GC34" si="281">(GA31/FO31)-1</f>
        <v>0.29264307972222237</v>
      </c>
      <c r="GD31" s="159">
        <f>GD32+GD50+GD61</f>
        <v>12982090</v>
      </c>
      <c r="GE31" s="158">
        <f t="shared" ref="GE31:GE34" si="282">GD31/GD$6</f>
        <v>1</v>
      </c>
      <c r="GF31" s="158">
        <f t="shared" ref="GF31:GF34" si="283">(GD31/FR31)-1</f>
        <v>0.27246624439611988</v>
      </c>
      <c r="GG31" s="159">
        <f>GG32+GG50+GG61</f>
        <v>14642583</v>
      </c>
      <c r="GH31" s="158">
        <f t="shared" ref="GH31:GH34" si="284">GG31/GG$6</f>
        <v>1</v>
      </c>
      <c r="GI31" s="158">
        <f t="shared" ref="GI31:GI34" si="285">(GG31/FU31)-1</f>
        <v>0.26743765332727665</v>
      </c>
    </row>
    <row r="32" spans="1:254" s="170" customFormat="1" ht="16.5" customHeight="1">
      <c r="B32" s="155" t="s">
        <v>272</v>
      </c>
      <c r="C32" s="161" t="s">
        <v>165</v>
      </c>
      <c r="D32" s="162">
        <f>D33+D34+D37+D42+D43+D49+D44+D45+D46+D48+D47+D35+D36</f>
        <v>288998</v>
      </c>
      <c r="E32" s="158">
        <f t="shared" si="209"/>
        <v>0.42974574935388987</v>
      </c>
      <c r="F32" s="162">
        <f>F33+F34+F37+F42+F43+F49+F44+F45+F46+F48+F47+F35+F36</f>
        <v>291314</v>
      </c>
      <c r="G32" s="158">
        <f t="shared" si="210"/>
        <v>0.41446119788183944</v>
      </c>
      <c r="H32" s="162">
        <f>H33+H34+H37+H42+H43+H49+H44+H45+H46+H48+H47+H35+H36</f>
        <v>313488</v>
      </c>
      <c r="I32" s="158">
        <f t="shared" si="211"/>
        <v>0.35874472304648297</v>
      </c>
      <c r="J32" s="162">
        <f>J33+J34+J37+J42+J43+J49+J44+J45+J46+J48+J47+J35+J36</f>
        <v>530493</v>
      </c>
      <c r="K32" s="158">
        <f t="shared" si="212"/>
        <v>0.49704952009024778</v>
      </c>
      <c r="L32" s="162">
        <f>L33+L34+L37+L42+L43+L49+L44+L45+L46+L48+L47+L35+L36</f>
        <v>372876</v>
      </c>
      <c r="M32" s="158">
        <f t="shared" si="213"/>
        <v>0.40386933677332149</v>
      </c>
      <c r="N32" s="158">
        <f t="shared" si="214"/>
        <v>0.29023730268029535</v>
      </c>
      <c r="O32" s="162">
        <f>O33+O34+O37+O42+O43+O49+O44+O45+O46+O48+O47+O35+O36</f>
        <v>479542</v>
      </c>
      <c r="P32" s="158">
        <f t="shared" si="215"/>
        <v>0.45285181946440678</v>
      </c>
      <c r="Q32" s="158">
        <f t="shared" si="216"/>
        <v>0.6461344116657628</v>
      </c>
      <c r="R32" s="162">
        <f>R33+R34+R37+R42+R43+R49+R44+R45+R46+R48+R47+R35+R36</f>
        <v>533633</v>
      </c>
      <c r="S32" s="158">
        <f t="shared" si="217"/>
        <v>0.47880245774847557</v>
      </c>
      <c r="T32" s="158">
        <f t="shared" si="218"/>
        <v>0.70224378604603688</v>
      </c>
      <c r="U32" s="162">
        <f>U33+U34+U37+U42+U43+U49+U44+U45+U46+U48+U47+U35+U36</f>
        <v>853359</v>
      </c>
      <c r="V32" s="158">
        <f t="shared" si="219"/>
        <v>0.59837727768031068</v>
      </c>
      <c r="W32" s="158">
        <f t="shared" si="220"/>
        <v>0.60861500528753432</v>
      </c>
      <c r="X32" s="162">
        <f>X33+X34+X37+X42+X43+X49+X44+X45+X46+X48+X47+X35+X36</f>
        <v>656073</v>
      </c>
      <c r="Y32" s="158">
        <f t="shared" si="221"/>
        <v>0.51765308320426318</v>
      </c>
      <c r="Z32" s="158">
        <f t="shared" si="222"/>
        <v>0.75949377272873564</v>
      </c>
      <c r="AA32" s="162">
        <f>AA33+AA34+AA37+AA42+AA43+AA49+AA44+AA45+AA46+AA48+AA47+AA35+AA36</f>
        <v>666297</v>
      </c>
      <c r="AB32" s="158">
        <f t="shared" si="223"/>
        <v>0.50481519952904919</v>
      </c>
      <c r="AC32" s="158">
        <f t="shared" si="224"/>
        <v>0.38944451163818816</v>
      </c>
      <c r="AD32" s="162">
        <f>AD33+AD34+AD37+AD42+AD43+AD49+AD44+AD45+AD46+AD48+AD47+AD35+AD36</f>
        <v>680130</v>
      </c>
      <c r="AE32" s="158">
        <f t="shared" si="225"/>
        <v>0.501397378045499</v>
      </c>
      <c r="AF32" s="158">
        <f t="shared" si="226"/>
        <v>0.2745276247908206</v>
      </c>
      <c r="AG32" s="162">
        <f>AG33+AG34+AG37+AG42+AG43+AG49+AG44+AG45+AG46+AG48+AG47+AG35+AG36</f>
        <v>981491</v>
      </c>
      <c r="AH32" s="158">
        <f t="shared" si="227"/>
        <v>0.61024487116036497</v>
      </c>
      <c r="AI32" s="158">
        <f t="shared" si="228"/>
        <v>0.15015017126438002</v>
      </c>
      <c r="AJ32" s="162">
        <f>AJ33+AJ34+AJ37+AJ42+AJ43+AJ49+AJ44+AJ45+AJ46+AJ48+AJ47+AJ35+AJ36</f>
        <v>801693</v>
      </c>
      <c r="AK32" s="158">
        <f t="shared" si="229"/>
        <v>0.54985199065030832</v>
      </c>
      <c r="AL32" s="158">
        <f>(AJ32/X32)-1</f>
        <v>0.22195700783296979</v>
      </c>
      <c r="AM32" s="162">
        <f>AM33+AM34+AM37+AM42+AM43+AM49+AM44+AM45+AM46+AM48+AM47+AM35+AM36</f>
        <v>773423</v>
      </c>
      <c r="AN32" s="158">
        <f t="shared" si="230"/>
        <v>0.51358564287270048</v>
      </c>
      <c r="AO32" s="158">
        <f>(AM32/AA32)-1</f>
        <v>0.16077815148499841</v>
      </c>
      <c r="AP32" s="162">
        <f>AP33+AP34+AP37+AP42+AP43+AP49+AP44+AP45+AP46+AP48+AP47+AP35+AP36</f>
        <v>663483</v>
      </c>
      <c r="AQ32" s="158">
        <f t="shared" si="231"/>
        <v>0.4622917717620631</v>
      </c>
      <c r="AR32" s="158">
        <f>(AP32/AD32)-1</f>
        <v>-2.4476203078823144E-2</v>
      </c>
      <c r="AS32" s="162">
        <f>AS33+AS34+AS37+AS42+AS43+AS49+AS44+AS45+AS46+AS48+AS47+AS35+AS36</f>
        <v>833890</v>
      </c>
      <c r="AT32" s="158">
        <f t="shared" si="232"/>
        <v>0.51273553436980246</v>
      </c>
      <c r="AU32" s="158">
        <f>(AS32/AG32)-1</f>
        <v>-0.15038446608272515</v>
      </c>
      <c r="AV32" s="162">
        <f>AV33+AV34+AV37+AV42+AV43+AV49+AV44+AV45+AV46+AV48+AV47+AV35+AV36</f>
        <v>649887</v>
      </c>
      <c r="AW32" s="158">
        <f t="shared" si="233"/>
        <v>0.44752325115377783</v>
      </c>
      <c r="AX32" s="158">
        <f>(AV32/AJ32)-1</f>
        <v>-0.18935677372759896</v>
      </c>
      <c r="AY32" s="162">
        <f>AY33+AY34+AY37+AY42+AY43+AY49+AY44+AY45+AY46+AY48+AY47+AY35+AY36</f>
        <v>724513</v>
      </c>
      <c r="AZ32" s="158">
        <f t="shared" si="234"/>
        <v>0.45671843136266072</v>
      </c>
      <c r="BA32" s="158">
        <f>(AY32/AM32)-1</f>
        <v>-6.3238357276677815E-2</v>
      </c>
      <c r="BB32" s="162">
        <f>BB33+BB34+BB37+BB42+BB43+BB49+BB44+BB45+BB46+BB48+BB47+BB35+BB36</f>
        <v>735479</v>
      </c>
      <c r="BC32" s="158">
        <f t="shared" si="235"/>
        <v>0.45127224979905389</v>
      </c>
      <c r="BD32" s="158">
        <f>(BB32/AP32)-1</f>
        <v>0.10851220001115336</v>
      </c>
      <c r="BE32" s="162">
        <f>BE33+BE34+BE37+BE42+BE43+BE49+BE44+BE45+BE46+BE48+BE47+BE35+BE36</f>
        <v>973334</v>
      </c>
      <c r="BF32" s="158">
        <f t="shared" si="236"/>
        <v>0.50662894018676896</v>
      </c>
      <c r="BG32" s="158">
        <f t="shared" si="237"/>
        <v>0.16722109630766657</v>
      </c>
      <c r="BH32" s="162">
        <f>BH33+BH34+BH37+BH42+BH43+BH49+BH44+BH45+BH46+BH48+BH47+BH35+BH36</f>
        <v>841103</v>
      </c>
      <c r="BI32" s="158">
        <f>BH32/$BH$6</f>
        <v>0.45907676286267263</v>
      </c>
      <c r="BJ32" s="158">
        <f>(BH32/AV32)-1</f>
        <v>0.29422961222489441</v>
      </c>
      <c r="BK32" s="162">
        <f>BK33+BK34+BK37+BK42+BK43+BK49+BK44+BK45+BK46+BK48+BK47+BK35+BK36</f>
        <v>862863</v>
      </c>
      <c r="BL32" s="158">
        <f>BK32/$BK$6</f>
        <v>0.4609606385024681</v>
      </c>
      <c r="BM32" s="158">
        <f>(BK32/AY32)-1</f>
        <v>0.1909558558645601</v>
      </c>
      <c r="BN32" s="162">
        <f>BN33+BN34+BN37+BN42+BN43+BN49+BN44+BN45+BN46+BN48+BN47+BN35+BN36</f>
        <v>829365</v>
      </c>
      <c r="BO32" s="158">
        <f t="shared" si="238"/>
        <v>0.43523380504019288</v>
      </c>
      <c r="BP32" s="158">
        <f t="shared" si="239"/>
        <v>0.12765286296413625</v>
      </c>
      <c r="BQ32" s="162">
        <f>BQ33+BQ34+BQ37+BQ42+BQ43+BQ49+BQ44+BQ45+BQ46+BQ48+BQ47+BQ35+BQ36</f>
        <v>977575</v>
      </c>
      <c r="BR32" s="158">
        <f t="shared" si="240"/>
        <v>0.39803299246950852</v>
      </c>
      <c r="BS32" s="158">
        <f t="shared" si="241"/>
        <v>4.3571887964459766E-3</v>
      </c>
      <c r="BT32" s="162">
        <f>BT33+BT34+BT37+BT42+BT43+BT49+BT44+BT45+BT46+BT48+BT47+BT35+BT36</f>
        <v>708507</v>
      </c>
      <c r="BU32" s="158">
        <f t="shared" si="242"/>
        <v>0.32029009813844805</v>
      </c>
      <c r="BV32" s="158">
        <f t="shared" si="243"/>
        <v>-0.15764537755780206</v>
      </c>
      <c r="BW32" s="162">
        <f>BW33+BW34+BW37+BW42+BW43+BW49+BW44+BW45+BW46+BW48+BW47+BW35+BW36</f>
        <v>755123</v>
      </c>
      <c r="BX32" s="158">
        <f t="shared" si="244"/>
        <v>0.33878623020161902</v>
      </c>
      <c r="BY32" s="158">
        <f t="shared" si="245"/>
        <v>-0.12486339082797615</v>
      </c>
      <c r="BZ32" s="162">
        <f>BZ33+BZ34+BZ37+BZ42+BZ43+BZ49+BZ44+BZ45+BZ46+BZ48+BZ47+BZ35+BZ36</f>
        <v>809739.55540381256</v>
      </c>
      <c r="CA32" s="158">
        <f>BZ32/$BZ$6</f>
        <v>0.30423814382235964</v>
      </c>
      <c r="CB32" s="158">
        <f t="shared" si="246"/>
        <v>-2.366321775839042E-2</v>
      </c>
      <c r="CC32" s="162">
        <f>CC33+CC34+CC37+CC42+CC43+CC49+CC44+CC45+CC46+CC48+CC47+CC35+CC36</f>
        <v>1060427.3508295615</v>
      </c>
      <c r="CD32" s="158">
        <f>CC32/$CC$6</f>
        <v>0.35543017566913315</v>
      </c>
      <c r="CE32" s="158">
        <f>(CC32/BQ32)-1</f>
        <v>8.4752935406041896E-2</v>
      </c>
      <c r="CF32" s="162">
        <f>CF33+CF34+CF37+CF42+CF43+CF49+CF44+CF45+CF46+CF48+CF47+CF35+CF36</f>
        <v>921669.37958527217</v>
      </c>
      <c r="CG32" s="158">
        <f>CF32/$CF$31</f>
        <v>0.32231758197877008</v>
      </c>
      <c r="CH32" s="158">
        <f>(CF32/BT32)-1</f>
        <v>0.30086135999400443</v>
      </c>
      <c r="CI32" s="162">
        <f>CI33+CI34+CI37+CI42+CI43+CI49+CI44+CI45+CI46+CI48+CI47+CI35+CI36</f>
        <v>1025931.2105254293</v>
      </c>
      <c r="CJ32" s="158">
        <f>CI32/$CI$6</f>
        <v>0.35258651596950413</v>
      </c>
      <c r="CK32" s="158">
        <f>(CI32/BW32)-1</f>
        <v>0.35862794607690307</v>
      </c>
      <c r="CL32" s="162">
        <f>CL33+CL34+CL37+CL42+CL43+CL49+CL44+CL45+CL46+CL48+CL47+CL35+CL36</f>
        <v>1071413</v>
      </c>
      <c r="CM32" s="158">
        <f>CL32/$CL$6</f>
        <v>0.32250348040064114</v>
      </c>
      <c r="CN32" s="158">
        <f>(CL32/BZ32)-1</f>
        <v>0.32315754226146498</v>
      </c>
      <c r="CO32" s="162">
        <f>CO33+CO34+CO37+CO42+CO43+CO49+CO44+CO45+CO46+CO48+CO47+CO35+CO36</f>
        <v>1725212</v>
      </c>
      <c r="CP32" s="158">
        <f>CO32/$CO$6</f>
        <v>0.45761251640571371</v>
      </c>
      <c r="CQ32" s="158">
        <f>(CO32/CC32)-1</f>
        <v>0.62690258663206322</v>
      </c>
      <c r="CR32" s="162">
        <f>CR33+CR34+CR37+CR42+CR43+CR49+CR44+CR45+CR46+CR48+CR47+CR35+CR36</f>
        <v>1465531</v>
      </c>
      <c r="CS32" s="158">
        <f>CR32/$CR$31</f>
        <v>0.42046181251787751</v>
      </c>
      <c r="CT32" s="158">
        <f t="shared" si="247"/>
        <v>0.5900832038701902</v>
      </c>
      <c r="CU32" s="162">
        <f>CU33+CU34+CU37+CU42+CU43+CU49+CU44+CU45+CU46+CU48+CU47+CU35+CU36</f>
        <v>1550010</v>
      </c>
      <c r="CV32" s="158">
        <f>CU32/$CU$31</f>
        <v>0.44120397240415049</v>
      </c>
      <c r="CW32" s="158">
        <f t="shared" si="248"/>
        <v>0.51083228982395856</v>
      </c>
      <c r="CX32" s="162">
        <f>CX33+CX34+CX37+CX42+CX43+CX49+CX44+CX45+CX46+CX48+CX47+CX35+CX36</f>
        <v>1596113.0360000001</v>
      </c>
      <c r="CY32" s="158">
        <f t="shared" si="249"/>
        <v>0.39749432482305891</v>
      </c>
      <c r="CZ32" s="158">
        <f t="shared" si="250"/>
        <v>0.48972715096792752</v>
      </c>
      <c r="DA32" s="162">
        <f>DA33+DA34+DA37+DA42+DA43+DA49+DA44+DA45+DA46+DA48+DA47+DA35+DA36</f>
        <v>1932589</v>
      </c>
      <c r="DB32" s="158">
        <f t="shared" si="251"/>
        <v>0.4279877595601308</v>
      </c>
      <c r="DC32" s="158">
        <f t="shared" si="252"/>
        <v>0.12020377785454772</v>
      </c>
      <c r="DD32" s="162">
        <f>DD33+DD34+DD37+DD42+DD43+DD49+DD44+DD45+DD46+DD48+DD47+DD35+DD36</f>
        <v>1690383</v>
      </c>
      <c r="DE32" s="158">
        <f t="shared" si="253"/>
        <v>0.48497199992999623</v>
      </c>
      <c r="DF32" s="158">
        <f t="shared" si="254"/>
        <v>0.15342698312079373</v>
      </c>
      <c r="DG32" s="162">
        <f>DG33+DG34+DG37+DG42+DG43+DG49+DG44+DG45+DG46+DG48+DG47+DG35+DG36</f>
        <v>1314436.90368</v>
      </c>
      <c r="DH32" s="158">
        <f t="shared" si="187"/>
        <v>0.29839670839351118</v>
      </c>
      <c r="DI32" s="158">
        <f t="shared" si="78"/>
        <v>-0.15198166226024346</v>
      </c>
      <c r="DJ32" s="162">
        <f>DJ33+DJ34+DJ37+DJ42+DJ43+DJ49+DJ44+DJ45+DJ46+DJ48+DJ47+DJ35+DJ36</f>
        <v>1455747</v>
      </c>
      <c r="DK32" s="158">
        <f t="shared" si="53"/>
        <v>0.32284310092352281</v>
      </c>
      <c r="DL32" s="158">
        <f t="shared" si="255"/>
        <v>-8.7942415627260129E-2</v>
      </c>
      <c r="DM32" s="162">
        <f>DM33+DM34+DM37+DM42+DM43+DM49+DM44+DM45+DM46+DM48+DM47+DM35+DM36</f>
        <v>2034706</v>
      </c>
      <c r="DN32" s="158">
        <f t="shared" si="80"/>
        <v>0.38254379828269874</v>
      </c>
      <c r="DO32" s="158">
        <f t="shared" si="256"/>
        <v>5.2839481131270016E-2</v>
      </c>
      <c r="DP32" s="162">
        <f>DP33+DP34+DP37+DP42+DP43+DP49+DP44+DP45+DP46+DP48+DP47+DP35+DP36</f>
        <v>1686936</v>
      </c>
      <c r="DQ32" s="158">
        <f t="shared" si="55"/>
        <v>0.33234126260979546</v>
      </c>
      <c r="DR32" s="158">
        <f t="shared" si="257"/>
        <v>-2.0391828360791786E-3</v>
      </c>
      <c r="DS32" s="162">
        <f>DS33+DS34+DS37+DS42+DS43+DS49+DS44+DS45+DS46+DS48+DS47+DS35+DS36</f>
        <v>1861824</v>
      </c>
      <c r="DT32" s="158">
        <f>DS32/DS$6</f>
        <v>0.35587273231540034</v>
      </c>
      <c r="DU32" s="158">
        <f t="shared" ref="DU32:DU50" si="286">(DS32/DG32)-1</f>
        <v>0.41644227637514764</v>
      </c>
      <c r="DV32" s="162">
        <f>DV33+DV34+DV37+DV42+DV43+DV49+DV44+DV45+DV46+DV48+DV47+DV35+DV36</f>
        <v>1883362</v>
      </c>
      <c r="DW32" s="158">
        <f>DV32/DV$6</f>
        <v>0.35583841654944648</v>
      </c>
      <c r="DX32" s="158">
        <f t="shared" si="258"/>
        <v>0.29374266270169191</v>
      </c>
      <c r="DY32" s="162">
        <f>DY33+DY34+DY37+DY42+DY43+DY49+DY44+DY45+DY46+DY48+DY47+DY35+DY36</f>
        <v>2319127</v>
      </c>
      <c r="DZ32" s="158">
        <f>DY32/DY$6</f>
        <v>0.39550445715423949</v>
      </c>
      <c r="EA32" s="158">
        <f t="shared" si="259"/>
        <v>0.13978481412056576</v>
      </c>
      <c r="EB32" s="162">
        <f>EB33+EB34+EB37+EB42+EB43+EB49+EB44+EB45+EB46+EB48+EB47+EB35+EB36</f>
        <v>2075776</v>
      </c>
      <c r="EC32" s="158">
        <f t="shared" si="84"/>
        <v>0.37258752264305783</v>
      </c>
      <c r="ED32" s="158">
        <f t="shared" si="260"/>
        <v>0.23050074217397687</v>
      </c>
      <c r="EE32" s="162">
        <f>EE33+EE34+EE37+EE42+EE43+EE49+EE44+EE45+EE46+EE48+EE47+EE35+EE36</f>
        <v>2354817</v>
      </c>
      <c r="EF32" s="158">
        <f>EE32/EE$6</f>
        <v>0.40512151235097293</v>
      </c>
      <c r="EG32" s="158">
        <f>(EE32/DS32)-1</f>
        <v>0.26479033463957924</v>
      </c>
      <c r="EH32" s="162">
        <f>EH33+EH34+EH37+EH42+EH43+EH49+EH44+EH45+EH46+EH48+EH47+EH35+EH36</f>
        <v>2384018</v>
      </c>
      <c r="EI32" s="158">
        <f>EH32/EH$6</f>
        <v>0.42014073198395863</v>
      </c>
      <c r="EJ32" s="158">
        <f>(EH32/DV32)-1</f>
        <v>0.26583099797065035</v>
      </c>
      <c r="EK32" s="162">
        <f>EK33+EK34+EK37+EK42+EK43+EK49+EK44+EK45+EK46+EK48+EK47+EK35+EK36</f>
        <v>2917751</v>
      </c>
      <c r="EL32" s="158">
        <f t="shared" si="261"/>
        <v>0.45060316171887499</v>
      </c>
      <c r="EM32" s="158">
        <f>(EK32/DY32)-1</f>
        <v>0.25812471675764193</v>
      </c>
      <c r="EN32" s="162">
        <f>EN33+EN34+EN37+EN42+EN43+EN49+EN44+EN45+EN46+EN48+EN47+EN35+EN36</f>
        <v>2341067</v>
      </c>
      <c r="EO32" s="158">
        <f t="shared" si="262"/>
        <v>0.37445532784617092</v>
      </c>
      <c r="EP32" s="158">
        <f>(EN32/EB32)-1</f>
        <v>0.12780328898686566</v>
      </c>
      <c r="EQ32" s="162">
        <f>EQ33+EQ34+EQ37+EQ42+EQ43+EQ49+EQ44+EQ45+EQ46+EQ48+EQ47+EQ35+EQ36</f>
        <v>2656776</v>
      </c>
      <c r="ER32" s="158">
        <f t="shared" si="263"/>
        <v>0.40275460686577891</v>
      </c>
      <c r="ES32" s="158">
        <f>(EQ32/EE32)-1</f>
        <v>0.12823034656196208</v>
      </c>
      <c r="ET32" s="162">
        <f>ET33+ET34+ET37+ET42+ET43+ET49+ET44+ET45+ET46+ET48+ET47+ET35+ET36</f>
        <v>2331216</v>
      </c>
      <c r="EU32" s="158">
        <f t="shared" si="264"/>
        <v>0.35939133905500398</v>
      </c>
      <c r="EV32" s="158">
        <f>(ET32/EH32)-1</f>
        <v>-2.2148322705617174E-2</v>
      </c>
      <c r="EW32" s="162">
        <f>EW33+EW34+EW37+EW42+EW43+EW49+EW44+EW45+EW46+EW48+EW47+EW35+EW36</f>
        <v>2941712</v>
      </c>
      <c r="EX32" s="158">
        <f t="shared" si="265"/>
        <v>0.38975162891588355</v>
      </c>
      <c r="EY32" s="158">
        <f>(EW32/EK32)-1</f>
        <v>8.2121469583935625E-3</v>
      </c>
      <c r="EZ32" s="162">
        <f>EZ33+EZ34+EZ37+EZ42+EZ43+EZ49+EZ44+EZ45+EZ46+EZ48+EZ47+EZ35+EZ36</f>
        <v>2382238</v>
      </c>
      <c r="FA32" s="158">
        <f t="shared" si="266"/>
        <v>0.33902391644507313</v>
      </c>
      <c r="FB32" s="158">
        <f>(EZ32/EN32)-1</f>
        <v>1.7586425335114342E-2</v>
      </c>
      <c r="FC32" s="162">
        <f>FC33+FC34+FC37+FC42+FC43+FC49+FC44+FC45+FC46+FC48+FC47+FC35+FC36</f>
        <v>2937272</v>
      </c>
      <c r="FD32" s="158">
        <f t="shared" si="267"/>
        <v>0.40207372530682145</v>
      </c>
      <c r="FE32" s="158">
        <f>(FC32/EQ32)-1</f>
        <v>0.10557758727118882</v>
      </c>
      <c r="FF32" s="162">
        <f>FF33+FF34+FF37+FF42+FF43+FF49+FF44+FF45+FF46+FF48+FF47+FF35+FF36</f>
        <v>3239419</v>
      </c>
      <c r="FG32" s="158">
        <f t="shared" si="88"/>
        <v>0.42921834331224135</v>
      </c>
      <c r="FH32" s="158">
        <f t="shared" si="89"/>
        <v>0.3895833762294012</v>
      </c>
      <c r="FI32" s="162">
        <f>FI33+FI34+FI37+FI42+FI43+FI49+FI44+FI45+FI46+FI48+FI47+FI35+FI36</f>
        <v>4324355</v>
      </c>
      <c r="FJ32" s="158">
        <f t="shared" si="268"/>
        <v>0.49023143281841342</v>
      </c>
      <c r="FK32" s="158">
        <f t="shared" si="269"/>
        <v>0.47001304002567212</v>
      </c>
      <c r="FL32" s="162">
        <f>FL33+FL34+FL37+FL42+FL43+FL49+FL44+FL45+FL46+FL48+FL47+FL35+FL36</f>
        <v>4447806</v>
      </c>
      <c r="FM32" s="158">
        <f t="shared" si="270"/>
        <v>0.44199106181158854</v>
      </c>
      <c r="FN32" s="158">
        <f t="shared" si="271"/>
        <v>0.86707037667940812</v>
      </c>
      <c r="FO32" s="162">
        <f>FO33+FO34+FO37+FO42+FO43+FO49+FO44+FO45+FO46+FO48+FO47+FO35+FO36</f>
        <v>3868188</v>
      </c>
      <c r="FP32" s="158">
        <f t="shared" si="272"/>
        <v>0.38978475012061781</v>
      </c>
      <c r="FQ32" s="158">
        <f t="shared" si="273"/>
        <v>0.31693217379936223</v>
      </c>
      <c r="FR32" s="162">
        <f>FR33+FR34+FR37+FR42+FR43+FR49+FR44+FR45+FR46+FR48+FR47+FR35+FR36</f>
        <v>3695792</v>
      </c>
      <c r="FS32" s="158">
        <f t="shared" si="274"/>
        <v>0.36225065196044892</v>
      </c>
      <c r="FT32" s="158">
        <f t="shared" si="275"/>
        <v>0.14088112714039158</v>
      </c>
      <c r="FU32" s="162">
        <f>FU33+FU34+FU37+FU42+FU43+FU49+FU44+FU45+FU46+FU48+FU47+FU35+FU36</f>
        <v>4765317</v>
      </c>
      <c r="FV32" s="158">
        <f t="shared" si="276"/>
        <v>0.41247792113185067</v>
      </c>
      <c r="FW32" s="158">
        <f t="shared" si="277"/>
        <v>0.10197173913797553</v>
      </c>
      <c r="FX32" s="162">
        <f>FX33+FX34+FX37+FX42+FX43+FX49+FX44+FX45+FX46+FX48+FX47+FX35+FX36</f>
        <v>4789884</v>
      </c>
      <c r="FY32" s="158">
        <f t="shared" si="278"/>
        <v>0.41635021690285479</v>
      </c>
      <c r="FZ32" s="158">
        <f t="shared" si="279"/>
        <v>7.6909379590746507E-2</v>
      </c>
      <c r="GA32" s="162">
        <f>GA33+GA34+GA37+GA42+GA43+GA49+GA44+GA45+GA46+GA48+GA47+GA35+GA36</f>
        <v>4783009</v>
      </c>
      <c r="GB32" s="158">
        <f t="shared" si="280"/>
        <v>0.3728548898739335</v>
      </c>
      <c r="GC32" s="158">
        <f t="shared" si="281"/>
        <v>0.23649858796935419</v>
      </c>
      <c r="GD32" s="162">
        <f>GD33+GD34+GD37+GD42+GD43+GD49+GD44+GD45+GD46+GD48+GD47+GD35+GD36</f>
        <v>4766933</v>
      </c>
      <c r="GE32" s="158">
        <f t="shared" si="282"/>
        <v>0.36719303286296734</v>
      </c>
      <c r="GF32" s="158">
        <f t="shared" si="283"/>
        <v>0.2898271872443039</v>
      </c>
      <c r="GG32" s="162">
        <f>GG33+GG34+GG37+GG42+GG43+GG49+GG44+GG45+GG46+GG48+GG47+GG35+GG36</f>
        <v>5633411</v>
      </c>
      <c r="GH32" s="158">
        <f t="shared" si="284"/>
        <v>0.38472795407750121</v>
      </c>
      <c r="GI32" s="158">
        <f t="shared" si="285"/>
        <v>0.18216920301419615</v>
      </c>
    </row>
    <row r="33" spans="2:191" s="171" customFormat="1" ht="15" customHeight="1">
      <c r="B33" s="172" t="s">
        <v>355</v>
      </c>
      <c r="C33" s="173" t="s">
        <v>38</v>
      </c>
      <c r="D33" s="10">
        <v>44080</v>
      </c>
      <c r="E33" s="174">
        <f t="shared" si="209"/>
        <v>6.5547832966039443E-2</v>
      </c>
      <c r="F33" s="10">
        <v>1354</v>
      </c>
      <c r="G33" s="174">
        <f t="shared" si="210"/>
        <v>1.926376562513338E-3</v>
      </c>
      <c r="H33" s="10">
        <v>3</v>
      </c>
      <c r="I33" s="174">
        <f t="shared" si="211"/>
        <v>3.4330952672493009E-6</v>
      </c>
      <c r="J33" s="10">
        <v>98</v>
      </c>
      <c r="K33" s="174">
        <f t="shared" si="212"/>
        <v>9.1821858099624845E-5</v>
      </c>
      <c r="L33" s="12">
        <v>86</v>
      </c>
      <c r="M33" s="174">
        <f t="shared" si="213"/>
        <v>9.3148293165839705E-5</v>
      </c>
      <c r="N33" s="174">
        <f t="shared" si="214"/>
        <v>-0.99804900181488199</v>
      </c>
      <c r="O33" s="12">
        <v>67</v>
      </c>
      <c r="P33" s="174">
        <f t="shared" si="215"/>
        <v>6.3270937486425074E-5</v>
      </c>
      <c r="Q33" s="174">
        <f t="shared" si="216"/>
        <v>-0.95051698670605611</v>
      </c>
      <c r="R33" s="175">
        <v>48</v>
      </c>
      <c r="S33" s="174">
        <f t="shared" si="217"/>
        <v>4.3068022352303603E-5</v>
      </c>
      <c r="T33" s="174">
        <f t="shared" si="218"/>
        <v>15</v>
      </c>
      <c r="U33" s="175">
        <v>72</v>
      </c>
      <c r="V33" s="174">
        <f t="shared" si="219"/>
        <v>5.0486564263085486E-5</v>
      </c>
      <c r="W33" s="174">
        <f t="shared" si="220"/>
        <v>-0.26530612244897955</v>
      </c>
      <c r="X33" s="175">
        <v>0</v>
      </c>
      <c r="Y33" s="174" t="s">
        <v>112</v>
      </c>
      <c r="Z33" s="174" t="s">
        <v>112</v>
      </c>
      <c r="AA33" s="175">
        <v>0</v>
      </c>
      <c r="AB33" s="174" t="s">
        <v>112</v>
      </c>
      <c r="AC33" s="174" t="s">
        <v>112</v>
      </c>
      <c r="AD33" s="175">
        <v>0</v>
      </c>
      <c r="AE33" s="174" t="s">
        <v>112</v>
      </c>
      <c r="AF33" s="174" t="s">
        <v>112</v>
      </c>
      <c r="AG33" s="175">
        <v>0</v>
      </c>
      <c r="AH33" s="174" t="s">
        <v>112</v>
      </c>
      <c r="AI33" s="174" t="s">
        <v>112</v>
      </c>
      <c r="AJ33" s="175">
        <v>0</v>
      </c>
      <c r="AK33" s="174" t="s">
        <v>112</v>
      </c>
      <c r="AL33" s="174" t="s">
        <v>112</v>
      </c>
      <c r="AM33" s="175">
        <v>0</v>
      </c>
      <c r="AN33" s="174" t="s">
        <v>112</v>
      </c>
      <c r="AO33" s="174" t="s">
        <v>112</v>
      </c>
      <c r="AP33" s="175">
        <v>0</v>
      </c>
      <c r="AQ33" s="174" t="s">
        <v>112</v>
      </c>
      <c r="AR33" s="174" t="s">
        <v>112</v>
      </c>
      <c r="AS33" s="175">
        <v>87</v>
      </c>
      <c r="AT33" s="174">
        <f t="shared" si="232"/>
        <v>5.3493855892471199E-5</v>
      </c>
      <c r="AU33" s="13" t="s">
        <v>112</v>
      </c>
      <c r="AV33" s="175">
        <v>1570</v>
      </c>
      <c r="AW33" s="174">
        <f t="shared" si="233"/>
        <v>1.0811287259345566E-3</v>
      </c>
      <c r="AX33" s="174">
        <v>1</v>
      </c>
      <c r="AY33" s="175">
        <v>4526</v>
      </c>
      <c r="AZ33" s="174">
        <f t="shared" si="234"/>
        <v>2.8530994203656832E-3</v>
      </c>
      <c r="BA33" s="174">
        <v>1</v>
      </c>
      <c r="BB33" s="175">
        <v>6730</v>
      </c>
      <c r="BC33" s="174">
        <f t="shared" si="235"/>
        <v>4.1293663600832009E-3</v>
      </c>
      <c r="BD33" s="174" t="s">
        <v>112</v>
      </c>
      <c r="BE33" s="175">
        <v>8946</v>
      </c>
      <c r="BF33" s="174">
        <f t="shared" si="236"/>
        <v>4.6564719807495013E-3</v>
      </c>
      <c r="BG33" s="174">
        <f t="shared" si="237"/>
        <v>101.82758620689656</v>
      </c>
      <c r="BH33" s="175">
        <v>8940</v>
      </c>
      <c r="BI33" s="174">
        <f>BH33/$BH$6</f>
        <v>4.8794811812492567E-3</v>
      </c>
      <c r="BJ33" s="174">
        <f>(BH33/AV33)-1</f>
        <v>4.6942675159235669</v>
      </c>
      <c r="BK33" s="175">
        <v>8924</v>
      </c>
      <c r="BL33" s="174">
        <f>BK33/$BK$6</f>
        <v>4.767399619633737E-3</v>
      </c>
      <c r="BM33" s="174">
        <f>(BK33/AY33)-1</f>
        <v>0.97171895713654433</v>
      </c>
      <c r="BN33" s="175">
        <v>8917</v>
      </c>
      <c r="BO33" s="174">
        <f t="shared" si="238"/>
        <v>4.6794593930819363E-3</v>
      </c>
      <c r="BP33" s="174">
        <f t="shared" si="239"/>
        <v>0.32496285289747395</v>
      </c>
      <c r="BQ33" s="175">
        <v>12280</v>
      </c>
      <c r="BR33" s="174">
        <f t="shared" si="240"/>
        <v>4.9999694627272228E-3</v>
      </c>
      <c r="BS33" s="174">
        <f t="shared" si="241"/>
        <v>0.37268052761010506</v>
      </c>
      <c r="BT33" s="175">
        <v>12271</v>
      </c>
      <c r="BU33" s="174">
        <f t="shared" si="242"/>
        <v>5.5472702376361781E-3</v>
      </c>
      <c r="BV33" s="174">
        <f t="shared" si="243"/>
        <v>0.37259507829977623</v>
      </c>
      <c r="BW33" s="176">
        <v>20395</v>
      </c>
      <c r="BX33" s="174">
        <f t="shared" si="244"/>
        <v>9.1502247514140336E-3</v>
      </c>
      <c r="BY33" s="174">
        <f t="shared" si="245"/>
        <v>1.2854101299865532</v>
      </c>
      <c r="BZ33" s="175">
        <v>29154</v>
      </c>
      <c r="CA33" s="174">
        <f>BZ33/$BZ$6</f>
        <v>1.0953841622043244E-2</v>
      </c>
      <c r="CB33" s="174">
        <f t="shared" si="246"/>
        <v>2.2694852528877427</v>
      </c>
      <c r="CC33" s="175">
        <v>41003</v>
      </c>
      <c r="CD33" s="174">
        <f>CC33/$CC$6</f>
        <v>1.3743236141128016E-2</v>
      </c>
      <c r="CE33" s="174">
        <f>(CC33/BQ33)-1</f>
        <v>2.3390065146579806</v>
      </c>
      <c r="CF33" s="175">
        <v>54460</v>
      </c>
      <c r="CG33" s="174">
        <f>CF33/$CF$6</f>
        <v>1.9045241015321873E-2</v>
      </c>
      <c r="CH33" s="174">
        <f>(CF33/BT33)-1</f>
        <v>3.4381061038220198</v>
      </c>
      <c r="CI33" s="175">
        <v>50478</v>
      </c>
      <c r="CJ33" s="174">
        <f>CI33/$CI$6</f>
        <v>1.7348007323018742E-2</v>
      </c>
      <c r="CK33" s="174">
        <f>(CI33/BW33)-1</f>
        <v>1.4750183868595244</v>
      </c>
      <c r="CL33" s="175">
        <v>45544</v>
      </c>
      <c r="CM33" s="174">
        <f>CL33/$CL$6</f>
        <v>1.3709091182734202E-2</v>
      </c>
      <c r="CN33" s="174">
        <f>(CL33/BZ33)-1</f>
        <v>0.56218700692872337</v>
      </c>
      <c r="CO33" s="175">
        <v>35938</v>
      </c>
      <c r="CP33" s="174">
        <f>CO33/$CO$6</f>
        <v>9.5325551958765301E-3</v>
      </c>
      <c r="CQ33" s="174">
        <f>(CO33/CC33)-1</f>
        <v>-0.12352754676487088</v>
      </c>
      <c r="CR33" s="175">
        <v>49213</v>
      </c>
      <c r="CS33" s="174">
        <f>CR33/$CR$31</f>
        <v>1.4119242226498317E-2</v>
      </c>
      <c r="CT33" s="174">
        <f t="shared" si="247"/>
        <v>-9.6345941975762073E-2</v>
      </c>
      <c r="CU33" s="175">
        <v>62968</v>
      </c>
      <c r="CV33" s="174">
        <f>CU33/$CU$31</f>
        <v>1.7923582257110951E-2</v>
      </c>
      <c r="CW33" s="174">
        <f t="shared" si="248"/>
        <v>0.24743452593208914</v>
      </c>
      <c r="CX33" s="175">
        <v>64337</v>
      </c>
      <c r="CY33" s="174">
        <f t="shared" si="249"/>
        <v>1.6022419339566836E-2</v>
      </c>
      <c r="CZ33" s="174">
        <f t="shared" si="250"/>
        <v>0.41263393641313884</v>
      </c>
      <c r="DA33" s="175">
        <v>44614</v>
      </c>
      <c r="DB33" s="174">
        <f t="shared" si="251"/>
        <v>9.8801379419088467E-3</v>
      </c>
      <c r="DC33" s="174">
        <f t="shared" si="252"/>
        <v>0.24141577160665584</v>
      </c>
      <c r="DD33" s="175">
        <v>35108</v>
      </c>
      <c r="DE33" s="174">
        <f t="shared" si="253"/>
        <v>1.007250840403761E-2</v>
      </c>
      <c r="DF33" s="174">
        <f t="shared" si="254"/>
        <v>-0.28661126125210823</v>
      </c>
      <c r="DG33" s="175">
        <v>55539</v>
      </c>
      <c r="DH33" s="174">
        <f t="shared" si="187"/>
        <v>1.2608178255699548E-2</v>
      </c>
      <c r="DI33" s="174">
        <f t="shared" si="78"/>
        <v>-0.11798056155507564</v>
      </c>
      <c r="DJ33" s="175">
        <v>188440</v>
      </c>
      <c r="DK33" s="174">
        <f t="shared" si="53"/>
        <v>4.1790609177301159E-2</v>
      </c>
      <c r="DL33" s="174">
        <f t="shared" si="255"/>
        <v>1.928952235882929</v>
      </c>
      <c r="DM33" s="175">
        <v>206768</v>
      </c>
      <c r="DN33" s="174">
        <f t="shared" si="80"/>
        <v>3.8874321933152531E-2</v>
      </c>
      <c r="DO33" s="174">
        <f t="shared" si="256"/>
        <v>3.6345990047967005</v>
      </c>
      <c r="DP33" s="175">
        <v>197445</v>
      </c>
      <c r="DQ33" s="174">
        <f t="shared" si="55"/>
        <v>3.8898405509154507E-2</v>
      </c>
      <c r="DR33" s="174">
        <f t="shared" si="257"/>
        <v>4.6239318673806542</v>
      </c>
      <c r="DS33" s="175">
        <v>295633</v>
      </c>
      <c r="DT33" s="174">
        <f>DS33/DS$6</f>
        <v>5.6507878012421554E-2</v>
      </c>
      <c r="DU33" s="174">
        <f t="shared" si="286"/>
        <v>4.3229802481139377</v>
      </c>
      <c r="DV33" s="175">
        <v>291582</v>
      </c>
      <c r="DW33" s="174">
        <f>DV33/DV$6</f>
        <v>5.5090883841938353E-2</v>
      </c>
      <c r="DX33" s="174">
        <f t="shared" si="258"/>
        <v>0.54734663553385698</v>
      </c>
      <c r="DY33" s="175">
        <v>317346</v>
      </c>
      <c r="DZ33" s="174">
        <f>DY33/DY$6</f>
        <v>5.4120260537723584E-2</v>
      </c>
      <c r="EA33" s="174">
        <f t="shared" si="259"/>
        <v>0.5347926178132012</v>
      </c>
      <c r="EB33" s="175">
        <v>397742</v>
      </c>
      <c r="EC33" s="174">
        <f t="shared" si="84"/>
        <v>7.1391954830913887E-2</v>
      </c>
      <c r="ED33" s="174">
        <f t="shared" si="260"/>
        <v>1.0144445288561372</v>
      </c>
      <c r="EE33" s="175">
        <v>496086</v>
      </c>
      <c r="EF33" s="174">
        <f>EE33/EE$6</f>
        <v>8.5346381725690257E-2</v>
      </c>
      <c r="EG33" s="174">
        <f>(EE33/DS33)-1</f>
        <v>0.67804676744477099</v>
      </c>
      <c r="EH33" s="175">
        <v>594136</v>
      </c>
      <c r="EI33" s="174">
        <f>EH33/EH$6</f>
        <v>0.10470589313420504</v>
      </c>
      <c r="EJ33" s="174">
        <f>(EH33/DV33)-1</f>
        <v>1.0376292089360799</v>
      </c>
      <c r="EK33" s="175">
        <v>615384</v>
      </c>
      <c r="EL33" s="174">
        <f t="shared" si="261"/>
        <v>9.5036888367516004E-2</v>
      </c>
      <c r="EM33" s="174">
        <f>(EK33/DY33)-1</f>
        <v>0.9391578907564615</v>
      </c>
      <c r="EN33" s="175">
        <v>488567</v>
      </c>
      <c r="EO33" s="174">
        <f t="shared" ref="EO33:EO56" si="287">EN33/EN$6</f>
        <v>7.8146638331931625E-2</v>
      </c>
      <c r="EP33" s="174">
        <f>(EN33/EB33)-1</f>
        <v>0.2283515444685249</v>
      </c>
      <c r="EQ33" s="175">
        <v>588793</v>
      </c>
      <c r="ER33" s="174">
        <f t="shared" si="263"/>
        <v>8.9258218698272856E-2</v>
      </c>
      <c r="ES33" s="174">
        <f>(EQ33/EE33)-1</f>
        <v>0.18687687215523119</v>
      </c>
      <c r="ET33" s="175">
        <v>385235</v>
      </c>
      <c r="EU33" s="174">
        <f t="shared" si="264"/>
        <v>5.9389658659195224E-2</v>
      </c>
      <c r="EV33" s="174">
        <f>(ET33/EH33)-1</f>
        <v>-0.35160468310285864</v>
      </c>
      <c r="EW33" s="175">
        <v>379553</v>
      </c>
      <c r="EX33" s="174">
        <f t="shared" si="265"/>
        <v>5.0287519651791325E-2</v>
      </c>
      <c r="EY33" s="174">
        <f>(EW33/EK33)-1</f>
        <v>-0.38322575822575822</v>
      </c>
      <c r="EZ33" s="175">
        <v>386029</v>
      </c>
      <c r="FA33" s="174">
        <f t="shared" si="266"/>
        <v>5.4937022850519192E-2</v>
      </c>
      <c r="FB33" s="174">
        <f>(EZ33/EN33)-1</f>
        <v>-0.20987500179095187</v>
      </c>
      <c r="FC33" s="175">
        <v>519383</v>
      </c>
      <c r="FD33" s="174">
        <f t="shared" si="267"/>
        <v>7.1096669859322822E-2</v>
      </c>
      <c r="FE33" s="174">
        <f>(FC33/EQ33)-1</f>
        <v>-0.11788523301058262</v>
      </c>
      <c r="FF33" s="175">
        <v>665877</v>
      </c>
      <c r="FG33" s="174">
        <f t="shared" si="88"/>
        <v>8.8227741699892892E-2</v>
      </c>
      <c r="FH33" s="174">
        <f t="shared" si="89"/>
        <v>0.72849559359871252</v>
      </c>
      <c r="FI33" s="175">
        <v>710804</v>
      </c>
      <c r="FJ33" s="174">
        <f t="shared" si="268"/>
        <v>8.0580448037466751E-2</v>
      </c>
      <c r="FK33" s="174">
        <f t="shared" si="269"/>
        <v>0.87273977547272708</v>
      </c>
      <c r="FL33" s="175">
        <v>957726</v>
      </c>
      <c r="FM33" s="174">
        <f t="shared" si="270"/>
        <v>9.517194132670477E-2</v>
      </c>
      <c r="FN33" s="174">
        <f t="shared" si="271"/>
        <v>1.4809690463669827</v>
      </c>
      <c r="FO33" s="175">
        <v>748594</v>
      </c>
      <c r="FP33" s="174">
        <f t="shared" si="272"/>
        <v>7.5433387733945131E-2</v>
      </c>
      <c r="FQ33" s="174">
        <f t="shared" si="273"/>
        <v>0.44131402067453118</v>
      </c>
      <c r="FR33" s="175">
        <v>508147</v>
      </c>
      <c r="FS33" s="174">
        <f t="shared" si="274"/>
        <v>4.9807073028391817E-2</v>
      </c>
      <c r="FT33" s="174">
        <f t="shared" si="275"/>
        <v>-0.23687557912347179</v>
      </c>
      <c r="FU33" s="175">
        <v>709022</v>
      </c>
      <c r="FV33" s="174">
        <f t="shared" si="276"/>
        <v>6.1371766158840435E-2</v>
      </c>
      <c r="FW33" s="174">
        <f t="shared" si="277"/>
        <v>-2.5070202193572255E-3</v>
      </c>
      <c r="FX33" s="175">
        <v>1257286</v>
      </c>
      <c r="FY33" s="174">
        <f t="shared" si="278"/>
        <v>0.10928684260598434</v>
      </c>
      <c r="FZ33" s="174">
        <f t="shared" si="279"/>
        <v>0.31278257038025492</v>
      </c>
      <c r="GA33" s="175">
        <v>1698108</v>
      </c>
      <c r="GB33" s="174">
        <f t="shared" si="280"/>
        <v>0.13237438427024609</v>
      </c>
      <c r="GC33" s="174">
        <f t="shared" si="281"/>
        <v>1.2683964872814903</v>
      </c>
      <c r="GD33" s="175">
        <v>1259027</v>
      </c>
      <c r="GE33" s="174">
        <f t="shared" si="282"/>
        <v>9.6981841906811611E-2</v>
      </c>
      <c r="GF33" s="174">
        <f t="shared" si="283"/>
        <v>1.4776826390788491</v>
      </c>
      <c r="GG33" s="175">
        <v>1077081</v>
      </c>
      <c r="GH33" s="174">
        <f t="shared" si="284"/>
        <v>7.355812837120336E-2</v>
      </c>
      <c r="GI33" s="174">
        <f t="shared" si="285"/>
        <v>0.51910801075283985</v>
      </c>
    </row>
    <row r="34" spans="2:191" s="171" customFormat="1" ht="15" customHeight="1">
      <c r="B34" s="172" t="s">
        <v>392</v>
      </c>
      <c r="C34" s="173" t="s">
        <v>148</v>
      </c>
      <c r="D34" s="10">
        <v>59995</v>
      </c>
      <c r="E34" s="174">
        <f t="shared" si="209"/>
        <v>8.9213753148764438E-2</v>
      </c>
      <c r="F34" s="10">
        <v>73229</v>
      </c>
      <c r="G34" s="174">
        <f t="shared" si="210"/>
        <v>0.10418510287761391</v>
      </c>
      <c r="H34" s="10">
        <v>91564</v>
      </c>
      <c r="I34" s="174">
        <f t="shared" si="211"/>
        <v>0.104782645016805</v>
      </c>
      <c r="J34" s="10">
        <v>100740</v>
      </c>
      <c r="K34" s="174">
        <f t="shared" si="212"/>
        <v>9.43891222954715E-2</v>
      </c>
      <c r="L34" s="12">
        <v>136759</v>
      </c>
      <c r="M34" s="174">
        <f t="shared" si="213"/>
        <v>0.14812636540775664</v>
      </c>
      <c r="N34" s="174">
        <f t="shared" si="214"/>
        <v>1.2795066255521292</v>
      </c>
      <c r="O34" s="12">
        <v>198300</v>
      </c>
      <c r="P34" s="174">
        <f t="shared" si="215"/>
        <v>0.18726308811280737</v>
      </c>
      <c r="Q34" s="174">
        <f t="shared" si="216"/>
        <v>1.7079435742670253</v>
      </c>
      <c r="R34" s="175">
        <v>245324</v>
      </c>
      <c r="S34" s="174">
        <f t="shared" si="217"/>
        <v>0.22011707324076102</v>
      </c>
      <c r="T34" s="174">
        <f t="shared" si="218"/>
        <v>1.6792625922851774</v>
      </c>
      <c r="U34" s="175">
        <v>319019</v>
      </c>
      <c r="V34" s="174">
        <f t="shared" si="219"/>
        <v>0.22369685062007319</v>
      </c>
      <c r="W34" s="174">
        <f t="shared" si="220"/>
        <v>2.1667560055588644</v>
      </c>
      <c r="X34" s="175">
        <v>310236</v>
      </c>
      <c r="Y34" s="174">
        <f t="shared" si="221"/>
        <v>0.24478163545970921</v>
      </c>
      <c r="Z34" s="174">
        <f t="shared" si="222"/>
        <v>1.2684869003136905</v>
      </c>
      <c r="AA34" s="175">
        <v>332880</v>
      </c>
      <c r="AB34" s="174">
        <f t="shared" si="223"/>
        <v>0.25220417264257516</v>
      </c>
      <c r="AC34" s="174">
        <f t="shared" si="224"/>
        <v>0.67866868381240542</v>
      </c>
      <c r="AD34" s="175">
        <v>319840</v>
      </c>
      <c r="AE34" s="174">
        <f t="shared" si="225"/>
        <v>0.23578865421915282</v>
      </c>
      <c r="AF34" s="174">
        <f t="shared" si="226"/>
        <v>0.30374525117803386</v>
      </c>
      <c r="AG34" s="175">
        <v>348507</v>
      </c>
      <c r="AH34" s="174">
        <f t="shared" si="227"/>
        <v>0.21668523635314571</v>
      </c>
      <c r="AI34" s="174">
        <f t="shared" si="228"/>
        <v>9.2433366037759424E-2</v>
      </c>
      <c r="AJ34" s="175">
        <v>356554</v>
      </c>
      <c r="AK34" s="174">
        <f t="shared" si="229"/>
        <v>0.24454738493953426</v>
      </c>
      <c r="AL34" s="174">
        <f t="shared" ref="AL34:AL50" si="288">(AJ34/X34)-1</f>
        <v>0.14929924315682253</v>
      </c>
      <c r="AM34" s="175">
        <v>397898</v>
      </c>
      <c r="AN34" s="174">
        <f t="shared" si="230"/>
        <v>0.26422113142195375</v>
      </c>
      <c r="AO34" s="174">
        <f t="shared" ref="AO34:AO50" si="289">(AM34/AA34)-1</f>
        <v>0.19531963470319624</v>
      </c>
      <c r="AP34" s="175">
        <v>365733</v>
      </c>
      <c r="AQ34" s="174">
        <f t="shared" si="231"/>
        <v>0.25482997539025809</v>
      </c>
      <c r="AR34" s="174">
        <f t="shared" ref="AR34:AR50" si="290">(AP34/AD34)-1</f>
        <v>0.14348736868434209</v>
      </c>
      <c r="AS34" s="175">
        <v>385072</v>
      </c>
      <c r="AT34" s="174">
        <f t="shared" si="232"/>
        <v>0.23676995489914562</v>
      </c>
      <c r="AU34" s="13">
        <f t="shared" ref="AU34:AU50" si="291">(AS34/AG34)-1</f>
        <v>0.10491898297595181</v>
      </c>
      <c r="AV34" s="175">
        <v>318022</v>
      </c>
      <c r="AW34" s="174">
        <f t="shared" si="233"/>
        <v>0.21899536285296786</v>
      </c>
      <c r="AX34" s="174">
        <f t="shared" ref="AX34:AX50" si="292">(AV34/AJ34)-1</f>
        <v>-0.10806778215922408</v>
      </c>
      <c r="AY34" s="175">
        <v>337000</v>
      </c>
      <c r="AZ34" s="174">
        <f t="shared" si="234"/>
        <v>0.21243802577623405</v>
      </c>
      <c r="BA34" s="174">
        <f t="shared" ref="BA34:BA51" si="293">(AY34/AM34)-1</f>
        <v>-0.15304927393452594</v>
      </c>
      <c r="BB34" s="175">
        <v>340809</v>
      </c>
      <c r="BC34" s="174">
        <f t="shared" si="235"/>
        <v>0.20911221691138121</v>
      </c>
      <c r="BD34" s="174">
        <f t="shared" ref="BD34:BD51" si="294">(BB34/AP34)-1</f>
        <v>-6.8148075235212602E-2</v>
      </c>
      <c r="BE34" s="175">
        <v>373471</v>
      </c>
      <c r="BF34" s="174">
        <f t="shared" si="236"/>
        <v>0.19439495272999072</v>
      </c>
      <c r="BG34" s="174">
        <f t="shared" si="237"/>
        <v>-3.0126833423359756E-2</v>
      </c>
      <c r="BH34" s="175">
        <v>372973</v>
      </c>
      <c r="BI34" s="174">
        <f t="shared" ref="BI34:BI49" si="295">BH34/$BH$6</f>
        <v>0.20356988082931532</v>
      </c>
      <c r="BJ34" s="174">
        <f t="shared" ref="BJ34:BJ49" si="296">(BH34/AV34)-1</f>
        <v>0.17278993277194665</v>
      </c>
      <c r="BK34" s="175">
        <v>395405</v>
      </c>
      <c r="BL34" s="174">
        <f t="shared" ref="BL34:BL49" si="297">BK34/$BK$6</f>
        <v>0.21123416030942155</v>
      </c>
      <c r="BM34" s="174">
        <f t="shared" ref="BM34:BM49" si="298">(BK34/AY34)-1</f>
        <v>0.17330860534124626</v>
      </c>
      <c r="BN34" s="175">
        <v>379612</v>
      </c>
      <c r="BO34" s="174">
        <f t="shared" si="238"/>
        <v>0.19921262073865872</v>
      </c>
      <c r="BP34" s="174">
        <f t="shared" si="239"/>
        <v>0.11385556132613872</v>
      </c>
      <c r="BQ34" s="175">
        <v>267146</v>
      </c>
      <c r="BR34" s="174">
        <f t="shared" si="240"/>
        <v>0.10877213697799076</v>
      </c>
      <c r="BS34" s="174">
        <f t="shared" si="241"/>
        <v>-0.28469412618382683</v>
      </c>
      <c r="BT34" s="175">
        <v>130316</v>
      </c>
      <c r="BU34" s="174">
        <f t="shared" si="242"/>
        <v>5.8911096755586034E-2</v>
      </c>
      <c r="BV34" s="174">
        <f t="shared" si="243"/>
        <v>-0.65060205430419904</v>
      </c>
      <c r="BW34" s="176">
        <v>125066</v>
      </c>
      <c r="BX34" s="174">
        <f t="shared" si="244"/>
        <v>5.6110909966185223E-2</v>
      </c>
      <c r="BY34" s="174">
        <f t="shared" si="245"/>
        <v>-0.68370152122507299</v>
      </c>
      <c r="BZ34" s="175">
        <v>205746</v>
      </c>
      <c r="CA34" s="174">
        <f t="shared" ref="CA34:CA49" si="299">BZ34/$BZ$6</f>
        <v>7.7303598078099375E-2</v>
      </c>
      <c r="CB34" s="174">
        <f t="shared" si="246"/>
        <v>-0.45800975733116978</v>
      </c>
      <c r="CC34" s="175">
        <v>119932</v>
      </c>
      <c r="CD34" s="174">
        <f t="shared" ref="CD34:CD49" si="300">CC34/$CC$6</f>
        <v>4.0198370774766852E-2</v>
      </c>
      <c r="CE34" s="174">
        <f>(CC34/BQ34)-1</f>
        <v>-0.55106196611590663</v>
      </c>
      <c r="CF34" s="175">
        <v>128652</v>
      </c>
      <c r="CG34" s="174">
        <f t="shared" ref="CG34:CG49" si="301">CF34/$CF$6</f>
        <v>4.4990972220036528E-2</v>
      </c>
      <c r="CH34" s="174">
        <f>(CF34/BT34)-1</f>
        <v>-1.2768961601031359E-2</v>
      </c>
      <c r="CI34" s="175">
        <v>148556</v>
      </c>
      <c r="CJ34" s="174">
        <f t="shared" ref="CJ34:CJ49" si="302">CI34/$CI$6</f>
        <v>5.1054926420982846E-2</v>
      </c>
      <c r="CK34" s="174">
        <f>(CI34/BW34)-1</f>
        <v>0.18782083060144239</v>
      </c>
      <c r="CL34" s="175">
        <v>180642</v>
      </c>
      <c r="CM34" s="174">
        <f t="shared" ref="CM34:CM49" si="303">CL34/$CL$6</f>
        <v>5.4374619037227116E-2</v>
      </c>
      <c r="CN34" s="174">
        <f>(CL34/BZ34)-1</f>
        <v>-0.12201452276107438</v>
      </c>
      <c r="CO34" s="175">
        <v>547665</v>
      </c>
      <c r="CP34" s="174">
        <f t="shared" ref="CP34:CP49" si="304">CO34/$CO$6</f>
        <v>0.14526815185457509</v>
      </c>
      <c r="CQ34" s="174">
        <f t="shared" ref="CQ34:CQ49" si="305">(CO34/CC34)-1</f>
        <v>3.5664626621752324</v>
      </c>
      <c r="CR34" s="175">
        <v>539606</v>
      </c>
      <c r="CS34" s="174">
        <f t="shared" ref="CS34:CS49" si="306">CR34/$CR$31</f>
        <v>0.15481331804344078</v>
      </c>
      <c r="CT34" s="174">
        <f t="shared" si="247"/>
        <v>3.1943071230917512</v>
      </c>
      <c r="CU34" s="175">
        <v>585887</v>
      </c>
      <c r="CV34" s="174">
        <f t="shared" ref="CV34:CV49" si="307">CU34/$CU$31</f>
        <v>0.16677032521077317</v>
      </c>
      <c r="CW34" s="174">
        <f t="shared" si="248"/>
        <v>2.943879749050863</v>
      </c>
      <c r="CX34" s="175">
        <v>680194</v>
      </c>
      <c r="CY34" s="174">
        <f t="shared" si="249"/>
        <v>0.16939480392709211</v>
      </c>
      <c r="CZ34" s="174">
        <f>(CX34/CL34)-1</f>
        <v>2.7654255378040546</v>
      </c>
      <c r="DA34" s="175">
        <v>607060</v>
      </c>
      <c r="DB34" s="174">
        <f t="shared" si="251"/>
        <v>0.13443843948122078</v>
      </c>
      <c r="DC34" s="174">
        <f t="shared" si="252"/>
        <v>0.10845133430107823</v>
      </c>
      <c r="DD34" s="175">
        <v>629659</v>
      </c>
      <c r="DE34" s="174">
        <f t="shared" si="253"/>
        <v>0.18064958326244496</v>
      </c>
      <c r="DF34" s="174">
        <f t="shared" si="254"/>
        <v>0.16688658020852243</v>
      </c>
      <c r="DG34" s="175">
        <v>307172</v>
      </c>
      <c r="DH34" s="174">
        <f t="shared" si="187"/>
        <v>6.9732608278142233E-2</v>
      </c>
      <c r="DI34" s="174">
        <f t="shared" si="78"/>
        <v>-0.47571460025568069</v>
      </c>
      <c r="DJ34" s="175">
        <v>281212</v>
      </c>
      <c r="DK34" s="174">
        <f t="shared" ref="DK34:DK67" si="308">DJ34/$DJ$6</f>
        <v>6.2364788728333766E-2</v>
      </c>
      <c r="DL34" s="174">
        <f t="shared" si="255"/>
        <v>-0.58657089006959784</v>
      </c>
      <c r="DM34" s="175">
        <v>336719</v>
      </c>
      <c r="DN34" s="174">
        <f t="shared" si="80"/>
        <v>6.3306327898945608E-2</v>
      </c>
      <c r="DO34" s="174">
        <f t="shared" si="256"/>
        <v>-0.44532830362731857</v>
      </c>
      <c r="DP34" s="175">
        <v>383792</v>
      </c>
      <c r="DQ34" s="174">
        <f t="shared" si="55"/>
        <v>7.5610407187669607E-2</v>
      </c>
      <c r="DR34" s="174">
        <f t="shared" si="257"/>
        <v>-0.39047643248170838</v>
      </c>
      <c r="DS34" s="175">
        <v>419648</v>
      </c>
      <c r="DT34" s="174">
        <f t="shared" si="81"/>
        <v>8.0212351098005563E-2</v>
      </c>
      <c r="DU34" s="174">
        <f t="shared" si="286"/>
        <v>0.36616618702225456</v>
      </c>
      <c r="DV34" s="175">
        <v>430700</v>
      </c>
      <c r="DW34" s="174">
        <f t="shared" ref="DW34:DW49" si="309">DV34/DV$6</f>
        <v>8.1375543314480478E-2</v>
      </c>
      <c r="DX34" s="174">
        <f t="shared" si="258"/>
        <v>0.53158471188996193</v>
      </c>
      <c r="DY34" s="175">
        <v>380914</v>
      </c>
      <c r="DZ34" s="174">
        <f t="shared" ref="DZ34:DZ49" si="310">DY34/DY$6</f>
        <v>6.4961162020212765E-2</v>
      </c>
      <c r="EA34" s="174">
        <f t="shared" si="259"/>
        <v>0.1312518747085849</v>
      </c>
      <c r="EB34" s="175">
        <v>410794</v>
      </c>
      <c r="EC34" s="174">
        <f t="shared" si="84"/>
        <v>7.3734699108493548E-2</v>
      </c>
      <c r="ED34" s="174">
        <f t="shared" si="260"/>
        <v>7.0355817734606196E-2</v>
      </c>
      <c r="EE34" s="175">
        <v>456710</v>
      </c>
      <c r="EF34" s="174">
        <f t="shared" ref="EF34:EF56" si="311">EE34/EE$6</f>
        <v>7.8572154823841028E-2</v>
      </c>
      <c r="EG34" s="174">
        <f t="shared" ref="EG34:EG56" si="312">(EE34/DS34)-1</f>
        <v>8.8316875095318048E-2</v>
      </c>
      <c r="EH34" s="175">
        <v>401356</v>
      </c>
      <c r="EI34" s="174">
        <f t="shared" ref="EI34:EI56" si="313">EH34/EH$6</f>
        <v>7.0731850022170015E-2</v>
      </c>
      <c r="EJ34" s="174">
        <f t="shared" ref="EJ34:EJ56" si="314">(EH34/DV34)-1</f>
        <v>-6.8130949616902692E-2</v>
      </c>
      <c r="EK34" s="175">
        <v>378266</v>
      </c>
      <c r="EL34" s="174">
        <f t="shared" si="261"/>
        <v>5.8417546792290352E-2</v>
      </c>
      <c r="EM34" s="174">
        <f>(EK34/DY34)-1</f>
        <v>-6.9517003838136526E-3</v>
      </c>
      <c r="EN34" s="175">
        <v>386351</v>
      </c>
      <c r="EO34" s="174">
        <f t="shared" si="287"/>
        <v>6.1797116600548374E-2</v>
      </c>
      <c r="EP34" s="174">
        <f>(EN34/EB34)-1</f>
        <v>-5.9501842772776592E-2</v>
      </c>
      <c r="EQ34" s="175">
        <v>467829</v>
      </c>
      <c r="ER34" s="174">
        <f t="shared" si="263"/>
        <v>7.092065156242397E-2</v>
      </c>
      <c r="ES34" s="174">
        <f>(EQ34/EE34)-1</f>
        <v>2.434586499091318E-2</v>
      </c>
      <c r="ET34" s="175">
        <v>173123</v>
      </c>
      <c r="EU34" s="174">
        <f t="shared" si="264"/>
        <v>2.6689464550354602E-2</v>
      </c>
      <c r="EV34" s="174">
        <f>(ET34/EH34)-1</f>
        <v>-0.5686547603623715</v>
      </c>
      <c r="EW34" s="175">
        <v>127396</v>
      </c>
      <c r="EX34" s="174">
        <f t="shared" si="265"/>
        <v>1.6878878189764294E-2</v>
      </c>
      <c r="EY34" s="174">
        <f>(EW34/EK34)-1</f>
        <v>-0.66321054496042464</v>
      </c>
      <c r="EZ34" s="175">
        <v>130059</v>
      </c>
      <c r="FA34" s="174">
        <f t="shared" si="266"/>
        <v>1.8509112670073172E-2</v>
      </c>
      <c r="FB34" s="174">
        <f>(EZ34/EN34)-1</f>
        <v>-0.66336569596040906</v>
      </c>
      <c r="FC34" s="175">
        <v>527273</v>
      </c>
      <c r="FD34" s="174">
        <f t="shared" si="267"/>
        <v>7.2176706605211804E-2</v>
      </c>
      <c r="FE34" s="174">
        <f>(FC34/EQ34)-1</f>
        <v>0.12706352107287056</v>
      </c>
      <c r="FF34" s="175">
        <v>458313</v>
      </c>
      <c r="FG34" s="174">
        <f t="shared" si="88"/>
        <v>6.072581119591608E-2</v>
      </c>
      <c r="FH34" s="174">
        <f t="shared" si="89"/>
        <v>1.6473258896853684</v>
      </c>
      <c r="FI34" s="175">
        <v>712558</v>
      </c>
      <c r="FJ34" s="174">
        <f t="shared" si="268"/>
        <v>8.0779290623971212E-2</v>
      </c>
      <c r="FK34" s="174">
        <f t="shared" si="269"/>
        <v>4.5932525354014251</v>
      </c>
      <c r="FL34" s="175">
        <v>913814</v>
      </c>
      <c r="FM34" s="174">
        <f t="shared" si="270"/>
        <v>9.0808281691758808E-2</v>
      </c>
      <c r="FN34" s="174">
        <f t="shared" si="271"/>
        <v>6.0261496705341422</v>
      </c>
      <c r="FO34" s="175">
        <v>469493</v>
      </c>
      <c r="FP34" s="174">
        <f t="shared" si="272"/>
        <v>4.7309285817643612E-2</v>
      </c>
      <c r="FQ34" s="174">
        <f t="shared" si="273"/>
        <v>-0.10958270193998176</v>
      </c>
      <c r="FR34" s="175">
        <v>296439</v>
      </c>
      <c r="FS34" s="174">
        <f t="shared" si="274"/>
        <v>2.9056078106263428E-2</v>
      </c>
      <c r="FT34" s="174">
        <f t="shared" si="275"/>
        <v>-0.35319530539173005</v>
      </c>
      <c r="FU34" s="175">
        <v>184996</v>
      </c>
      <c r="FV34" s="174">
        <f t="shared" si="276"/>
        <v>1.6012946357547221E-2</v>
      </c>
      <c r="FW34" s="174">
        <f t="shared" si="277"/>
        <v>-0.74037762540031826</v>
      </c>
      <c r="FX34" s="175">
        <v>538965</v>
      </c>
      <c r="FY34" s="174">
        <f t="shared" si="278"/>
        <v>4.6848356798003275E-2</v>
      </c>
      <c r="FZ34" s="174">
        <f t="shared" si="279"/>
        <v>-0.41020273272241392</v>
      </c>
      <c r="GA34" s="175">
        <v>514962</v>
      </c>
      <c r="GB34" s="174">
        <f t="shared" si="280"/>
        <v>4.0143369957961722E-2</v>
      </c>
      <c r="GC34" s="174">
        <f t="shared" si="281"/>
        <v>9.6847024343280852E-2</v>
      </c>
      <c r="GD34" s="175">
        <v>325639</v>
      </c>
      <c r="GE34" s="174">
        <f t="shared" si="282"/>
        <v>2.5083711482511675E-2</v>
      </c>
      <c r="GF34" s="174">
        <f t="shared" si="283"/>
        <v>9.8502558705163556E-2</v>
      </c>
      <c r="GG34" s="175">
        <v>341390</v>
      </c>
      <c r="GH34" s="174">
        <f t="shared" si="284"/>
        <v>2.3314875524352501E-2</v>
      </c>
      <c r="GI34" s="174">
        <f t="shared" si="285"/>
        <v>0.84539125170273954</v>
      </c>
    </row>
    <row r="35" spans="2:191" s="171" customFormat="1" ht="15" customHeight="1">
      <c r="B35" s="172" t="s">
        <v>344</v>
      </c>
      <c r="C35" s="173" t="s">
        <v>304</v>
      </c>
      <c r="D35" s="10">
        <v>0</v>
      </c>
      <c r="E35" s="174" t="s">
        <v>112</v>
      </c>
      <c r="F35" s="10">
        <v>0</v>
      </c>
      <c r="G35" s="174" t="s">
        <v>112</v>
      </c>
      <c r="H35" s="10"/>
      <c r="I35" s="174"/>
      <c r="J35" s="10"/>
      <c r="K35" s="174"/>
      <c r="L35" s="12"/>
      <c r="M35" s="174"/>
      <c r="N35" s="174"/>
      <c r="O35" s="12"/>
      <c r="P35" s="174"/>
      <c r="Q35" s="174"/>
      <c r="R35" s="175"/>
      <c r="S35" s="174"/>
      <c r="T35" s="174"/>
      <c r="U35" s="175"/>
      <c r="V35" s="174"/>
      <c r="W35" s="174"/>
      <c r="X35" s="175"/>
      <c r="Y35" s="174"/>
      <c r="Z35" s="174"/>
      <c r="AA35" s="175"/>
      <c r="AB35" s="174"/>
      <c r="AC35" s="174"/>
      <c r="AD35" s="175"/>
      <c r="AE35" s="174"/>
      <c r="AF35" s="174"/>
      <c r="AG35" s="175"/>
      <c r="AH35" s="174"/>
      <c r="AI35" s="174"/>
      <c r="AJ35" s="175"/>
      <c r="AK35" s="174"/>
      <c r="AL35" s="174"/>
      <c r="AM35" s="175"/>
      <c r="AN35" s="174"/>
      <c r="AO35" s="174"/>
      <c r="AP35" s="175"/>
      <c r="AQ35" s="174"/>
      <c r="AR35" s="174"/>
      <c r="AS35" s="175"/>
      <c r="AT35" s="174"/>
      <c r="AU35" s="13"/>
      <c r="AV35" s="175"/>
      <c r="AW35" s="174"/>
      <c r="AX35" s="174"/>
      <c r="AY35" s="175"/>
      <c r="AZ35" s="174"/>
      <c r="BA35" s="174"/>
      <c r="BB35" s="175"/>
      <c r="BC35" s="174"/>
      <c r="BD35" s="174"/>
      <c r="BE35" s="175"/>
      <c r="BF35" s="174"/>
      <c r="BG35" s="174"/>
      <c r="BH35" s="175"/>
      <c r="BI35" s="174" t="s">
        <v>112</v>
      </c>
      <c r="BJ35" s="174" t="s">
        <v>112</v>
      </c>
      <c r="BK35" s="175"/>
      <c r="BL35" s="174" t="s">
        <v>112</v>
      </c>
      <c r="BM35" s="174" t="s">
        <v>112</v>
      </c>
      <c r="BN35" s="175"/>
      <c r="BO35" s="174"/>
      <c r="BP35" s="174"/>
      <c r="BQ35" s="175"/>
      <c r="BR35" s="174"/>
      <c r="BS35" s="174"/>
      <c r="BT35" s="175"/>
      <c r="BU35" s="174"/>
      <c r="BV35" s="174"/>
      <c r="BW35" s="176"/>
      <c r="BX35" s="174"/>
      <c r="BY35" s="174"/>
      <c r="BZ35" s="175">
        <v>5778.5554038125611</v>
      </c>
      <c r="CA35" s="174">
        <f>BZ35/$BZ$6</f>
        <v>2.1711388041971919E-3</v>
      </c>
      <c r="CB35" s="174" t="s">
        <v>112</v>
      </c>
      <c r="CC35" s="175">
        <v>5813.3508295615884</v>
      </c>
      <c r="CD35" s="174">
        <f>CC35/$CC$6</f>
        <v>1.948497749478998E-3</v>
      </c>
      <c r="CE35" s="174" t="s">
        <v>112</v>
      </c>
      <c r="CF35" s="175">
        <v>5848.3795852721951</v>
      </c>
      <c r="CG35" s="174">
        <f>CF35/$CF$6</f>
        <v>2.045240520576517E-3</v>
      </c>
      <c r="CH35" s="174" t="s">
        <v>112</v>
      </c>
      <c r="CI35" s="175">
        <v>12689.210525429384</v>
      </c>
      <c r="CJ35" s="174">
        <f>CI35/$CI$6</f>
        <v>4.360959568890912E-3</v>
      </c>
      <c r="CK35" s="174" t="s">
        <v>112</v>
      </c>
      <c r="CL35" s="175">
        <v>13357</v>
      </c>
      <c r="CM35" s="174">
        <f>CL35/$CL$6</f>
        <v>4.0205588206521327E-3</v>
      </c>
      <c r="CN35" s="174">
        <f>(CL35/BZ35)-1</f>
        <v>1.3114773618311855</v>
      </c>
      <c r="CO35" s="175">
        <v>6931</v>
      </c>
      <c r="CP35" s="174">
        <f>CO35/$CO$6</f>
        <v>1.8384478842066955E-3</v>
      </c>
      <c r="CQ35" s="174">
        <f>(CO35/CC35)-1</f>
        <v>0.19225558601332482</v>
      </c>
      <c r="CR35" s="175">
        <v>6670</v>
      </c>
      <c r="CS35" s="174">
        <f>CR35/$CR$31</f>
        <v>1.9136274084234608E-3</v>
      </c>
      <c r="CT35" s="174">
        <f>(CR35/CF35)-1</f>
        <v>0.14048684815138679</v>
      </c>
      <c r="CU35" s="175">
        <v>6883</v>
      </c>
      <c r="CV35" s="174">
        <f>CU35/$CU$31</f>
        <v>1.9592176450847205E-3</v>
      </c>
      <c r="CW35" s="174">
        <f>(CU35/CI35)-1</f>
        <v>-0.45757066712650429</v>
      </c>
      <c r="CX35" s="175">
        <v>6470</v>
      </c>
      <c r="CY35" s="174">
        <f>CX35/$CX$31</f>
        <v>1.6112820480749402E-3</v>
      </c>
      <c r="CZ35" s="174">
        <f>(CX35/CL35)-1</f>
        <v>-0.51560979261810291</v>
      </c>
      <c r="DA35" s="175">
        <v>7193</v>
      </c>
      <c r="DB35" s="174">
        <f>DA35/$DA$31</f>
        <v>1.5929491239554921E-3</v>
      </c>
      <c r="DC35" s="174">
        <f>(DA35/CO35)-1</f>
        <v>3.7801183090463208E-2</v>
      </c>
      <c r="DD35" s="175">
        <v>4742</v>
      </c>
      <c r="DE35" s="174">
        <f>DD35/$CR$31</f>
        <v>1.3604829341445355E-3</v>
      </c>
      <c r="DF35" s="174">
        <f>(DD35/CR35)-1</f>
        <v>-0.28905547226386807</v>
      </c>
      <c r="DG35" s="175">
        <v>13806</v>
      </c>
      <c r="DH35" s="174">
        <f>DG35/$DG$6</f>
        <v>3.1341671437762285E-3</v>
      </c>
      <c r="DI35" s="174">
        <f>(DG35/CU35)-1</f>
        <v>1.0058114194391981</v>
      </c>
      <c r="DJ35" s="175">
        <v>4099</v>
      </c>
      <c r="DK35" s="174">
        <f>DJ35/$DJ$6</f>
        <v>9.090411113232724E-4</v>
      </c>
      <c r="DL35" s="174">
        <f>(DJ35/CX35)-1</f>
        <v>-0.36646058732612052</v>
      </c>
      <c r="DM35" s="175">
        <v>4130</v>
      </c>
      <c r="DN35" s="174">
        <f>DM35/$DM$6</f>
        <v>7.7647870842644873E-4</v>
      </c>
      <c r="DO35" s="174">
        <f>(DM35/DA35)-1</f>
        <v>-0.42583066870568609</v>
      </c>
      <c r="DP35" s="175">
        <v>4700</v>
      </c>
      <c r="DQ35" s="174">
        <f>DP35/$DP$6</f>
        <v>9.2594143124934125E-4</v>
      </c>
      <c r="DR35" s="174">
        <f>(DP35/DD35)-1</f>
        <v>-8.8570223534373271E-3</v>
      </c>
      <c r="DS35" s="175">
        <v>6446</v>
      </c>
      <c r="DT35" s="174">
        <f>DS35/DS$6</f>
        <v>1.2321012257361977E-3</v>
      </c>
      <c r="DU35" s="174">
        <f>(DS35/DG35)-1</f>
        <v>-0.53310155005070259</v>
      </c>
      <c r="DV35" s="175">
        <v>5988</v>
      </c>
      <c r="DW35" s="174">
        <f>DV35/DV$6</f>
        <v>1.1313600031741563E-3</v>
      </c>
      <c r="DX35" s="174">
        <f>(DV35/DJ35)-1</f>
        <v>0.46084410831910216</v>
      </c>
      <c r="DY35" s="175">
        <v>8329</v>
      </c>
      <c r="DZ35" s="174">
        <f>DY35/DY$6</f>
        <v>1.4204295942557956E-3</v>
      </c>
      <c r="EA35" s="174">
        <f>(DY35/DM35)-1</f>
        <v>1.0167070217917678</v>
      </c>
      <c r="EB35" s="175">
        <v>8120</v>
      </c>
      <c r="EC35" s="174">
        <f>EB35/EB$6</f>
        <v>1.4574841812708256E-3</v>
      </c>
      <c r="ED35" s="174">
        <f>(EB35/DP35)-1</f>
        <v>0.72765957446808516</v>
      </c>
      <c r="EE35" s="175">
        <v>9730</v>
      </c>
      <c r="EF35" s="174">
        <f>EE35/EE$6</f>
        <v>1.6739442237655694E-3</v>
      </c>
      <c r="EG35" s="174">
        <f t="shared" ref="EG35" si="315">(EE35/DS35)-1</f>
        <v>0.50946323301272112</v>
      </c>
      <c r="EH35" s="175">
        <v>12081</v>
      </c>
      <c r="EI35" s="174">
        <f>EH35/EH$6</f>
        <v>2.1290611828846109E-3</v>
      </c>
      <c r="EJ35" s="174">
        <f>(EH35/DV35)-1</f>
        <v>1.0175350701402808</v>
      </c>
      <c r="EK35" s="175">
        <v>2521</v>
      </c>
      <c r="EL35" s="174">
        <f>EK35/EK$6</f>
        <v>3.8933088213945736E-4</v>
      </c>
      <c r="EM35" s="174">
        <f>(EK35/DY35)-1</f>
        <v>-0.69732260775603316</v>
      </c>
      <c r="EN35" s="175">
        <v>7016</v>
      </c>
      <c r="EO35" s="174">
        <f>EN35/EN$6</f>
        <v>1.1222141784787601E-3</v>
      </c>
      <c r="EP35" s="174">
        <f>(EN35/EB35)-1</f>
        <v>-0.13596059113300496</v>
      </c>
      <c r="EQ35" s="175">
        <v>7976</v>
      </c>
      <c r="ER35" s="174">
        <f>EQ35/EQ$6</f>
        <v>1.20912366882321E-3</v>
      </c>
      <c r="ES35" s="174">
        <f>(EQ35/EE35)-1</f>
        <v>-0.18026721479958885</v>
      </c>
      <c r="ET35" s="175">
        <v>6466</v>
      </c>
      <c r="EU35" s="174">
        <f>ET35/ET$6</f>
        <v>9.9682929352306075E-4</v>
      </c>
      <c r="EV35" s="174">
        <f>(ET35/EH35)-1</f>
        <v>-0.46477940567833786</v>
      </c>
      <c r="EW35" s="175">
        <v>9890</v>
      </c>
      <c r="EX35" s="174">
        <f>EW35/EW$6</f>
        <v>1.3103402406415342E-3</v>
      </c>
      <c r="EY35" s="174">
        <f>(EW35/EK35)-1</f>
        <v>2.9230464101547007</v>
      </c>
      <c r="EZ35" s="175">
        <v>9387</v>
      </c>
      <c r="FA35" s="174">
        <f>EZ35/EZ$6</f>
        <v>1.3358940222051288E-3</v>
      </c>
      <c r="FB35" s="174">
        <f>(EZ35/EN35)-1</f>
        <v>0.33794184720638532</v>
      </c>
      <c r="FC35" s="175">
        <v>8747</v>
      </c>
      <c r="FD35" s="174">
        <f>FC35/FC$6</f>
        <v>1.1973487219633617E-3</v>
      </c>
      <c r="FE35" s="174">
        <f>(FC35/EQ35)-1</f>
        <v>9.6664994984954955E-2</v>
      </c>
      <c r="FF35" s="175">
        <v>474</v>
      </c>
      <c r="FG35" s="174">
        <f>FF35/FF$6</f>
        <v>6.2804316060998097E-5</v>
      </c>
      <c r="FH35" s="174">
        <f>(FF35/ET35)-1</f>
        <v>-0.92669347355397469</v>
      </c>
      <c r="FI35" s="175">
        <v>473</v>
      </c>
      <c r="FJ35" s="174">
        <f>FI35/FI$6</f>
        <v>5.3621746531704625E-5</v>
      </c>
      <c r="FK35" s="174">
        <f>(FI35/EW35)-1</f>
        <v>-0.95217391304347831</v>
      </c>
      <c r="FL35" s="175">
        <v>390444</v>
      </c>
      <c r="FM35" s="174">
        <f>FL35/FL$6</f>
        <v>3.8799524560640432E-2</v>
      </c>
      <c r="FN35" s="174">
        <f>(FL35/EZ35)-1</f>
        <v>40.594119527005432</v>
      </c>
      <c r="FO35" s="175">
        <v>394000</v>
      </c>
      <c r="FP35" s="174">
        <f>FO35/FO$6</f>
        <v>3.9702101228669191E-2</v>
      </c>
      <c r="FQ35" s="174">
        <f>(FO35/FC35)-1</f>
        <v>44.044015090888301</v>
      </c>
      <c r="FR35" s="175">
        <v>383992</v>
      </c>
      <c r="FS35" s="174">
        <f>FR35/FR$6</f>
        <v>3.7637765422836755E-2</v>
      </c>
      <c r="FT35" s="174">
        <f>(FR35/FF35)-1</f>
        <v>809.10970464135016</v>
      </c>
      <c r="FU35" s="175">
        <v>447685</v>
      </c>
      <c r="FV35" s="174">
        <f>FU35/FU$6</f>
        <v>3.8750869694904364E-2</v>
      </c>
      <c r="FW35" s="174">
        <f>(FU35/FI35)-1</f>
        <v>945.47991543340379</v>
      </c>
      <c r="FX35" s="175">
        <v>425077</v>
      </c>
      <c r="FY35" s="174">
        <f>FX35/FX$6</f>
        <v>3.6948890860491572E-2</v>
      </c>
      <c r="FZ35" s="174">
        <f>(FX35/FL35)-1</f>
        <v>8.8701580764463106E-2</v>
      </c>
      <c r="GA35" s="175">
        <v>434076</v>
      </c>
      <c r="GB35" s="174">
        <f>GA35/GA$6</f>
        <v>3.3837979225403415E-2</v>
      </c>
      <c r="GC35" s="174">
        <f>(GA35/FO35)-1</f>
        <v>0.10171573604060913</v>
      </c>
      <c r="GD35" s="175">
        <v>483518</v>
      </c>
      <c r="GE35" s="174">
        <f>GD35/GD$6</f>
        <v>3.7245004463842109E-2</v>
      </c>
      <c r="GF35" s="174">
        <f>(GD35/FR35)-1</f>
        <v>0.25918769141023779</v>
      </c>
      <c r="GG35" s="175">
        <v>496583</v>
      </c>
      <c r="GH35" s="174">
        <f>GG35/GG$6</f>
        <v>3.3913620294998496E-2</v>
      </c>
      <c r="GI35" s="174">
        <f>(GG35/FU35)-1</f>
        <v>0.10922411963769174</v>
      </c>
    </row>
    <row r="36" spans="2:191" s="171" customFormat="1" ht="15" customHeight="1">
      <c r="B36" s="172" t="s">
        <v>289</v>
      </c>
      <c r="C36" s="173" t="s">
        <v>291</v>
      </c>
      <c r="D36" s="10">
        <v>0</v>
      </c>
      <c r="E36" s="174"/>
      <c r="F36" s="10">
        <v>0</v>
      </c>
      <c r="G36" s="174">
        <v>0</v>
      </c>
      <c r="H36" s="10">
        <v>0</v>
      </c>
      <c r="I36" s="174">
        <v>0</v>
      </c>
      <c r="J36" s="10">
        <v>0</v>
      </c>
      <c r="K36" s="174">
        <v>0</v>
      </c>
      <c r="L36" s="12">
        <v>0</v>
      </c>
      <c r="M36" s="174">
        <v>0</v>
      </c>
      <c r="N36" s="174">
        <v>0</v>
      </c>
      <c r="O36" s="12">
        <v>0</v>
      </c>
      <c r="P36" s="174">
        <v>0</v>
      </c>
      <c r="Q36" s="174">
        <v>0</v>
      </c>
      <c r="R36" s="175">
        <v>0</v>
      </c>
      <c r="S36" s="174">
        <v>0</v>
      </c>
      <c r="T36" s="174">
        <v>0</v>
      </c>
      <c r="U36" s="175">
        <v>0</v>
      </c>
      <c r="V36" s="174">
        <v>0</v>
      </c>
      <c r="W36" s="174">
        <v>0</v>
      </c>
      <c r="X36" s="175">
        <v>0</v>
      </c>
      <c r="Y36" s="174">
        <v>0</v>
      </c>
      <c r="Z36" s="174">
        <v>0</v>
      </c>
      <c r="AA36" s="175">
        <v>0</v>
      </c>
      <c r="AB36" s="174">
        <v>0</v>
      </c>
      <c r="AC36" s="174">
        <v>0</v>
      </c>
      <c r="AD36" s="175">
        <v>0</v>
      </c>
      <c r="AE36" s="174">
        <v>0</v>
      </c>
      <c r="AF36" s="174">
        <v>0</v>
      </c>
      <c r="AG36" s="175">
        <v>0</v>
      </c>
      <c r="AH36" s="174">
        <v>0</v>
      </c>
      <c r="AI36" s="174">
        <v>0</v>
      </c>
      <c r="AJ36" s="175">
        <v>0</v>
      </c>
      <c r="AK36" s="174">
        <v>0</v>
      </c>
      <c r="AL36" s="174">
        <v>0</v>
      </c>
      <c r="AM36" s="175">
        <v>0</v>
      </c>
      <c r="AN36" s="174">
        <v>0</v>
      </c>
      <c r="AO36" s="174">
        <v>0</v>
      </c>
      <c r="AP36" s="175">
        <v>0</v>
      </c>
      <c r="AQ36" s="174">
        <v>0</v>
      </c>
      <c r="AR36" s="174">
        <v>0</v>
      </c>
      <c r="AS36" s="175">
        <v>0</v>
      </c>
      <c r="AT36" s="174">
        <v>0</v>
      </c>
      <c r="AU36" s="13">
        <v>0</v>
      </c>
      <c r="AV36" s="175">
        <v>0</v>
      </c>
      <c r="AW36" s="174">
        <v>0</v>
      </c>
      <c r="AX36" s="174">
        <v>0</v>
      </c>
      <c r="AY36" s="175">
        <v>0</v>
      </c>
      <c r="AZ36" s="174">
        <v>0</v>
      </c>
      <c r="BA36" s="174">
        <v>0</v>
      </c>
      <c r="BB36" s="175">
        <v>0</v>
      </c>
      <c r="BC36" s="174">
        <v>0</v>
      </c>
      <c r="BD36" s="174">
        <v>0</v>
      </c>
      <c r="BE36" s="175">
        <v>0</v>
      </c>
      <c r="BF36" s="174">
        <v>0</v>
      </c>
      <c r="BG36" s="174">
        <v>0</v>
      </c>
      <c r="BH36" s="175">
        <v>0</v>
      </c>
      <c r="BI36" s="174" t="s">
        <v>112</v>
      </c>
      <c r="BJ36" s="174" t="s">
        <v>112</v>
      </c>
      <c r="BK36" s="175">
        <v>0</v>
      </c>
      <c r="BL36" s="174" t="s">
        <v>112</v>
      </c>
      <c r="BM36" s="174" t="s">
        <v>112</v>
      </c>
      <c r="BN36" s="175">
        <v>0</v>
      </c>
      <c r="BO36" s="174">
        <v>0</v>
      </c>
      <c r="BP36" s="174">
        <v>0</v>
      </c>
      <c r="BQ36" s="175">
        <v>0</v>
      </c>
      <c r="BR36" s="174">
        <v>0</v>
      </c>
      <c r="BS36" s="174">
        <v>0</v>
      </c>
      <c r="BT36" s="175">
        <v>0</v>
      </c>
      <c r="BU36" s="174">
        <v>0</v>
      </c>
      <c r="BV36" s="174">
        <v>0</v>
      </c>
      <c r="BW36" s="176">
        <v>0</v>
      </c>
      <c r="BX36" s="174">
        <v>0</v>
      </c>
      <c r="BY36" s="174">
        <v>0</v>
      </c>
      <c r="BZ36" s="175">
        <v>0</v>
      </c>
      <c r="CA36" s="174">
        <v>0</v>
      </c>
      <c r="CB36" s="174">
        <v>0</v>
      </c>
      <c r="CC36" s="175">
        <v>11224</v>
      </c>
      <c r="CD36" s="174">
        <f t="shared" si="300"/>
        <v>3.7620194241402057E-3</v>
      </c>
      <c r="CE36" s="174" t="s">
        <v>112</v>
      </c>
      <c r="CF36" s="175">
        <v>80123</v>
      </c>
      <c r="CG36" s="174">
        <f t="shared" si="301"/>
        <v>2.8019864962736583E-2</v>
      </c>
      <c r="CH36" s="174" t="s">
        <v>112</v>
      </c>
      <c r="CI36" s="175">
        <v>104321</v>
      </c>
      <c r="CJ36" s="174">
        <f t="shared" si="302"/>
        <v>3.5852479732648643E-2</v>
      </c>
      <c r="CK36" s="174" t="s">
        <v>112</v>
      </c>
      <c r="CL36" s="175">
        <v>111897</v>
      </c>
      <c r="CM36" s="174">
        <f t="shared" si="303"/>
        <v>3.3681849992851072E-2</v>
      </c>
      <c r="CN36" s="174" t="s">
        <v>112</v>
      </c>
      <c r="CO36" s="175">
        <v>79714</v>
      </c>
      <c r="CP36" s="174">
        <f t="shared" si="304"/>
        <v>2.1144140043522223E-2</v>
      </c>
      <c r="CQ36" s="174">
        <f t="shared" si="305"/>
        <v>6.102102637205987</v>
      </c>
      <c r="CR36" s="175">
        <v>93709</v>
      </c>
      <c r="CS36" s="174">
        <f t="shared" si="306"/>
        <v>2.6885174035375426E-2</v>
      </c>
      <c r="CT36" s="174">
        <f t="shared" si="247"/>
        <v>0.16956429489659652</v>
      </c>
      <c r="CU36" s="175">
        <v>147100</v>
      </c>
      <c r="CV36" s="174">
        <f t="shared" si="307"/>
        <v>4.187141008164498E-2</v>
      </c>
      <c r="CW36" s="174">
        <f t="shared" si="248"/>
        <v>0.41007083904487107</v>
      </c>
      <c r="CX36" s="175">
        <v>77652</v>
      </c>
      <c r="CY36" s="174">
        <f t="shared" si="249"/>
        <v>1.9338373044376394E-2</v>
      </c>
      <c r="CZ36" s="174">
        <f t="shared" si="250"/>
        <v>-0.30604037641759829</v>
      </c>
      <c r="DA36" s="175">
        <v>76732</v>
      </c>
      <c r="DB36" s="174">
        <f t="shared" si="251"/>
        <v>1.6992933710461951E-2</v>
      </c>
      <c r="DC36" s="174">
        <f t="shared" si="252"/>
        <v>-3.740873623202956E-2</v>
      </c>
      <c r="DD36" s="175">
        <v>91108</v>
      </c>
      <c r="DE36" s="174">
        <f t="shared" si="253"/>
        <v>2.6138945416288556E-2</v>
      </c>
      <c r="DF36" s="174">
        <f t="shared" si="254"/>
        <v>-2.7756138684651432E-2</v>
      </c>
      <c r="DG36" s="175">
        <v>43516</v>
      </c>
      <c r="DH36" s="174">
        <f t="shared" si="187"/>
        <v>9.8787786055748485E-3</v>
      </c>
      <c r="DI36" s="174">
        <f t="shared" si="78"/>
        <v>-0.70417403127124412</v>
      </c>
      <c r="DJ36" s="175">
        <v>7908</v>
      </c>
      <c r="DK36" s="174">
        <f t="shared" si="308"/>
        <v>1.7537685065490214E-3</v>
      </c>
      <c r="DL36" s="174">
        <f t="shared" si="255"/>
        <v>-0.89816102611651982</v>
      </c>
      <c r="DM36" s="175">
        <v>8442</v>
      </c>
      <c r="DN36" s="174">
        <f t="shared" si="80"/>
        <v>1.5871751226479614E-3</v>
      </c>
      <c r="DO36" s="174">
        <f t="shared" si="256"/>
        <v>-0.88998071208882867</v>
      </c>
      <c r="DP36" s="175">
        <v>3895</v>
      </c>
      <c r="DQ36" s="174">
        <f t="shared" si="55"/>
        <v>7.6734933504599666E-4</v>
      </c>
      <c r="DR36" s="174">
        <f t="shared" si="257"/>
        <v>-0.95724854019405536</v>
      </c>
      <c r="DS36" s="175">
        <v>473</v>
      </c>
      <c r="DT36" s="174">
        <f t="shared" si="81"/>
        <v>9.0410158202485492E-5</v>
      </c>
      <c r="DU36" s="174">
        <f t="shared" si="286"/>
        <v>-0.98913043478260865</v>
      </c>
      <c r="DV36" s="175">
        <v>0</v>
      </c>
      <c r="DW36" s="174">
        <f t="shared" si="309"/>
        <v>0</v>
      </c>
      <c r="DX36" s="174">
        <f t="shared" si="258"/>
        <v>-1</v>
      </c>
      <c r="DY36" s="175">
        <v>0</v>
      </c>
      <c r="DZ36" s="174">
        <f t="shared" si="310"/>
        <v>0</v>
      </c>
      <c r="EA36" s="174">
        <f t="shared" si="259"/>
        <v>-1</v>
      </c>
      <c r="EB36" s="175">
        <v>0</v>
      </c>
      <c r="EC36" s="174">
        <f t="shared" si="84"/>
        <v>0</v>
      </c>
      <c r="ED36" s="174">
        <f t="shared" si="260"/>
        <v>-1</v>
      </c>
      <c r="EE36" s="175">
        <v>0</v>
      </c>
      <c r="EF36" s="174">
        <f t="shared" si="311"/>
        <v>0</v>
      </c>
      <c r="EG36" s="174">
        <f t="shared" si="312"/>
        <v>-1</v>
      </c>
      <c r="EH36" s="175">
        <v>0</v>
      </c>
      <c r="EI36" s="174">
        <f t="shared" si="313"/>
        <v>0</v>
      </c>
      <c r="EJ36" s="174" t="e">
        <f t="shared" si="314"/>
        <v>#DIV/0!</v>
      </c>
      <c r="EK36" s="175">
        <v>0</v>
      </c>
      <c r="EL36" s="174">
        <f t="shared" si="261"/>
        <v>0</v>
      </c>
      <c r="EM36" s="174" t="s">
        <v>112</v>
      </c>
      <c r="EN36" s="175">
        <v>0</v>
      </c>
      <c r="EO36" s="174">
        <f t="shared" si="287"/>
        <v>0</v>
      </c>
      <c r="EP36" s="174" t="s">
        <v>112</v>
      </c>
      <c r="EQ36" s="175">
        <v>0</v>
      </c>
      <c r="ER36" s="174">
        <f t="shared" si="263"/>
        <v>0</v>
      </c>
      <c r="ES36" s="174" t="s">
        <v>112</v>
      </c>
      <c r="ET36" s="175">
        <v>0</v>
      </c>
      <c r="EU36" s="174">
        <f t="shared" si="264"/>
        <v>0</v>
      </c>
      <c r="EV36" s="174" t="s">
        <v>112</v>
      </c>
      <c r="EW36" s="175">
        <v>0</v>
      </c>
      <c r="EX36" s="174" t="s">
        <v>112</v>
      </c>
      <c r="EY36" s="174" t="s">
        <v>112</v>
      </c>
      <c r="EZ36" s="175">
        <v>0</v>
      </c>
      <c r="FA36" s="174" t="s">
        <v>112</v>
      </c>
      <c r="FB36" s="174" t="s">
        <v>112</v>
      </c>
      <c r="FC36" s="175">
        <f>0</f>
        <v>0</v>
      </c>
      <c r="FD36" s="174" t="s">
        <v>112</v>
      </c>
      <c r="FE36" s="174" t="s">
        <v>112</v>
      </c>
      <c r="FF36" s="175">
        <v>0</v>
      </c>
      <c r="FG36" s="174">
        <f t="shared" si="88"/>
        <v>0</v>
      </c>
      <c r="FH36" s="174" t="s">
        <v>112</v>
      </c>
      <c r="FI36" s="175">
        <v>0</v>
      </c>
      <c r="FJ36" s="174">
        <f t="shared" si="268"/>
        <v>0</v>
      </c>
      <c r="FK36" s="174" t="s">
        <v>112</v>
      </c>
      <c r="FL36" s="175">
        <v>0</v>
      </c>
      <c r="FM36" s="174">
        <f t="shared" si="270"/>
        <v>0</v>
      </c>
      <c r="FN36" s="174" t="s">
        <v>112</v>
      </c>
      <c r="FO36" s="175">
        <v>0</v>
      </c>
      <c r="FP36" s="174">
        <f t="shared" si="272"/>
        <v>0</v>
      </c>
      <c r="FQ36" s="174" t="s">
        <v>112</v>
      </c>
      <c r="FR36" s="175">
        <v>0</v>
      </c>
      <c r="FS36" s="174">
        <f t="shared" si="274"/>
        <v>0</v>
      </c>
      <c r="FT36" s="174" t="s">
        <v>112</v>
      </c>
      <c r="FU36" s="175">
        <v>0</v>
      </c>
      <c r="FV36" s="174">
        <f t="shared" ref="FV36:FV67" si="316">FU36/FU$6</f>
        <v>0</v>
      </c>
      <c r="FW36" s="174" t="s">
        <v>112</v>
      </c>
      <c r="FX36" s="175">
        <v>0</v>
      </c>
      <c r="FY36" s="174">
        <f t="shared" ref="FY36:FY67" si="317">FX36/FX$6</f>
        <v>0</v>
      </c>
      <c r="FZ36" s="174" t="s">
        <v>112</v>
      </c>
      <c r="GA36" s="175">
        <v>0</v>
      </c>
      <c r="GB36" s="174">
        <f t="shared" ref="GB36:GB67" si="318">GA36/GA$6</f>
        <v>0</v>
      </c>
      <c r="GC36" s="174" t="s">
        <v>112</v>
      </c>
      <c r="GD36" s="175">
        <v>0</v>
      </c>
      <c r="GE36" s="174">
        <f t="shared" ref="GE36:GE53" si="319">GD36/GD$6</f>
        <v>0</v>
      </c>
      <c r="GF36" s="174" t="s">
        <v>112</v>
      </c>
      <c r="GG36" s="175">
        <v>0</v>
      </c>
      <c r="GH36" s="174">
        <f t="shared" ref="GH36:GH53" si="320">GG36/GG$6</f>
        <v>0</v>
      </c>
      <c r="GI36" s="174" t="s">
        <v>112</v>
      </c>
    </row>
    <row r="37" spans="2:191" s="171" customFormat="1" ht="15" customHeight="1">
      <c r="B37" s="172" t="s">
        <v>39</v>
      </c>
      <c r="C37" s="173" t="s">
        <v>40</v>
      </c>
      <c r="D37" s="10">
        <f>D38+D39+D40</f>
        <v>116284</v>
      </c>
      <c r="E37" s="174">
        <f t="shared" si="209"/>
        <v>0.172916610903424</v>
      </c>
      <c r="F37" s="10">
        <f>F38+F39+F40</f>
        <v>123256</v>
      </c>
      <c r="G37" s="174">
        <f t="shared" si="210"/>
        <v>0.17536002185313443</v>
      </c>
      <c r="H37" s="10">
        <f>H38+H39+H40</f>
        <v>138665</v>
      </c>
      <c r="I37" s="174">
        <f t="shared" si="211"/>
        <v>0.1586833850777081</v>
      </c>
      <c r="J37" s="10">
        <f>J38+J39+J40</f>
        <v>218955</v>
      </c>
      <c r="K37" s="174">
        <f t="shared" si="212"/>
        <v>0.20515158102248324</v>
      </c>
      <c r="L37" s="12">
        <f>L38+L39+L40</f>
        <v>152212</v>
      </c>
      <c r="M37" s="174">
        <f t="shared" si="213"/>
        <v>0.16486381394603247</v>
      </c>
      <c r="N37" s="174">
        <f t="shared" si="214"/>
        <v>0.30896769976952987</v>
      </c>
      <c r="O37" s="12">
        <f>O38+O39+O40</f>
        <v>146969</v>
      </c>
      <c r="P37" s="174">
        <f t="shared" si="215"/>
        <v>0.13878905091705085</v>
      </c>
      <c r="Q37" s="174">
        <f t="shared" si="216"/>
        <v>0.19238820016875446</v>
      </c>
      <c r="R37" s="175">
        <f>R38+R39+R40</f>
        <v>156129</v>
      </c>
      <c r="S37" s="174">
        <f t="shared" si="217"/>
        <v>0.14008681795505851</v>
      </c>
      <c r="T37" s="174">
        <f t="shared" si="218"/>
        <v>0.12594382144016159</v>
      </c>
      <c r="U37" s="175">
        <f>U38+U39+U40</f>
        <v>220272</v>
      </c>
      <c r="V37" s="174">
        <f t="shared" si="219"/>
        <v>0.15445522893553287</v>
      </c>
      <c r="W37" s="174">
        <f t="shared" si="220"/>
        <v>6.0149345755977635E-3</v>
      </c>
      <c r="X37" s="175">
        <f>SUM(X38:X40)</f>
        <v>158469</v>
      </c>
      <c r="Y37" s="174">
        <f t="shared" si="221"/>
        <v>0.12503481539751884</v>
      </c>
      <c r="Z37" s="174">
        <f t="shared" si="222"/>
        <v>4.1107140041521051E-2</v>
      </c>
      <c r="AA37" s="175">
        <f>SUM(AA38:AA40)</f>
        <v>159145</v>
      </c>
      <c r="AB37" s="174">
        <f t="shared" si="223"/>
        <v>0.12057508127614341</v>
      </c>
      <c r="AC37" s="174">
        <f t="shared" si="224"/>
        <v>8.284740319387085E-2</v>
      </c>
      <c r="AD37" s="175">
        <f>SUM(AD38:AD40)</f>
        <v>200222</v>
      </c>
      <c r="AE37" s="174">
        <f t="shared" si="225"/>
        <v>0.14760528991079044</v>
      </c>
      <c r="AF37" s="174">
        <f t="shared" si="226"/>
        <v>0.28241390132518629</v>
      </c>
      <c r="AG37" s="175">
        <f>SUM(AG38:AG40)</f>
        <v>260050</v>
      </c>
      <c r="AH37" s="174">
        <f t="shared" si="227"/>
        <v>0.1616868404756161</v>
      </c>
      <c r="AI37" s="174">
        <f t="shared" si="228"/>
        <v>0.18058582116655764</v>
      </c>
      <c r="AJ37" s="175">
        <f>SUM(AJ38:AJ40)</f>
        <v>184313</v>
      </c>
      <c r="AK37" s="174">
        <f t="shared" si="229"/>
        <v>0.12641356473454338</v>
      </c>
      <c r="AL37" s="174">
        <f t="shared" si="288"/>
        <v>0.16308552461364689</v>
      </c>
      <c r="AM37" s="175">
        <f>SUM(AM38:AM40)</f>
        <v>192508</v>
      </c>
      <c r="AN37" s="174">
        <f t="shared" si="230"/>
        <v>0.12783346879797705</v>
      </c>
      <c r="AO37" s="174">
        <f t="shared" si="289"/>
        <v>0.20963900845141215</v>
      </c>
      <c r="AP37" s="175">
        <f>SUM(AP38:AP40)</f>
        <v>156740</v>
      </c>
      <c r="AQ37" s="174">
        <f t="shared" si="231"/>
        <v>0.10921095537637855</v>
      </c>
      <c r="AR37" s="174">
        <f t="shared" si="290"/>
        <v>-0.21716894247385399</v>
      </c>
      <c r="AS37" s="175">
        <f>SUM(AS38:AS40)</f>
        <v>169888</v>
      </c>
      <c r="AT37" s="174">
        <f t="shared" si="232"/>
        <v>0.10445935850413962</v>
      </c>
      <c r="AU37" s="13">
        <f t="shared" si="291"/>
        <v>-0.34671024802922512</v>
      </c>
      <c r="AV37" s="175">
        <f>SUM(AV38:AV40)</f>
        <v>147529</v>
      </c>
      <c r="AW37" s="174">
        <f t="shared" si="233"/>
        <v>0.10159098076968102</v>
      </c>
      <c r="AX37" s="174">
        <f t="shared" si="292"/>
        <v>-0.19957355151291556</v>
      </c>
      <c r="AY37" s="175">
        <f>SUM(AY38:AY40)</f>
        <v>184039</v>
      </c>
      <c r="AZ37" s="174">
        <f t="shared" si="234"/>
        <v>0.11601448613006629</v>
      </c>
      <c r="BA37" s="174">
        <f t="shared" si="293"/>
        <v>-4.3992976915245063E-2</v>
      </c>
      <c r="BB37" s="175">
        <f>SUM(BB38:BB40)</f>
        <v>209439</v>
      </c>
      <c r="BC37" s="174">
        <f t="shared" si="235"/>
        <v>0.12850674013216426</v>
      </c>
      <c r="BD37" s="174">
        <f t="shared" si="294"/>
        <v>0.3362192165369402</v>
      </c>
      <c r="BE37" s="175">
        <f>SUM(BE38:BE40)</f>
        <v>268072</v>
      </c>
      <c r="BF37" s="174">
        <f t="shared" si="236"/>
        <v>0.13953384270327301</v>
      </c>
      <c r="BG37" s="174">
        <f t="shared" si="237"/>
        <v>0.57793369749482015</v>
      </c>
      <c r="BH37" s="175">
        <f>SUM(BH38:BH40)</f>
        <v>212523</v>
      </c>
      <c r="BI37" s="174">
        <f t="shared" si="295"/>
        <v>0.11599574710096597</v>
      </c>
      <c r="BJ37" s="174">
        <f t="shared" si="296"/>
        <v>0.44055067139342086</v>
      </c>
      <c r="BK37" s="175">
        <f>SUM(BK38:BK40)</f>
        <v>243175</v>
      </c>
      <c r="BL37" s="174">
        <f t="shared" si="297"/>
        <v>0.12990950274590252</v>
      </c>
      <c r="BM37" s="174">
        <f t="shared" si="298"/>
        <v>0.32132319780046625</v>
      </c>
      <c r="BN37" s="175">
        <f>SUM(BN38:BN40)</f>
        <v>241612</v>
      </c>
      <c r="BO37" s="174">
        <f t="shared" si="238"/>
        <v>0.12679304058330298</v>
      </c>
      <c r="BP37" s="174">
        <f t="shared" si="239"/>
        <v>0.1536151337620979</v>
      </c>
      <c r="BQ37" s="175">
        <f>SUM(BQ38:BQ40)</f>
        <v>318285</v>
      </c>
      <c r="BR37" s="174">
        <f t="shared" si="240"/>
        <v>0.12959407821206304</v>
      </c>
      <c r="BS37" s="174">
        <f t="shared" si="241"/>
        <v>0.18731161777432925</v>
      </c>
      <c r="BT37" s="175">
        <v>278361</v>
      </c>
      <c r="BU37" s="174">
        <f t="shared" si="242"/>
        <v>0.12583682589997916</v>
      </c>
      <c r="BV37" s="174">
        <f t="shared" si="243"/>
        <v>0.30979235188661924</v>
      </c>
      <c r="BW37" s="176">
        <v>289480</v>
      </c>
      <c r="BX37" s="174">
        <f t="shared" si="244"/>
        <v>0.12987531556946971</v>
      </c>
      <c r="BY37" s="174">
        <f t="shared" si="245"/>
        <v>0.19041842294643785</v>
      </c>
      <c r="BZ37" s="175">
        <f>SUM(BZ38:BZ40)</f>
        <v>293602</v>
      </c>
      <c r="CA37" s="174">
        <f t="shared" si="299"/>
        <v>0.11031315798570147</v>
      </c>
      <c r="CB37" s="174">
        <f t="shared" si="246"/>
        <v>0.215179709617072</v>
      </c>
      <c r="CC37" s="175">
        <f>CC38+CC39+CC40</f>
        <v>418926</v>
      </c>
      <c r="CD37" s="174">
        <f t="shared" si="300"/>
        <v>0.14041409027774054</v>
      </c>
      <c r="CE37" s="174">
        <f t="shared" ref="CE37:CE51" si="321">(CC37/BQ37)-1</f>
        <v>0.31619774730194639</v>
      </c>
      <c r="CF37" s="175">
        <f>CF38+CF39+CF40</f>
        <v>299803</v>
      </c>
      <c r="CG37" s="174">
        <f t="shared" si="301"/>
        <v>0.10484429658678926</v>
      </c>
      <c r="CH37" s="174">
        <f t="shared" ref="CH37:CH51" si="322">(CF37/BT37)-1</f>
        <v>7.7029468927040767E-2</v>
      </c>
      <c r="CI37" s="175">
        <f>CI38+CI39+CI40</f>
        <v>350788</v>
      </c>
      <c r="CJ37" s="174">
        <f t="shared" si="302"/>
        <v>0.12055693159053643</v>
      </c>
      <c r="CK37" s="174">
        <f t="shared" ref="CK37:CK51" si="323">(CI37/BW37)-1</f>
        <v>0.21178665192759438</v>
      </c>
      <c r="CL37" s="175">
        <f>CL38+CL39+CL40</f>
        <v>351642</v>
      </c>
      <c r="CM37" s="174">
        <f t="shared" si="303"/>
        <v>0.10584692257331417</v>
      </c>
      <c r="CN37" s="174">
        <f t="shared" ref="CN37:CN56" si="324">(CL37/BZ37)-1</f>
        <v>0.19768257709416148</v>
      </c>
      <c r="CO37" s="175">
        <f>CO38+CO39+CO40</f>
        <v>456484</v>
      </c>
      <c r="CP37" s="174">
        <f t="shared" si="304"/>
        <v>0.12108238983901445</v>
      </c>
      <c r="CQ37" s="174">
        <f t="shared" si="305"/>
        <v>8.9653065219155614E-2</v>
      </c>
      <c r="CR37" s="175">
        <f>CR38+CR39+CR40</f>
        <v>364939</v>
      </c>
      <c r="CS37" s="174">
        <f t="shared" si="306"/>
        <v>0.10470124030024729</v>
      </c>
      <c r="CT37" s="174">
        <f t="shared" si="247"/>
        <v>0.21726266915274373</v>
      </c>
      <c r="CU37" s="175">
        <f>CU38+CU39+CU40</f>
        <v>391258</v>
      </c>
      <c r="CV37" s="174">
        <f t="shared" si="307"/>
        <v>0.11136998073231986</v>
      </c>
      <c r="CW37" s="174">
        <f t="shared" si="248"/>
        <v>0.11536882675576132</v>
      </c>
      <c r="CX37" s="175">
        <f>CX38+CX39+CX40</f>
        <v>373530</v>
      </c>
      <c r="CY37" s="174">
        <f t="shared" si="249"/>
        <v>9.3023521393729894E-2</v>
      </c>
      <c r="CZ37" s="174">
        <f t="shared" si="250"/>
        <v>6.2245124302557686E-2</v>
      </c>
      <c r="DA37" s="175">
        <v>471384</v>
      </c>
      <c r="DB37" s="174">
        <f t="shared" si="251"/>
        <v>0.1043918712424073</v>
      </c>
      <c r="DC37" s="174">
        <f t="shared" si="252"/>
        <v>3.2640793543694757E-2</v>
      </c>
      <c r="DD37" s="175">
        <f>DD38+DD39+DD40</f>
        <v>357361</v>
      </c>
      <c r="DE37" s="174">
        <f t="shared" si="253"/>
        <v>0.1025271070916966</v>
      </c>
      <c r="DF37" s="174">
        <f t="shared" si="254"/>
        <v>-2.0765114169765342E-2</v>
      </c>
      <c r="DG37" s="175">
        <f>DG38+DG39+DG40</f>
        <v>396496</v>
      </c>
      <c r="DH37" s="174">
        <f t="shared" si="187"/>
        <v>9.0010483546190026E-2</v>
      </c>
      <c r="DI37" s="174">
        <f t="shared" si="78"/>
        <v>1.3387585685148862E-2</v>
      </c>
      <c r="DJ37" s="175">
        <f>DJ38+DJ39+DJ40</f>
        <v>459360</v>
      </c>
      <c r="DK37" s="174">
        <f t="shared" si="308"/>
        <v>0.1018729262984773</v>
      </c>
      <c r="DL37" s="174">
        <f t="shared" si="255"/>
        <v>0.22978074050277075</v>
      </c>
      <c r="DM37" s="175">
        <f>DM38+DM39+DM40</f>
        <v>561480</v>
      </c>
      <c r="DN37" s="174">
        <f t="shared" si="80"/>
        <v>0.10556350247149696</v>
      </c>
      <c r="DO37" s="174">
        <f t="shared" si="256"/>
        <v>0.19113079782088493</v>
      </c>
      <c r="DP37" s="175">
        <f>SUM(DP38:DP40)</f>
        <v>407225</v>
      </c>
      <c r="DQ37" s="174">
        <f t="shared" si="55"/>
        <v>8.022691475330064E-2</v>
      </c>
      <c r="DR37" s="174">
        <f t="shared" si="257"/>
        <v>0.13953397264950573</v>
      </c>
      <c r="DS37" s="175">
        <f>SUM(DS38:DS40)</f>
        <v>489860</v>
      </c>
      <c r="DT37" s="174">
        <f t="shared" si="81"/>
        <v>9.3632812044544489E-2</v>
      </c>
      <c r="DU37" s="174">
        <f t="shared" si="286"/>
        <v>0.23547274121302619</v>
      </c>
      <c r="DV37" s="175">
        <v>515248</v>
      </c>
      <c r="DW37" s="174">
        <f t="shared" si="309"/>
        <v>9.7349862878336288E-2</v>
      </c>
      <c r="DX37" s="174">
        <f t="shared" si="258"/>
        <v>0.12166492511320093</v>
      </c>
      <c r="DY37" s="175">
        <v>553453</v>
      </c>
      <c r="DZ37" s="174">
        <f t="shared" si="310"/>
        <v>9.4386003149195929E-2</v>
      </c>
      <c r="EA37" s="174">
        <f t="shared" si="259"/>
        <v>-1.4296145900121071E-2</v>
      </c>
      <c r="EB37" s="175">
        <v>403359</v>
      </c>
      <c r="EC37" s="174">
        <f t="shared" si="84"/>
        <v>7.2400167718376721E-2</v>
      </c>
      <c r="ED37" s="174">
        <f t="shared" si="260"/>
        <v>-9.493523236539958E-3</v>
      </c>
      <c r="EE37" s="175">
        <v>534516</v>
      </c>
      <c r="EF37" s="174">
        <f t="shared" si="311"/>
        <v>9.1957859271354275E-2</v>
      </c>
      <c r="EG37" s="174">
        <f t="shared" si="312"/>
        <v>9.1160739803209045E-2</v>
      </c>
      <c r="EH37" s="175">
        <f>SUM(EH38:EH40)</f>
        <v>541420</v>
      </c>
      <c r="EI37" s="174">
        <f t="shared" si="313"/>
        <v>9.5415636589469915E-2</v>
      </c>
      <c r="EJ37" s="174">
        <f t="shared" si="314"/>
        <v>5.079495699158465E-2</v>
      </c>
      <c r="EK37" s="175">
        <v>679721</v>
      </c>
      <c r="EL37" s="174">
        <f t="shared" si="261"/>
        <v>0.10497277926962083</v>
      </c>
      <c r="EM37" s="174">
        <f t="shared" ref="EM37:EM56" si="325">(EK37/DY37)-1</f>
        <v>0.22814584074889832</v>
      </c>
      <c r="EN37" s="175">
        <v>481747</v>
      </c>
      <c r="EO37" s="174">
        <f t="shared" si="287"/>
        <v>7.7055774492532383E-2</v>
      </c>
      <c r="EP37" s="174">
        <f t="shared" ref="EP37:EP56" si="326">(EN37/EB37)-1</f>
        <v>0.19433804625656048</v>
      </c>
      <c r="EQ37" s="175">
        <v>532843</v>
      </c>
      <c r="ER37" s="174">
        <f t="shared" si="263"/>
        <v>8.0776464777678747E-2</v>
      </c>
      <c r="ES37" s="174">
        <f t="shared" ref="ES37:ES56" si="327">(EQ37/EE37)-1</f>
        <v>-3.1299343705333271E-3</v>
      </c>
      <c r="ET37" s="175">
        <v>645953</v>
      </c>
      <c r="EU37" s="174">
        <f t="shared" si="264"/>
        <v>9.9583184757052537E-2</v>
      </c>
      <c r="EV37" s="174">
        <f t="shared" ref="EV37:EV56" si="328">(ET37/EH37)-1</f>
        <v>0.19307192198293377</v>
      </c>
      <c r="EW37" s="175">
        <v>842254</v>
      </c>
      <c r="EX37" s="174">
        <f t="shared" si="265"/>
        <v>0.11159143670791655</v>
      </c>
      <c r="EY37" s="174">
        <f t="shared" ref="EY37:EY56" si="329">(EW37/EK37)-1</f>
        <v>0.23911722603833052</v>
      </c>
      <c r="EZ37" s="175">
        <v>594833</v>
      </c>
      <c r="FA37" s="174">
        <f t="shared" ref="FA37:FA56" si="330">EZ37/EZ$6</f>
        <v>8.4652588570399853E-2</v>
      </c>
      <c r="FB37" s="174">
        <f t="shared" ref="FB37:FB56" si="331">(EZ37/EN37)-1</f>
        <v>0.23474147218353192</v>
      </c>
      <c r="FC37" s="175">
        <f>SUM(FC38:FC40)</f>
        <v>686049</v>
      </c>
      <c r="FD37" s="174">
        <f t="shared" ref="FD37:FD56" si="332">FC37/FC$6</f>
        <v>9.3911043026665406E-2</v>
      </c>
      <c r="FE37" s="174">
        <f t="shared" ref="FE37:FE56" si="333">(FC37/EQ37)-1</f>
        <v>0.28752559384283916</v>
      </c>
      <c r="FF37" s="175">
        <v>788835</v>
      </c>
      <c r="FG37" s="174">
        <f t="shared" si="88"/>
        <v>0.10451949928265281</v>
      </c>
      <c r="FH37" s="174">
        <f t="shared" si="89"/>
        <v>0.22119565974614241</v>
      </c>
      <c r="FI37" s="175">
        <v>1025824</v>
      </c>
      <c r="FJ37" s="174">
        <f t="shared" si="268"/>
        <v>0.11629275795801133</v>
      </c>
      <c r="FK37" s="174">
        <f t="shared" ref="FK37:FK56" si="334">(FI37/EW37)-1</f>
        <v>0.21795087942592151</v>
      </c>
      <c r="FL37" s="175">
        <v>683271</v>
      </c>
      <c r="FM37" s="174">
        <f t="shared" si="270"/>
        <v>6.7898571744151134E-2</v>
      </c>
      <c r="FN37" s="174">
        <f t="shared" ref="FN37:FN56" si="335">(FL37/EZ37)-1</f>
        <v>0.14867702363520507</v>
      </c>
      <c r="FO37" s="175">
        <v>730188</v>
      </c>
      <c r="FP37" s="174">
        <f t="shared" si="272"/>
        <v>7.3578674852689083E-2</v>
      </c>
      <c r="FQ37" s="174">
        <f t="shared" ref="FQ37:FQ53" si="336">(FO37/FC37)-1</f>
        <v>6.4337970028379932E-2</v>
      </c>
      <c r="FR37" s="175">
        <v>843429</v>
      </c>
      <c r="FS37" s="174">
        <f t="shared" si="274"/>
        <v>8.2670427646455616E-2</v>
      </c>
      <c r="FT37" s="174">
        <f t="shared" ref="FT37:FT56" si="337">(FR37/FF37)-1</f>
        <v>6.9208389587176011E-2</v>
      </c>
      <c r="FU37" s="175">
        <v>1081785</v>
      </c>
      <c r="FV37" s="174">
        <f t="shared" si="316"/>
        <v>9.3637512029445064E-2</v>
      </c>
      <c r="FW37" s="174">
        <f t="shared" ref="FW37:FW56" si="338">(FU37/FI37)-1</f>
        <v>5.455224287987015E-2</v>
      </c>
      <c r="FX37" s="175">
        <v>851614</v>
      </c>
      <c r="FY37" s="174">
        <f t="shared" si="317"/>
        <v>7.4024689035790389E-2</v>
      </c>
      <c r="FZ37" s="174">
        <f t="shared" ref="FZ37:FZ56" si="339">(FX37/FL37)-1</f>
        <v>0.24637808424475804</v>
      </c>
      <c r="GA37" s="175">
        <v>638396</v>
      </c>
      <c r="GB37" s="174">
        <f t="shared" si="318"/>
        <v>4.9765549317586408E-2</v>
      </c>
      <c r="GC37" s="174">
        <f t="shared" ref="GC37:GC56" si="340">(GA37/FO37)-1</f>
        <v>-0.12571009109982634</v>
      </c>
      <c r="GD37" s="175">
        <v>974243</v>
      </c>
      <c r="GE37" s="174">
        <f t="shared" si="319"/>
        <v>7.5045158368182624E-2</v>
      </c>
      <c r="GF37" s="174">
        <f t="shared" ref="GF37:GF53" si="341">(GD37/FR37)-1</f>
        <v>0.15509782091912894</v>
      </c>
      <c r="GG37" s="175">
        <v>1404852</v>
      </c>
      <c r="GH37" s="174">
        <f t="shared" si="320"/>
        <v>9.5942908433573504E-2</v>
      </c>
      <c r="GI37" s="174">
        <f t="shared" ref="GI37:GI53" si="342">(GG37/FU37)-1</f>
        <v>0.29864252138826108</v>
      </c>
    </row>
    <row r="38" spans="2:191" s="171" customFormat="1" ht="16.5" customHeight="1">
      <c r="B38" s="584" t="s">
        <v>141</v>
      </c>
      <c r="C38" s="173" t="s">
        <v>41</v>
      </c>
      <c r="D38" s="10">
        <v>101168</v>
      </c>
      <c r="E38" s="174">
        <f t="shared" si="209"/>
        <v>0.15043881954419869</v>
      </c>
      <c r="F38" s="10">
        <v>110522</v>
      </c>
      <c r="G38" s="174">
        <f t="shared" si="210"/>
        <v>0.15724297669283541</v>
      </c>
      <c r="H38" s="10">
        <v>124752</v>
      </c>
      <c r="I38" s="174">
        <f t="shared" si="211"/>
        <v>0.14276183359329495</v>
      </c>
      <c r="J38" s="10">
        <v>190912</v>
      </c>
      <c r="K38" s="174">
        <f t="shared" si="212"/>
        <v>0.17887647523995487</v>
      </c>
      <c r="L38" s="12">
        <v>132132</v>
      </c>
      <c r="M38" s="174">
        <f t="shared" si="213"/>
        <v>0.14311477061149688</v>
      </c>
      <c r="N38" s="174">
        <f t="shared" si="214"/>
        <v>0.30606515894353947</v>
      </c>
      <c r="O38" s="12">
        <v>127332</v>
      </c>
      <c r="P38" s="174">
        <f t="shared" si="215"/>
        <v>0.12024500017942505</v>
      </c>
      <c r="Q38" s="174">
        <f t="shared" si="216"/>
        <v>0.15209641519335526</v>
      </c>
      <c r="R38" s="175">
        <v>133252</v>
      </c>
      <c r="S38" s="174">
        <f t="shared" si="217"/>
        <v>0.11956041905185749</v>
      </c>
      <c r="T38" s="174">
        <f t="shared" si="218"/>
        <v>6.8135180197511858E-2</v>
      </c>
      <c r="U38" s="175">
        <v>177740</v>
      </c>
      <c r="V38" s="174">
        <f t="shared" si="219"/>
        <v>0.12463169350167798</v>
      </c>
      <c r="W38" s="174">
        <f t="shared" si="220"/>
        <v>-6.899513912168953E-2</v>
      </c>
      <c r="X38" s="175">
        <v>231446</v>
      </c>
      <c r="Y38" s="174">
        <f t="shared" si="221"/>
        <v>0.18261494604303774</v>
      </c>
      <c r="Z38" s="174">
        <f t="shared" si="222"/>
        <v>0.75162716071806979</v>
      </c>
      <c r="AA38" s="175">
        <v>223540</v>
      </c>
      <c r="AB38" s="174">
        <f t="shared" si="223"/>
        <v>0.16936349661295735</v>
      </c>
      <c r="AC38" s="174">
        <f t="shared" si="224"/>
        <v>0.75556812113215854</v>
      </c>
      <c r="AD38" s="175">
        <v>283498</v>
      </c>
      <c r="AE38" s="174">
        <f t="shared" si="225"/>
        <v>0.20899703568603484</v>
      </c>
      <c r="AF38" s="174">
        <f t="shared" si="226"/>
        <v>1.127532795004953</v>
      </c>
      <c r="AG38" s="175">
        <v>352238</v>
      </c>
      <c r="AH38" s="174">
        <f t="shared" si="227"/>
        <v>0.21900499640626828</v>
      </c>
      <c r="AI38" s="174">
        <f t="shared" si="228"/>
        <v>0.9817598739732194</v>
      </c>
      <c r="AJ38" s="175">
        <v>263323</v>
      </c>
      <c r="AK38" s="174">
        <f t="shared" si="229"/>
        <v>0.18060364220968769</v>
      </c>
      <c r="AL38" s="174">
        <f t="shared" si="288"/>
        <v>0.13772975121626652</v>
      </c>
      <c r="AM38" s="175">
        <v>254347</v>
      </c>
      <c r="AN38" s="174">
        <f t="shared" si="230"/>
        <v>0.16889718499157994</v>
      </c>
      <c r="AO38" s="174">
        <f t="shared" si="289"/>
        <v>0.13781426142972175</v>
      </c>
      <c r="AP38" s="175">
        <v>211929</v>
      </c>
      <c r="AQ38" s="174">
        <f t="shared" si="231"/>
        <v>0.14766472222764152</v>
      </c>
      <c r="AR38" s="174">
        <f t="shared" si="290"/>
        <v>-0.2524497527319417</v>
      </c>
      <c r="AS38" s="175">
        <v>239314</v>
      </c>
      <c r="AT38" s="174">
        <f t="shared" si="232"/>
        <v>0.14714745550633165</v>
      </c>
      <c r="AU38" s="174">
        <f t="shared" si="291"/>
        <v>-0.32059005558741538</v>
      </c>
      <c r="AV38" s="175">
        <v>204950</v>
      </c>
      <c r="AW38" s="174">
        <f t="shared" si="233"/>
        <v>0.14113205884094737</v>
      </c>
      <c r="AX38" s="174">
        <f t="shared" si="292"/>
        <v>-0.22167831902264523</v>
      </c>
      <c r="AY38" s="175">
        <v>254607</v>
      </c>
      <c r="AZ38" s="174">
        <f t="shared" si="234"/>
        <v>0.16049913480358938</v>
      </c>
      <c r="BA38" s="174">
        <f t="shared" si="293"/>
        <v>1.0222255422709381E-3</v>
      </c>
      <c r="BB38" s="175">
        <v>296630</v>
      </c>
      <c r="BC38" s="174">
        <f t="shared" si="235"/>
        <v>0.18200504359457353</v>
      </c>
      <c r="BD38" s="174">
        <f t="shared" si="294"/>
        <v>0.39966686956480713</v>
      </c>
      <c r="BE38" s="175">
        <v>392636</v>
      </c>
      <c r="BF38" s="174">
        <f t="shared" si="236"/>
        <v>0.20437050443031091</v>
      </c>
      <c r="BG38" s="174">
        <f t="shared" si="237"/>
        <v>0.64067292343949789</v>
      </c>
      <c r="BH38" s="175">
        <v>302552</v>
      </c>
      <c r="BI38" s="174">
        <f t="shared" si="295"/>
        <v>0.16513386916659117</v>
      </c>
      <c r="BJ38" s="174">
        <f t="shared" si="296"/>
        <v>0.4762234691388143</v>
      </c>
      <c r="BK38" s="175">
        <v>376972</v>
      </c>
      <c r="BL38" s="174">
        <f t="shared" si="297"/>
        <v>0.20138684103681859</v>
      </c>
      <c r="BM38" s="174">
        <f t="shared" si="298"/>
        <v>0.48060343981116005</v>
      </c>
      <c r="BN38" s="175">
        <v>362224</v>
      </c>
      <c r="BO38" s="174">
        <f t="shared" si="238"/>
        <v>0.1900877536390839</v>
      </c>
      <c r="BP38" s="174">
        <f t="shared" si="239"/>
        <v>0.22113070154738224</v>
      </c>
      <c r="BQ38" s="175">
        <v>412181</v>
      </c>
      <c r="BR38" s="174">
        <f t="shared" si="240"/>
        <v>0.16782511507462292</v>
      </c>
      <c r="BS38" s="174">
        <f t="shared" si="241"/>
        <v>4.9778930103199892E-2</v>
      </c>
      <c r="BT38" s="175">
        <v>335332</v>
      </c>
      <c r="BU38" s="174">
        <f t="shared" si="242"/>
        <v>0.1515913310510158</v>
      </c>
      <c r="BV38" s="174">
        <f t="shared" si="243"/>
        <v>0.1083450117665723</v>
      </c>
      <c r="BW38" s="176">
        <f>BW37-BW39-BW40</f>
        <v>355880</v>
      </c>
      <c r="BX38" s="174">
        <f t="shared" si="244"/>
        <v>0.15966570161967278</v>
      </c>
      <c r="BY38" s="174">
        <f t="shared" si="245"/>
        <v>-5.5951105121865852E-2</v>
      </c>
      <c r="BZ38" s="175">
        <v>373169</v>
      </c>
      <c r="CA38" s="174">
        <f t="shared" si="299"/>
        <v>0.14020834617055139</v>
      </c>
      <c r="CB38" s="174">
        <f t="shared" si="246"/>
        <v>3.0216109368788269E-2</v>
      </c>
      <c r="CC38" s="175">
        <v>477048</v>
      </c>
      <c r="CD38" s="174">
        <f t="shared" si="300"/>
        <v>0.1598952104639377</v>
      </c>
      <c r="CE38" s="174">
        <f t="shared" si="321"/>
        <v>0.15737503669504416</v>
      </c>
      <c r="CF38" s="175">
        <v>358612</v>
      </c>
      <c r="CG38" s="174">
        <f t="shared" si="301"/>
        <v>0.12541042914040776</v>
      </c>
      <c r="CH38" s="174">
        <f t="shared" si="322"/>
        <v>6.9423735283241639E-2</v>
      </c>
      <c r="CI38" s="175">
        <v>425754</v>
      </c>
      <c r="CJ38" s="174">
        <f t="shared" si="302"/>
        <v>0.14632084293760692</v>
      </c>
      <c r="CK38" s="174">
        <f t="shared" si="323"/>
        <v>0.1963414634146341</v>
      </c>
      <c r="CL38" s="175">
        <v>441795</v>
      </c>
      <c r="CM38" s="174">
        <f t="shared" si="303"/>
        <v>0.1329836628112607</v>
      </c>
      <c r="CN38" s="174">
        <f t="shared" si="324"/>
        <v>0.18390059195699537</v>
      </c>
      <c r="CO38" s="175">
        <v>516097</v>
      </c>
      <c r="CP38" s="174">
        <f t="shared" si="304"/>
        <v>0.13689473924331597</v>
      </c>
      <c r="CQ38" s="174">
        <f t="shared" si="305"/>
        <v>8.1855494625278746E-2</v>
      </c>
      <c r="CR38" s="175">
        <v>408331</v>
      </c>
      <c r="CS38" s="174">
        <f t="shared" si="306"/>
        <v>0.11715043377945429</v>
      </c>
      <c r="CT38" s="174">
        <f t="shared" si="247"/>
        <v>0.13864287865436742</v>
      </c>
      <c r="CU38" s="12">
        <v>482273</v>
      </c>
      <c r="CV38" s="174">
        <f t="shared" si="307"/>
        <v>0.1372770262019386</v>
      </c>
      <c r="CW38" s="174">
        <f t="shared" si="248"/>
        <v>0.13275036758315828</v>
      </c>
      <c r="CX38" s="12">
        <v>443542</v>
      </c>
      <c r="CY38" s="174">
        <f t="shared" si="249"/>
        <v>0.11045923681101316</v>
      </c>
      <c r="CZ38" s="174">
        <f t="shared" si="250"/>
        <v>3.954322706232638E-3</v>
      </c>
      <c r="DA38" s="12">
        <v>521604</v>
      </c>
      <c r="DB38" s="174">
        <f t="shared" si="251"/>
        <v>0.11551350408058954</v>
      </c>
      <c r="DC38" s="174">
        <f t="shared" si="252"/>
        <v>1.067047473633842E-2</v>
      </c>
      <c r="DD38" s="175">
        <v>400685</v>
      </c>
      <c r="DE38" s="174">
        <f t="shared" si="253"/>
        <v>0.11495679132596018</v>
      </c>
      <c r="DF38" s="174">
        <f t="shared" si="254"/>
        <v>-1.8725004959212033E-2</v>
      </c>
      <c r="DG38" s="175">
        <v>500535</v>
      </c>
      <c r="DH38" s="174">
        <f t="shared" si="187"/>
        <v>0.11362888246487285</v>
      </c>
      <c r="DI38" s="174">
        <f t="shared" si="78"/>
        <v>3.786651958538001E-2</v>
      </c>
      <c r="DJ38" s="175">
        <v>590486</v>
      </c>
      <c r="DK38" s="174">
        <f t="shared" si="308"/>
        <v>0.13095292746055961</v>
      </c>
      <c r="DL38" s="174">
        <f t="shared" si="255"/>
        <v>0.33129669794517769</v>
      </c>
      <c r="DM38" s="175">
        <v>690651</v>
      </c>
      <c r="DN38" s="174">
        <f t="shared" si="80"/>
        <v>0.12984886112673977</v>
      </c>
      <c r="DO38" s="174">
        <f t="shared" si="256"/>
        <v>0.32409068948857755</v>
      </c>
      <c r="DP38" s="175">
        <v>457556</v>
      </c>
      <c r="DQ38" s="174">
        <f t="shared" si="55"/>
        <v>9.0142565429090118E-2</v>
      </c>
      <c r="DR38" s="174">
        <f t="shared" si="257"/>
        <v>0.14193443727616462</v>
      </c>
      <c r="DS38" s="175">
        <v>587402</v>
      </c>
      <c r="DT38" s="174">
        <f t="shared" si="81"/>
        <v>0.11227718340054205</v>
      </c>
      <c r="DU38" s="174">
        <f t="shared" si="286"/>
        <v>0.17354830331545257</v>
      </c>
      <c r="DV38" s="175">
        <v>643851.17218000046</v>
      </c>
      <c r="DW38" s="174">
        <f t="shared" si="309"/>
        <v>0.12164787311310113</v>
      </c>
      <c r="DX38" s="174">
        <f t="shared" si="258"/>
        <v>9.0374999881454254E-2</v>
      </c>
      <c r="DY38" s="175">
        <v>709249</v>
      </c>
      <c r="DZ38" s="174">
        <f t="shared" si="310"/>
        <v>0.12095548916992782</v>
      </c>
      <c r="EA38" s="174">
        <f t="shared" si="259"/>
        <v>2.6928217001061405E-2</v>
      </c>
      <c r="EB38" s="175">
        <v>456101</v>
      </c>
      <c r="EC38" s="174">
        <f t="shared" si="84"/>
        <v>8.1866994157857739E-2</v>
      </c>
      <c r="ED38" s="174">
        <f t="shared" si="260"/>
        <v>-3.1799386304627308E-3</v>
      </c>
      <c r="EE38" s="175">
        <v>698649</v>
      </c>
      <c r="EF38" s="174">
        <f t="shared" si="311"/>
        <v>0.12019521664846776</v>
      </c>
      <c r="EG38" s="174">
        <f t="shared" si="312"/>
        <v>0.18938818730613782</v>
      </c>
      <c r="EH38" s="175">
        <v>720238</v>
      </c>
      <c r="EI38" s="174">
        <f t="shared" si="313"/>
        <v>0.12692912575436191</v>
      </c>
      <c r="EJ38" s="174">
        <f t="shared" si="314"/>
        <v>0.11864050439073237</v>
      </c>
      <c r="EK38" s="175">
        <v>910899</v>
      </c>
      <c r="EL38" s="174">
        <f t="shared" si="261"/>
        <v>0.14067477636253453</v>
      </c>
      <c r="EM38" s="174">
        <f t="shared" si="325"/>
        <v>0.28431481750414878</v>
      </c>
      <c r="EN38" s="175">
        <v>609292</v>
      </c>
      <c r="EO38" s="174">
        <f t="shared" si="287"/>
        <v>9.7456687747103851E-2</v>
      </c>
      <c r="EP38" s="174">
        <f t="shared" si="326"/>
        <v>0.33587078300639561</v>
      </c>
      <c r="EQ38" s="175">
        <v>683333</v>
      </c>
      <c r="ER38" s="174">
        <f t="shared" si="263"/>
        <v>0.10359003309778969</v>
      </c>
      <c r="ES38" s="174">
        <f t="shared" si="327"/>
        <v>-2.192231005841272E-2</v>
      </c>
      <c r="ET38" s="175">
        <v>812226</v>
      </c>
      <c r="EU38" s="174">
        <f t="shared" si="264"/>
        <v>0.12521662074869497</v>
      </c>
      <c r="EV38" s="174">
        <f t="shared" si="328"/>
        <v>0.12771889292150651</v>
      </c>
      <c r="EW38" s="175">
        <v>992412</v>
      </c>
      <c r="EX38" s="174">
        <f t="shared" si="265"/>
        <v>0.13148608482260324</v>
      </c>
      <c r="EY38" s="174">
        <f t="shared" si="329"/>
        <v>8.9486320656845697E-2</v>
      </c>
      <c r="EZ38" s="175">
        <v>635499</v>
      </c>
      <c r="FA38" s="174">
        <f t="shared" si="330"/>
        <v>9.0439897221405899E-2</v>
      </c>
      <c r="FB38" s="174">
        <f t="shared" si="331"/>
        <v>4.3012217458952451E-2</v>
      </c>
      <c r="FC38" s="175">
        <f>750101- 5493</f>
        <v>744608</v>
      </c>
      <c r="FD38" s="174">
        <f t="shared" si="332"/>
        <v>0.10192699636031723</v>
      </c>
      <c r="FE38" s="174">
        <f t="shared" si="333"/>
        <v>8.9670775449158802E-2</v>
      </c>
      <c r="FF38" s="175">
        <f>FF37-FF40-FF39</f>
        <v>856886</v>
      </c>
      <c r="FG38" s="174">
        <f t="shared" si="88"/>
        <v>0.11353615859123294</v>
      </c>
      <c r="FH38" s="174">
        <f t="shared" si="89"/>
        <v>5.4984696377609277E-2</v>
      </c>
      <c r="FI38" s="175">
        <f>FI37-FI40-FI39-FI41</f>
        <v>1032895</v>
      </c>
      <c r="FJ38" s="174">
        <f t="shared" si="268"/>
        <v>0.11709436339083519</v>
      </c>
      <c r="FK38" s="174">
        <f t="shared" si="334"/>
        <v>4.0792533746065063E-2</v>
      </c>
      <c r="FL38" s="175">
        <f>FL37-FL40-FL39-FL41</f>
        <v>654880</v>
      </c>
      <c r="FM38" s="174">
        <f t="shared" si="270"/>
        <v>6.5077277776767486E-2</v>
      </c>
      <c r="FN38" s="174">
        <f t="shared" si="335"/>
        <v>3.0497294252233242E-2</v>
      </c>
      <c r="FO38" s="175">
        <f>FO37-FO40-FO39</f>
        <v>761833</v>
      </c>
      <c r="FP38" s="174">
        <f t="shared" si="272"/>
        <v>7.6767438795281057E-2</v>
      </c>
      <c r="FQ38" s="174">
        <f t="shared" si="336"/>
        <v>2.313297735184161E-2</v>
      </c>
      <c r="FR38" s="175">
        <f>FR37-FR40-FR39</f>
        <v>922556</v>
      </c>
      <c r="FS38" s="174">
        <f t="shared" si="274"/>
        <v>9.0426223247959819E-2</v>
      </c>
      <c r="FT38" s="174">
        <f t="shared" si="337"/>
        <v>7.6637965843764588E-2</v>
      </c>
      <c r="FU38" s="175">
        <f>FU37-FU40-FU39-FU41</f>
        <v>1095888</v>
      </c>
      <c r="FV38" s="174">
        <f t="shared" si="316"/>
        <v>9.4858244274901665E-2</v>
      </c>
      <c r="FW38" s="174">
        <f t="shared" si="338"/>
        <v>6.098683796513682E-2</v>
      </c>
      <c r="FX38" s="175">
        <f>FX37-FX40-FX39-FX41</f>
        <v>859663</v>
      </c>
      <c r="FY38" s="174">
        <f t="shared" si="317"/>
        <v>7.4724330800779074E-2</v>
      </c>
      <c r="FZ38" s="174">
        <f t="shared" si="339"/>
        <v>0.31270309064256052</v>
      </c>
      <c r="GA38" s="175">
        <f>GA37-GA40-GA39-GA41</f>
        <v>432099</v>
      </c>
      <c r="GB38" s="174">
        <f t="shared" si="318"/>
        <v>3.3683864082136743E-2</v>
      </c>
      <c r="GC38" s="174">
        <f t="shared" si="340"/>
        <v>-0.43281664091736638</v>
      </c>
      <c r="GD38" s="175">
        <f>(GD37-GD40-GD39-GD41)</f>
        <v>664155</v>
      </c>
      <c r="GE38" s="174">
        <f t="shared" si="319"/>
        <v>5.1159327966452242E-2</v>
      </c>
      <c r="GF38" s="174">
        <f t="shared" si="341"/>
        <v>-0.28009248219078298</v>
      </c>
      <c r="GG38" s="175">
        <f>(GG37-GG40-GG39-GG41)</f>
        <v>1117107</v>
      </c>
      <c r="GH38" s="174">
        <f t="shared" si="320"/>
        <v>7.6291662475124783E-2</v>
      </c>
      <c r="GI38" s="174">
        <f t="shared" si="342"/>
        <v>1.9362380097236231E-2</v>
      </c>
    </row>
    <row r="39" spans="2:191" s="171" customFormat="1" ht="16.5" customHeight="1">
      <c r="B39" s="584" t="s">
        <v>142</v>
      </c>
      <c r="C39" s="173" t="s">
        <v>42</v>
      </c>
      <c r="D39" s="10">
        <v>0</v>
      </c>
      <c r="E39" s="174" t="s">
        <v>112</v>
      </c>
      <c r="F39" s="10">
        <v>0</v>
      </c>
      <c r="G39" s="174" t="s">
        <v>112</v>
      </c>
      <c r="H39" s="10">
        <v>0</v>
      </c>
      <c r="I39" s="174" t="s">
        <v>112</v>
      </c>
      <c r="J39" s="10">
        <v>0</v>
      </c>
      <c r="K39" s="174" t="s">
        <v>112</v>
      </c>
      <c r="L39" s="12">
        <v>0</v>
      </c>
      <c r="M39" s="174" t="s">
        <v>112</v>
      </c>
      <c r="N39" s="174" t="s">
        <v>112</v>
      </c>
      <c r="O39" s="12">
        <v>0</v>
      </c>
      <c r="P39" s="174" t="s">
        <v>112</v>
      </c>
      <c r="Q39" s="174" t="s">
        <v>112</v>
      </c>
      <c r="R39" s="175">
        <v>0</v>
      </c>
      <c r="S39" s="174" t="s">
        <v>112</v>
      </c>
      <c r="T39" s="174" t="s">
        <v>112</v>
      </c>
      <c r="U39" s="175">
        <v>0</v>
      </c>
      <c r="V39" s="174" t="s">
        <v>112</v>
      </c>
      <c r="W39" s="174" t="s">
        <v>112</v>
      </c>
      <c r="X39" s="175">
        <v>-94837</v>
      </c>
      <c r="Y39" s="174">
        <f t="shared" si="221"/>
        <v>-7.4828053359676003E-2</v>
      </c>
      <c r="Z39" s="174">
        <v>1</v>
      </c>
      <c r="AA39" s="175">
        <v>-85850</v>
      </c>
      <c r="AB39" s="174">
        <f t="shared" si="223"/>
        <v>-6.5043644019962377E-2</v>
      </c>
      <c r="AC39" s="174">
        <v>1</v>
      </c>
      <c r="AD39" s="175">
        <v>-109244</v>
      </c>
      <c r="AE39" s="174">
        <f t="shared" si="225"/>
        <v>-8.0535566975728889E-2</v>
      </c>
      <c r="AF39" s="174">
        <v>1</v>
      </c>
      <c r="AG39" s="175">
        <v>-145294</v>
      </c>
      <c r="AH39" s="174">
        <f t="shared" si="227"/>
        <v>-9.033696519924693E-2</v>
      </c>
      <c r="AI39" s="174">
        <v>1</v>
      </c>
      <c r="AJ39" s="175">
        <v>-107000</v>
      </c>
      <c r="AK39" s="174">
        <f t="shared" si="229"/>
        <v>-7.3387397669161386E-2</v>
      </c>
      <c r="AL39" s="174">
        <f t="shared" si="288"/>
        <v>0.12825163174710297</v>
      </c>
      <c r="AM39" s="175">
        <v>-96337</v>
      </c>
      <c r="AN39" s="174">
        <f t="shared" si="230"/>
        <v>-6.3971849915799434E-2</v>
      </c>
      <c r="AO39" s="174">
        <f t="shared" si="289"/>
        <v>0.12215492137449036</v>
      </c>
      <c r="AP39" s="175">
        <v>-93154</v>
      </c>
      <c r="AQ39" s="174">
        <f t="shared" si="231"/>
        <v>-6.4906452323154062E-2</v>
      </c>
      <c r="AR39" s="174">
        <f t="shared" si="290"/>
        <v>-0.14728497674929519</v>
      </c>
      <c r="AS39" s="175">
        <v>-116435</v>
      </c>
      <c r="AT39" s="174">
        <f t="shared" si="232"/>
        <v>-7.1592610469423959E-2</v>
      </c>
      <c r="AU39" s="174">
        <f t="shared" si="291"/>
        <v>-0.19862485718611922</v>
      </c>
      <c r="AV39" s="175">
        <v>-90799</v>
      </c>
      <c r="AW39" s="174">
        <f t="shared" si="233"/>
        <v>-6.2525737061230449E-2</v>
      </c>
      <c r="AX39" s="174">
        <f t="shared" si="292"/>
        <v>-0.15141121495327103</v>
      </c>
      <c r="AY39" s="175">
        <v>-108766</v>
      </c>
      <c r="AZ39" s="174">
        <f t="shared" si="234"/>
        <v>-6.856390003435571E-2</v>
      </c>
      <c r="BA39" s="174">
        <f t="shared" si="293"/>
        <v>0.12901585060776233</v>
      </c>
      <c r="BB39" s="175">
        <v>-119635</v>
      </c>
      <c r="BC39" s="174">
        <f t="shared" si="235"/>
        <v>-7.3405162628314077E-2</v>
      </c>
      <c r="BD39" s="174">
        <f t="shared" si="294"/>
        <v>0.28427120681881624</v>
      </c>
      <c r="BE39" s="175">
        <v>-165908</v>
      </c>
      <c r="BF39" s="174">
        <f t="shared" si="236"/>
        <v>-8.6356578737110251E-2</v>
      </c>
      <c r="BG39" s="174">
        <f t="shared" si="237"/>
        <v>0.42489801176622155</v>
      </c>
      <c r="BH39" s="175">
        <v>-124728</v>
      </c>
      <c r="BI39" s="174">
        <f t="shared" si="295"/>
        <v>-6.807694952738895E-2</v>
      </c>
      <c r="BJ39" s="174">
        <f t="shared" si="296"/>
        <v>0.37367151620612571</v>
      </c>
      <c r="BK39" s="175">
        <v>-153000</v>
      </c>
      <c r="BL39" s="174">
        <f t="shared" si="297"/>
        <v>-8.17360087185076E-2</v>
      </c>
      <c r="BM39" s="174">
        <f t="shared" si="298"/>
        <v>0.40668959049703024</v>
      </c>
      <c r="BN39" s="175">
        <v>-153112</v>
      </c>
      <c r="BO39" s="174">
        <f t="shared" si="238"/>
        <v>-8.035004896193354E-2</v>
      </c>
      <c r="BP39" s="174">
        <f t="shared" si="239"/>
        <v>0.27982613783591748</v>
      </c>
      <c r="BQ39" s="175">
        <v>-169320</v>
      </c>
      <c r="BR39" s="174">
        <f t="shared" si="240"/>
        <v>-6.894094702190337E-2</v>
      </c>
      <c r="BS39" s="174">
        <f t="shared" si="241"/>
        <v>2.056561467801421E-2</v>
      </c>
      <c r="BT39" s="175">
        <v>-115922</v>
      </c>
      <c r="BU39" s="174">
        <f t="shared" si="242"/>
        <v>-5.2404095875418555E-2</v>
      </c>
      <c r="BV39" s="174">
        <f t="shared" si="243"/>
        <v>-7.0601629145019551E-2</v>
      </c>
      <c r="BW39" s="176">
        <v>-119682</v>
      </c>
      <c r="BX39" s="174">
        <f t="shared" si="244"/>
        <v>-5.3695376253921769E-2</v>
      </c>
      <c r="BY39" s="174">
        <f t="shared" si="245"/>
        <v>-0.21776470588235297</v>
      </c>
      <c r="BZ39" s="175">
        <v>-119773</v>
      </c>
      <c r="CA39" s="174">
        <f t="shared" si="299"/>
        <v>-4.5001525437229385E-2</v>
      </c>
      <c r="CB39" s="174">
        <f t="shared" si="246"/>
        <v>-0.21774256753226395</v>
      </c>
      <c r="CC39" s="175">
        <v>-169229</v>
      </c>
      <c r="CD39" s="174">
        <f t="shared" si="300"/>
        <v>-5.6721559615807451E-2</v>
      </c>
      <c r="CE39" s="174">
        <f t="shared" si="321"/>
        <v>-5.3744389321996877E-4</v>
      </c>
      <c r="CF39" s="175">
        <v>-121829</v>
      </c>
      <c r="CG39" s="174">
        <f t="shared" si="301"/>
        <v>-4.2604896578326265E-2</v>
      </c>
      <c r="CH39" s="174">
        <f t="shared" si="322"/>
        <v>5.0956677766084146E-2</v>
      </c>
      <c r="CI39" s="175">
        <v>-138655</v>
      </c>
      <c r="CJ39" s="174">
        <f t="shared" si="302"/>
        <v>-4.7652204036870788E-2</v>
      </c>
      <c r="CK39" s="174">
        <f t="shared" si="323"/>
        <v>0.15852843368259228</v>
      </c>
      <c r="CL39" s="175">
        <v>-148119</v>
      </c>
      <c r="CM39" s="174">
        <f t="shared" si="303"/>
        <v>-4.4584948113810981E-2</v>
      </c>
      <c r="CN39" s="174">
        <f t="shared" si="324"/>
        <v>0.23666435674150277</v>
      </c>
      <c r="CO39" s="175">
        <v>-172684</v>
      </c>
      <c r="CP39" s="174">
        <f t="shared" si="304"/>
        <v>-4.5804434343723707E-2</v>
      </c>
      <c r="CQ39" s="174">
        <f t="shared" si="305"/>
        <v>2.0416122532190162E-2</v>
      </c>
      <c r="CR39" s="175">
        <v>-124772</v>
      </c>
      <c r="CS39" s="174">
        <f t="shared" si="306"/>
        <v>-3.5797169265938837E-2</v>
      </c>
      <c r="CT39" s="174">
        <f t="shared" si="247"/>
        <v>2.4156809954936742E-2</v>
      </c>
      <c r="CU39" s="12">
        <v>-159706</v>
      </c>
      <c r="CV39" s="174">
        <f t="shared" si="307"/>
        <v>-4.5459656142074735E-2</v>
      </c>
      <c r="CW39" s="174">
        <f t="shared" si="248"/>
        <v>0.15182286971259606</v>
      </c>
      <c r="CX39" s="12">
        <v>-138060</v>
      </c>
      <c r="CY39" s="174">
        <f t="shared" si="249"/>
        <v>-3.4382318324146253E-2</v>
      </c>
      <c r="CZ39" s="174">
        <f t="shared" si="250"/>
        <v>-6.7911611609584144E-2</v>
      </c>
      <c r="DA39" s="12">
        <v>-175616</v>
      </c>
      <c r="DB39" s="174">
        <f t="shared" si="251"/>
        <v>-3.8891610364599989E-2</v>
      </c>
      <c r="DC39" s="174">
        <f t="shared" si="252"/>
        <v>1.6978990526047566E-2</v>
      </c>
      <c r="DD39" s="175">
        <v>-123001</v>
      </c>
      <c r="DE39" s="174">
        <f t="shared" si="253"/>
        <v>-3.5289068195426404E-2</v>
      </c>
      <c r="DF39" s="174">
        <f t="shared" si="254"/>
        <v>-1.419388965473023E-2</v>
      </c>
      <c r="DG39" s="175">
        <v>-165194</v>
      </c>
      <c r="DH39" s="174">
        <f t="shared" si="187"/>
        <v>-3.7501492622698127E-2</v>
      </c>
      <c r="DI39" s="174">
        <f t="shared" si="78"/>
        <v>3.4363142273928338E-2</v>
      </c>
      <c r="DJ39" s="175">
        <v>-200044</v>
      </c>
      <c r="DK39" s="174">
        <f t="shared" si="308"/>
        <v>-4.4364044906941381E-2</v>
      </c>
      <c r="DL39" s="174">
        <f t="shared" si="255"/>
        <v>0.44896421845574386</v>
      </c>
      <c r="DM39" s="175">
        <v>-231361</v>
      </c>
      <c r="DN39" s="174">
        <f t="shared" si="80"/>
        <v>-4.3498036431053655E-2</v>
      </c>
      <c r="DO39" s="174">
        <f t="shared" si="256"/>
        <v>0.31742551931486873</v>
      </c>
      <c r="DP39" s="175">
        <v>-133990</v>
      </c>
      <c r="DQ39" s="174">
        <f t="shared" ref="DQ39:DQ67" si="343">DP39/$DP$6</f>
        <v>-2.6397211143212602E-2</v>
      </c>
      <c r="DR39" s="174">
        <f t="shared" si="257"/>
        <v>8.9340737067178377E-2</v>
      </c>
      <c r="DS39" s="175">
        <v>-180228</v>
      </c>
      <c r="DT39" s="174">
        <f t="shared" si="81"/>
        <v>-3.4449137404899695E-2</v>
      </c>
      <c r="DU39" s="174">
        <f t="shared" si="286"/>
        <v>9.1008147995689903E-2</v>
      </c>
      <c r="DV39" s="175">
        <v>-204571</v>
      </c>
      <c r="DW39" s="174">
        <f t="shared" si="309"/>
        <v>-3.8651210288800988E-2</v>
      </c>
      <c r="DX39" s="174">
        <f t="shared" si="258"/>
        <v>2.2630021395293021E-2</v>
      </c>
      <c r="DY39" s="175">
        <v>-244730</v>
      </c>
      <c r="DZ39" s="174">
        <f t="shared" si="310"/>
        <v>-4.1736311034004187E-2</v>
      </c>
      <c r="EA39" s="174">
        <f t="shared" si="259"/>
        <v>5.7784155497253131E-2</v>
      </c>
      <c r="EB39" s="175">
        <v>-144383</v>
      </c>
      <c r="EC39" s="174">
        <f t="shared" si="84"/>
        <v>-2.5915755978377541E-2</v>
      </c>
      <c r="ED39" s="174">
        <f t="shared" si="260"/>
        <v>7.7565489961937351E-2</v>
      </c>
      <c r="EE39" s="175">
        <v>-233501</v>
      </c>
      <c r="EF39" s="174">
        <f t="shared" si="311"/>
        <v>-4.0171392620090875E-2</v>
      </c>
      <c r="EG39" s="174">
        <f t="shared" si="312"/>
        <v>0.29558670128947773</v>
      </c>
      <c r="EH39" s="175">
        <v>-247052</v>
      </c>
      <c r="EI39" s="174">
        <f t="shared" si="313"/>
        <v>-4.3538516956709621E-2</v>
      </c>
      <c r="EJ39" s="174">
        <f t="shared" si="314"/>
        <v>0.20765895459278205</v>
      </c>
      <c r="EK39" s="175">
        <v>-337988</v>
      </c>
      <c r="EL39" s="174">
        <f t="shared" si="261"/>
        <v>-5.2197209913744907E-2</v>
      </c>
      <c r="EM39" s="174">
        <f t="shared" si="325"/>
        <v>0.38106484697421639</v>
      </c>
      <c r="EN39" s="175">
        <v>-205153</v>
      </c>
      <c r="EO39" s="174">
        <f t="shared" si="287"/>
        <v>-3.2814367924380423E-2</v>
      </c>
      <c r="EP39" s="174">
        <f t="shared" si="326"/>
        <v>0.42089442662917387</v>
      </c>
      <c r="EQ39" s="175">
        <v>-220709</v>
      </c>
      <c r="ER39" s="174">
        <f t="shared" si="263"/>
        <v>-3.3458434782134137E-2</v>
      </c>
      <c r="ES39" s="174">
        <f t="shared" si="327"/>
        <v>-5.4783491291257813E-2</v>
      </c>
      <c r="ET39" s="175">
        <v>-243428</v>
      </c>
      <c r="EU39" s="174">
        <f t="shared" si="264"/>
        <v>-3.7528017516815906E-2</v>
      </c>
      <c r="EV39" s="174">
        <f t="shared" si="328"/>
        <v>-1.4668976571733938E-2</v>
      </c>
      <c r="EW39" s="175">
        <v>-295392</v>
      </c>
      <c r="EX39" s="174">
        <f t="shared" si="265"/>
        <v>-3.9136908429078264E-2</v>
      </c>
      <c r="EY39" s="174">
        <f t="shared" si="329"/>
        <v>-0.12602814301099452</v>
      </c>
      <c r="EZ39" s="175">
        <v>-152227</v>
      </c>
      <c r="FA39" s="174">
        <f t="shared" si="330"/>
        <v>-2.1663911720274865E-2</v>
      </c>
      <c r="FB39" s="174">
        <f t="shared" si="331"/>
        <v>-0.25798306629686141</v>
      </c>
      <c r="FC39" s="175">
        <v>-173142</v>
      </c>
      <c r="FD39" s="174">
        <f t="shared" si="332"/>
        <v>-2.3700851997048172E-2</v>
      </c>
      <c r="FE39" s="174">
        <f t="shared" si="333"/>
        <v>-0.21551907715589302</v>
      </c>
      <c r="FF39" s="175">
        <v>-213285</v>
      </c>
      <c r="FG39" s="174">
        <f t="shared" si="88"/>
        <v>-2.8259954749092781E-2</v>
      </c>
      <c r="FH39" s="174">
        <f t="shared" si="89"/>
        <v>-0.12382716860837706</v>
      </c>
      <c r="FI39" s="175">
        <v>-272183</v>
      </c>
      <c r="FJ39" s="174">
        <f t="shared" si="268"/>
        <v>-3.085608422037835E-2</v>
      </c>
      <c r="FK39" s="174">
        <f t="shared" si="334"/>
        <v>-7.8570171162387625E-2</v>
      </c>
      <c r="FL39" s="175">
        <v>-140954</v>
      </c>
      <c r="FM39" s="174">
        <f t="shared" si="270"/>
        <v>-1.4006997635821042E-2</v>
      </c>
      <c r="FN39" s="174">
        <f t="shared" si="335"/>
        <v>-7.4053880060698796E-2</v>
      </c>
      <c r="FO39" s="175">
        <v>-169800</v>
      </c>
      <c r="FP39" s="174">
        <f t="shared" si="272"/>
        <v>-1.7110194894994997E-2</v>
      </c>
      <c r="FQ39" s="174">
        <f t="shared" si="336"/>
        <v>-1.9302075752850256E-2</v>
      </c>
      <c r="FR39" s="175">
        <v>-216937</v>
      </c>
      <c r="FS39" s="174">
        <f t="shared" si="274"/>
        <v>-2.1263526108705227E-2</v>
      </c>
      <c r="FT39" s="174">
        <f t="shared" si="337"/>
        <v>1.7122629345711182E-2</v>
      </c>
      <c r="FU39" s="175">
        <v>-278951</v>
      </c>
      <c r="FV39" s="174">
        <f t="shared" si="316"/>
        <v>-2.4145535035266463E-2</v>
      </c>
      <c r="FW39" s="174">
        <f t="shared" si="338"/>
        <v>2.4865623495956779E-2</v>
      </c>
      <c r="FX39" s="175">
        <v>-197004</v>
      </c>
      <c r="FY39" s="174">
        <f t="shared" si="317"/>
        <v>-1.7124142908414901E-2</v>
      </c>
      <c r="FZ39" s="174">
        <f t="shared" si="339"/>
        <v>0.39764745945485758</v>
      </c>
      <c r="GA39" s="175">
        <v>-76268</v>
      </c>
      <c r="GB39" s="174">
        <f t="shared" si="318"/>
        <v>-5.945398961387102E-3</v>
      </c>
      <c r="GC39" s="174">
        <f t="shared" si="340"/>
        <v>-0.55083627797408719</v>
      </c>
      <c r="GD39" s="175">
        <v>-97288</v>
      </c>
      <c r="GE39" s="174">
        <f t="shared" si="319"/>
        <v>-7.4940167569320501E-3</v>
      </c>
      <c r="GF39" s="174">
        <f t="shared" si="341"/>
        <v>-0.55153800412101206</v>
      </c>
      <c r="GG39" s="175">
        <v>-209288</v>
      </c>
      <c r="GH39" s="174">
        <f t="shared" si="320"/>
        <v>-1.4293106619235144E-2</v>
      </c>
      <c r="GI39" s="174">
        <f t="shared" si="342"/>
        <v>-0.2497320317905295</v>
      </c>
    </row>
    <row r="40" spans="2:191" s="171" customFormat="1" ht="16.5" customHeight="1">
      <c r="B40" s="584" t="s">
        <v>143</v>
      </c>
      <c r="C40" s="173" t="s">
        <v>43</v>
      </c>
      <c r="D40" s="10">
        <v>15116</v>
      </c>
      <c r="E40" s="174">
        <f t="shared" si="209"/>
        <v>2.2477791359225324E-2</v>
      </c>
      <c r="F40" s="10">
        <v>12734</v>
      </c>
      <c r="G40" s="174">
        <f t="shared" si="210"/>
        <v>1.8117045160299002E-2</v>
      </c>
      <c r="H40" s="10">
        <v>13913</v>
      </c>
      <c r="I40" s="174">
        <f t="shared" si="211"/>
        <v>1.5921551484413175E-2</v>
      </c>
      <c r="J40" s="10">
        <v>28043</v>
      </c>
      <c r="K40" s="174">
        <f t="shared" si="212"/>
        <v>2.6275105782528362E-2</v>
      </c>
      <c r="L40" s="12">
        <v>20080</v>
      </c>
      <c r="M40" s="174">
        <f t="shared" si="213"/>
        <v>2.1749043334535596E-2</v>
      </c>
      <c r="N40" s="174">
        <f>(L40/D40)-1</f>
        <v>0.32839375496163004</v>
      </c>
      <c r="O40" s="12">
        <v>19637</v>
      </c>
      <c r="P40" s="174">
        <f t="shared" si="215"/>
        <v>1.8544050737625811E-2</v>
      </c>
      <c r="Q40" s="174">
        <f t="shared" ref="Q40:Q50" si="344">(O40/F40)-1</f>
        <v>0.54209203706612219</v>
      </c>
      <c r="R40" s="175">
        <v>22877</v>
      </c>
      <c r="S40" s="174">
        <f t="shared" si="217"/>
        <v>2.0526398903201029E-2</v>
      </c>
      <c r="T40" s="174">
        <f t="shared" ref="T40:T50" si="345">(R40/H40)-1</f>
        <v>0.64428951340472929</v>
      </c>
      <c r="U40" s="175">
        <v>42532</v>
      </c>
      <c r="V40" s="174">
        <f t="shared" si="219"/>
        <v>2.9823535433854888E-2</v>
      </c>
      <c r="W40" s="174">
        <f t="shared" ref="W40:W50" si="346">(U40/J40)-1</f>
        <v>0.51667082694433542</v>
      </c>
      <c r="X40" s="175">
        <v>21860</v>
      </c>
      <c r="Y40" s="174">
        <f t="shared" si="221"/>
        <v>1.7247922714157104E-2</v>
      </c>
      <c r="Z40" s="174">
        <f t="shared" ref="Z40:Z50" si="347">(X40/L40)-1</f>
        <v>8.8645418326693148E-2</v>
      </c>
      <c r="AA40" s="175">
        <v>21455</v>
      </c>
      <c r="AB40" s="174">
        <f t="shared" si="223"/>
        <v>1.625522868314843E-2</v>
      </c>
      <c r="AC40" s="174">
        <f t="shared" ref="AC40:AC50" si="348">(AA40/O40)-1</f>
        <v>9.2580333044762542E-2</v>
      </c>
      <c r="AD40" s="175">
        <v>25968</v>
      </c>
      <c r="AE40" s="174">
        <f t="shared" si="225"/>
        <v>1.9143821200484492E-2</v>
      </c>
      <c r="AF40" s="174">
        <f t="shared" ref="AF40:AF50" si="349">(AD40/R40)-1</f>
        <v>0.13511386982558893</v>
      </c>
      <c r="AG40" s="175">
        <v>53106</v>
      </c>
      <c r="AH40" s="174">
        <f t="shared" si="227"/>
        <v>3.3018809268594761E-2</v>
      </c>
      <c r="AI40" s="174">
        <f t="shared" ref="AI40:AI50" si="350">(AG40/U40)-1</f>
        <v>0.24861280917897122</v>
      </c>
      <c r="AJ40" s="175">
        <v>27990</v>
      </c>
      <c r="AK40" s="174">
        <f t="shared" si="229"/>
        <v>1.9197320194017074E-2</v>
      </c>
      <c r="AL40" s="174">
        <f t="shared" si="288"/>
        <v>0.28042086001829825</v>
      </c>
      <c r="AM40" s="175">
        <v>34498</v>
      </c>
      <c r="AN40" s="174">
        <f t="shared" si="230"/>
        <v>2.2908133722196546E-2</v>
      </c>
      <c r="AO40" s="174">
        <f t="shared" si="289"/>
        <v>0.60792356094150546</v>
      </c>
      <c r="AP40" s="175">
        <v>37965</v>
      </c>
      <c r="AQ40" s="174">
        <f t="shared" si="231"/>
        <v>2.6452685471891103E-2</v>
      </c>
      <c r="AR40" s="174">
        <f t="shared" si="290"/>
        <v>0.46199168207024033</v>
      </c>
      <c r="AS40" s="175">
        <v>47009</v>
      </c>
      <c r="AT40" s="174">
        <f t="shared" si="232"/>
        <v>2.890451346723194E-2</v>
      </c>
      <c r="AU40" s="174">
        <f t="shared" si="291"/>
        <v>-0.11480811960983694</v>
      </c>
      <c r="AV40" s="175">
        <v>33378</v>
      </c>
      <c r="AW40" s="174">
        <f t="shared" si="233"/>
        <v>2.2984658989964095E-2</v>
      </c>
      <c r="AX40" s="174">
        <f t="shared" si="292"/>
        <v>0.19249732047159696</v>
      </c>
      <c r="AY40" s="175">
        <v>38198</v>
      </c>
      <c r="AZ40" s="174">
        <f t="shared" si="234"/>
        <v>2.4079251360832606E-2</v>
      </c>
      <c r="BA40" s="174">
        <f t="shared" si="293"/>
        <v>0.10725259435329582</v>
      </c>
      <c r="BB40" s="175">
        <v>32444</v>
      </c>
      <c r="BC40" s="174">
        <f t="shared" si="235"/>
        <v>1.990685916590481E-2</v>
      </c>
      <c r="BD40" s="174">
        <f t="shared" si="294"/>
        <v>-0.14542341630449096</v>
      </c>
      <c r="BE40" s="175">
        <v>41344</v>
      </c>
      <c r="BF40" s="174">
        <f t="shared" si="236"/>
        <v>2.1519917010072366E-2</v>
      </c>
      <c r="BG40" s="174">
        <f t="shared" si="237"/>
        <v>-0.12050883873300855</v>
      </c>
      <c r="BH40" s="175">
        <v>34699</v>
      </c>
      <c r="BI40" s="174">
        <f t="shared" si="295"/>
        <v>1.8938827461763754E-2</v>
      </c>
      <c r="BJ40" s="174">
        <f t="shared" si="296"/>
        <v>3.9576966864401708E-2</v>
      </c>
      <c r="BK40" s="175">
        <v>19203</v>
      </c>
      <c r="BL40" s="174">
        <f t="shared" si="297"/>
        <v>1.0258670427591512E-2</v>
      </c>
      <c r="BM40" s="174">
        <f t="shared" si="298"/>
        <v>-0.49727734436357929</v>
      </c>
      <c r="BN40" s="175">
        <v>32500</v>
      </c>
      <c r="BO40" s="174">
        <f t="shared" si="238"/>
        <v>1.705533590615262E-2</v>
      </c>
      <c r="BP40" s="174">
        <f t="shared" si="239"/>
        <v>1.7260510417951291E-3</v>
      </c>
      <c r="BQ40" s="175">
        <v>75424</v>
      </c>
      <c r="BR40" s="174">
        <f t="shared" si="240"/>
        <v>3.070991015934349E-2</v>
      </c>
      <c r="BS40" s="174">
        <f t="shared" si="241"/>
        <v>0.82430340557275539</v>
      </c>
      <c r="BT40" s="175">
        <v>58951</v>
      </c>
      <c r="BU40" s="174">
        <f t="shared" si="242"/>
        <v>2.6649590724381906E-2</v>
      </c>
      <c r="BV40" s="174">
        <f t="shared" si="243"/>
        <v>0.69892504106746589</v>
      </c>
      <c r="BW40" s="176">
        <v>53282</v>
      </c>
      <c r="BX40" s="174">
        <f t="shared" si="244"/>
        <v>2.3904990203718685E-2</v>
      </c>
      <c r="BY40" s="174">
        <f t="shared" si="245"/>
        <v>1.7746706243816068</v>
      </c>
      <c r="BZ40" s="175">
        <f>51115-10909</f>
        <v>40206</v>
      </c>
      <c r="CA40" s="174">
        <f t="shared" si="299"/>
        <v>1.5106337252379457E-2</v>
      </c>
      <c r="CB40" s="174">
        <f t="shared" si="246"/>
        <v>0.23710769230769224</v>
      </c>
      <c r="CC40" s="175">
        <f>122068-10961</f>
        <v>111107</v>
      </c>
      <c r="CD40" s="174">
        <f t="shared" si="300"/>
        <v>3.7240439429610285E-2</v>
      </c>
      <c r="CE40" s="174">
        <f t="shared" si="321"/>
        <v>0.47309874840899457</v>
      </c>
      <c r="CF40" s="175">
        <f>71057-8037</f>
        <v>63020</v>
      </c>
      <c r="CG40" s="174">
        <f t="shared" si="301"/>
        <v>2.2038764024707756E-2</v>
      </c>
      <c r="CH40" s="174">
        <f t="shared" si="322"/>
        <v>6.9023426235347962E-2</v>
      </c>
      <c r="CI40" s="175">
        <f>83770-20081</f>
        <v>63689</v>
      </c>
      <c r="CJ40" s="174">
        <f t="shared" si="302"/>
        <v>2.1888292689800321E-2</v>
      </c>
      <c r="CK40" s="174">
        <f t="shared" si="323"/>
        <v>0.19531924477309404</v>
      </c>
      <c r="CL40" s="175">
        <v>57966</v>
      </c>
      <c r="CM40" s="174">
        <f t="shared" si="303"/>
        <v>1.7448207875864458E-2</v>
      </c>
      <c r="CN40" s="174">
        <f t="shared" si="324"/>
        <v>0.44172511565438</v>
      </c>
      <c r="CO40" s="175">
        <v>113071</v>
      </c>
      <c r="CP40" s="174">
        <f t="shared" si="304"/>
        <v>2.9992084939422202E-2</v>
      </c>
      <c r="CQ40" s="174">
        <f t="shared" si="305"/>
        <v>1.7676654036199446E-2</v>
      </c>
      <c r="CR40" s="175">
        <v>81380</v>
      </c>
      <c r="CS40" s="174">
        <f t="shared" si="306"/>
        <v>2.3347975786731819E-2</v>
      </c>
      <c r="CT40" s="174">
        <f t="shared" si="247"/>
        <v>0.29133608378292597</v>
      </c>
      <c r="CU40" s="12">
        <v>68691</v>
      </c>
      <c r="CV40" s="174">
        <f t="shared" si="307"/>
        <v>1.9552610672455985E-2</v>
      </c>
      <c r="CW40" s="174">
        <f t="shared" si="248"/>
        <v>7.8537895083923503E-2</v>
      </c>
      <c r="CX40" s="12">
        <v>68048</v>
      </c>
      <c r="CY40" s="174">
        <f t="shared" si="249"/>
        <v>1.6946602906862989E-2</v>
      </c>
      <c r="CZ40" s="174">
        <f t="shared" si="250"/>
        <v>0.17392954490563439</v>
      </c>
      <c r="DA40" s="12">
        <v>125395</v>
      </c>
      <c r="DB40" s="174">
        <f t="shared" si="251"/>
        <v>2.7769756068177248E-2</v>
      </c>
      <c r="DC40" s="174">
        <f t="shared" si="252"/>
        <v>0.10899346428350332</v>
      </c>
      <c r="DD40" s="175">
        <v>79677</v>
      </c>
      <c r="DE40" s="174">
        <f t="shared" si="253"/>
        <v>2.285938396116283E-2</v>
      </c>
      <c r="DF40" s="174">
        <f t="shared" si="254"/>
        <v>-2.0926517571885017E-2</v>
      </c>
      <c r="DG40" s="175">
        <v>61155</v>
      </c>
      <c r="DH40" s="174">
        <f t="shared" si="187"/>
        <v>1.3883093704015302E-2</v>
      </c>
      <c r="DI40" s="174">
        <f t="shared" si="78"/>
        <v>-0.10970869546228768</v>
      </c>
      <c r="DJ40" s="175">
        <v>68918</v>
      </c>
      <c r="DK40" s="174">
        <f t="shared" si="308"/>
        <v>1.528404374485906E-2</v>
      </c>
      <c r="DL40" s="174">
        <f t="shared" si="255"/>
        <v>1.2785092875617243E-2</v>
      </c>
      <c r="DM40" s="175">
        <v>102190</v>
      </c>
      <c r="DN40" s="174">
        <f t="shared" si="80"/>
        <v>1.9212677775810847E-2</v>
      </c>
      <c r="DO40" s="174">
        <f t="shared" si="256"/>
        <v>-0.18505522548745967</v>
      </c>
      <c r="DP40" s="175">
        <v>83659</v>
      </c>
      <c r="DQ40" s="174">
        <f t="shared" si="343"/>
        <v>1.6481560467423113E-2</v>
      </c>
      <c r="DR40" s="174">
        <f t="shared" si="257"/>
        <v>4.9976781254314373E-2</v>
      </c>
      <c r="DS40" s="175">
        <v>82686</v>
      </c>
      <c r="DT40" s="174">
        <f t="shared" si="81"/>
        <v>1.5804766048902148E-2</v>
      </c>
      <c r="DU40" s="174">
        <f t="shared" si="286"/>
        <v>0.35207260240372817</v>
      </c>
      <c r="DV40" s="175">
        <v>75967.827819999584</v>
      </c>
      <c r="DW40" s="174">
        <f t="shared" si="309"/>
        <v>1.4353200054036154E-2</v>
      </c>
      <c r="DX40" s="174">
        <f t="shared" si="258"/>
        <v>0.10229298325545688</v>
      </c>
      <c r="DY40" s="175">
        <v>88934</v>
      </c>
      <c r="DZ40" s="174">
        <f t="shared" si="310"/>
        <v>1.5166825013272293E-2</v>
      </c>
      <c r="EA40" s="174">
        <f t="shared" si="259"/>
        <v>-0.12971915060182015</v>
      </c>
      <c r="EB40" s="175">
        <v>91641</v>
      </c>
      <c r="EC40" s="174">
        <f t="shared" si="84"/>
        <v>1.6448929538896519E-2</v>
      </c>
      <c r="ED40" s="174">
        <f t="shared" si="260"/>
        <v>9.5411133291098293E-2</v>
      </c>
      <c r="EE40" s="175">
        <v>69368</v>
      </c>
      <c r="EF40" s="174">
        <f t="shared" si="311"/>
        <v>1.1934035242977391E-2</v>
      </c>
      <c r="EG40" s="174">
        <f t="shared" si="312"/>
        <v>-0.16106716977481073</v>
      </c>
      <c r="EH40" s="175">
        <v>68234</v>
      </c>
      <c r="EI40" s="174">
        <f t="shared" si="313"/>
        <v>1.202502779181761E-2</v>
      </c>
      <c r="EJ40" s="174">
        <f t="shared" si="314"/>
        <v>-0.10180398784501699</v>
      </c>
      <c r="EK40" s="175">
        <v>106810</v>
      </c>
      <c r="EL40" s="174">
        <f t="shared" si="261"/>
        <v>1.6495212820831193E-2</v>
      </c>
      <c r="EM40" s="174">
        <f t="shared" si="325"/>
        <v>0.20100299098207652</v>
      </c>
      <c r="EN40" s="175">
        <v>77608</v>
      </c>
      <c r="EO40" s="174">
        <f t="shared" si="287"/>
        <v>1.2413454669808952E-2</v>
      </c>
      <c r="EP40" s="174">
        <f t="shared" si="326"/>
        <v>-0.15313014916904011</v>
      </c>
      <c r="EQ40" s="175">
        <v>70219</v>
      </c>
      <c r="ER40" s="174">
        <f t="shared" si="263"/>
        <v>1.0644866462023193E-2</v>
      </c>
      <c r="ES40" s="174">
        <f t="shared" si="327"/>
        <v>1.2267904509283722E-2</v>
      </c>
      <c r="ET40" s="175">
        <v>77155</v>
      </c>
      <c r="EU40" s="174">
        <f t="shared" si="264"/>
        <v>1.1894581525173486E-2</v>
      </c>
      <c r="EV40" s="174">
        <f t="shared" si="328"/>
        <v>0.13074127267930935</v>
      </c>
      <c r="EW40" s="175">
        <v>145234</v>
      </c>
      <c r="EX40" s="174">
        <f t="shared" si="265"/>
        <v>1.9242260314391562E-2</v>
      </c>
      <c r="EY40" s="174">
        <f t="shared" si="329"/>
        <v>0.3597415972287239</v>
      </c>
      <c r="EZ40" s="175">
        <v>111561</v>
      </c>
      <c r="FA40" s="174">
        <f t="shared" si="330"/>
        <v>1.5876603069268816E-2</v>
      </c>
      <c r="FB40" s="174">
        <f t="shared" si="331"/>
        <v>0.43749355736522011</v>
      </c>
      <c r="FC40" s="175">
        <v>114583</v>
      </c>
      <c r="FD40" s="174">
        <f t="shared" si="332"/>
        <v>1.5684898663396351E-2</v>
      </c>
      <c r="FE40" s="174">
        <f t="shared" si="333"/>
        <v>0.63179481336960075</v>
      </c>
      <c r="FF40" s="175">
        <v>145234</v>
      </c>
      <c r="FG40" s="174">
        <f t="shared" si="88"/>
        <v>1.9243295440512651E-2</v>
      </c>
      <c r="FH40" s="174">
        <f t="shared" si="89"/>
        <v>0.88236666450651291</v>
      </c>
      <c r="FI40" s="175">
        <v>195122</v>
      </c>
      <c r="FJ40" s="174">
        <f t="shared" si="268"/>
        <v>2.2120047413867378E-2</v>
      </c>
      <c r="FK40" s="174">
        <f t="shared" si="334"/>
        <v>0.34350083313824586</v>
      </c>
      <c r="FL40" s="175">
        <v>142268</v>
      </c>
      <c r="FM40" s="174">
        <f t="shared" si="270"/>
        <v>1.4137573532166438E-2</v>
      </c>
      <c r="FN40" s="174">
        <f t="shared" si="335"/>
        <v>0.27524851874759104</v>
      </c>
      <c r="FO40" s="175">
        <v>138155</v>
      </c>
      <c r="FP40" s="174">
        <f t="shared" si="272"/>
        <v>1.3921430952403025E-2</v>
      </c>
      <c r="FQ40" s="174">
        <f t="shared" si="336"/>
        <v>0.20571987118507984</v>
      </c>
      <c r="FR40" s="175">
        <v>137810</v>
      </c>
      <c r="FS40" s="174">
        <f t="shared" si="274"/>
        <v>1.350773050720102E-2</v>
      </c>
      <c r="FT40" s="174">
        <f t="shared" si="337"/>
        <v>-5.1117506919867273E-2</v>
      </c>
      <c r="FU40" s="175">
        <v>233572</v>
      </c>
      <c r="FV40" s="174">
        <f t="shared" si="316"/>
        <v>2.0217604200226055E-2</v>
      </c>
      <c r="FW40" s="174">
        <f t="shared" si="338"/>
        <v>0.19705620073594976</v>
      </c>
      <c r="FX40" s="175">
        <v>179673</v>
      </c>
      <c r="FY40" s="174">
        <f t="shared" si="317"/>
        <v>1.5617683543398259E-2</v>
      </c>
      <c r="FZ40" s="174">
        <f t="shared" si="339"/>
        <v>0.26291927910703738</v>
      </c>
      <c r="GA40" s="175">
        <v>269512</v>
      </c>
      <c r="GB40" s="174">
        <f t="shared" si="318"/>
        <v>2.1009550071869731E-2</v>
      </c>
      <c r="GC40" s="174">
        <f t="shared" si="340"/>
        <v>0.95079439759690199</v>
      </c>
      <c r="GD40" s="175">
        <v>378545</v>
      </c>
      <c r="GE40" s="174">
        <f t="shared" si="319"/>
        <v>2.915901830907042E-2</v>
      </c>
      <c r="GF40" s="174">
        <f t="shared" si="341"/>
        <v>1.7468616210724912</v>
      </c>
      <c r="GG40" s="175">
        <v>455390</v>
      </c>
      <c r="GH40" s="174">
        <f t="shared" si="320"/>
        <v>3.1100387137979687E-2</v>
      </c>
      <c r="GI40" s="174">
        <f t="shared" si="342"/>
        <v>0.94967718733409834</v>
      </c>
    </row>
    <row r="41" spans="2:191" s="171" customFormat="1" ht="16.5" customHeight="1">
      <c r="B41" s="584" t="s">
        <v>271</v>
      </c>
      <c r="C41" s="173" t="s">
        <v>1434</v>
      </c>
      <c r="D41" s="10"/>
      <c r="E41" s="517"/>
      <c r="F41" s="10"/>
      <c r="G41" s="517"/>
      <c r="H41" s="10"/>
      <c r="I41" s="517"/>
      <c r="J41" s="10"/>
      <c r="K41" s="517"/>
      <c r="L41" s="12"/>
      <c r="M41" s="517"/>
      <c r="N41" s="517"/>
      <c r="O41" s="12"/>
      <c r="P41" s="517"/>
      <c r="Q41" s="517"/>
      <c r="R41" s="175"/>
      <c r="S41" s="517"/>
      <c r="T41" s="517"/>
      <c r="U41" s="175"/>
      <c r="V41" s="517"/>
      <c r="W41" s="517"/>
      <c r="X41" s="175"/>
      <c r="Y41" s="517"/>
      <c r="Z41" s="517"/>
      <c r="AA41" s="175"/>
      <c r="AB41" s="517"/>
      <c r="AC41" s="517"/>
      <c r="AD41" s="175"/>
      <c r="AE41" s="517"/>
      <c r="AF41" s="517"/>
      <c r="AG41" s="175"/>
      <c r="AH41" s="517"/>
      <c r="AI41" s="517"/>
      <c r="AJ41" s="175"/>
      <c r="AK41" s="517"/>
      <c r="AL41" s="517"/>
      <c r="AM41" s="175"/>
      <c r="AN41" s="517"/>
      <c r="AO41" s="517"/>
      <c r="AP41" s="175"/>
      <c r="AQ41" s="517"/>
      <c r="AR41" s="517"/>
      <c r="AS41" s="175"/>
      <c r="AT41" s="517"/>
      <c r="AU41" s="517"/>
      <c r="AV41" s="175"/>
      <c r="AW41" s="517"/>
      <c r="AX41" s="517"/>
      <c r="AY41" s="175"/>
      <c r="AZ41" s="517"/>
      <c r="BA41" s="517"/>
      <c r="BB41" s="175"/>
      <c r="BC41" s="517"/>
      <c r="BD41" s="517"/>
      <c r="BE41" s="175"/>
      <c r="BF41" s="517"/>
      <c r="BG41" s="517"/>
      <c r="BH41" s="175"/>
      <c r="BI41" s="517"/>
      <c r="BJ41" s="517"/>
      <c r="BK41" s="175"/>
      <c r="BL41" s="517"/>
      <c r="BM41" s="517"/>
      <c r="BN41" s="175"/>
      <c r="BO41" s="517"/>
      <c r="BP41" s="517"/>
      <c r="BQ41" s="175"/>
      <c r="BR41" s="517"/>
      <c r="BS41" s="517"/>
      <c r="BT41" s="175"/>
      <c r="BU41" s="517"/>
      <c r="BV41" s="517"/>
      <c r="BW41" s="176"/>
      <c r="BX41" s="517"/>
      <c r="BY41" s="517"/>
      <c r="BZ41" s="175"/>
      <c r="CA41" s="517"/>
      <c r="CB41" s="517"/>
      <c r="CC41" s="175"/>
      <c r="CD41" s="517"/>
      <c r="CE41" s="517"/>
      <c r="CF41" s="175"/>
      <c r="CG41" s="517"/>
      <c r="CH41" s="517"/>
      <c r="CI41" s="175"/>
      <c r="CJ41" s="517"/>
      <c r="CK41" s="517"/>
      <c r="CL41" s="175"/>
      <c r="CM41" s="517"/>
      <c r="CN41" s="517"/>
      <c r="CO41" s="175"/>
      <c r="CP41" s="517"/>
      <c r="CQ41" s="517"/>
      <c r="CR41" s="175"/>
      <c r="CS41" s="517"/>
      <c r="CT41" s="517"/>
      <c r="CU41" s="12"/>
      <c r="CV41" s="517"/>
      <c r="CW41" s="517"/>
      <c r="CX41" s="12"/>
      <c r="CY41" s="517"/>
      <c r="CZ41" s="517"/>
      <c r="DA41" s="12"/>
      <c r="DB41" s="517"/>
      <c r="DC41" s="517"/>
      <c r="DD41" s="175"/>
      <c r="DE41" s="517"/>
      <c r="DF41" s="517"/>
      <c r="DG41" s="175"/>
      <c r="DH41" s="517"/>
      <c r="DI41" s="517"/>
      <c r="DJ41" s="175"/>
      <c r="DK41" s="517"/>
      <c r="DL41" s="517"/>
      <c r="DM41" s="175"/>
      <c r="DN41" s="517"/>
      <c r="DO41" s="517"/>
      <c r="DP41" s="175"/>
      <c r="DQ41" s="517"/>
      <c r="DR41" s="517"/>
      <c r="DS41" s="175"/>
      <c r="DT41" s="517"/>
      <c r="DU41" s="517"/>
      <c r="DV41" s="175"/>
      <c r="DW41" s="517"/>
      <c r="DX41" s="517"/>
      <c r="DY41" s="175"/>
      <c r="DZ41" s="517"/>
      <c r="EA41" s="517"/>
      <c r="EB41" s="175"/>
      <c r="EC41" s="517"/>
      <c r="ED41" s="517"/>
      <c r="EE41" s="175"/>
      <c r="EF41" s="517"/>
      <c r="EG41" s="517"/>
      <c r="EH41" s="175"/>
      <c r="EI41" s="517"/>
      <c r="EJ41" s="517"/>
      <c r="EK41" s="175"/>
      <c r="EL41" s="517"/>
      <c r="EM41" s="517"/>
      <c r="EN41" s="175"/>
      <c r="EO41" s="517"/>
      <c r="EP41" s="517"/>
      <c r="EQ41" s="175"/>
      <c r="ER41" s="517"/>
      <c r="ES41" s="517"/>
      <c r="ET41" s="175"/>
      <c r="EU41" s="517"/>
      <c r="EV41" s="517"/>
      <c r="EW41" s="175"/>
      <c r="EX41" s="517"/>
      <c r="EY41" s="517"/>
      <c r="EZ41" s="175"/>
      <c r="FA41" s="517"/>
      <c r="FB41" s="517"/>
      <c r="FC41" s="175"/>
      <c r="FD41" s="517"/>
      <c r="FE41" s="517"/>
      <c r="FF41" s="175"/>
      <c r="FG41" s="517"/>
      <c r="FH41" s="517"/>
      <c r="FI41" s="175">
        <v>69990</v>
      </c>
      <c r="FJ41" s="517">
        <f t="shared" si="268"/>
        <v>7.9344313736871182E-3</v>
      </c>
      <c r="FK41" s="517"/>
      <c r="FL41" s="175">
        <v>27077</v>
      </c>
      <c r="FM41" s="174">
        <f t="shared" ref="FM41" si="351">FL41/FL$6</f>
        <v>2.6907180710382564E-3</v>
      </c>
      <c r="FN41" s="174" t="e">
        <f t="shared" ref="FN41" si="352">(FL41/EZ41)-1</f>
        <v>#DIV/0!</v>
      </c>
      <c r="FO41" s="175"/>
      <c r="FP41" s="174">
        <f t="shared" si="272"/>
        <v>0</v>
      </c>
      <c r="FQ41" s="174" t="e">
        <f t="shared" si="336"/>
        <v>#DIV/0!</v>
      </c>
      <c r="FR41" s="175"/>
      <c r="FS41" s="174">
        <f t="shared" si="274"/>
        <v>0</v>
      </c>
      <c r="FT41" s="174" t="e">
        <f t="shared" si="337"/>
        <v>#DIV/0!</v>
      </c>
      <c r="FU41" s="175">
        <v>31276</v>
      </c>
      <c r="FV41" s="517">
        <f t="shared" si="316"/>
        <v>2.707198589583812E-3</v>
      </c>
      <c r="FW41" s="517">
        <f t="shared" si="338"/>
        <v>-0.55313616230890128</v>
      </c>
      <c r="FX41" s="175">
        <v>9282</v>
      </c>
      <c r="FY41" s="517">
        <f t="shared" si="317"/>
        <v>8.0681760002795434E-4</v>
      </c>
      <c r="FZ41" s="517">
        <f t="shared" si="339"/>
        <v>-0.65719983750046163</v>
      </c>
      <c r="GA41" s="175">
        <v>13053</v>
      </c>
      <c r="GB41" s="517">
        <f t="shared" si="318"/>
        <v>1.0175341249670353E-3</v>
      </c>
      <c r="GC41" s="517" t="e">
        <f t="shared" si="340"/>
        <v>#DIV/0!</v>
      </c>
      <c r="GD41" s="175">
        <v>28831</v>
      </c>
      <c r="GE41" s="517">
        <f t="shared" si="319"/>
        <v>2.220828849592015E-3</v>
      </c>
      <c r="GF41" s="517" t="e">
        <f t="shared" si="341"/>
        <v>#DIV/0!</v>
      </c>
      <c r="GG41" s="175">
        <v>41643</v>
      </c>
      <c r="GH41" s="517">
        <f t="shared" si="320"/>
        <v>2.8439654397041832E-3</v>
      </c>
      <c r="GI41" s="517">
        <f t="shared" si="342"/>
        <v>0.33146821844225594</v>
      </c>
    </row>
    <row r="42" spans="2:191" s="171" customFormat="1" ht="16.5" customHeight="1">
      <c r="B42" s="172" t="s">
        <v>44</v>
      </c>
      <c r="C42" s="173" t="s">
        <v>45</v>
      </c>
      <c r="D42" s="10">
        <v>17867</v>
      </c>
      <c r="E42" s="174">
        <f t="shared" si="209"/>
        <v>2.6568582840386268E-2</v>
      </c>
      <c r="F42" s="10">
        <v>36050</v>
      </c>
      <c r="G42" s="174">
        <f t="shared" si="210"/>
        <v>5.1289420294391312E-2</v>
      </c>
      <c r="H42" s="10">
        <v>31110</v>
      </c>
      <c r="I42" s="174">
        <f t="shared" si="211"/>
        <v>3.5601197921375255E-2</v>
      </c>
      <c r="J42" s="10">
        <v>89126</v>
      </c>
      <c r="K42" s="174">
        <f t="shared" si="212"/>
        <v>8.3507295152930247E-2</v>
      </c>
      <c r="L42" s="12">
        <v>13227</v>
      </c>
      <c r="M42" s="174">
        <f t="shared" si="213"/>
        <v>1.4326424112843742E-2</v>
      </c>
      <c r="N42" s="174">
        <f>(L42/D42)-1</f>
        <v>-0.25969664745060728</v>
      </c>
      <c r="O42" s="12">
        <v>45665</v>
      </c>
      <c r="P42" s="174">
        <f t="shared" si="215"/>
        <v>4.3123393437576138E-2</v>
      </c>
      <c r="Q42" s="174">
        <f t="shared" si="344"/>
        <v>0.26671289875173376</v>
      </c>
      <c r="R42" s="175">
        <v>37707</v>
      </c>
      <c r="S42" s="174">
        <f t="shared" si="217"/>
        <v>3.3832623309131497E-2</v>
      </c>
      <c r="T42" s="174">
        <f t="shared" si="345"/>
        <v>0.21205400192864032</v>
      </c>
      <c r="U42" s="175">
        <v>121533</v>
      </c>
      <c r="V42" s="174">
        <f t="shared" si="219"/>
        <v>8.5219216869244011E-2</v>
      </c>
      <c r="W42" s="174">
        <f t="shared" si="346"/>
        <v>0.36360882346341139</v>
      </c>
      <c r="X42" s="175">
        <v>21205</v>
      </c>
      <c r="Y42" s="174">
        <f t="shared" si="221"/>
        <v>1.6731116246738398E-2</v>
      </c>
      <c r="Z42" s="174">
        <f t="shared" si="347"/>
        <v>0.60316020261586156</v>
      </c>
      <c r="AA42" s="175">
        <v>48396</v>
      </c>
      <c r="AB42" s="174">
        <f t="shared" si="223"/>
        <v>3.6666886383111233E-2</v>
      </c>
      <c r="AC42" s="174">
        <f t="shared" si="348"/>
        <v>5.980510237599912E-2</v>
      </c>
      <c r="AD42" s="175">
        <v>37406</v>
      </c>
      <c r="AE42" s="174">
        <f t="shared" si="225"/>
        <v>2.7576008003131661E-2</v>
      </c>
      <c r="AF42" s="174">
        <f t="shared" si="349"/>
        <v>-7.9826026997639188E-3</v>
      </c>
      <c r="AG42" s="175">
        <v>114316</v>
      </c>
      <c r="AH42" s="174">
        <f t="shared" si="227"/>
        <v>7.107630400234774E-2</v>
      </c>
      <c r="AI42" s="174">
        <f t="shared" si="350"/>
        <v>-5.9383048225584822E-2</v>
      </c>
      <c r="AJ42" s="175">
        <v>29479</v>
      </c>
      <c r="AK42" s="174">
        <f t="shared" si="229"/>
        <v>2.0218570989618771E-2</v>
      </c>
      <c r="AL42" s="174">
        <f t="shared" si="288"/>
        <v>0.39019099269040325</v>
      </c>
      <c r="AM42" s="175">
        <v>54714</v>
      </c>
      <c r="AN42" s="174">
        <f t="shared" si="230"/>
        <v>3.6332414298691572E-2</v>
      </c>
      <c r="AO42" s="174">
        <f t="shared" si="289"/>
        <v>0.13054797917183247</v>
      </c>
      <c r="AP42" s="175">
        <v>35560</v>
      </c>
      <c r="AQ42" s="174">
        <f t="shared" si="231"/>
        <v>2.4776965504555451E-2</v>
      </c>
      <c r="AR42" s="174">
        <f t="shared" si="290"/>
        <v>-4.9350371598139375E-2</v>
      </c>
      <c r="AS42" s="175">
        <v>116386</v>
      </c>
      <c r="AT42" s="174">
        <f t="shared" si="232"/>
        <v>7.1562481745990267E-2</v>
      </c>
      <c r="AU42" s="13">
        <f t="shared" si="291"/>
        <v>1.8107701459113335E-2</v>
      </c>
      <c r="AV42" s="175">
        <v>31967</v>
      </c>
      <c r="AW42" s="174">
        <f t="shared" si="233"/>
        <v>2.2013020370668771E-2</v>
      </c>
      <c r="AX42" s="174">
        <f t="shared" si="292"/>
        <v>8.4399063740289604E-2</v>
      </c>
      <c r="AY42" s="175">
        <v>76774</v>
      </c>
      <c r="AZ42" s="174">
        <f t="shared" si="234"/>
        <v>4.8396786323277721E-2</v>
      </c>
      <c r="BA42" s="174">
        <f t="shared" si="293"/>
        <v>0.4031874840077494</v>
      </c>
      <c r="BB42" s="175">
        <v>54100</v>
      </c>
      <c r="BC42" s="174">
        <f t="shared" si="235"/>
        <v>3.319446063603286E-2</v>
      </c>
      <c r="BD42" s="174">
        <f t="shared" si="294"/>
        <v>0.52137232845894266</v>
      </c>
      <c r="BE42" s="175">
        <v>128358</v>
      </c>
      <c r="BF42" s="174">
        <f t="shared" si="236"/>
        <v>6.6811472222786106E-2</v>
      </c>
      <c r="BG42" s="174">
        <f t="shared" si="237"/>
        <v>0.10286460570859046</v>
      </c>
      <c r="BH42" s="175">
        <v>48217</v>
      </c>
      <c r="BI42" s="174">
        <f t="shared" si="295"/>
        <v>2.6316995986162797E-2</v>
      </c>
      <c r="BJ42" s="174">
        <f t="shared" si="296"/>
        <v>0.50833672224481496</v>
      </c>
      <c r="BK42" s="175">
        <v>78523</v>
      </c>
      <c r="BL42" s="174">
        <f t="shared" si="297"/>
        <v>4.1948736030087398E-2</v>
      </c>
      <c r="BM42" s="174">
        <f t="shared" si="298"/>
        <v>2.278114986844515E-2</v>
      </c>
      <c r="BN42" s="175">
        <v>48199</v>
      </c>
      <c r="BO42" s="174">
        <f t="shared" si="238"/>
        <v>2.5293850318173852E-2</v>
      </c>
      <c r="BP42" s="174">
        <f t="shared" si="239"/>
        <v>-0.10907578558225506</v>
      </c>
      <c r="BQ42" s="175">
        <v>146674</v>
      </c>
      <c r="BR42" s="174">
        <f t="shared" si="240"/>
        <v>5.9720319297724159E-2</v>
      </c>
      <c r="BS42" s="174">
        <f t="shared" si="241"/>
        <v>0.14269465089826894</v>
      </c>
      <c r="BT42" s="175">
        <v>49179</v>
      </c>
      <c r="BU42" s="174">
        <f t="shared" si="242"/>
        <v>2.2232026975528452E-2</v>
      </c>
      <c r="BV42" s="174">
        <f t="shared" si="243"/>
        <v>1.9951469398759691E-2</v>
      </c>
      <c r="BW42" s="176">
        <v>118906</v>
      </c>
      <c r="BX42" s="174">
        <f t="shared" si="244"/>
        <v>5.3347223549479635E-2</v>
      </c>
      <c r="BY42" s="174">
        <f t="shared" si="245"/>
        <v>0.51428243954000741</v>
      </c>
      <c r="BZ42" s="175">
        <v>68465</v>
      </c>
      <c r="CA42" s="174">
        <f t="shared" si="299"/>
        <v>2.5723906381738038E-2</v>
      </c>
      <c r="CB42" s="174">
        <f t="shared" si="246"/>
        <v>0.42046515487873193</v>
      </c>
      <c r="CC42" s="175">
        <v>211273</v>
      </c>
      <c r="CD42" s="174">
        <f t="shared" si="300"/>
        <v>7.081371434393921E-2</v>
      </c>
      <c r="CE42" s="174">
        <f t="shared" si="321"/>
        <v>0.44042570598742792</v>
      </c>
      <c r="CF42" s="175">
        <v>75735</v>
      </c>
      <c r="CG42" s="174">
        <f t="shared" si="301"/>
        <v>2.6485334709794382E-2</v>
      </c>
      <c r="CH42" s="174">
        <f t="shared" si="322"/>
        <v>0.53998657963765018</v>
      </c>
      <c r="CI42" s="175">
        <v>118117</v>
      </c>
      <c r="CJ42" s="174">
        <f t="shared" si="302"/>
        <v>4.0593814750445829E-2</v>
      </c>
      <c r="CK42" s="174">
        <f t="shared" si="323"/>
        <v>-6.6354935831665074E-3</v>
      </c>
      <c r="CL42" s="175">
        <v>87218</v>
      </c>
      <c r="CM42" s="174">
        <f t="shared" si="303"/>
        <v>2.6253282864388539E-2</v>
      </c>
      <c r="CN42" s="174">
        <f t="shared" si="324"/>
        <v>0.27390637552033881</v>
      </c>
      <c r="CO42" s="175">
        <v>244089</v>
      </c>
      <c r="CP42" s="174">
        <f t="shared" si="304"/>
        <v>6.474461197635667E-2</v>
      </c>
      <c r="CQ42" s="174">
        <f t="shared" si="305"/>
        <v>0.15532510069909544</v>
      </c>
      <c r="CR42" s="175">
        <v>58856</v>
      </c>
      <c r="CS42" s="174">
        <f t="shared" si="306"/>
        <v>1.6885825299875742E-2</v>
      </c>
      <c r="CT42" s="174">
        <f t="shared" si="247"/>
        <v>-0.22286921502607782</v>
      </c>
      <c r="CU42" s="175">
        <v>89760</v>
      </c>
      <c r="CV42" s="174">
        <f t="shared" si="307"/>
        <v>2.5549814880546931E-2</v>
      </c>
      <c r="CW42" s="174">
        <f t="shared" si="248"/>
        <v>-0.24007551834198293</v>
      </c>
      <c r="CX42" s="175">
        <v>72604</v>
      </c>
      <c r="CY42" s="174">
        <f t="shared" si="249"/>
        <v>1.8081224392338942E-2</v>
      </c>
      <c r="CZ42" s="174">
        <f t="shared" si="250"/>
        <v>-0.16755715563301155</v>
      </c>
      <c r="DA42" s="175">
        <v>254899</v>
      </c>
      <c r="DB42" s="174">
        <f t="shared" si="251"/>
        <v>5.6449484046591274E-2</v>
      </c>
      <c r="DC42" s="174">
        <f t="shared" si="252"/>
        <v>4.4287124778257025E-2</v>
      </c>
      <c r="DD42" s="175">
        <v>81738</v>
      </c>
      <c r="DE42" s="174">
        <f t="shared" si="253"/>
        <v>2.3450686223345854E-2</v>
      </c>
      <c r="DF42" s="174">
        <f t="shared" si="254"/>
        <v>0.38877939377463644</v>
      </c>
      <c r="DG42" s="175">
        <v>110405</v>
      </c>
      <c r="DH42" s="174">
        <f t="shared" si="187"/>
        <v>2.5063575511271516E-2</v>
      </c>
      <c r="DI42" s="174">
        <f t="shared" si="78"/>
        <v>0.23000222816399285</v>
      </c>
      <c r="DJ42" s="175">
        <v>81592</v>
      </c>
      <c r="DK42" s="174">
        <f t="shared" si="308"/>
        <v>1.8094774909755657E-2</v>
      </c>
      <c r="DL42" s="174">
        <f t="shared" si="255"/>
        <v>0.12379483224064791</v>
      </c>
      <c r="DM42" s="175">
        <v>303230</v>
      </c>
      <c r="DN42" s="174">
        <f t="shared" si="80"/>
        <v>5.7010082023281367E-2</v>
      </c>
      <c r="DO42" s="174">
        <f t="shared" si="256"/>
        <v>0.18960843314410813</v>
      </c>
      <c r="DP42" s="175">
        <v>96546</v>
      </c>
      <c r="DQ42" s="174">
        <f t="shared" si="343"/>
        <v>1.9020413068382744E-2</v>
      </c>
      <c r="DR42" s="174">
        <f t="shared" si="257"/>
        <v>0.18116420759010499</v>
      </c>
      <c r="DS42" s="175">
        <v>148815</v>
      </c>
      <c r="DT42" s="174">
        <f t="shared" si="81"/>
        <v>2.8444794276750274E-2</v>
      </c>
      <c r="DU42" s="174">
        <f t="shared" si="286"/>
        <v>0.34790091028486025</v>
      </c>
      <c r="DV42" s="175">
        <v>97647</v>
      </c>
      <c r="DW42" s="174">
        <f t="shared" si="309"/>
        <v>1.8449216805268343E-2</v>
      </c>
      <c r="DX42" s="174">
        <f t="shared" si="258"/>
        <v>0.19677174232767913</v>
      </c>
      <c r="DY42" s="175">
        <v>342976</v>
      </c>
      <c r="DZ42" s="174">
        <f t="shared" si="310"/>
        <v>5.8491206689815799E-2</v>
      </c>
      <c r="EA42" s="174">
        <f t="shared" si="259"/>
        <v>0.13107542129736505</v>
      </c>
      <c r="EB42" s="175">
        <v>100600</v>
      </c>
      <c r="EC42" s="174">
        <f t="shared" si="84"/>
        <v>1.805700845269028E-2</v>
      </c>
      <c r="ED42" s="174">
        <f t="shared" si="260"/>
        <v>4.1990346570546677E-2</v>
      </c>
      <c r="EE42" s="175">
        <v>173011</v>
      </c>
      <c r="EF42" s="174">
        <f t="shared" si="311"/>
        <v>2.9764723956619211E-2</v>
      </c>
      <c r="EG42" s="174">
        <f t="shared" si="312"/>
        <v>0.16259113664617142</v>
      </c>
      <c r="EH42" s="175">
        <v>100223</v>
      </c>
      <c r="EI42" s="174">
        <f t="shared" si="313"/>
        <v>1.7662519570585577E-2</v>
      </c>
      <c r="EJ42" s="174">
        <f t="shared" si="314"/>
        <v>2.6380738783577495E-2</v>
      </c>
      <c r="EK42" s="175">
        <v>404760</v>
      </c>
      <c r="EL42" s="174">
        <f t="shared" si="261"/>
        <v>6.2509150279558418E-2</v>
      </c>
      <c r="EM42" s="174">
        <f t="shared" si="325"/>
        <v>0.18014088449337562</v>
      </c>
      <c r="EN42" s="175">
        <v>107755</v>
      </c>
      <c r="EO42" s="174">
        <f t="shared" si="287"/>
        <v>1.7235488711798572E-2</v>
      </c>
      <c r="EP42" s="174">
        <f t="shared" si="326"/>
        <v>7.1123260437375713E-2</v>
      </c>
      <c r="EQ42" s="175">
        <v>204325</v>
      </c>
      <c r="ER42" s="174">
        <f t="shared" si="263"/>
        <v>3.0974698298934605E-2</v>
      </c>
      <c r="ES42" s="174">
        <f t="shared" si="327"/>
        <v>0.180994272040506</v>
      </c>
      <c r="ET42" s="175">
        <v>174273</v>
      </c>
      <c r="EU42" s="174">
        <f t="shared" si="264"/>
        <v>2.6866754016415771E-2</v>
      </c>
      <c r="EV42" s="174">
        <f t="shared" si="328"/>
        <v>0.73885235923889736</v>
      </c>
      <c r="EW42" s="175">
        <v>470989</v>
      </c>
      <c r="EX42" s="174">
        <f t="shared" si="265"/>
        <v>6.2402006026240193E-2</v>
      </c>
      <c r="EY42" s="174">
        <f t="shared" si="329"/>
        <v>0.16362535823697999</v>
      </c>
      <c r="EZ42" s="175">
        <v>146026</v>
      </c>
      <c r="FA42" s="174">
        <f t="shared" si="330"/>
        <v>2.0781427557955274E-2</v>
      </c>
      <c r="FB42" s="174">
        <f t="shared" si="331"/>
        <v>0.35516681360493707</v>
      </c>
      <c r="FC42" s="175">
        <v>234155</v>
      </c>
      <c r="FD42" s="174">
        <f t="shared" si="332"/>
        <v>3.2052725504896643E-2</v>
      </c>
      <c r="FE42" s="174">
        <f t="shared" si="333"/>
        <v>0.14599290346262084</v>
      </c>
      <c r="FF42" s="175">
        <v>221185</v>
      </c>
      <c r="FG42" s="174">
        <f t="shared" si="88"/>
        <v>2.9306693350109419E-2</v>
      </c>
      <c r="FH42" s="174">
        <f t="shared" si="89"/>
        <v>0.2691868505161441</v>
      </c>
      <c r="FI42" s="175">
        <v>550016</v>
      </c>
      <c r="FJ42" s="174">
        <f t="shared" si="268"/>
        <v>6.2352681903556133E-2</v>
      </c>
      <c r="FK42" s="174">
        <f t="shared" si="334"/>
        <v>0.16778948128300231</v>
      </c>
      <c r="FL42" s="175">
        <v>150780</v>
      </c>
      <c r="FM42" s="174">
        <f t="shared" si="270"/>
        <v>1.4983435046391708E-2</v>
      </c>
      <c r="FN42" s="174">
        <f t="shared" si="335"/>
        <v>3.2555846219166407E-2</v>
      </c>
      <c r="FO42" s="175">
        <v>297839</v>
      </c>
      <c r="FP42" s="174">
        <f t="shared" si="272"/>
        <v>3.0012269360014221E-2</v>
      </c>
      <c r="FQ42" s="174">
        <f t="shared" si="336"/>
        <v>0.27197369263949089</v>
      </c>
      <c r="FR42" s="175">
        <v>248753</v>
      </c>
      <c r="FS42" s="174">
        <f t="shared" si="274"/>
        <v>2.4382036766981897E-2</v>
      </c>
      <c r="FT42" s="174">
        <f t="shared" si="337"/>
        <v>0.12463774668264116</v>
      </c>
      <c r="FU42" s="175">
        <v>636723</v>
      </c>
      <c r="FV42" s="174">
        <f t="shared" si="316"/>
        <v>5.511368485597818E-2</v>
      </c>
      <c r="FW42" s="174">
        <f t="shared" si="338"/>
        <v>0.15764450488713067</v>
      </c>
      <c r="FX42" s="175">
        <v>79185</v>
      </c>
      <c r="FY42" s="174">
        <f t="shared" si="317"/>
        <v>6.8829833719256158E-3</v>
      </c>
      <c r="FZ42" s="174">
        <f t="shared" si="339"/>
        <v>-0.47483087942697966</v>
      </c>
      <c r="GA42" s="175">
        <v>145368</v>
      </c>
      <c r="GB42" s="174">
        <f t="shared" si="318"/>
        <v>1.1332023341623226E-2</v>
      </c>
      <c r="GC42" s="174">
        <f t="shared" si="340"/>
        <v>-0.51192422751889444</v>
      </c>
      <c r="GD42" s="175">
        <v>115071</v>
      </c>
      <c r="GE42" s="174">
        <f t="shared" si="319"/>
        <v>8.8638270109050246E-3</v>
      </c>
      <c r="GF42" s="174">
        <f t="shared" si="341"/>
        <v>-0.53740859406720731</v>
      </c>
      <c r="GG42" s="175">
        <v>402930</v>
      </c>
      <c r="GH42" s="174">
        <f t="shared" si="320"/>
        <v>2.7517685916480718E-2</v>
      </c>
      <c r="GI42" s="174">
        <f t="shared" si="342"/>
        <v>-0.3671816472783298</v>
      </c>
    </row>
    <row r="43" spans="2:191" s="171" customFormat="1" ht="16.5" customHeight="1">
      <c r="B43" s="172" t="s">
        <v>46</v>
      </c>
      <c r="C43" s="173" t="s">
        <v>47</v>
      </c>
      <c r="D43" s="10">
        <v>18539</v>
      </c>
      <c r="E43" s="174">
        <f t="shared" si="209"/>
        <v>2.7567860148761461E-2</v>
      </c>
      <c r="F43" s="10">
        <v>23334</v>
      </c>
      <c r="G43" s="174">
        <f t="shared" si="210"/>
        <v>3.3197984275986879E-2</v>
      </c>
      <c r="H43" s="10">
        <v>23963</v>
      </c>
      <c r="I43" s="174">
        <f t="shared" si="211"/>
        <v>2.7422420629698335E-2</v>
      </c>
      <c r="J43" s="10">
        <v>36396</v>
      </c>
      <c r="K43" s="174">
        <f t="shared" si="212"/>
        <v>3.4101513748917817E-2</v>
      </c>
      <c r="L43" s="12">
        <v>29918</v>
      </c>
      <c r="M43" s="174">
        <f t="shared" si="213"/>
        <v>3.240477482483247E-2</v>
      </c>
      <c r="N43" s="174">
        <f>(L43/D43)-1</f>
        <v>0.61378715141053997</v>
      </c>
      <c r="O43" s="12">
        <v>27979</v>
      </c>
      <c r="P43" s="174">
        <f t="shared" si="215"/>
        <v>2.6421754625861004E-2</v>
      </c>
      <c r="Q43" s="174">
        <f t="shared" si="344"/>
        <v>0.19906574097882923</v>
      </c>
      <c r="R43" s="175">
        <v>30779</v>
      </c>
      <c r="S43" s="174">
        <f t="shared" si="217"/>
        <v>2.7616472082949012E-2</v>
      </c>
      <c r="T43" s="174">
        <f t="shared" si="345"/>
        <v>0.28443850936860993</v>
      </c>
      <c r="U43" s="175">
        <v>48332</v>
      </c>
      <c r="V43" s="174">
        <f t="shared" si="219"/>
        <v>3.3890508666158996E-2</v>
      </c>
      <c r="W43" s="174">
        <f t="shared" si="346"/>
        <v>0.32794812616771063</v>
      </c>
      <c r="X43" s="175">
        <v>42731</v>
      </c>
      <c r="Y43" s="174">
        <f t="shared" si="221"/>
        <v>3.371550711338734E-2</v>
      </c>
      <c r="Z43" s="174">
        <f t="shared" si="347"/>
        <v>0.42827060632395209</v>
      </c>
      <c r="AA43" s="175">
        <v>38859</v>
      </c>
      <c r="AB43" s="174">
        <f t="shared" si="223"/>
        <v>2.94412459286164E-2</v>
      </c>
      <c r="AC43" s="174">
        <f t="shared" si="348"/>
        <v>0.38886307587833735</v>
      </c>
      <c r="AD43" s="175">
        <v>44848</v>
      </c>
      <c r="AE43" s="174">
        <f t="shared" si="225"/>
        <v>3.3062311044336434E-2</v>
      </c>
      <c r="AF43" s="174">
        <f t="shared" si="349"/>
        <v>0.45709737158452191</v>
      </c>
      <c r="AG43" s="175">
        <v>52607</v>
      </c>
      <c r="AH43" s="174">
        <f t="shared" si="227"/>
        <v>3.2708554573738648E-2</v>
      </c>
      <c r="AI43" s="174">
        <f t="shared" si="350"/>
        <v>8.8450715881817521E-2</v>
      </c>
      <c r="AJ43" s="175">
        <v>50005</v>
      </c>
      <c r="AK43" s="174">
        <f t="shared" si="229"/>
        <v>3.4296605798564625E-2</v>
      </c>
      <c r="AL43" s="174">
        <f t="shared" si="288"/>
        <v>0.17022770354075489</v>
      </c>
      <c r="AM43" s="175">
        <v>43600</v>
      </c>
      <c r="AN43" s="174">
        <f t="shared" si="230"/>
        <v>2.8952247385001142E-2</v>
      </c>
      <c r="AO43" s="174">
        <f t="shared" si="289"/>
        <v>0.12200519828096446</v>
      </c>
      <c r="AP43" s="175">
        <v>48499</v>
      </c>
      <c r="AQ43" s="174">
        <f t="shared" si="231"/>
        <v>3.3792408605327187E-2</v>
      </c>
      <c r="AR43" s="174">
        <f t="shared" si="290"/>
        <v>8.1408312522297521E-2</v>
      </c>
      <c r="AS43" s="175">
        <v>42363</v>
      </c>
      <c r="AT43" s="174">
        <f t="shared" si="232"/>
        <v>2.6047818588192617E-2</v>
      </c>
      <c r="AU43" s="13">
        <f t="shared" si="291"/>
        <v>-0.19472693747980307</v>
      </c>
      <c r="AV43" s="175">
        <v>40848</v>
      </c>
      <c r="AW43" s="174">
        <f t="shared" si="233"/>
        <v>2.8128628150939344E-2</v>
      </c>
      <c r="AX43" s="174">
        <f t="shared" si="292"/>
        <v>-0.18312168783121685</v>
      </c>
      <c r="AY43" s="175">
        <v>47746</v>
      </c>
      <c r="AZ43" s="174">
        <f t="shared" si="234"/>
        <v>3.0098118631193087E-2</v>
      </c>
      <c r="BA43" s="174">
        <f t="shared" si="293"/>
        <v>9.5091743119266159E-2</v>
      </c>
      <c r="BB43" s="175">
        <v>53195</v>
      </c>
      <c r="BC43" s="174">
        <f t="shared" si="235"/>
        <v>3.2639174372158374E-2</v>
      </c>
      <c r="BD43" s="174">
        <f t="shared" si="294"/>
        <v>9.6826738695643177E-2</v>
      </c>
      <c r="BE43" s="175">
        <v>60196</v>
      </c>
      <c r="BF43" s="174">
        <f t="shared" si="236"/>
        <v>3.1332549447037443E-2</v>
      </c>
      <c r="BG43" s="174">
        <f t="shared" si="237"/>
        <v>0.42095696716474285</v>
      </c>
      <c r="BH43" s="175">
        <v>62816</v>
      </c>
      <c r="BI43" s="174">
        <f t="shared" si="295"/>
        <v>3.4285177839077551E-2</v>
      </c>
      <c r="BJ43" s="174">
        <f t="shared" si="296"/>
        <v>0.53779866823345079</v>
      </c>
      <c r="BK43" s="175">
        <v>56267</v>
      </c>
      <c r="BL43" s="174">
        <f t="shared" si="297"/>
        <v>3.0059084984080175E-2</v>
      </c>
      <c r="BM43" s="174">
        <f t="shared" si="298"/>
        <v>0.17846521174548657</v>
      </c>
      <c r="BN43" s="175">
        <v>68401</v>
      </c>
      <c r="BO43" s="174">
        <f t="shared" si="238"/>
        <v>3.589544711743832E-2</v>
      </c>
      <c r="BP43" s="174">
        <f t="shared" si="239"/>
        <v>0.28585393364037981</v>
      </c>
      <c r="BQ43" s="175">
        <v>72108</v>
      </c>
      <c r="BR43" s="174">
        <f t="shared" si="240"/>
        <v>2.9359755538952328E-2</v>
      </c>
      <c r="BS43" s="174">
        <f t="shared" si="241"/>
        <v>0.19788690278423826</v>
      </c>
      <c r="BT43" s="175">
        <v>74530</v>
      </c>
      <c r="BU43" s="174">
        <f t="shared" si="242"/>
        <v>3.3692286758293895E-2</v>
      </c>
      <c r="BV43" s="174">
        <f t="shared" si="243"/>
        <v>0.18648115129903209</v>
      </c>
      <c r="BW43" s="176">
        <v>65042</v>
      </c>
      <c r="BX43" s="174">
        <f t="shared" si="244"/>
        <v>2.9181118817429349E-2</v>
      </c>
      <c r="BY43" s="174">
        <f t="shared" si="245"/>
        <v>0.1559528675777988</v>
      </c>
      <c r="BZ43" s="175">
        <v>72701</v>
      </c>
      <c r="CA43" s="174">
        <f t="shared" si="299"/>
        <v>2.731547093929361E-2</v>
      </c>
      <c r="CB43" s="174">
        <f t="shared" si="246"/>
        <v>6.2864578003245519E-2</v>
      </c>
      <c r="CC43" s="175">
        <v>67001</v>
      </c>
      <c r="CD43" s="174">
        <f t="shared" si="300"/>
        <v>2.2457151054598886E-2</v>
      </c>
      <c r="CE43" s="174">
        <f t="shared" si="321"/>
        <v>-7.082431907694009E-2</v>
      </c>
      <c r="CF43" s="175">
        <v>70384</v>
      </c>
      <c r="CG43" s="174">
        <f t="shared" si="301"/>
        <v>2.4614033118296266E-2</v>
      </c>
      <c r="CH43" s="174">
        <f t="shared" si="322"/>
        <v>-5.5628605930497788E-2</v>
      </c>
      <c r="CI43" s="175">
        <v>84392</v>
      </c>
      <c r="CJ43" s="174">
        <f t="shared" si="302"/>
        <v>2.9003388288050193E-2</v>
      </c>
      <c r="CK43" s="174">
        <f t="shared" si="323"/>
        <v>0.29750007687340485</v>
      </c>
      <c r="CL43" s="175">
        <v>98726</v>
      </c>
      <c r="CM43" s="174">
        <f t="shared" si="303"/>
        <v>2.9717278590080293E-2</v>
      </c>
      <c r="CN43" s="174">
        <f t="shared" si="324"/>
        <v>0.35797306777073223</v>
      </c>
      <c r="CO43" s="175">
        <v>103317</v>
      </c>
      <c r="CP43" s="174">
        <f t="shared" si="304"/>
        <v>2.7404836250553045E-2</v>
      </c>
      <c r="CQ43" s="174">
        <f t="shared" si="305"/>
        <v>0.54202176086924081</v>
      </c>
      <c r="CR43" s="175">
        <v>107395</v>
      </c>
      <c r="CS43" s="174">
        <f t="shared" si="306"/>
        <v>3.0811696480905183E-2</v>
      </c>
      <c r="CT43" s="174">
        <f t="shared" si="247"/>
        <v>0.52584394180495564</v>
      </c>
      <c r="CU43" s="175">
        <v>95908</v>
      </c>
      <c r="CV43" s="174">
        <f t="shared" si="307"/>
        <v>2.7299817798167279E-2</v>
      </c>
      <c r="CW43" s="174">
        <f t="shared" si="248"/>
        <v>0.13645843207886998</v>
      </c>
      <c r="CX43" s="175">
        <v>96910</v>
      </c>
      <c r="CY43" s="174">
        <f t="shared" si="249"/>
        <v>2.413436526722449E-2</v>
      </c>
      <c r="CZ43" s="174">
        <f t="shared" si="250"/>
        <v>-1.8394343941818825E-2</v>
      </c>
      <c r="DA43" s="175">
        <v>101943</v>
      </c>
      <c r="DB43" s="174">
        <f t="shared" si="251"/>
        <v>2.2576117411844118E-2</v>
      </c>
      <c r="DC43" s="174">
        <f t="shared" si="252"/>
        <v>-1.3298876273991733E-2</v>
      </c>
      <c r="DD43" s="175">
        <v>103495</v>
      </c>
      <c r="DE43" s="174">
        <f t="shared" si="253"/>
        <v>2.9692783903266278E-2</v>
      </c>
      <c r="DF43" s="174">
        <f t="shared" si="254"/>
        <v>-3.6314539783043887E-2</v>
      </c>
      <c r="DG43" s="175">
        <v>97693</v>
      </c>
      <c r="DH43" s="174">
        <f t="shared" si="187"/>
        <v>2.2177762623274744E-2</v>
      </c>
      <c r="DI43" s="174">
        <f t="shared" si="78"/>
        <v>1.861158610334912E-2</v>
      </c>
      <c r="DJ43" s="175">
        <v>117910</v>
      </c>
      <c r="DK43" s="174">
        <f t="shared" si="308"/>
        <v>2.6149069879513796E-2</v>
      </c>
      <c r="DL43" s="174">
        <f t="shared" si="255"/>
        <v>0.21669590341554024</v>
      </c>
      <c r="DM43" s="175">
        <v>159367</v>
      </c>
      <c r="DN43" s="174">
        <f t="shared" si="80"/>
        <v>2.9962489667263403E-2</v>
      </c>
      <c r="DO43" s="174">
        <f t="shared" si="256"/>
        <v>0.56329517475451962</v>
      </c>
      <c r="DP43" s="175">
        <v>149145</v>
      </c>
      <c r="DQ43" s="174">
        <f t="shared" si="343"/>
        <v>2.9382879736953828E-2</v>
      </c>
      <c r="DR43" s="174">
        <f t="shared" si="257"/>
        <v>0.44108411034349482</v>
      </c>
      <c r="DS43" s="175">
        <v>123044</v>
      </c>
      <c r="DT43" s="174">
        <f t="shared" si="81"/>
        <v>2.3518874219591174E-2</v>
      </c>
      <c r="DU43" s="174">
        <f t="shared" si="286"/>
        <v>0.25949658624466432</v>
      </c>
      <c r="DV43" s="175">
        <v>140826</v>
      </c>
      <c r="DW43" s="174">
        <f t="shared" si="309"/>
        <v>2.6607365365231086E-2</v>
      </c>
      <c r="DX43" s="174">
        <f t="shared" si="258"/>
        <v>0.19435162412009155</v>
      </c>
      <c r="DY43" s="175">
        <v>174704</v>
      </c>
      <c r="DZ43" s="174">
        <f t="shared" si="310"/>
        <v>2.9794060731764261E-2</v>
      </c>
      <c r="EA43" s="174">
        <f t="shared" si="259"/>
        <v>9.6236987582121847E-2</v>
      </c>
      <c r="EB43" s="175">
        <v>178884</v>
      </c>
      <c r="EC43" s="174">
        <f t="shared" si="84"/>
        <v>3.2108448310646596E-2</v>
      </c>
      <c r="ED43" s="174">
        <f t="shared" si="260"/>
        <v>0.19939656039424714</v>
      </c>
      <c r="EE43" s="175">
        <v>151162</v>
      </c>
      <c r="EF43" s="174">
        <f t="shared" si="311"/>
        <v>2.6005833170899384E-2</v>
      </c>
      <c r="EG43" s="174">
        <f t="shared" si="312"/>
        <v>0.22851987906765059</v>
      </c>
      <c r="EH43" s="175">
        <v>164549</v>
      </c>
      <c r="EI43" s="174">
        <f t="shared" si="313"/>
        <v>2.899883193299229E-2</v>
      </c>
      <c r="EJ43" s="174">
        <f t="shared" si="314"/>
        <v>0.16845610895715279</v>
      </c>
      <c r="EK43" s="175">
        <v>179470</v>
      </c>
      <c r="EL43" s="174">
        <f t="shared" si="261"/>
        <v>2.7716467043858949E-2</v>
      </c>
      <c r="EM43" s="174">
        <f t="shared" si="325"/>
        <v>2.7280428610678698E-2</v>
      </c>
      <c r="EN43" s="175">
        <v>190879</v>
      </c>
      <c r="EO43" s="174">
        <f t="shared" si="287"/>
        <v>3.0531231495702284E-2</v>
      </c>
      <c r="EP43" s="174">
        <f t="shared" si="326"/>
        <v>6.705462757988423E-2</v>
      </c>
      <c r="EQ43" s="175">
        <v>186370</v>
      </c>
      <c r="ER43" s="174">
        <f t="shared" si="263"/>
        <v>2.8252805686883358E-2</v>
      </c>
      <c r="ES43" s="174">
        <f t="shared" si="327"/>
        <v>0.2329156798666332</v>
      </c>
      <c r="ET43" s="175">
        <v>217643</v>
      </c>
      <c r="EU43" s="174">
        <f t="shared" si="264"/>
        <v>3.3552879358218296E-2</v>
      </c>
      <c r="EV43" s="174">
        <f t="shared" si="328"/>
        <v>0.32266376580836109</v>
      </c>
      <c r="EW43" s="175">
        <v>233338</v>
      </c>
      <c r="EX43" s="174">
        <f t="shared" si="265"/>
        <v>3.0915285244773941E-2</v>
      </c>
      <c r="EY43" s="174">
        <f t="shared" si="329"/>
        <v>0.30015044297097004</v>
      </c>
      <c r="EZ43" s="175">
        <v>244078</v>
      </c>
      <c r="FA43" s="174">
        <f t="shared" si="330"/>
        <v>3.4735521588556882E-2</v>
      </c>
      <c r="FB43" s="174">
        <f t="shared" si="331"/>
        <v>0.27870535784449846</v>
      </c>
      <c r="FC43" s="175">
        <v>197862</v>
      </c>
      <c r="FD43" s="174">
        <f t="shared" si="332"/>
        <v>2.7084693360593881E-2</v>
      </c>
      <c r="FE43" s="174">
        <f t="shared" si="333"/>
        <v>6.166228470247348E-2</v>
      </c>
      <c r="FF43" s="175">
        <v>222826</v>
      </c>
      <c r="FG43" s="174">
        <f t="shared" si="88"/>
        <v>2.9524123482295279E-2</v>
      </c>
      <c r="FH43" s="174">
        <f t="shared" si="89"/>
        <v>2.3814227886952422E-2</v>
      </c>
      <c r="FI43" s="175">
        <v>246009</v>
      </c>
      <c r="FJ43" s="174">
        <f t="shared" si="268"/>
        <v>2.7888863092004487E-2</v>
      </c>
      <c r="FK43" s="174">
        <f t="shared" si="334"/>
        <v>5.4303199650292733E-2</v>
      </c>
      <c r="FL43" s="175">
        <v>257529</v>
      </c>
      <c r="FM43" s="174">
        <f t="shared" si="270"/>
        <v>2.5591385091273445E-2</v>
      </c>
      <c r="FN43" s="174">
        <f t="shared" si="335"/>
        <v>5.5109432230680433E-2</v>
      </c>
      <c r="FO43" s="175">
        <v>237800</v>
      </c>
      <c r="FP43" s="174">
        <f t="shared" si="272"/>
        <v>2.3962334193343992E-2</v>
      </c>
      <c r="FQ43" s="174">
        <f t="shared" si="336"/>
        <v>0.2018477524739466</v>
      </c>
      <c r="FR43" s="175">
        <v>278256</v>
      </c>
      <c r="FS43" s="174">
        <f t="shared" si="274"/>
        <v>2.7273833974397553E-2</v>
      </c>
      <c r="FT43" s="174">
        <f t="shared" si="337"/>
        <v>0.24875912146697421</v>
      </c>
      <c r="FU43" s="175">
        <v>306882</v>
      </c>
      <c r="FV43" s="174">
        <f t="shared" si="316"/>
        <v>2.6563195983139127E-2</v>
      </c>
      <c r="FW43" s="174">
        <f t="shared" si="338"/>
        <v>0.24744216674999686</v>
      </c>
      <c r="FX43" s="175">
        <v>297999</v>
      </c>
      <c r="FY43" s="174">
        <f t="shared" si="317"/>
        <v>2.5902912948796635E-2</v>
      </c>
      <c r="FZ43" s="174">
        <f t="shared" si="339"/>
        <v>0.15714735039548944</v>
      </c>
      <c r="GA43" s="175">
        <v>251612</v>
      </c>
      <c r="GB43" s="174">
        <f t="shared" si="318"/>
        <v>1.9614172699854875E-2</v>
      </c>
      <c r="GC43" s="174">
        <f t="shared" si="340"/>
        <v>5.8082422203532325E-2</v>
      </c>
      <c r="GD43" s="175">
        <v>289027</v>
      </c>
      <c r="GE43" s="174">
        <f t="shared" si="319"/>
        <v>2.2263518431931993E-2</v>
      </c>
      <c r="GF43" s="174">
        <f t="shared" si="341"/>
        <v>3.8708958656776593E-2</v>
      </c>
      <c r="GG43" s="175">
        <v>226816</v>
      </c>
      <c r="GH43" s="174">
        <f t="shared" si="320"/>
        <v>1.5490163176811086E-2</v>
      </c>
      <c r="GI43" s="174">
        <f t="shared" si="342"/>
        <v>-0.26090158432231281</v>
      </c>
    </row>
    <row r="44" spans="2:191" s="171" customFormat="1" ht="16.5" customHeight="1">
      <c r="B44" s="172" t="s">
        <v>271</v>
      </c>
      <c r="C44" s="173" t="s">
        <v>50</v>
      </c>
      <c r="D44" s="10">
        <v>0</v>
      </c>
      <c r="E44" s="174">
        <f t="shared" si="209"/>
        <v>0</v>
      </c>
      <c r="F44" s="10">
        <v>7525</v>
      </c>
      <c r="G44" s="174">
        <f t="shared" si="210"/>
        <v>1.0706044042033139E-2</v>
      </c>
      <c r="H44" s="10">
        <v>7362</v>
      </c>
      <c r="I44" s="174">
        <f t="shared" si="211"/>
        <v>8.4248157858297854E-3</v>
      </c>
      <c r="J44" s="10">
        <v>10868</v>
      </c>
      <c r="K44" s="174">
        <f t="shared" si="212"/>
        <v>1.0182856671701252E-2</v>
      </c>
      <c r="L44" s="12">
        <v>8103</v>
      </c>
      <c r="M44" s="174">
        <f t="shared" si="213"/>
        <v>8.7765188316604546E-3</v>
      </c>
      <c r="N44" s="174">
        <v>0</v>
      </c>
      <c r="O44" s="12">
        <v>8293</v>
      </c>
      <c r="P44" s="174">
        <f t="shared" si="215"/>
        <v>7.8314311130585554E-3</v>
      </c>
      <c r="Q44" s="174">
        <f t="shared" si="344"/>
        <v>0.10205980066445175</v>
      </c>
      <c r="R44" s="175">
        <v>8517</v>
      </c>
      <c r="S44" s="174">
        <f t="shared" si="217"/>
        <v>7.6418822161368706E-3</v>
      </c>
      <c r="T44" s="174">
        <f t="shared" si="345"/>
        <v>0.1568867155664222</v>
      </c>
      <c r="U44" s="175">
        <v>13154</v>
      </c>
      <c r="V44" s="174">
        <f t="shared" si="219"/>
        <v>9.223614809953146E-3</v>
      </c>
      <c r="W44" s="174">
        <f t="shared" si="346"/>
        <v>0.21034228928965781</v>
      </c>
      <c r="X44" s="175">
        <v>9575</v>
      </c>
      <c r="Y44" s="174">
        <f t="shared" si="221"/>
        <v>7.5548426344032148E-3</v>
      </c>
      <c r="Z44" s="174">
        <f t="shared" si="347"/>
        <v>0.18166111316796241</v>
      </c>
      <c r="AA44" s="175">
        <v>10757</v>
      </c>
      <c r="AB44" s="174">
        <f t="shared" si="223"/>
        <v>8.1499648074867242E-3</v>
      </c>
      <c r="AC44" s="174">
        <f t="shared" si="348"/>
        <v>0.29711805136862424</v>
      </c>
      <c r="AD44" s="175">
        <v>11437</v>
      </c>
      <c r="AE44" s="174">
        <f t="shared" si="225"/>
        <v>8.4314495944986575E-3</v>
      </c>
      <c r="AF44" s="174">
        <f t="shared" si="349"/>
        <v>0.34284372431607379</v>
      </c>
      <c r="AG44" s="175">
        <v>15792</v>
      </c>
      <c r="AH44" s="174">
        <f t="shared" si="227"/>
        <v>9.818721725787077E-3</v>
      </c>
      <c r="AI44" s="174">
        <f t="shared" si="350"/>
        <v>0.20054736201915757</v>
      </c>
      <c r="AJ44" s="175">
        <v>12586</v>
      </c>
      <c r="AK44" s="174">
        <f t="shared" si="229"/>
        <v>8.6322783837763095E-3</v>
      </c>
      <c r="AL44" s="174">
        <f t="shared" si="288"/>
        <v>0.31446475195822465</v>
      </c>
      <c r="AM44" s="175">
        <v>13915</v>
      </c>
      <c r="AN44" s="174">
        <f t="shared" si="230"/>
        <v>9.2401495954653867E-3</v>
      </c>
      <c r="AO44" s="174">
        <f t="shared" si="289"/>
        <v>0.29357627591335866</v>
      </c>
      <c r="AP44" s="175">
        <v>13694</v>
      </c>
      <c r="AQ44" s="174">
        <f t="shared" si="231"/>
        <v>9.541500720455072E-3</v>
      </c>
      <c r="AR44" s="174">
        <f t="shared" si="290"/>
        <v>0.19734196030427564</v>
      </c>
      <c r="AS44" s="175">
        <v>18172</v>
      </c>
      <c r="AT44" s="174">
        <f t="shared" si="232"/>
        <v>1.1173452290551571E-2</v>
      </c>
      <c r="AU44" s="13">
        <f t="shared" si="291"/>
        <v>0.15070921985815611</v>
      </c>
      <c r="AV44" s="175">
        <v>14954</v>
      </c>
      <c r="AW44" s="174">
        <f t="shared" si="233"/>
        <v>1.0297578960270929E-2</v>
      </c>
      <c r="AX44" s="174">
        <f t="shared" si="292"/>
        <v>0.188145558557127</v>
      </c>
      <c r="AY44" s="175">
        <v>16029</v>
      </c>
      <c r="AZ44" s="174">
        <f t="shared" si="234"/>
        <v>1.0104359392187703E-2</v>
      </c>
      <c r="BA44" s="174">
        <f t="shared" si="293"/>
        <v>0.15192238591448071</v>
      </c>
      <c r="BB44" s="175">
        <v>15658</v>
      </c>
      <c r="BC44" s="174">
        <f t="shared" si="235"/>
        <v>9.6073727290018965E-3</v>
      </c>
      <c r="BD44" s="174">
        <f t="shared" si="294"/>
        <v>0.14342047612092879</v>
      </c>
      <c r="BE44" s="175">
        <v>16842</v>
      </c>
      <c r="BF44" s="174">
        <f t="shared" si="236"/>
        <v>8.7664096914579822E-3</v>
      </c>
      <c r="BG44" s="174">
        <f t="shared" si="237"/>
        <v>-7.3189522342064661E-2</v>
      </c>
      <c r="BH44" s="175">
        <v>14639</v>
      </c>
      <c r="BI44" s="174">
        <f t="shared" si="295"/>
        <v>7.9900139834796265E-3</v>
      </c>
      <c r="BJ44" s="174">
        <f t="shared" si="296"/>
        <v>-2.1064598100842602E-2</v>
      </c>
      <c r="BK44" s="175">
        <v>15580</v>
      </c>
      <c r="BL44" s="174">
        <f t="shared" si="297"/>
        <v>8.32318311002842E-3</v>
      </c>
      <c r="BM44" s="174">
        <f t="shared" si="298"/>
        <v>-2.8011728741655695E-2</v>
      </c>
      <c r="BN44" s="175">
        <v>15178</v>
      </c>
      <c r="BO44" s="174">
        <f t="shared" si="238"/>
        <v>7.965104257956445E-3</v>
      </c>
      <c r="BP44" s="174">
        <f t="shared" si="239"/>
        <v>-3.0655256099118677E-2</v>
      </c>
      <c r="BQ44" s="175">
        <v>20809</v>
      </c>
      <c r="BR44" s="174">
        <f t="shared" si="240"/>
        <v>8.4726681229552753E-3</v>
      </c>
      <c r="BS44" s="174">
        <f t="shared" si="241"/>
        <v>0.23554209713810703</v>
      </c>
      <c r="BT44" s="175">
        <v>16591</v>
      </c>
      <c r="BU44" s="174">
        <f t="shared" si="242"/>
        <v>7.5001842158440093E-3</v>
      </c>
      <c r="BV44" s="174">
        <f t="shared" si="243"/>
        <v>0.13334244142359442</v>
      </c>
      <c r="BW44" s="176">
        <v>20441</v>
      </c>
      <c r="BX44" s="174">
        <f t="shared" si="244"/>
        <v>9.1708626694608619E-3</v>
      </c>
      <c r="BY44" s="174">
        <f t="shared" si="245"/>
        <v>0.31200256739409493</v>
      </c>
      <c r="BZ44" s="175">
        <v>19779</v>
      </c>
      <c r="CA44" s="174">
        <f t="shared" si="299"/>
        <v>7.4314342266033244E-3</v>
      </c>
      <c r="CB44" s="174">
        <f t="shared" si="246"/>
        <v>0.30313611806562135</v>
      </c>
      <c r="CC44" s="175">
        <v>24961</v>
      </c>
      <c r="CD44" s="174">
        <f t="shared" si="300"/>
        <v>8.3663370318927E-3</v>
      </c>
      <c r="CE44" s="174">
        <f t="shared" si="321"/>
        <v>0.19952904993031861</v>
      </c>
      <c r="CF44" s="175">
        <v>21723</v>
      </c>
      <c r="CG44" s="174">
        <f t="shared" si="301"/>
        <v>7.5967640575805547E-3</v>
      </c>
      <c r="CH44" s="174">
        <f t="shared" si="322"/>
        <v>0.30932433246941105</v>
      </c>
      <c r="CI44" s="175">
        <v>21938</v>
      </c>
      <c r="CJ44" s="174">
        <f t="shared" si="302"/>
        <v>7.5395337503939373E-3</v>
      </c>
      <c r="CK44" s="174">
        <f t="shared" si="323"/>
        <v>7.3235164620126136E-2</v>
      </c>
      <c r="CL44" s="175">
        <v>23502</v>
      </c>
      <c r="CM44" s="174">
        <f t="shared" si="303"/>
        <v>7.0742811561702798E-3</v>
      </c>
      <c r="CN44" s="174">
        <f t="shared" si="324"/>
        <v>0.18822994084635214</v>
      </c>
      <c r="CO44" s="175">
        <v>31671</v>
      </c>
      <c r="CP44" s="174">
        <f t="shared" si="304"/>
        <v>8.4007333632535354E-3</v>
      </c>
      <c r="CQ44" s="174">
        <f t="shared" si="305"/>
        <v>0.2688193581987901</v>
      </c>
      <c r="CR44" s="175">
        <v>24505</v>
      </c>
      <c r="CS44" s="174">
        <f t="shared" si="306"/>
        <v>7.0305006961644536E-3</v>
      </c>
      <c r="CT44" s="174">
        <f t="shared" si="247"/>
        <v>0.12806702573309403</v>
      </c>
      <c r="CU44" s="175">
        <v>24787</v>
      </c>
      <c r="CV44" s="174">
        <f t="shared" si="307"/>
        <v>7.0555176185841881E-3</v>
      </c>
      <c r="CW44" s="174">
        <f t="shared" si="248"/>
        <v>0.12986598596043386</v>
      </c>
      <c r="CX44" s="175">
        <v>25808</v>
      </c>
      <c r="CY44" s="174">
        <f t="shared" si="249"/>
        <v>6.4271973874371032E-3</v>
      </c>
      <c r="CZ44" s="174">
        <f t="shared" si="250"/>
        <v>9.8119308994979226E-2</v>
      </c>
      <c r="DA44" s="175">
        <v>34672</v>
      </c>
      <c r="DB44" s="174">
        <f t="shared" si="251"/>
        <v>7.6784001148039521E-3</v>
      </c>
      <c r="DC44" s="174">
        <f t="shared" si="252"/>
        <v>9.4755454516750381E-2</v>
      </c>
      <c r="DD44" s="175">
        <v>27182</v>
      </c>
      <c r="DE44" s="174">
        <f t="shared" si="253"/>
        <v>7.7985337654822356E-3</v>
      </c>
      <c r="DF44" s="174">
        <f t="shared" si="254"/>
        <v>0.10924301163027961</v>
      </c>
      <c r="DG44" s="175">
        <v>30047</v>
      </c>
      <c r="DH44" s="174">
        <f t="shared" si="187"/>
        <v>6.8211154692919274E-3</v>
      </c>
      <c r="DI44" s="174">
        <f t="shared" si="78"/>
        <v>0.2122080122644936</v>
      </c>
      <c r="DJ44" s="175">
        <v>30144</v>
      </c>
      <c r="DK44" s="174">
        <f t="shared" si="308"/>
        <v>6.6850781311853435E-3</v>
      </c>
      <c r="DL44" s="174">
        <f t="shared" si="255"/>
        <v>0.16800991940483567</v>
      </c>
      <c r="DM44" s="175">
        <v>41266</v>
      </c>
      <c r="DN44" s="174">
        <f t="shared" si="80"/>
        <v>7.7583947655994754E-3</v>
      </c>
      <c r="DO44" s="174">
        <f t="shared" si="256"/>
        <v>0.19018227964928469</v>
      </c>
      <c r="DP44" s="175">
        <v>33305</v>
      </c>
      <c r="DQ44" s="174">
        <f t="shared" si="343"/>
        <v>6.5613785888849595E-3</v>
      </c>
      <c r="DR44" s="174">
        <f t="shared" si="257"/>
        <v>0.22525936281362657</v>
      </c>
      <c r="DS44" s="175">
        <v>38457</v>
      </c>
      <c r="DT44" s="174">
        <f t="shared" si="81"/>
        <v>7.3507472600274522E-3</v>
      </c>
      <c r="DU44" s="174">
        <f t="shared" si="286"/>
        <v>0.27989483143075855</v>
      </c>
      <c r="DV44" s="175">
        <v>33048</v>
      </c>
      <c r="DW44" s="174">
        <f t="shared" si="309"/>
        <v>6.2440189353539606E-3</v>
      </c>
      <c r="DX44" s="174">
        <f t="shared" si="258"/>
        <v>9.633757961783429E-2</v>
      </c>
      <c r="DY44" s="175">
        <v>51152</v>
      </c>
      <c r="DZ44" s="174">
        <f t="shared" si="310"/>
        <v>8.7234739591034293E-3</v>
      </c>
      <c r="EA44" s="174">
        <f t="shared" si="259"/>
        <v>0.23956768283817187</v>
      </c>
      <c r="EB44" s="175">
        <v>43039</v>
      </c>
      <c r="EC44" s="174">
        <f t="shared" si="84"/>
        <v>7.7252046401126932E-3</v>
      </c>
      <c r="ED44" s="174">
        <f t="shared" si="260"/>
        <v>0.29226842816393939</v>
      </c>
      <c r="EE44" s="175">
        <v>41405</v>
      </c>
      <c r="EF44" s="174">
        <f t="shared" si="311"/>
        <v>7.1232950241534839E-3</v>
      </c>
      <c r="EG44" s="174">
        <f t="shared" si="312"/>
        <v>7.6657045531372647E-2</v>
      </c>
      <c r="EH44" s="175">
        <v>42963</v>
      </c>
      <c r="EI44" s="174">
        <f t="shared" si="313"/>
        <v>7.5714639185722656E-3</v>
      </c>
      <c r="EJ44" s="174">
        <f t="shared" si="314"/>
        <v>0.30001815541031229</v>
      </c>
      <c r="EK44" s="175">
        <v>55608</v>
      </c>
      <c r="EL44" s="174">
        <f t="shared" si="261"/>
        <v>8.5878269313807796E-3</v>
      </c>
      <c r="EM44" s="174">
        <f t="shared" si="325"/>
        <v>8.7112918360963354E-2</v>
      </c>
      <c r="EN44" s="175">
        <v>46605</v>
      </c>
      <c r="EO44" s="174">
        <f t="shared" si="287"/>
        <v>7.4545028204108625E-3</v>
      </c>
      <c r="EP44" s="174">
        <f t="shared" si="326"/>
        <v>8.2855084922976774E-2</v>
      </c>
      <c r="EQ44" s="175">
        <v>48675</v>
      </c>
      <c r="ER44" s="174">
        <f t="shared" si="263"/>
        <v>7.37889851805037E-3</v>
      </c>
      <c r="ES44" s="174">
        <f t="shared" si="327"/>
        <v>0.17558265909914272</v>
      </c>
      <c r="ET44" s="175">
        <v>47610</v>
      </c>
      <c r="EU44" s="174">
        <f t="shared" si="264"/>
        <v>7.3397838949324041E-3</v>
      </c>
      <c r="EV44" s="174">
        <f t="shared" si="328"/>
        <v>0.10816283779065716</v>
      </c>
      <c r="EW44" s="175">
        <v>59393</v>
      </c>
      <c r="EX44" s="174">
        <f t="shared" si="265"/>
        <v>7.8690634896281739E-3</v>
      </c>
      <c r="EY44" s="174">
        <f t="shared" si="329"/>
        <v>6.8065745935836475E-2</v>
      </c>
      <c r="EZ44" s="175">
        <v>48496</v>
      </c>
      <c r="FA44" s="174">
        <f t="shared" si="330"/>
        <v>6.9016210185213513E-3</v>
      </c>
      <c r="FB44" s="174">
        <f t="shared" si="331"/>
        <v>4.0575045595966142E-2</v>
      </c>
      <c r="FC44" s="175">
        <v>48869</v>
      </c>
      <c r="FD44" s="174">
        <f t="shared" si="332"/>
        <v>6.6895203719706782E-3</v>
      </c>
      <c r="FE44" s="174">
        <f t="shared" si="333"/>
        <v>3.9856189008731224E-3</v>
      </c>
      <c r="FF44" s="175">
        <v>49899</v>
      </c>
      <c r="FG44" s="174">
        <f t="shared" si="88"/>
        <v>6.611545500269502E-3</v>
      </c>
      <c r="FH44" s="174">
        <f t="shared" si="89"/>
        <v>4.8078134845620735E-2</v>
      </c>
      <c r="FI44" s="175"/>
      <c r="FJ44" s="174">
        <f t="shared" si="268"/>
        <v>0</v>
      </c>
      <c r="FK44" s="174">
        <f t="shared" si="334"/>
        <v>-1</v>
      </c>
      <c r="FL44" s="175"/>
      <c r="FM44" s="174">
        <f t="shared" si="270"/>
        <v>0</v>
      </c>
      <c r="FN44" s="174">
        <f t="shared" si="335"/>
        <v>-1</v>
      </c>
      <c r="FO44" s="175"/>
      <c r="FP44" s="174">
        <f t="shared" si="272"/>
        <v>0</v>
      </c>
      <c r="FQ44" s="174">
        <f t="shared" si="336"/>
        <v>-1</v>
      </c>
      <c r="FR44" s="175"/>
      <c r="FS44" s="174">
        <f t="shared" si="274"/>
        <v>0</v>
      </c>
      <c r="FT44" s="174">
        <f t="shared" si="337"/>
        <v>-1</v>
      </c>
      <c r="FU44" s="175">
        <v>0</v>
      </c>
      <c r="FV44" s="174">
        <f t="shared" si="316"/>
        <v>0</v>
      </c>
      <c r="FW44" s="174" t="e">
        <f t="shared" si="338"/>
        <v>#DIV/0!</v>
      </c>
      <c r="FX44" s="175"/>
      <c r="FY44" s="174">
        <f t="shared" si="317"/>
        <v>0</v>
      </c>
      <c r="FZ44" s="174" t="e">
        <f t="shared" si="339"/>
        <v>#DIV/0!</v>
      </c>
      <c r="GA44" s="175">
        <v>0</v>
      </c>
      <c r="GB44" s="174">
        <f t="shared" si="318"/>
        <v>0</v>
      </c>
      <c r="GC44" s="174" t="e">
        <f t="shared" si="340"/>
        <v>#DIV/0!</v>
      </c>
      <c r="GD44" s="175">
        <v>0</v>
      </c>
      <c r="GE44" s="174">
        <f t="shared" si="319"/>
        <v>0</v>
      </c>
      <c r="GF44" s="174" t="e">
        <f t="shared" si="341"/>
        <v>#DIV/0!</v>
      </c>
      <c r="GG44" s="175">
        <v>0</v>
      </c>
      <c r="GH44" s="174">
        <f t="shared" si="320"/>
        <v>0</v>
      </c>
      <c r="GI44" s="174" t="e">
        <f t="shared" si="342"/>
        <v>#DIV/0!</v>
      </c>
    </row>
    <row r="45" spans="2:191" s="171" customFormat="1" ht="16.5" customHeight="1">
      <c r="B45" s="172" t="s">
        <v>274</v>
      </c>
      <c r="C45" s="173" t="s">
        <v>51</v>
      </c>
      <c r="D45" s="10">
        <v>18</v>
      </c>
      <c r="E45" s="174">
        <f t="shared" si="209"/>
        <v>2.6766356474335525E-5</v>
      </c>
      <c r="F45" s="10">
        <v>18</v>
      </c>
      <c r="G45" s="174">
        <f t="shared" si="210"/>
        <v>2.5609141894564317E-5</v>
      </c>
      <c r="H45" s="10">
        <v>18</v>
      </c>
      <c r="I45" s="174">
        <f t="shared" si="211"/>
        <v>2.0598571603495807E-5</v>
      </c>
      <c r="J45" s="10">
        <v>45208</v>
      </c>
      <c r="K45" s="174">
        <f t="shared" si="212"/>
        <v>4.2357985315998367E-2</v>
      </c>
      <c r="L45" s="12">
        <v>79</v>
      </c>
      <c r="M45" s="174">
        <f t="shared" si="213"/>
        <v>8.5566455350015547E-5</v>
      </c>
      <c r="N45" s="174">
        <f>(L45/D45)-1</f>
        <v>3.3888888888888893</v>
      </c>
      <c r="O45" s="12">
        <v>78</v>
      </c>
      <c r="P45" s="174">
        <f t="shared" si="215"/>
        <v>7.3658703342405318E-5</v>
      </c>
      <c r="Q45" s="174">
        <f t="shared" si="344"/>
        <v>3.333333333333333</v>
      </c>
      <c r="R45" s="175">
        <v>95</v>
      </c>
      <c r="S45" s="174">
        <f t="shared" si="217"/>
        <v>8.523879423893421E-5</v>
      </c>
      <c r="T45" s="174">
        <f t="shared" si="345"/>
        <v>4.2777777777777777</v>
      </c>
      <c r="U45" s="175">
        <v>53933</v>
      </c>
      <c r="V45" s="174">
        <f t="shared" si="219"/>
        <v>3.7817942644458188E-2</v>
      </c>
      <c r="W45" s="174">
        <f t="shared" si="346"/>
        <v>0.19299681472305785</v>
      </c>
      <c r="X45" s="175">
        <v>37817</v>
      </c>
      <c r="Y45" s="174">
        <f t="shared" si="221"/>
        <v>2.9838275081485784E-2</v>
      </c>
      <c r="Z45" s="174">
        <f t="shared" si="347"/>
        <v>477.69620253164555</v>
      </c>
      <c r="AA45" s="175">
        <v>138</v>
      </c>
      <c r="AB45" s="174">
        <f t="shared" si="223"/>
        <v>1.0455472189580441E-4</v>
      </c>
      <c r="AC45" s="174">
        <f t="shared" si="348"/>
        <v>0.76923076923076916</v>
      </c>
      <c r="AD45" s="175">
        <v>137</v>
      </c>
      <c r="AE45" s="174">
        <f t="shared" si="225"/>
        <v>1.0099751634574768E-4</v>
      </c>
      <c r="AF45" s="174">
        <f t="shared" si="349"/>
        <v>0.44210526315789478</v>
      </c>
      <c r="AG45" s="175">
        <v>117638</v>
      </c>
      <c r="AH45" s="174">
        <f t="shared" si="227"/>
        <v>7.3141767121209483E-2</v>
      </c>
      <c r="AI45" s="174">
        <f t="shared" si="350"/>
        <v>1.1811877700109394</v>
      </c>
      <c r="AJ45" s="175">
        <v>87756</v>
      </c>
      <c r="AK45" s="174">
        <f t="shared" si="229"/>
        <v>6.0188639905186227E-2</v>
      </c>
      <c r="AL45" s="174">
        <f t="shared" si="288"/>
        <v>1.3205436708358675</v>
      </c>
      <c r="AM45" s="175">
        <v>233</v>
      </c>
      <c r="AN45" s="174">
        <f t="shared" si="230"/>
        <v>1.5472187249324006E-4</v>
      </c>
      <c r="AO45" s="174">
        <f t="shared" si="289"/>
        <v>0.68840579710144922</v>
      </c>
      <c r="AP45" s="175">
        <v>226</v>
      </c>
      <c r="AQ45" s="174">
        <f t="shared" si="231"/>
        <v>1.5746890337540865E-4</v>
      </c>
      <c r="AR45" s="174">
        <f t="shared" si="290"/>
        <v>0.64963503649635035</v>
      </c>
      <c r="AS45" s="175">
        <v>43539</v>
      </c>
      <c r="AT45" s="174">
        <f t="shared" si="232"/>
        <v>2.6770907950601192E-2</v>
      </c>
      <c r="AU45" s="13">
        <f t="shared" si="291"/>
        <v>-0.62989000153011787</v>
      </c>
      <c r="AV45" s="175">
        <v>43539</v>
      </c>
      <c r="AW45" s="174">
        <f t="shared" si="233"/>
        <v>2.9981696559531631E-2</v>
      </c>
      <c r="AX45" s="174">
        <f t="shared" si="292"/>
        <v>-0.50386298372760829</v>
      </c>
      <c r="AY45" s="175">
        <v>260</v>
      </c>
      <c r="AZ45" s="174">
        <f t="shared" si="234"/>
        <v>1.6389877359590757E-4</v>
      </c>
      <c r="BA45" s="174">
        <f t="shared" si="293"/>
        <v>0.11587982832618016</v>
      </c>
      <c r="BB45" s="175">
        <v>260</v>
      </c>
      <c r="BC45" s="174">
        <f t="shared" si="235"/>
        <v>1.5952975536725591E-4</v>
      </c>
      <c r="BD45" s="174">
        <f t="shared" si="294"/>
        <v>0.15044247787610621</v>
      </c>
      <c r="BE45" s="175">
        <v>53656</v>
      </c>
      <c r="BF45" s="174">
        <f t="shared" si="236"/>
        <v>2.7928421707924801E-2</v>
      </c>
      <c r="BG45" s="174">
        <f t="shared" si="237"/>
        <v>0.2323663841613266</v>
      </c>
      <c r="BH45" s="175">
        <v>53656</v>
      </c>
      <c r="BI45" s="174">
        <f t="shared" si="295"/>
        <v>2.9285619939721487E-2</v>
      </c>
      <c r="BJ45" s="174">
        <f t="shared" si="296"/>
        <v>0.2323663841613266</v>
      </c>
      <c r="BK45" s="175">
        <v>369</v>
      </c>
      <c r="BL45" s="174">
        <f t="shared" si="297"/>
        <v>1.9712802102698891E-4</v>
      </c>
      <c r="BM45" s="174">
        <f t="shared" si="298"/>
        <v>0.4192307692307693</v>
      </c>
      <c r="BN45" s="175">
        <v>368</v>
      </c>
      <c r="BO45" s="174">
        <f t="shared" si="238"/>
        <v>1.9311888041428197E-4</v>
      </c>
      <c r="BP45" s="174">
        <f t="shared" si="239"/>
        <v>0.41538461538461546</v>
      </c>
      <c r="BQ45" s="175">
        <v>84429</v>
      </c>
      <c r="BR45" s="174">
        <f t="shared" si="240"/>
        <v>3.4376418710797774E-2</v>
      </c>
      <c r="BS45" s="174">
        <f t="shared" si="241"/>
        <v>0.57352393022215598</v>
      </c>
      <c r="BT45" s="175">
        <v>100503</v>
      </c>
      <c r="BU45" s="174">
        <f t="shared" si="242"/>
        <v>4.5433729988847593E-2</v>
      </c>
      <c r="BV45" s="174">
        <f t="shared" si="243"/>
        <v>0.87309900104368565</v>
      </c>
      <c r="BW45" s="176">
        <v>33068</v>
      </c>
      <c r="BX45" s="174">
        <f t="shared" si="244"/>
        <v>1.4835971173314992E-2</v>
      </c>
      <c r="BY45" s="174">
        <f t="shared" si="245"/>
        <v>88.615176151761517</v>
      </c>
      <c r="BZ45" s="175">
        <v>49829</v>
      </c>
      <c r="CA45" s="174">
        <f t="shared" si="299"/>
        <v>1.8721924064786746E-2</v>
      </c>
      <c r="CB45" s="174">
        <f t="shared" si="246"/>
        <v>134.40489130434781</v>
      </c>
      <c r="CC45" s="175">
        <v>88428</v>
      </c>
      <c r="CD45" s="174">
        <f t="shared" si="300"/>
        <v>2.9638974843003395E-2</v>
      </c>
      <c r="CE45" s="174">
        <f t="shared" si="321"/>
        <v>4.7365241800803037E-2</v>
      </c>
      <c r="CF45" s="175">
        <v>106050</v>
      </c>
      <c r="CG45" s="174">
        <f t="shared" si="301"/>
        <v>3.7086812516982821E-2</v>
      </c>
      <c r="CH45" s="174">
        <f t="shared" si="322"/>
        <v>5.5192382316945787E-2</v>
      </c>
      <c r="CI45" s="175">
        <v>36832</v>
      </c>
      <c r="CJ45" s="174">
        <f t="shared" si="302"/>
        <v>1.2658223497789656E-2</v>
      </c>
      <c r="CK45" s="174">
        <f t="shared" si="323"/>
        <v>0.113826055400992</v>
      </c>
      <c r="CL45" s="175">
        <v>54126</v>
      </c>
      <c r="CM45" s="174">
        <f t="shared" si="303"/>
        <v>1.6292338603475134E-2</v>
      </c>
      <c r="CN45" s="174">
        <f t="shared" si="324"/>
        <v>8.6234923438158528E-2</v>
      </c>
      <c r="CO45" s="175">
        <v>95968</v>
      </c>
      <c r="CP45" s="174">
        <f t="shared" si="304"/>
        <v>2.5455513858252513E-2</v>
      </c>
      <c r="CQ45" s="174">
        <f t="shared" si="305"/>
        <v>8.5267109965169396E-2</v>
      </c>
      <c r="CR45" s="175">
        <v>108007</v>
      </c>
      <c r="CS45" s="174">
        <f t="shared" si="306"/>
        <v>3.0987279685396212E-2</v>
      </c>
      <c r="CT45" s="174">
        <f t="shared" si="247"/>
        <v>1.8453559641678385E-2</v>
      </c>
      <c r="CU45" s="175">
        <v>25312</v>
      </c>
      <c r="CV45" s="174">
        <f t="shared" si="307"/>
        <v>7.2049567096301682E-3</v>
      </c>
      <c r="CW45" s="174">
        <f t="shared" si="248"/>
        <v>-0.31277150304083401</v>
      </c>
      <c r="CX45" s="175">
        <v>37975</v>
      </c>
      <c r="CY45" s="174">
        <f t="shared" si="249"/>
        <v>9.4572543702698391E-3</v>
      </c>
      <c r="CZ45" s="174">
        <f t="shared" si="250"/>
        <v>-0.29839633447880876</v>
      </c>
      <c r="DA45" s="175">
        <v>103093</v>
      </c>
      <c r="DB45" s="174">
        <f t="shared" si="251"/>
        <v>2.2830794388425352E-2</v>
      </c>
      <c r="DC45" s="174">
        <f t="shared" si="252"/>
        <v>7.4243497832610972E-2</v>
      </c>
      <c r="DD45" s="175">
        <v>118128</v>
      </c>
      <c r="DE45" s="174">
        <f t="shared" si="253"/>
        <v>3.3891001274699635E-2</v>
      </c>
      <c r="DF45" s="174">
        <f>(DD45/CR45)-1</f>
        <v>9.3706889368281754E-2</v>
      </c>
      <c r="DG45" s="175">
        <v>31256</v>
      </c>
      <c r="DH45" s="174">
        <f t="shared" si="187"/>
        <v>7.0955764338599021E-3</v>
      </c>
      <c r="DI45" s="174">
        <f t="shared" si="78"/>
        <v>0.2348293299620734</v>
      </c>
      <c r="DJ45" s="175">
        <v>47105</v>
      </c>
      <c r="DK45" s="174">
        <f t="shared" si="308"/>
        <v>1.0446543437151195E-2</v>
      </c>
      <c r="DL45" s="174">
        <f t="shared" si="255"/>
        <v>0.24042132982225151</v>
      </c>
      <c r="DM45" s="175">
        <v>124312</v>
      </c>
      <c r="DN45" s="174">
        <f t="shared" si="80"/>
        <v>2.3371821114263606E-2</v>
      </c>
      <c r="DO45" s="174">
        <f t="shared" si="256"/>
        <v>0.2058238677698776</v>
      </c>
      <c r="DP45" s="175">
        <v>144821</v>
      </c>
      <c r="DQ45" s="174">
        <f t="shared" si="343"/>
        <v>2.8531013620204437E-2</v>
      </c>
      <c r="DR45" s="174">
        <f t="shared" si="257"/>
        <v>0.22596674793444405</v>
      </c>
      <c r="DS45" s="175">
        <v>44434</v>
      </c>
      <c r="DT45" s="174">
        <f t="shared" si="81"/>
        <v>8.4932028954952232E-3</v>
      </c>
      <c r="DU45" s="174">
        <f t="shared" si="286"/>
        <v>0.42161504991041721</v>
      </c>
      <c r="DV45" s="175">
        <v>70238</v>
      </c>
      <c r="DW45" s="174">
        <f t="shared" si="309"/>
        <v>1.3270618554266264E-2</v>
      </c>
      <c r="DX45" s="174">
        <f t="shared" si="258"/>
        <v>0.49109436365566284</v>
      </c>
      <c r="DY45" s="175">
        <v>147858</v>
      </c>
      <c r="DZ45" s="174">
        <f t="shared" si="310"/>
        <v>2.5215737657278598E-2</v>
      </c>
      <c r="EA45" s="174">
        <f t="shared" si="259"/>
        <v>0.18941051547718635</v>
      </c>
      <c r="EB45" s="175">
        <v>182947</v>
      </c>
      <c r="EC45" s="174">
        <f t="shared" si="84"/>
        <v>3.2837728880659327E-2</v>
      </c>
      <c r="ED45" s="174">
        <f t="shared" si="260"/>
        <v>0.26326292457585576</v>
      </c>
      <c r="EE45" s="175">
        <v>71279</v>
      </c>
      <c r="EF45" s="174">
        <f t="shared" si="311"/>
        <v>1.2262802705630628E-2</v>
      </c>
      <c r="EG45" s="174">
        <f t="shared" si="312"/>
        <v>0.60415447630193087</v>
      </c>
      <c r="EH45" s="175">
        <v>110089</v>
      </c>
      <c r="EI45" s="174">
        <f t="shared" si="313"/>
        <v>1.9401226435111656E-2</v>
      </c>
      <c r="EJ45" s="174">
        <f t="shared" si="314"/>
        <v>0.56737093880805256</v>
      </c>
      <c r="EK45" s="175">
        <v>156679</v>
      </c>
      <c r="EL45" s="174">
        <f t="shared" si="261"/>
        <v>2.419673672460454E-2</v>
      </c>
      <c r="EM45" s="174">
        <f t="shared" si="325"/>
        <v>5.9658591351161139E-2</v>
      </c>
      <c r="EN45" s="175">
        <v>198022</v>
      </c>
      <c r="EO45" s="174">
        <f t="shared" si="287"/>
        <v>3.167375941429889E-2</v>
      </c>
      <c r="EP45" s="174">
        <f t="shared" si="326"/>
        <v>8.2400913925890995E-2</v>
      </c>
      <c r="EQ45" s="175">
        <v>81713</v>
      </c>
      <c r="ER45" s="174">
        <f t="shared" si="263"/>
        <v>1.2387302200420131E-2</v>
      </c>
      <c r="ES45" s="174">
        <f t="shared" si="327"/>
        <v>0.14638252500736537</v>
      </c>
      <c r="ET45" s="175">
        <v>124821</v>
      </c>
      <c r="EU45" s="174">
        <f t="shared" si="264"/>
        <v>1.9242998646279302E-2</v>
      </c>
      <c r="EV45" s="174">
        <f t="shared" si="328"/>
        <v>0.13381900099010791</v>
      </c>
      <c r="EW45" s="175">
        <v>180933</v>
      </c>
      <c r="EX45" s="174">
        <f t="shared" si="265"/>
        <v>2.3972071866531313E-2</v>
      </c>
      <c r="EY45" s="174">
        <f t="shared" si="329"/>
        <v>0.15480057952884563</v>
      </c>
      <c r="EZ45" s="175">
        <v>225954</v>
      </c>
      <c r="FA45" s="174">
        <f t="shared" si="330"/>
        <v>3.2156237125102557E-2</v>
      </c>
      <c r="FB45" s="174">
        <f t="shared" si="331"/>
        <v>0.14105503428911947</v>
      </c>
      <c r="FC45" s="175">
        <v>91388</v>
      </c>
      <c r="FD45" s="174">
        <f t="shared" si="332"/>
        <v>1.2509809649341225E-2</v>
      </c>
      <c r="FE45" s="174">
        <f t="shared" si="333"/>
        <v>0.11840221262222661</v>
      </c>
      <c r="FF45" s="175">
        <v>140850</v>
      </c>
      <c r="FG45" s="174">
        <f t="shared" si="88"/>
        <v>1.8662421766226966E-2</v>
      </c>
      <c r="FH45" s="174">
        <f t="shared" si="89"/>
        <v>0.12841589155670929</v>
      </c>
      <c r="FI45" s="175">
        <v>242995</v>
      </c>
      <c r="FJ45" s="174">
        <f t="shared" si="268"/>
        <v>2.7547180335035022E-2</v>
      </c>
      <c r="FK45" s="174">
        <f t="shared" si="334"/>
        <v>0.34301094880425342</v>
      </c>
      <c r="FL45" s="175">
        <v>301036</v>
      </c>
      <c r="FM45" s="174">
        <f t="shared" si="270"/>
        <v>2.9914798730770489E-2</v>
      </c>
      <c r="FN45" s="174">
        <f t="shared" si="335"/>
        <v>0.33228887295644238</v>
      </c>
      <c r="FO45" s="175">
        <v>112333</v>
      </c>
      <c r="FP45" s="174">
        <f t="shared" si="272"/>
        <v>1.131943182060938E-2</v>
      </c>
      <c r="FQ45" s="174">
        <f t="shared" si="336"/>
        <v>0.22918763951503474</v>
      </c>
      <c r="FR45" s="175">
        <v>167698</v>
      </c>
      <c r="FS45" s="174">
        <f t="shared" si="274"/>
        <v>1.6437264281232107E-2</v>
      </c>
      <c r="FT45" s="174">
        <f t="shared" si="337"/>
        <v>0.1906141285055023</v>
      </c>
      <c r="FU45" s="175">
        <v>243114</v>
      </c>
      <c r="FV45" s="174">
        <f t="shared" si="316"/>
        <v>2.1043543864563207E-2</v>
      </c>
      <c r="FW45" s="174">
        <f t="shared" si="338"/>
        <v>4.8972201074093391E-4</v>
      </c>
      <c r="FX45" s="175">
        <v>294646</v>
      </c>
      <c r="FY45" s="174">
        <f t="shared" si="317"/>
        <v>2.5611460738831787E-2</v>
      </c>
      <c r="FZ45" s="174">
        <f t="shared" si="339"/>
        <v>-2.1226697139212547E-2</v>
      </c>
      <c r="GA45" s="175">
        <v>101263</v>
      </c>
      <c r="GB45" s="174">
        <f t="shared" si="318"/>
        <v>7.893860269404496E-3</v>
      </c>
      <c r="GC45" s="174">
        <f t="shared" si="340"/>
        <v>-9.854628648749697E-2</v>
      </c>
      <c r="GD45" s="175">
        <v>160099</v>
      </c>
      <c r="GE45" s="174">
        <f t="shared" si="319"/>
        <v>1.2332297804128612E-2</v>
      </c>
      <c r="GF45" s="174">
        <f t="shared" si="341"/>
        <v>-4.5313599446624275E-2</v>
      </c>
      <c r="GG45" s="175">
        <v>246269</v>
      </c>
      <c r="GH45" s="174">
        <f t="shared" si="320"/>
        <v>1.6818685610318889E-2</v>
      </c>
      <c r="GI45" s="174">
        <f t="shared" si="342"/>
        <v>1.2977450907804666E-2</v>
      </c>
    </row>
    <row r="46" spans="2:191" s="171" customFormat="1" ht="16.5" customHeight="1">
      <c r="B46" s="172" t="s">
        <v>1527</v>
      </c>
      <c r="C46" s="173" t="s">
        <v>52</v>
      </c>
      <c r="D46" s="10">
        <v>5683</v>
      </c>
      <c r="E46" s="174">
        <f t="shared" si="209"/>
        <v>8.4507335468693764E-3</v>
      </c>
      <c r="F46" s="10">
        <v>6030</v>
      </c>
      <c r="G46" s="174">
        <f t="shared" si="210"/>
        <v>8.579062534679046E-3</v>
      </c>
      <c r="H46" s="10">
        <v>6241</v>
      </c>
      <c r="I46" s="174">
        <f t="shared" si="211"/>
        <v>7.1419825209676291E-3</v>
      </c>
      <c r="J46" s="10">
        <v>6458</v>
      </c>
      <c r="K46" s="174">
        <f t="shared" si="212"/>
        <v>6.0508730572181348E-3</v>
      </c>
      <c r="L46" s="12">
        <v>6803</v>
      </c>
      <c r="M46" s="174">
        <f t="shared" si="213"/>
        <v>7.368463237293111E-3</v>
      </c>
      <c r="N46" s="174">
        <f>(L46/D46)-1</f>
        <v>0.19707900756642616</v>
      </c>
      <c r="O46" s="12">
        <v>7098</v>
      </c>
      <c r="P46" s="174">
        <f t="shared" si="215"/>
        <v>6.7029420041588841E-3</v>
      </c>
      <c r="Q46" s="174">
        <f t="shared" si="344"/>
        <v>0.17711442786069642</v>
      </c>
      <c r="R46" s="175">
        <v>7390</v>
      </c>
      <c r="S46" s="174">
        <f t="shared" si="217"/>
        <v>6.6306809413234089E-3</v>
      </c>
      <c r="T46" s="174">
        <f t="shared" si="345"/>
        <v>0.1841051113603589</v>
      </c>
      <c r="U46" s="175">
        <v>7658</v>
      </c>
      <c r="V46" s="174">
        <f t="shared" si="219"/>
        <v>5.3698070712042871E-3</v>
      </c>
      <c r="W46" s="174">
        <f t="shared" si="346"/>
        <v>0.18581604211830283</v>
      </c>
      <c r="X46" s="175">
        <v>8125</v>
      </c>
      <c r="Y46" s="174">
        <f t="shared" si="221"/>
        <v>6.4107672485144776E-3</v>
      </c>
      <c r="Z46" s="174">
        <f t="shared" si="347"/>
        <v>0.19432603263266213</v>
      </c>
      <c r="AA46" s="175">
        <v>7495</v>
      </c>
      <c r="AB46" s="174">
        <f t="shared" si="223"/>
        <v>5.6785336276018407E-3</v>
      </c>
      <c r="AC46" s="174">
        <f t="shared" si="348"/>
        <v>5.5931248238940467E-2</v>
      </c>
      <c r="AD46" s="175">
        <v>8819</v>
      </c>
      <c r="AE46" s="174">
        <f t="shared" si="225"/>
        <v>6.5014386617018157E-3</v>
      </c>
      <c r="AF46" s="174">
        <f t="shared" si="349"/>
        <v>0.19336941813261155</v>
      </c>
      <c r="AG46" s="175">
        <v>10258</v>
      </c>
      <c r="AH46" s="174">
        <f t="shared" si="227"/>
        <v>6.3779412020721783E-3</v>
      </c>
      <c r="AI46" s="174">
        <f t="shared" si="350"/>
        <v>0.33951423348132681</v>
      </c>
      <c r="AJ46" s="175">
        <v>12260</v>
      </c>
      <c r="AK46" s="174">
        <f t="shared" si="229"/>
        <v>8.408686873120734E-3</v>
      </c>
      <c r="AL46" s="174">
        <f t="shared" si="288"/>
        <v>0.50892307692307703</v>
      </c>
      <c r="AM46" s="175">
        <v>13163</v>
      </c>
      <c r="AN46" s="174">
        <f t="shared" si="230"/>
        <v>8.74078973231124E-3</v>
      </c>
      <c r="AO46" s="174">
        <f t="shared" si="289"/>
        <v>0.75623749166110743</v>
      </c>
      <c r="AP46" s="175">
        <v>13074</v>
      </c>
      <c r="AQ46" s="174">
        <f t="shared" si="231"/>
        <v>9.1095063837614721E-3</v>
      </c>
      <c r="AR46" s="174">
        <f t="shared" si="290"/>
        <v>0.48248100691688389</v>
      </c>
      <c r="AS46" s="175">
        <v>13415</v>
      </c>
      <c r="AT46" s="174">
        <f t="shared" si="232"/>
        <v>8.2485066298563347E-3</v>
      </c>
      <c r="AU46" s="13">
        <f t="shared" si="291"/>
        <v>0.30775979723142921</v>
      </c>
      <c r="AV46" s="175">
        <v>13716</v>
      </c>
      <c r="AW46" s="174">
        <f t="shared" si="233"/>
        <v>9.4450710859352721E-3</v>
      </c>
      <c r="AX46" s="174">
        <f t="shared" si="292"/>
        <v>0.11876019575856445</v>
      </c>
      <c r="AY46" s="175">
        <v>14730</v>
      </c>
      <c r="AZ46" s="174">
        <f t="shared" si="234"/>
        <v>9.2854959041066103E-3</v>
      </c>
      <c r="BA46" s="174">
        <f t="shared" si="293"/>
        <v>0.11904581022563243</v>
      </c>
      <c r="BB46" s="175">
        <v>15976</v>
      </c>
      <c r="BC46" s="174">
        <f t="shared" si="235"/>
        <v>9.8024898913356938E-3</v>
      </c>
      <c r="BD46" s="174">
        <f t="shared" si="294"/>
        <v>0.22196726327061334</v>
      </c>
      <c r="BE46" s="175">
        <v>16332</v>
      </c>
      <c r="BF46" s="174">
        <f t="shared" si="236"/>
        <v>8.5009501888666291E-3</v>
      </c>
      <c r="BG46" s="174">
        <f t="shared" si="237"/>
        <v>0.21744316064107339</v>
      </c>
      <c r="BH46" s="175">
        <v>16780</v>
      </c>
      <c r="BI46" s="174">
        <f t="shared" si="295"/>
        <v>9.1585787719644877E-3</v>
      </c>
      <c r="BJ46" s="174">
        <f t="shared" si="296"/>
        <v>0.22338874307378243</v>
      </c>
      <c r="BK46" s="175">
        <v>16974</v>
      </c>
      <c r="BL46" s="174">
        <f t="shared" si="297"/>
        <v>9.0678889672414897E-3</v>
      </c>
      <c r="BM46" s="174">
        <f t="shared" si="298"/>
        <v>0.15234215885947044</v>
      </c>
      <c r="BN46" s="175">
        <v>17720</v>
      </c>
      <c r="BO46" s="174">
        <f t="shared" si="238"/>
        <v>9.2990939156007511E-3</v>
      </c>
      <c r="BP46" s="174">
        <f t="shared" si="239"/>
        <v>0.10916374561842757</v>
      </c>
      <c r="BQ46" s="175">
        <v>17581</v>
      </c>
      <c r="BR46" s="174">
        <f t="shared" si="240"/>
        <v>7.1583439026227449E-3</v>
      </c>
      <c r="BS46" s="174">
        <f t="shared" si="241"/>
        <v>7.6475630663727756E-2</v>
      </c>
      <c r="BT46" s="175">
        <v>18784</v>
      </c>
      <c r="BU46" s="174">
        <f t="shared" si="242"/>
        <v>8.491559297837013E-3</v>
      </c>
      <c r="BV46" s="174">
        <f t="shared" si="243"/>
        <v>0.1194278903456496</v>
      </c>
      <c r="BW46" s="176">
        <v>19175</v>
      </c>
      <c r="BX46" s="174">
        <f t="shared" si="244"/>
        <v>8.6028712727807839E-3</v>
      </c>
      <c r="BY46" s="174">
        <f t="shared" si="245"/>
        <v>0.12966890538470599</v>
      </c>
      <c r="BZ46" s="175">
        <v>19196</v>
      </c>
      <c r="CA46" s="174">
        <f t="shared" si="299"/>
        <v>7.2123874520389009E-3</v>
      </c>
      <c r="CB46" s="174">
        <f t="shared" si="246"/>
        <v>8.3295711060948019E-2</v>
      </c>
      <c r="CC46" s="175">
        <v>19124</v>
      </c>
      <c r="CD46" s="174">
        <f t="shared" si="300"/>
        <v>6.4099126396344698E-3</v>
      </c>
      <c r="CE46" s="174">
        <f t="shared" si="321"/>
        <v>8.7765201069336163E-2</v>
      </c>
      <c r="CF46" s="175">
        <f>20446-22</f>
        <v>20424</v>
      </c>
      <c r="CG46" s="174">
        <f t="shared" si="301"/>
        <v>7.1424899466936082E-3</v>
      </c>
      <c r="CH46" s="174">
        <f t="shared" si="322"/>
        <v>8.7308347529812647E-2</v>
      </c>
      <c r="CI46" s="175">
        <v>20009</v>
      </c>
      <c r="CJ46" s="174">
        <f t="shared" si="302"/>
        <v>6.8765854139681047E-3</v>
      </c>
      <c r="CK46" s="174">
        <f t="shared" si="323"/>
        <v>4.3494132985658407E-2</v>
      </c>
      <c r="CL46" s="175">
        <v>18061</v>
      </c>
      <c r="CM46" s="174">
        <f t="shared" si="303"/>
        <v>5.4364986793290536E-3</v>
      </c>
      <c r="CN46" s="174">
        <f t="shared" si="324"/>
        <v>-5.9126901437799528E-2</v>
      </c>
      <c r="CO46" s="175">
        <v>18759</v>
      </c>
      <c r="CP46" s="174">
        <f t="shared" si="304"/>
        <v>4.9758251132352334E-3</v>
      </c>
      <c r="CQ46" s="174">
        <f t="shared" si="305"/>
        <v>-1.9085965279230233E-2</v>
      </c>
      <c r="CR46" s="175">
        <v>18613</v>
      </c>
      <c r="CS46" s="174">
        <f t="shared" si="306"/>
        <v>5.3400820019469082E-3</v>
      </c>
      <c r="CT46" s="174">
        <f t="shared" si="247"/>
        <v>-8.8670191931061515E-2</v>
      </c>
      <c r="CU46" s="175">
        <v>18288</v>
      </c>
      <c r="CV46" s="174">
        <f t="shared" si="307"/>
        <v>5.2056039943788133E-3</v>
      </c>
      <c r="CW46" s="174">
        <f t="shared" si="248"/>
        <v>-8.6011294917287207E-2</v>
      </c>
      <c r="CX46" s="175">
        <v>18321</v>
      </c>
      <c r="CY46" s="174">
        <f t="shared" si="249"/>
        <v>4.5626427206771217E-3</v>
      </c>
      <c r="CZ46" s="174">
        <f t="shared" si="250"/>
        <v>1.4395659155085561E-2</v>
      </c>
      <c r="DA46" s="175">
        <v>17493</v>
      </c>
      <c r="DB46" s="174">
        <f t="shared" si="251"/>
        <v>3.8739690011613272E-3</v>
      </c>
      <c r="DC46" s="174">
        <f t="shared" si="252"/>
        <v>-6.748760594914438E-2</v>
      </c>
      <c r="DD46" s="175">
        <v>18537</v>
      </c>
      <c r="DE46" s="174">
        <f t="shared" si="253"/>
        <v>5.3182775517159955E-3</v>
      </c>
      <c r="DF46" s="174">
        <f>(DD46/CR46)-1</f>
        <v>-4.0831676785042514E-3</v>
      </c>
      <c r="DG46" s="175">
        <v>19529</v>
      </c>
      <c r="DH46" s="174">
        <f t="shared" si="187"/>
        <v>4.4333731820082548E-3</v>
      </c>
      <c r="DI46" s="174">
        <f t="shared" si="78"/>
        <v>6.785870516185466E-2</v>
      </c>
      <c r="DJ46" s="175">
        <v>20428</v>
      </c>
      <c r="DK46" s="174">
        <f t="shared" si="308"/>
        <v>4.5303468704834858E-3</v>
      </c>
      <c r="DL46" s="174">
        <f t="shared" si="255"/>
        <v>0.11500463948474438</v>
      </c>
      <c r="DM46" s="175">
        <v>23998</v>
      </c>
      <c r="DN46" s="174">
        <f t="shared" si="80"/>
        <v>4.5118489212634177E-3</v>
      </c>
      <c r="DO46" s="174">
        <f t="shared" si="256"/>
        <v>0.3718630309266564</v>
      </c>
      <c r="DP46" s="175">
        <v>23925</v>
      </c>
      <c r="DQ46" s="174">
        <f t="shared" si="343"/>
        <v>4.7134359026894659E-3</v>
      </c>
      <c r="DR46" s="174">
        <f t="shared" si="257"/>
        <v>0.29066191940443442</v>
      </c>
      <c r="DS46" s="175">
        <v>23916</v>
      </c>
      <c r="DT46" s="174">
        <f t="shared" si="81"/>
        <v>4.5713516777392028E-3</v>
      </c>
      <c r="DU46" s="174">
        <f t="shared" si="286"/>
        <v>0.22464027856009006</v>
      </c>
      <c r="DV46" s="175">
        <v>26261</v>
      </c>
      <c r="DW46" s="174">
        <f t="shared" si="309"/>
        <v>4.9616975690308148E-3</v>
      </c>
      <c r="DX46" s="174">
        <f>(DV46/DJ46)-1</f>
        <v>0.2855394556491091</v>
      </c>
      <c r="DY46" s="175">
        <v>29866</v>
      </c>
      <c r="DZ46" s="174">
        <f t="shared" si="310"/>
        <v>5.0933545758246601E-3</v>
      </c>
      <c r="EA46" s="174">
        <f t="shared" si="259"/>
        <v>0.24452037669805815</v>
      </c>
      <c r="EB46" s="175">
        <v>32918</v>
      </c>
      <c r="EC46" s="174">
        <f t="shared" si="84"/>
        <v>5.9085547141715569E-3</v>
      </c>
      <c r="ED46" s="174">
        <f t="shared" si="260"/>
        <v>0.3758829676071056</v>
      </c>
      <c r="EE46" s="175">
        <v>35229</v>
      </c>
      <c r="EF46" s="174">
        <f t="shared" si="311"/>
        <v>6.0607791427581955E-3</v>
      </c>
      <c r="EG46" s="174">
        <f t="shared" si="312"/>
        <v>0.47303060712493727</v>
      </c>
      <c r="EH46" s="175">
        <v>32899</v>
      </c>
      <c r="EI46" s="174">
        <f t="shared" si="313"/>
        <v>5.797863078861089E-3</v>
      </c>
      <c r="EJ46" s="174">
        <f t="shared" si="314"/>
        <v>0.25277026769734579</v>
      </c>
      <c r="EK46" s="175">
        <v>33656</v>
      </c>
      <c r="EL46" s="174">
        <f t="shared" si="261"/>
        <v>5.1976676593754765E-3</v>
      </c>
      <c r="EM46" s="174">
        <f t="shared" si="325"/>
        <v>0.12690015402129506</v>
      </c>
      <c r="EN46" s="175">
        <v>33829</v>
      </c>
      <c r="EO46" s="174">
        <f t="shared" si="287"/>
        <v>5.410972554697544E-3</v>
      </c>
      <c r="EP46" s="174">
        <f t="shared" si="326"/>
        <v>2.7674828361382797E-2</v>
      </c>
      <c r="EQ46" s="175">
        <v>35821</v>
      </c>
      <c r="ER46" s="174">
        <f t="shared" si="263"/>
        <v>5.4302932473565962E-3</v>
      </c>
      <c r="ES46" s="174">
        <f t="shared" si="327"/>
        <v>1.6804337335717623E-2</v>
      </c>
      <c r="ET46" s="175">
        <v>36028</v>
      </c>
      <c r="EU46" s="174">
        <f t="shared" si="264"/>
        <v>5.5542477245667859E-3</v>
      </c>
      <c r="EV46" s="174">
        <f t="shared" si="328"/>
        <v>9.510927383811052E-2</v>
      </c>
      <c r="EW46" s="175">
        <v>35996</v>
      </c>
      <c r="EX46" s="174">
        <f t="shared" si="265"/>
        <v>4.7691615067879337E-3</v>
      </c>
      <c r="EY46" s="174">
        <f t="shared" si="329"/>
        <v>6.9526978844782539E-2</v>
      </c>
      <c r="EZ46" s="175">
        <v>39191</v>
      </c>
      <c r="FA46" s="174">
        <f t="shared" si="330"/>
        <v>5.5773966788368176E-3</v>
      </c>
      <c r="FB46" s="174">
        <f t="shared" si="331"/>
        <v>0.15850305950515819</v>
      </c>
      <c r="FC46" s="175">
        <v>41153</v>
      </c>
      <c r="FD46" s="174">
        <f t="shared" si="332"/>
        <v>5.6333019269416054E-3</v>
      </c>
      <c r="FE46" s="174">
        <f t="shared" si="333"/>
        <v>0.14885123251723842</v>
      </c>
      <c r="FF46" s="175">
        <v>45276</v>
      </c>
      <c r="FG46" s="174">
        <f t="shared" si="88"/>
        <v>5.9990046708391347E-3</v>
      </c>
      <c r="FH46" s="174">
        <f t="shared" si="89"/>
        <v>0.25668924170089924</v>
      </c>
      <c r="FI46" s="175">
        <v>47783</v>
      </c>
      <c r="FJ46" s="174">
        <f t="shared" si="268"/>
        <v>5.4169300518487149E-3</v>
      </c>
      <c r="FK46" s="174">
        <f t="shared" si="334"/>
        <v>0.32745305033892658</v>
      </c>
      <c r="FL46" s="175">
        <v>47930</v>
      </c>
      <c r="FM46" s="174">
        <f t="shared" si="270"/>
        <v>4.7629396589305914E-3</v>
      </c>
      <c r="FN46" s="174">
        <f t="shared" si="335"/>
        <v>0.22298486897501979</v>
      </c>
      <c r="FO46" s="175">
        <v>50558</v>
      </c>
      <c r="FP46" s="174">
        <f t="shared" si="272"/>
        <v>5.094565568322479E-3</v>
      </c>
      <c r="FQ46" s="174">
        <f t="shared" si="336"/>
        <v>0.22853740918037557</v>
      </c>
      <c r="FR46" s="175">
        <v>55200</v>
      </c>
      <c r="FS46" s="174">
        <f t="shared" si="274"/>
        <v>5.4105414991473498E-3</v>
      </c>
      <c r="FT46" s="174">
        <f t="shared" si="337"/>
        <v>0.21918897429101514</v>
      </c>
      <c r="FU46" s="175">
        <v>67635</v>
      </c>
      <c r="FV46" s="174">
        <f t="shared" si="316"/>
        <v>5.854373212894907E-3</v>
      </c>
      <c r="FW46" s="174">
        <f t="shared" si="338"/>
        <v>0.41546156582885119</v>
      </c>
      <c r="FX46" s="175">
        <v>73451</v>
      </c>
      <c r="FY46" s="174">
        <f t="shared" si="317"/>
        <v>6.3845679314429304E-3</v>
      </c>
      <c r="FZ46" s="174">
        <f t="shared" si="339"/>
        <v>0.53246401001460453</v>
      </c>
      <c r="GA46" s="175">
        <v>59941</v>
      </c>
      <c r="GB46" s="174">
        <f t="shared" si="318"/>
        <v>4.6726432992146676E-3</v>
      </c>
      <c r="GC46" s="174">
        <f t="shared" si="340"/>
        <v>0.1855888286720202</v>
      </c>
      <c r="GD46" s="175">
        <v>64948</v>
      </c>
      <c r="GE46" s="174">
        <f t="shared" si="319"/>
        <v>5.0028924464396718E-3</v>
      </c>
      <c r="GF46" s="174">
        <f t="shared" si="341"/>
        <v>0.17659420289855077</v>
      </c>
      <c r="GG46" s="175">
        <v>67059</v>
      </c>
      <c r="GH46" s="174">
        <f t="shared" si="320"/>
        <v>4.5797247657739073E-3</v>
      </c>
      <c r="GI46" s="174">
        <f t="shared" si="342"/>
        <v>-8.5163007318695971E-3</v>
      </c>
    </row>
    <row r="47" spans="2:191" s="171" customFormat="1" ht="16.5" customHeight="1">
      <c r="B47" s="172" t="s">
        <v>343</v>
      </c>
      <c r="C47" s="173" t="s">
        <v>375</v>
      </c>
      <c r="D47" s="10">
        <v>0</v>
      </c>
      <c r="E47" s="174">
        <f t="shared" si="209"/>
        <v>0</v>
      </c>
      <c r="F47" s="10">
        <v>0</v>
      </c>
      <c r="G47" s="174">
        <f t="shared" si="210"/>
        <v>0</v>
      </c>
      <c r="H47" s="10">
        <v>0</v>
      </c>
      <c r="I47" s="174">
        <f t="shared" si="211"/>
        <v>0</v>
      </c>
      <c r="J47" s="10">
        <v>0</v>
      </c>
      <c r="K47" s="174">
        <f t="shared" si="212"/>
        <v>0</v>
      </c>
      <c r="L47" s="12">
        <v>0</v>
      </c>
      <c r="M47" s="174">
        <f t="shared" si="213"/>
        <v>0</v>
      </c>
      <c r="N47" s="174">
        <v>0</v>
      </c>
      <c r="O47" s="12">
        <v>0</v>
      </c>
      <c r="P47" s="174">
        <f t="shared" si="215"/>
        <v>0</v>
      </c>
      <c r="Q47" s="174">
        <v>0</v>
      </c>
      <c r="R47" s="175">
        <v>0</v>
      </c>
      <c r="S47" s="174">
        <f t="shared" si="217"/>
        <v>0</v>
      </c>
      <c r="T47" s="174">
        <v>0</v>
      </c>
      <c r="U47" s="175">
        <v>0</v>
      </c>
      <c r="V47" s="174">
        <f t="shared" si="219"/>
        <v>0</v>
      </c>
      <c r="W47" s="174">
        <v>0</v>
      </c>
      <c r="X47" s="175">
        <v>0</v>
      </c>
      <c r="Y47" s="174">
        <f t="shared" si="221"/>
        <v>0</v>
      </c>
      <c r="Z47" s="174">
        <v>0</v>
      </c>
      <c r="AA47" s="175">
        <v>0</v>
      </c>
      <c r="AB47" s="174">
        <f t="shared" si="223"/>
        <v>0</v>
      </c>
      <c r="AC47" s="174">
        <v>0</v>
      </c>
      <c r="AD47" s="175">
        <v>0</v>
      </c>
      <c r="AE47" s="174">
        <f t="shared" si="225"/>
        <v>0</v>
      </c>
      <c r="AF47" s="174">
        <v>0</v>
      </c>
      <c r="AG47" s="175">
        <v>0</v>
      </c>
      <c r="AH47" s="174">
        <f t="shared" si="227"/>
        <v>0</v>
      </c>
      <c r="AI47" s="174">
        <v>0</v>
      </c>
      <c r="AJ47" s="175">
        <v>0</v>
      </c>
      <c r="AK47" s="174">
        <f t="shared" si="229"/>
        <v>0</v>
      </c>
      <c r="AL47" s="174">
        <v>0</v>
      </c>
      <c r="AM47" s="175">
        <v>0</v>
      </c>
      <c r="AN47" s="174">
        <f t="shared" si="230"/>
        <v>0</v>
      </c>
      <c r="AO47" s="174">
        <v>0</v>
      </c>
      <c r="AP47" s="175">
        <v>0</v>
      </c>
      <c r="AQ47" s="174">
        <f t="shared" si="231"/>
        <v>0</v>
      </c>
      <c r="AR47" s="174">
        <v>0</v>
      </c>
      <c r="AS47" s="175">
        <v>0</v>
      </c>
      <c r="AT47" s="174">
        <f t="shared" si="232"/>
        <v>0</v>
      </c>
      <c r="AU47" s="13">
        <v>0</v>
      </c>
      <c r="AV47" s="175">
        <v>0</v>
      </c>
      <c r="AW47" s="174">
        <f t="shared" si="233"/>
        <v>0</v>
      </c>
      <c r="AX47" s="174">
        <v>0</v>
      </c>
      <c r="AY47" s="175">
        <v>0</v>
      </c>
      <c r="AZ47" s="174">
        <f t="shared" si="234"/>
        <v>0</v>
      </c>
      <c r="BA47" s="174">
        <v>0</v>
      </c>
      <c r="BB47" s="175">
        <v>0</v>
      </c>
      <c r="BC47" s="174">
        <f t="shared" si="235"/>
        <v>0</v>
      </c>
      <c r="BD47" s="174">
        <v>0</v>
      </c>
      <c r="BE47" s="175">
        <v>0</v>
      </c>
      <c r="BF47" s="174">
        <f t="shared" si="236"/>
        <v>0</v>
      </c>
      <c r="BG47" s="174">
        <v>0</v>
      </c>
      <c r="BH47" s="175">
        <v>0</v>
      </c>
      <c r="BI47" s="174">
        <f t="shared" si="295"/>
        <v>0</v>
      </c>
      <c r="BJ47" s="174">
        <v>0</v>
      </c>
      <c r="BK47" s="175">
        <v>0</v>
      </c>
      <c r="BL47" s="174">
        <f t="shared" si="297"/>
        <v>0</v>
      </c>
      <c r="BM47" s="174">
        <v>0</v>
      </c>
      <c r="BN47" s="175">
        <v>0</v>
      </c>
      <c r="BO47" s="174">
        <f t="shared" si="238"/>
        <v>0</v>
      </c>
      <c r="BP47" s="174">
        <v>0</v>
      </c>
      <c r="BQ47" s="175">
        <v>0</v>
      </c>
      <c r="BR47" s="174">
        <f t="shared" si="240"/>
        <v>0</v>
      </c>
      <c r="BS47" s="174">
        <v>0</v>
      </c>
      <c r="BT47" s="175">
        <v>0</v>
      </c>
      <c r="BU47" s="174">
        <f t="shared" si="242"/>
        <v>0</v>
      </c>
      <c r="BV47" s="174">
        <v>0</v>
      </c>
      <c r="BW47" s="176">
        <v>0</v>
      </c>
      <c r="BX47" s="174">
        <f t="shared" si="244"/>
        <v>0</v>
      </c>
      <c r="BY47" s="174">
        <v>0</v>
      </c>
      <c r="BZ47" s="175">
        <v>0</v>
      </c>
      <c r="CA47" s="174">
        <f t="shared" si="299"/>
        <v>0</v>
      </c>
      <c r="CB47" s="174">
        <v>0</v>
      </c>
      <c r="CC47" s="175">
        <v>18081</v>
      </c>
      <c r="CD47" s="174">
        <f>CC47/$CC$6</f>
        <v>6.0603236999179485E-3</v>
      </c>
      <c r="CE47" s="174">
        <v>0</v>
      </c>
      <c r="CF47" s="175">
        <v>20300</v>
      </c>
      <c r="CG47" s="174">
        <f>CF47/$CF$6</f>
        <v>7.0991258283333459E-3</v>
      </c>
      <c r="CH47" s="174">
        <v>0</v>
      </c>
      <c r="CI47" s="175">
        <v>36478</v>
      </c>
      <c r="CJ47" s="174">
        <f>CI47/$CI$6</f>
        <v>1.2536562683328929E-2</v>
      </c>
      <c r="CK47" s="174">
        <v>0</v>
      </c>
      <c r="CL47" s="175">
        <v>44297</v>
      </c>
      <c r="CM47" s="174">
        <f>CL47/$CL$6</f>
        <v>1.333373467683069E-2</v>
      </c>
      <c r="CN47" s="174">
        <v>0</v>
      </c>
      <c r="CO47" s="175">
        <v>57972</v>
      </c>
      <c r="CP47" s="174">
        <f>CO47/$CO$6</f>
        <v>1.537707412252641E-2</v>
      </c>
      <c r="CQ47" s="174">
        <f>(CO47/CC47)-1</f>
        <v>2.2062385929981749</v>
      </c>
      <c r="CR47" s="175">
        <v>50182</v>
      </c>
      <c r="CS47" s="174">
        <f>CR47/$CR$31</f>
        <v>1.4397248966942446E-2</v>
      </c>
      <c r="CT47" s="174">
        <f>(CR47/CF47)-1</f>
        <v>1.4720197044334977</v>
      </c>
      <c r="CU47" s="175">
        <v>59799</v>
      </c>
      <c r="CV47" s="174">
        <f>CU47/$CU$31</f>
        <v>1.7021539438968648E-2</v>
      </c>
      <c r="CW47" s="174">
        <f>(CU47/CI47)-1</f>
        <v>0.63931684851143156</v>
      </c>
      <c r="CX47" s="175">
        <v>90221</v>
      </c>
      <c r="CY47" s="174">
        <f t="shared" si="249"/>
        <v>2.2468543687692299E-2</v>
      </c>
      <c r="CZ47" s="174">
        <f>(CX47/CL47)-1</f>
        <v>1.0367293496173557</v>
      </c>
      <c r="DA47" s="175">
        <v>114251</v>
      </c>
      <c r="DB47" s="174">
        <f>DA47/$DA$31</f>
        <v>2.5301825435984839E-2</v>
      </c>
      <c r="DC47" s="174">
        <f>(DA47/CO47)-1</f>
        <v>0.97079624646381002</v>
      </c>
      <c r="DD47" s="175">
        <v>114435</v>
      </c>
      <c r="DE47" s="174">
        <f>DD47/$DD$31</f>
        <v>2.66085271453016E-2</v>
      </c>
      <c r="DF47" s="174">
        <f>(DD47/CR47)-1</f>
        <v>1.2803993463791796</v>
      </c>
      <c r="DG47" s="175">
        <v>132408</v>
      </c>
      <c r="DH47" s="174">
        <f t="shared" si="187"/>
        <v>3.0058583454521431E-2</v>
      </c>
      <c r="DI47" s="174">
        <f t="shared" si="78"/>
        <v>1.2142176290573419</v>
      </c>
      <c r="DJ47" s="175">
        <v>156091</v>
      </c>
      <c r="DK47" s="174">
        <f t="shared" si="308"/>
        <v>3.461652503233982E-2</v>
      </c>
      <c r="DL47" s="174">
        <f t="shared" si="255"/>
        <v>0.73009609736092473</v>
      </c>
      <c r="DM47" s="175">
        <v>196988</v>
      </c>
      <c r="DN47" s="174">
        <f t="shared" si="80"/>
        <v>3.7035590270099096E-2</v>
      </c>
      <c r="DO47" s="174">
        <f t="shared" si="256"/>
        <v>0.7241687162475603</v>
      </c>
      <c r="DP47" s="175">
        <v>176293</v>
      </c>
      <c r="DQ47" s="174">
        <f t="shared" si="343"/>
        <v>3.473127505090215E-2</v>
      </c>
      <c r="DR47" s="174">
        <f t="shared" si="257"/>
        <v>0.54055140472757457</v>
      </c>
      <c r="DS47" s="175">
        <v>194803</v>
      </c>
      <c r="DT47" s="174">
        <f t="shared" si="81"/>
        <v>3.7235031814627444E-2</v>
      </c>
      <c r="DU47" s="174">
        <f t="shared" si="286"/>
        <v>0.47123285602078435</v>
      </c>
      <c r="DV47" s="175">
        <v>199962</v>
      </c>
      <c r="DW47" s="174">
        <f t="shared" si="309"/>
        <v>3.7780395617019145E-2</v>
      </c>
      <c r="DX47" s="174">
        <f>(DV47/DJ47)-1</f>
        <v>0.28106040707023472</v>
      </c>
      <c r="DY47" s="175">
        <v>241086</v>
      </c>
      <c r="DZ47" s="174">
        <f t="shared" si="310"/>
        <v>4.1114862427752766E-2</v>
      </c>
      <c r="EA47" s="174">
        <f t="shared" si="259"/>
        <v>0.22386135196052548</v>
      </c>
      <c r="EB47" s="175">
        <v>214834</v>
      </c>
      <c r="EC47" s="174">
        <f t="shared" si="84"/>
        <v>3.8561226182159673E-2</v>
      </c>
      <c r="ED47" s="174">
        <f t="shared" si="260"/>
        <v>0.21861900359061326</v>
      </c>
      <c r="EE47" s="175">
        <v>230697</v>
      </c>
      <c r="EF47" s="174">
        <f t="shared" si="311"/>
        <v>3.9688993894146513E-2</v>
      </c>
      <c r="EG47" s="174">
        <f t="shared" si="312"/>
        <v>0.18425794263948703</v>
      </c>
      <c r="EH47" s="175">
        <v>243811</v>
      </c>
      <c r="EI47" s="174">
        <f t="shared" si="313"/>
        <v>4.2967348403301041E-2</v>
      </c>
      <c r="EJ47" s="174">
        <f t="shared" si="314"/>
        <v>0.21928666446624856</v>
      </c>
      <c r="EK47" s="175">
        <v>291891</v>
      </c>
      <c r="EL47" s="174">
        <f t="shared" si="261"/>
        <v>4.5078215199749444E-2</v>
      </c>
      <c r="EM47" s="174">
        <f t="shared" si="325"/>
        <v>0.21073392897140431</v>
      </c>
      <c r="EN47" s="175">
        <v>313797</v>
      </c>
      <c r="EO47" s="174">
        <f t="shared" si="287"/>
        <v>5.019205281700391E-2</v>
      </c>
      <c r="EP47" s="174">
        <f t="shared" si="326"/>
        <v>0.46064868689313609</v>
      </c>
      <c r="EQ47" s="175">
        <v>419240</v>
      </c>
      <c r="ER47" s="174">
        <f t="shared" si="263"/>
        <v>6.3554790235386488E-2</v>
      </c>
      <c r="ES47" s="174">
        <f t="shared" si="327"/>
        <v>0.81727547388999433</v>
      </c>
      <c r="ET47" s="175">
        <v>435839</v>
      </c>
      <c r="EU47" s="174">
        <f t="shared" si="264"/>
        <v>6.7191011824899061E-2</v>
      </c>
      <c r="EV47" s="174">
        <f t="shared" si="328"/>
        <v>0.78761007501712399</v>
      </c>
      <c r="EW47" s="175">
        <v>524581</v>
      </c>
      <c r="EX47" s="174">
        <f t="shared" si="265"/>
        <v>6.950248673164576E-2</v>
      </c>
      <c r="EY47" s="174">
        <f t="shared" si="329"/>
        <v>0.7971811395349635</v>
      </c>
      <c r="EZ47" s="175">
        <v>484260</v>
      </c>
      <c r="FA47" s="174">
        <f t="shared" si="330"/>
        <v>6.891659094418405E-2</v>
      </c>
      <c r="FB47" s="174">
        <f t="shared" si="331"/>
        <v>0.54322699069780778</v>
      </c>
      <c r="FC47" s="175">
        <v>516001</v>
      </c>
      <c r="FD47" s="174">
        <f t="shared" si="332"/>
        <v>7.0633718747206656E-2</v>
      </c>
      <c r="FE47" s="174">
        <f t="shared" si="333"/>
        <v>0.23080097318958104</v>
      </c>
      <c r="FF47" s="175">
        <v>553264</v>
      </c>
      <c r="FG47" s="174">
        <f t="shared" si="88"/>
        <v>7.3306681690236394E-2</v>
      </c>
      <c r="FH47" s="174">
        <f t="shared" si="89"/>
        <v>0.2694228832206389</v>
      </c>
      <c r="FI47" s="175">
        <v>693994</v>
      </c>
      <c r="FJ47" s="174">
        <f t="shared" si="268"/>
        <v>7.8674778779120116E-2</v>
      </c>
      <c r="FK47" s="174">
        <f t="shared" si="334"/>
        <v>0.32294917276836177</v>
      </c>
      <c r="FL47" s="175">
        <v>667180</v>
      </c>
      <c r="FM47" s="174">
        <f t="shared" si="270"/>
        <v>6.6299563564475528E-2</v>
      </c>
      <c r="FN47" s="174">
        <f t="shared" si="335"/>
        <v>0.37773097096600994</v>
      </c>
      <c r="FO47" s="175">
        <v>741692</v>
      </c>
      <c r="FP47" s="174">
        <f t="shared" si="272"/>
        <v>7.4737895595162709E-2</v>
      </c>
      <c r="FQ47" s="174">
        <f t="shared" si="336"/>
        <v>0.4373848112697456</v>
      </c>
      <c r="FR47" s="175">
        <v>820284</v>
      </c>
      <c r="FS47" s="174">
        <f t="shared" si="274"/>
        <v>8.0401822882003343E-2</v>
      </c>
      <c r="FT47" s="174">
        <f t="shared" si="337"/>
        <v>0.48262673877208706</v>
      </c>
      <c r="FU47" s="175">
        <v>985298</v>
      </c>
      <c r="FV47" s="174">
        <f t="shared" si="316"/>
        <v>8.5285757639076309E-2</v>
      </c>
      <c r="FW47" s="174">
        <f t="shared" si="338"/>
        <v>0.41975002665729089</v>
      </c>
      <c r="FX47" s="175">
        <v>881287</v>
      </c>
      <c r="FY47" s="174">
        <f t="shared" si="317"/>
        <v>7.6603949825020015E-2</v>
      </c>
      <c r="FZ47" s="174">
        <f t="shared" si="339"/>
        <v>0.32091339668455299</v>
      </c>
      <c r="GA47" s="175">
        <v>817712</v>
      </c>
      <c r="GB47" s="174">
        <f t="shared" si="318"/>
        <v>6.3743956515363839E-2</v>
      </c>
      <c r="GC47" s="174">
        <f t="shared" si="340"/>
        <v>0.10249537543886134</v>
      </c>
      <c r="GD47" s="175">
        <v>973203</v>
      </c>
      <c r="GE47" s="174">
        <f t="shared" si="319"/>
        <v>7.4965048000745646E-2</v>
      </c>
      <c r="GF47" s="174">
        <f t="shared" si="341"/>
        <v>0.18642201969074135</v>
      </c>
      <c r="GG47" s="175">
        <v>1193168</v>
      </c>
      <c r="GH47" s="174">
        <f t="shared" si="320"/>
        <v>8.1486169482529139E-2</v>
      </c>
      <c r="GI47" s="174">
        <f t="shared" si="342"/>
        <v>0.21097170602193449</v>
      </c>
    </row>
    <row r="48" spans="2:191" s="171" customFormat="1" ht="16.5" customHeight="1">
      <c r="B48" s="172" t="s">
        <v>363</v>
      </c>
      <c r="C48" s="173" t="s">
        <v>374</v>
      </c>
      <c r="D48" s="10">
        <v>0</v>
      </c>
      <c r="E48" s="174">
        <f>D48/$D$6</f>
        <v>0</v>
      </c>
      <c r="F48" s="10">
        <v>0</v>
      </c>
      <c r="G48" s="174">
        <f>F48/$F$6</f>
        <v>0</v>
      </c>
      <c r="H48" s="10">
        <v>0</v>
      </c>
      <c r="I48" s="174">
        <f>H48/$H$6</f>
        <v>0</v>
      </c>
      <c r="J48" s="10">
        <v>0</v>
      </c>
      <c r="K48" s="174">
        <f>J48/$J$6</f>
        <v>0</v>
      </c>
      <c r="L48" s="12">
        <v>0</v>
      </c>
      <c r="M48" s="174">
        <f>L48/$L$6</f>
        <v>0</v>
      </c>
      <c r="N48" s="174" t="e">
        <f>(L48/D48)-1</f>
        <v>#DIV/0!</v>
      </c>
      <c r="O48" s="12">
        <v>0</v>
      </c>
      <c r="P48" s="174">
        <f>O48/$O$6</f>
        <v>0</v>
      </c>
      <c r="Q48" s="174" t="e">
        <f>(O48/F48)-1</f>
        <v>#DIV/0!</v>
      </c>
      <c r="R48" s="175">
        <v>0</v>
      </c>
      <c r="S48" s="174">
        <f>R48/$R$6</f>
        <v>0</v>
      </c>
      <c r="T48" s="174" t="e">
        <f>(R48/H48)-1</f>
        <v>#DIV/0!</v>
      </c>
      <c r="U48" s="175">
        <v>0</v>
      </c>
      <c r="V48" s="174">
        <f>U48/$U$6</f>
        <v>0</v>
      </c>
      <c r="W48" s="174" t="e">
        <f>(U48/J48)-1</f>
        <v>#DIV/0!</v>
      </c>
      <c r="X48" s="175">
        <v>0</v>
      </c>
      <c r="Y48" s="174">
        <f>X48/$X$6</f>
        <v>0</v>
      </c>
      <c r="Z48" s="174" t="e">
        <f>(X48/L48)-1</f>
        <v>#DIV/0!</v>
      </c>
      <c r="AA48" s="175">
        <v>0</v>
      </c>
      <c r="AB48" s="174">
        <f>AA48/$AA$6</f>
        <v>0</v>
      </c>
      <c r="AC48" s="174" t="e">
        <f>(AA48/O48)-1</f>
        <v>#DIV/0!</v>
      </c>
      <c r="AD48" s="175">
        <v>0</v>
      </c>
      <c r="AE48" s="174">
        <f>AD48/$AD$6</f>
        <v>0</v>
      </c>
      <c r="AF48" s="174" t="e">
        <f>(AD48/R48)-1</f>
        <v>#DIV/0!</v>
      </c>
      <c r="AG48" s="175">
        <v>0</v>
      </c>
      <c r="AH48" s="174">
        <f>AG48/$AG$6</f>
        <v>0</v>
      </c>
      <c r="AI48" s="174" t="e">
        <f>(AG48/U48)-1</f>
        <v>#DIV/0!</v>
      </c>
      <c r="AJ48" s="175">
        <v>0</v>
      </c>
      <c r="AK48" s="174">
        <f>AJ48/$AJ$6</f>
        <v>0</v>
      </c>
      <c r="AL48" s="174" t="e">
        <f>(AJ48/X48)-1</f>
        <v>#DIV/0!</v>
      </c>
      <c r="AM48" s="175">
        <v>0</v>
      </c>
      <c r="AN48" s="174">
        <f>AM48/$AM$6</f>
        <v>0</v>
      </c>
      <c r="AO48" s="174" t="e">
        <f>(AM48/AA48)-1</f>
        <v>#DIV/0!</v>
      </c>
      <c r="AP48" s="175">
        <v>0</v>
      </c>
      <c r="AQ48" s="174">
        <f>AP48/$AP$6</f>
        <v>0</v>
      </c>
      <c r="AR48" s="174" t="e">
        <f>(AP48/AD48)-1</f>
        <v>#DIV/0!</v>
      </c>
      <c r="AS48" s="175">
        <v>0</v>
      </c>
      <c r="AT48" s="174">
        <f>AS48/$AS$6</f>
        <v>0</v>
      </c>
      <c r="AU48" s="13" t="e">
        <f>(AS48/AG48)-1</f>
        <v>#DIV/0!</v>
      </c>
      <c r="AV48" s="175">
        <v>0</v>
      </c>
      <c r="AW48" s="174">
        <f>AV48/$AV$6</f>
        <v>0</v>
      </c>
      <c r="AX48" s="174" t="e">
        <f>(AV48/AJ48)-1</f>
        <v>#DIV/0!</v>
      </c>
      <c r="AY48" s="175">
        <v>0</v>
      </c>
      <c r="AZ48" s="174">
        <f>AY48/$AY$6</f>
        <v>0</v>
      </c>
      <c r="BA48" s="174" t="e">
        <f>(AY48/AM48)-1</f>
        <v>#DIV/0!</v>
      </c>
      <c r="BB48" s="175">
        <v>0</v>
      </c>
      <c r="BC48" s="174">
        <f>BB48/$BB$6</f>
        <v>0</v>
      </c>
      <c r="BD48" s="174" t="e">
        <f>(BB48/AP48)-1</f>
        <v>#DIV/0!</v>
      </c>
      <c r="BE48" s="175">
        <v>0</v>
      </c>
      <c r="BF48" s="174">
        <f>BE48/$BE$6</f>
        <v>0</v>
      </c>
      <c r="BG48" s="174" t="e">
        <f>(BE48/AS48)-1</f>
        <v>#DIV/0!</v>
      </c>
      <c r="BH48" s="175">
        <v>0</v>
      </c>
      <c r="BI48" s="174">
        <f>BH48/$BH$6</f>
        <v>0</v>
      </c>
      <c r="BJ48" s="174" t="e">
        <f>(BH48/AV48)-1</f>
        <v>#DIV/0!</v>
      </c>
      <c r="BK48" s="175">
        <v>0</v>
      </c>
      <c r="BL48" s="174">
        <f>BK48/$BK$6</f>
        <v>0</v>
      </c>
      <c r="BM48" s="174" t="e">
        <f>(BK48/AY48)-1</f>
        <v>#DIV/0!</v>
      </c>
      <c r="BN48" s="175">
        <v>0</v>
      </c>
      <c r="BO48" s="174">
        <f>BN48/$BN$6</f>
        <v>0</v>
      </c>
      <c r="BP48" s="174" t="e">
        <f>(BN48/BB48)-1</f>
        <v>#DIV/0!</v>
      </c>
      <c r="BQ48" s="175">
        <v>0</v>
      </c>
      <c r="BR48" s="174">
        <f>BQ48/$BQ$6</f>
        <v>0</v>
      </c>
      <c r="BS48" s="174" t="e">
        <f>(BQ48/BE48)-1</f>
        <v>#DIV/0!</v>
      </c>
      <c r="BT48" s="175">
        <v>0</v>
      </c>
      <c r="BU48" s="174">
        <f>BT48/$BT$6</f>
        <v>0</v>
      </c>
      <c r="BV48" s="174" t="e">
        <f>(BT48/BH48)-1</f>
        <v>#DIV/0!</v>
      </c>
      <c r="BW48" s="176">
        <v>0</v>
      </c>
      <c r="BX48" s="174">
        <f>BW48/$BW$6</f>
        <v>0</v>
      </c>
      <c r="BY48" s="174" t="e">
        <f>(BW48/BK48)-1</f>
        <v>#DIV/0!</v>
      </c>
      <c r="BZ48" s="175">
        <v>0</v>
      </c>
      <c r="CA48" s="174">
        <f>BZ48/$BZ$6</f>
        <v>0</v>
      </c>
      <c r="CB48" s="174" t="e">
        <f>(BZ48/BN48)-1</f>
        <v>#DIV/0!</v>
      </c>
      <c r="CC48" s="175">
        <v>0</v>
      </c>
      <c r="CD48" s="174">
        <f>CC48/$CC$6</f>
        <v>0</v>
      </c>
      <c r="CE48" s="174" t="e">
        <f>(CC48/BQ48)-1</f>
        <v>#DIV/0!</v>
      </c>
      <c r="CF48" s="175">
        <v>0</v>
      </c>
      <c r="CG48" s="174">
        <f>CF48/$CF$6</f>
        <v>0</v>
      </c>
      <c r="CH48" s="174" t="e">
        <f>(CF48/BT48)-1</f>
        <v>#DIV/0!</v>
      </c>
      <c r="CI48" s="175">
        <v>0</v>
      </c>
      <c r="CJ48" s="174">
        <f>CI48/$CI$6</f>
        <v>0</v>
      </c>
      <c r="CK48" s="174" t="e">
        <f>(CI48/BW48)-1</f>
        <v>#DIV/0!</v>
      </c>
      <c r="CL48" s="175">
        <v>541</v>
      </c>
      <c r="CM48" s="174"/>
      <c r="CN48" s="174" t="e">
        <f>(CL48/BZ48)-1</f>
        <v>#DIV/0!</v>
      </c>
      <c r="CO48" s="175">
        <v>1073</v>
      </c>
      <c r="CP48" s="174">
        <f>CO48/$CO$6</f>
        <v>2.8461327077676876E-4</v>
      </c>
      <c r="CQ48" s="174" t="e">
        <f>(CO48/CC48)-1</f>
        <v>#DIV/0!</v>
      </c>
      <c r="CR48" s="175">
        <v>3983.9760000000001</v>
      </c>
      <c r="CS48" s="174">
        <f>CR48/$CR$31</f>
        <v>1.1430053475414191E-3</v>
      </c>
      <c r="CT48" s="174" t="e">
        <f>(CR48/CF48)-1</f>
        <v>#DIV/0!</v>
      </c>
      <c r="CU48" s="175">
        <v>0</v>
      </c>
      <c r="CV48" s="174">
        <f>CU48/$CU$31</f>
        <v>0</v>
      </c>
      <c r="CW48" s="174"/>
      <c r="CX48" s="175">
        <v>4446.0360000000001</v>
      </c>
      <c r="CY48" s="174">
        <f>CX48/$CX$31</f>
        <v>1.107236165671548E-3</v>
      </c>
      <c r="CZ48" s="174">
        <f>(CX48/CL48)-1</f>
        <v>7.2181811460258789</v>
      </c>
      <c r="DA48" s="175">
        <v>1092.0329999999999</v>
      </c>
      <c r="DB48" s="174">
        <f>DA48/$DA$31</f>
        <v>2.4183970675385622E-4</v>
      </c>
      <c r="DC48" s="174">
        <f>(DA48/CO48)-1</f>
        <v>1.7738117427772426E-2</v>
      </c>
      <c r="DD48" s="175">
        <f>15709.66534+65</f>
        <v>15774.66534</v>
      </c>
      <c r="DE48" s="174">
        <f>DD48/$CR$31</f>
        <v>4.5257619120437163E-3</v>
      </c>
      <c r="DF48" s="174">
        <f>(DD48/CR48)-1</f>
        <v>2.9595282049891867</v>
      </c>
      <c r="DG48" s="175">
        <v>22200</v>
      </c>
      <c r="DH48" s="174">
        <f>DG48/$DG$6</f>
        <v>5.0397298704789421E-3</v>
      </c>
      <c r="DI48" s="174" t="s">
        <v>112</v>
      </c>
      <c r="DJ48" s="175">
        <v>798.33362</v>
      </c>
      <c r="DK48" s="174">
        <f>DJ48/$DJ$6</f>
        <v>1.7704759237168361E-4</v>
      </c>
      <c r="DL48" s="174">
        <f>(DJ48/CX48)-1</f>
        <v>-0.82043923620951342</v>
      </c>
      <c r="DM48" s="175">
        <v>822</v>
      </c>
      <c r="DN48" s="174">
        <f>DM48/$DM$6</f>
        <v>1.5454370419528833E-4</v>
      </c>
      <c r="DO48" s="174">
        <f>(DM48/DA48)-1</f>
        <v>-0.2472754944218718</v>
      </c>
      <c r="DP48" s="175">
        <v>718</v>
      </c>
      <c r="DQ48" s="174">
        <f>DP48/$DP$6</f>
        <v>1.4145232928447385E-4</v>
      </c>
      <c r="DR48" s="174">
        <f>(DP48/DD48)-1</f>
        <v>-0.95448397892921633</v>
      </c>
      <c r="DS48" s="175">
        <v>10269</v>
      </c>
      <c r="DT48" s="174">
        <f>DS48/DS$6</f>
        <v>1.9628370287131575E-3</v>
      </c>
      <c r="DU48" s="174">
        <f>(DS48/DG48)-1</f>
        <v>-0.53743243243243244</v>
      </c>
      <c r="DV48" s="175">
        <v>66797</v>
      </c>
      <c r="DW48" s="174">
        <f>DV48/DV$6</f>
        <v>1.2620483321981317E-2</v>
      </c>
      <c r="DX48" s="174" t="s">
        <v>112</v>
      </c>
      <c r="DY48" s="175">
        <v>2601</v>
      </c>
      <c r="DZ48" s="174">
        <f>DY48/DY$6</f>
        <v>4.4357514403401663E-4</v>
      </c>
      <c r="EA48" s="174" t="s">
        <v>112</v>
      </c>
      <c r="EB48" s="175">
        <v>39037</v>
      </c>
      <c r="EC48" s="174">
        <f>EB48/EB$6</f>
        <v>7.0068731507720713E-3</v>
      </c>
      <c r="ED48" s="174">
        <f>(EB48/DP48)-1</f>
        <v>53.369080779944291</v>
      </c>
      <c r="EE48" s="175">
        <v>94910</v>
      </c>
      <c r="EF48" s="174">
        <f t="shared" si="311"/>
        <v>1.6328267859978436E-2</v>
      </c>
      <c r="EG48" s="174">
        <f t="shared" si="312"/>
        <v>8.242379978576297</v>
      </c>
      <c r="EH48" s="175">
        <v>75603</v>
      </c>
      <c r="EI48" s="174">
        <f t="shared" si="313"/>
        <v>1.3323682858176082E-2</v>
      </c>
      <c r="EJ48" s="174">
        <f t="shared" si="314"/>
        <v>0.13183226791622382</v>
      </c>
      <c r="EK48" s="175">
        <v>57530</v>
      </c>
      <c r="EL48" s="174">
        <f t="shared" si="261"/>
        <v>8.8846511897988818E-3</v>
      </c>
      <c r="EM48" s="174">
        <f t="shared" si="325"/>
        <v>21.118415993848519</v>
      </c>
      <c r="EN48" s="175">
        <v>33338</v>
      </c>
      <c r="EO48" s="174">
        <f t="shared" si="287"/>
        <v>5.3324367562891817E-3</v>
      </c>
      <c r="EP48" s="174">
        <f t="shared" si="326"/>
        <v>-0.14598970207751616</v>
      </c>
      <c r="EQ48" s="175">
        <v>3437</v>
      </c>
      <c r="ER48" s="174">
        <f t="shared" si="263"/>
        <v>5.2103285478251923E-4</v>
      </c>
      <c r="ES48" s="174">
        <f t="shared" si="327"/>
        <v>-0.96378674533768838</v>
      </c>
      <c r="ET48" s="175">
        <v>15066</v>
      </c>
      <c r="EU48" s="174">
        <f t="shared" si="264"/>
        <v>2.322646170154413E-3</v>
      </c>
      <c r="EV48" s="174">
        <f t="shared" si="328"/>
        <v>-0.80072219356374741</v>
      </c>
      <c r="EW48" s="175">
        <v>3137</v>
      </c>
      <c r="EX48" s="174">
        <f t="shared" si="265"/>
        <v>4.1562561525707709E-4</v>
      </c>
      <c r="EY48" s="174">
        <f t="shared" si="329"/>
        <v>-0.94547192768990096</v>
      </c>
      <c r="EZ48" s="175">
        <v>3136</v>
      </c>
      <c r="FA48" s="174">
        <f t="shared" si="330"/>
        <v>4.4629419981200426E-4</v>
      </c>
      <c r="FB48" s="174">
        <f t="shared" si="331"/>
        <v>-0.90593316935629009</v>
      </c>
      <c r="FC48" s="175">
        <v>0</v>
      </c>
      <c r="FD48" s="174">
        <f t="shared" si="332"/>
        <v>0</v>
      </c>
      <c r="FE48" s="174">
        <f t="shared" si="333"/>
        <v>-1</v>
      </c>
      <c r="FF48" s="175">
        <v>18</v>
      </c>
      <c r="FG48" s="174">
        <f t="shared" si="88"/>
        <v>2.384974027632839E-6</v>
      </c>
      <c r="FH48" s="174">
        <f t="shared" si="89"/>
        <v>-0.99880525686977295</v>
      </c>
      <c r="FI48" s="175">
        <v>14516</v>
      </c>
      <c r="FJ48" s="174">
        <f t="shared" si="268"/>
        <v>1.6456094559285925E-3</v>
      </c>
      <c r="FK48" s="174">
        <f t="shared" si="334"/>
        <v>3.6273509722664965</v>
      </c>
      <c r="FL48" s="175">
        <v>1622</v>
      </c>
      <c r="FM48" s="174">
        <f t="shared" si="270"/>
        <v>1.6118272745223073E-4</v>
      </c>
      <c r="FN48" s="174">
        <f t="shared" si="335"/>
        <v>-0.48278061224489799</v>
      </c>
      <c r="FO48" s="175">
        <v>1623</v>
      </c>
      <c r="FP48" s="174">
        <f t="shared" si="272"/>
        <v>1.6354444237088857E-4</v>
      </c>
      <c r="FQ48" s="174" t="e">
        <f t="shared" si="336"/>
        <v>#DIV/0!</v>
      </c>
      <c r="FR48" s="175">
        <v>0</v>
      </c>
      <c r="FS48" s="174">
        <f t="shared" si="274"/>
        <v>0</v>
      </c>
      <c r="FT48" s="174">
        <f t="shared" si="337"/>
        <v>-1</v>
      </c>
      <c r="FU48" s="175">
        <v>7764</v>
      </c>
      <c r="FV48" s="174">
        <f t="shared" si="316"/>
        <v>6.7203893878784739E-4</v>
      </c>
      <c r="FW48" s="174">
        <f t="shared" si="338"/>
        <v>-0.46514191237255442</v>
      </c>
      <c r="FX48" s="175">
        <v>0</v>
      </c>
      <c r="FY48" s="174">
        <f t="shared" si="317"/>
        <v>0</v>
      </c>
      <c r="FZ48" s="174">
        <f t="shared" si="339"/>
        <v>-1</v>
      </c>
      <c r="GA48" s="175">
        <v>0</v>
      </c>
      <c r="GB48" s="174">
        <f t="shared" si="318"/>
        <v>0</v>
      </c>
      <c r="GC48" s="174">
        <f t="shared" si="340"/>
        <v>-1</v>
      </c>
      <c r="GD48" s="175">
        <v>0</v>
      </c>
      <c r="GE48" s="174">
        <f t="shared" si="319"/>
        <v>0</v>
      </c>
      <c r="GF48" s="174" t="e">
        <f t="shared" si="341"/>
        <v>#DIV/0!</v>
      </c>
      <c r="GG48" s="175">
        <v>31428</v>
      </c>
      <c r="GH48" s="174">
        <f t="shared" si="320"/>
        <v>2.1463426227462737E-3</v>
      </c>
      <c r="GI48" s="174">
        <f t="shared" si="342"/>
        <v>3.0479134466769704</v>
      </c>
    </row>
    <row r="49" spans="2:191" s="171" customFormat="1" ht="16.5" customHeight="1">
      <c r="B49" s="172" t="s">
        <v>48</v>
      </c>
      <c r="C49" s="173" t="s">
        <v>49</v>
      </c>
      <c r="D49" s="10">
        <v>26532</v>
      </c>
      <c r="E49" s="174">
        <f t="shared" si="209"/>
        <v>3.9453609443170563E-2</v>
      </c>
      <c r="F49" s="10">
        <v>20518</v>
      </c>
      <c r="G49" s="174">
        <f t="shared" si="210"/>
        <v>2.9191576299592816E-2</v>
      </c>
      <c r="H49" s="10">
        <v>14562</v>
      </c>
      <c r="I49" s="174">
        <f t="shared" si="211"/>
        <v>1.6664244427228109E-2</v>
      </c>
      <c r="J49" s="10">
        <v>22644</v>
      </c>
      <c r="K49" s="174">
        <f t="shared" si="212"/>
        <v>2.1216470967427601E-2</v>
      </c>
      <c r="L49" s="12">
        <v>25689</v>
      </c>
      <c r="M49" s="174">
        <f t="shared" si="213"/>
        <v>2.7824261664386701E-2</v>
      </c>
      <c r="N49" s="174">
        <f>(L49/D49)-1</f>
        <v>-3.1772953414744509E-2</v>
      </c>
      <c r="O49" s="12">
        <v>45093</v>
      </c>
      <c r="P49" s="174">
        <f t="shared" si="215"/>
        <v>4.2583229613065168E-2</v>
      </c>
      <c r="Q49" s="174">
        <f t="shared" si="344"/>
        <v>1.1977288234720733</v>
      </c>
      <c r="R49" s="175">
        <v>47644</v>
      </c>
      <c r="S49" s="174">
        <f t="shared" si="217"/>
        <v>4.2748601186524016E-2</v>
      </c>
      <c r="T49" s="174">
        <f t="shared" si="345"/>
        <v>2.2718033237192694</v>
      </c>
      <c r="U49" s="175">
        <v>69386</v>
      </c>
      <c r="V49" s="174">
        <f t="shared" si="219"/>
        <v>4.8653621499422914E-2</v>
      </c>
      <c r="W49" s="174">
        <f t="shared" si="346"/>
        <v>2.0642112700936228</v>
      </c>
      <c r="X49" s="175">
        <v>67915</v>
      </c>
      <c r="Y49" s="174">
        <f t="shared" si="221"/>
        <v>5.3586124022505933E-2</v>
      </c>
      <c r="Z49" s="174">
        <f t="shared" si="347"/>
        <v>1.6437385651446146</v>
      </c>
      <c r="AA49" s="175">
        <v>68627</v>
      </c>
      <c r="AB49" s="174">
        <f t="shared" si="223"/>
        <v>5.1994760141618614E-2</v>
      </c>
      <c r="AC49" s="174">
        <f t="shared" si="348"/>
        <v>0.5218991861264497</v>
      </c>
      <c r="AD49" s="175">
        <v>57421</v>
      </c>
      <c r="AE49" s="174">
        <f t="shared" si="225"/>
        <v>4.2331229095541441E-2</v>
      </c>
      <c r="AF49" s="174">
        <f t="shared" si="349"/>
        <v>0.2052094702375955</v>
      </c>
      <c r="AG49" s="175">
        <v>62323</v>
      </c>
      <c r="AH49" s="174">
        <f t="shared" si="227"/>
        <v>3.8749505706448077E-2</v>
      </c>
      <c r="AI49" s="174">
        <f t="shared" si="350"/>
        <v>-0.10179286887844807</v>
      </c>
      <c r="AJ49" s="175">
        <v>68740</v>
      </c>
      <c r="AK49" s="174">
        <f t="shared" si="229"/>
        <v>4.7146259025964053E-2</v>
      </c>
      <c r="AL49" s="174">
        <f t="shared" si="288"/>
        <v>1.2147537362880101E-2</v>
      </c>
      <c r="AM49" s="175">
        <v>57392</v>
      </c>
      <c r="AN49" s="174">
        <f t="shared" si="230"/>
        <v>3.8110719768807005E-2</v>
      </c>
      <c r="AO49" s="174">
        <f t="shared" si="289"/>
        <v>-0.16371107581564104</v>
      </c>
      <c r="AP49" s="175">
        <v>29957</v>
      </c>
      <c r="AQ49" s="174">
        <f t="shared" si="231"/>
        <v>2.0872990877951844E-2</v>
      </c>
      <c r="AR49" s="174">
        <f t="shared" si="290"/>
        <v>-0.47829191410807892</v>
      </c>
      <c r="AS49" s="175">
        <v>44968</v>
      </c>
      <c r="AT49" s="174">
        <f t="shared" si="232"/>
        <v>2.7649559905432702E-2</v>
      </c>
      <c r="AU49" s="13">
        <f t="shared" si="291"/>
        <v>-0.27846862314073451</v>
      </c>
      <c r="AV49" s="175">
        <v>37742</v>
      </c>
      <c r="AW49" s="174">
        <f t="shared" si="233"/>
        <v>2.5989783677848429E-2</v>
      </c>
      <c r="AX49" s="174">
        <f t="shared" si="292"/>
        <v>-0.45094559208612162</v>
      </c>
      <c r="AY49" s="175">
        <v>43409</v>
      </c>
      <c r="AZ49" s="174">
        <f t="shared" si="234"/>
        <v>2.7364161011633661E-2</v>
      </c>
      <c r="BA49" s="174">
        <f t="shared" si="293"/>
        <v>-0.24364022860328971</v>
      </c>
      <c r="BB49" s="175">
        <v>39312</v>
      </c>
      <c r="BC49" s="174">
        <f t="shared" si="235"/>
        <v>2.4120899011529091E-2</v>
      </c>
      <c r="BD49" s="174">
        <f t="shared" si="294"/>
        <v>0.31228093600827855</v>
      </c>
      <c r="BE49" s="175">
        <v>47461</v>
      </c>
      <c r="BF49" s="174">
        <f t="shared" si="236"/>
        <v>2.4703869514682772E-2</v>
      </c>
      <c r="BG49" s="174">
        <f t="shared" si="237"/>
        <v>5.5439423590108561E-2</v>
      </c>
      <c r="BH49" s="175">
        <v>50559</v>
      </c>
      <c r="BI49" s="174">
        <f t="shared" si="295"/>
        <v>2.7595267230736145E-2</v>
      </c>
      <c r="BJ49" s="174">
        <f t="shared" si="296"/>
        <v>0.33959514599120344</v>
      </c>
      <c r="BK49" s="175">
        <v>47646</v>
      </c>
      <c r="BL49" s="174">
        <f t="shared" si="297"/>
        <v>2.5453554715045835E-2</v>
      </c>
      <c r="BM49" s="174">
        <f t="shared" si="298"/>
        <v>9.7606487134004549E-2</v>
      </c>
      <c r="BN49" s="175">
        <v>49358</v>
      </c>
      <c r="BO49" s="174">
        <f t="shared" si="238"/>
        <v>2.5902069835565571E-2</v>
      </c>
      <c r="BP49" s="174">
        <f t="shared" si="239"/>
        <v>0.25554538054538045</v>
      </c>
      <c r="BQ49" s="175">
        <v>38263</v>
      </c>
      <c r="BR49" s="174">
        <f t="shared" si="240"/>
        <v>1.5579302243675222E-2</v>
      </c>
      <c r="BS49" s="174">
        <f t="shared" si="241"/>
        <v>-0.19380122626999008</v>
      </c>
      <c r="BT49" s="175">
        <v>27972</v>
      </c>
      <c r="BU49" s="174">
        <f t="shared" si="242"/>
        <v>1.2645118008895704E-2</v>
      </c>
      <c r="BV49" s="174">
        <f t="shared" si="243"/>
        <v>-0.44674538657805729</v>
      </c>
      <c r="BW49" s="176">
        <v>63550</v>
      </c>
      <c r="BX49" s="174">
        <f t="shared" si="244"/>
        <v>2.8511732432084425E-2</v>
      </c>
      <c r="BY49" s="174">
        <f t="shared" si="245"/>
        <v>0.33379507198925418</v>
      </c>
      <c r="BZ49" s="175">
        <v>45489</v>
      </c>
      <c r="CA49" s="174">
        <f t="shared" si="299"/>
        <v>1.7091284267857759E-2</v>
      </c>
      <c r="CB49" s="174">
        <f t="shared" si="246"/>
        <v>-7.8386482434458449E-2</v>
      </c>
      <c r="CC49" s="175">
        <f>52742-CC47</f>
        <v>34661</v>
      </c>
      <c r="CD49" s="174">
        <f t="shared" si="300"/>
        <v>1.1617547688891987E-2</v>
      </c>
      <c r="CE49" s="174">
        <f t="shared" si="321"/>
        <v>-9.4137940046520097E-2</v>
      </c>
      <c r="CF49" s="175">
        <f>58467-CF47</f>
        <v>38167</v>
      </c>
      <c r="CG49" s="174">
        <f t="shared" si="301"/>
        <v>1.3347405689162503E-2</v>
      </c>
      <c r="CH49" s="174">
        <f t="shared" si="322"/>
        <v>0.36447161447161447</v>
      </c>
      <c r="CI49" s="175">
        <f>77811-CI47</f>
        <v>41333</v>
      </c>
      <c r="CJ49" s="174">
        <f t="shared" si="302"/>
        <v>1.4205102949449931E-2</v>
      </c>
      <c r="CK49" s="174">
        <f t="shared" si="323"/>
        <v>-0.34959874114870182</v>
      </c>
      <c r="CL49" s="175">
        <v>41860</v>
      </c>
      <c r="CM49" s="174">
        <f t="shared" si="303"/>
        <v>1.2600179099535695E-2</v>
      </c>
      <c r="CN49" s="174">
        <f t="shared" si="324"/>
        <v>-7.9777528633296013E-2</v>
      </c>
      <c r="CO49" s="175">
        <v>45631</v>
      </c>
      <c r="CP49" s="174">
        <f t="shared" si="304"/>
        <v>1.2103623633564525E-2</v>
      </c>
      <c r="CQ49" s="174">
        <f t="shared" si="305"/>
        <v>0.31649404229537526</v>
      </c>
      <c r="CR49" s="175">
        <v>39852.023999999998</v>
      </c>
      <c r="CS49" s="174">
        <f t="shared" si="306"/>
        <v>1.1433572025119874E-2</v>
      </c>
      <c r="CT49" s="174">
        <f t="shared" si="247"/>
        <v>4.4148714858385452E-2</v>
      </c>
      <c r="CU49" s="175">
        <v>42060</v>
      </c>
      <c r="CV49" s="174">
        <f t="shared" si="307"/>
        <v>1.1972206036940774E-2</v>
      </c>
      <c r="CW49" s="174">
        <f t="shared" si="248"/>
        <v>1.7588851522996052E-2</v>
      </c>
      <c r="CX49" s="175">
        <v>47645</v>
      </c>
      <c r="CY49" s="174">
        <f t="shared" si="249"/>
        <v>1.1865461078907347E-2</v>
      </c>
      <c r="CZ49" s="174">
        <f t="shared" si="250"/>
        <v>0.13819875776397517</v>
      </c>
      <c r="DA49" s="175">
        <v>98162.967000000004</v>
      </c>
      <c r="DB49" s="174">
        <f t="shared" si="251"/>
        <v>2.1738997954611691E-2</v>
      </c>
      <c r="DC49" s="174">
        <f>(DA49/CO49)-1</f>
        <v>1.1512341829019745</v>
      </c>
      <c r="DD49" s="175">
        <v>93115.334659999993</v>
      </c>
      <c r="DE49" s="174">
        <f>DD49/$CR$31</f>
        <v>2.6714851056956378E-2</v>
      </c>
      <c r="DF49" s="174">
        <f t="shared" si="254"/>
        <v>1.3365271149088938</v>
      </c>
      <c r="DG49" s="175">
        <v>54369.903680000003</v>
      </c>
      <c r="DH49" s="174">
        <f t="shared" si="187"/>
        <v>1.2342776019421575E-2</v>
      </c>
      <c r="DI49" s="174" t="s">
        <v>112</v>
      </c>
      <c r="DJ49" s="175">
        <v>60659.666380000002</v>
      </c>
      <c r="DK49" s="174">
        <f t="shared" si="308"/>
        <v>1.3452581248737289E-2</v>
      </c>
      <c r="DL49" s="174">
        <f t="shared" si="255"/>
        <v>0.27315912225836914</v>
      </c>
      <c r="DM49" s="175">
        <v>67184</v>
      </c>
      <c r="DN49" s="174">
        <f t="shared" si="80"/>
        <v>1.2631221682063567E-2</v>
      </c>
      <c r="DO49" s="174">
        <f t="shared" si="256"/>
        <v>-0.31558710934236534</v>
      </c>
      <c r="DP49" s="175">
        <v>65126</v>
      </c>
      <c r="DQ49" s="174">
        <f t="shared" si="343"/>
        <v>1.2830396096073319E-2</v>
      </c>
      <c r="DR49" s="174">
        <f t="shared" si="257"/>
        <v>-0.3005878114727274</v>
      </c>
      <c r="DS49" s="175">
        <v>66026</v>
      </c>
      <c r="DT49" s="174">
        <f t="shared" si="81"/>
        <v>1.2620340603546104E-2</v>
      </c>
      <c r="DU49" s="174">
        <f t="shared" si="286"/>
        <v>0.21438508312619464</v>
      </c>
      <c r="DV49" s="175">
        <v>5065</v>
      </c>
      <c r="DW49" s="174">
        <f t="shared" si="309"/>
        <v>9.5697034336624941E-4</v>
      </c>
      <c r="DX49" s="174">
        <f>(DV49/DJ49)-1</f>
        <v>-0.91650135415729928</v>
      </c>
      <c r="DY49" s="175">
        <v>68842</v>
      </c>
      <c r="DZ49" s="174">
        <f t="shared" si="310"/>
        <v>1.1740330667277882E-2</v>
      </c>
      <c r="EA49" s="174">
        <f t="shared" si="259"/>
        <v>2.467849487973317E-2</v>
      </c>
      <c r="EB49" s="175">
        <v>63502</v>
      </c>
      <c r="EC49" s="174">
        <f t="shared" si="84"/>
        <v>1.1398172472790636E-2</v>
      </c>
      <c r="ED49" s="174">
        <f t="shared" si="260"/>
        <v>-2.4936277370021243E-2</v>
      </c>
      <c r="EE49" s="175">
        <v>60082</v>
      </c>
      <c r="EF49" s="174">
        <f t="shared" si="311"/>
        <v>1.0336476552135964E-2</v>
      </c>
      <c r="EG49" s="174">
        <f t="shared" si="312"/>
        <v>-9.0025141610880599E-2</v>
      </c>
      <c r="EH49" s="175">
        <v>64888</v>
      </c>
      <c r="EI49" s="174">
        <f t="shared" si="313"/>
        <v>1.1435354857629056E-2</v>
      </c>
      <c r="EJ49" s="174">
        <f t="shared" si="314"/>
        <v>11.811056268509379</v>
      </c>
      <c r="EK49" s="175">
        <v>62265</v>
      </c>
      <c r="EL49" s="174">
        <f t="shared" si="261"/>
        <v>9.6159013789818767E-3</v>
      </c>
      <c r="EM49" s="174">
        <f t="shared" si="325"/>
        <v>-9.553760785566956E-2</v>
      </c>
      <c r="EN49" s="175">
        <v>53161</v>
      </c>
      <c r="EO49" s="174">
        <f t="shared" si="287"/>
        <v>8.5031396724785293E-3</v>
      </c>
      <c r="EP49" s="174">
        <f t="shared" si="326"/>
        <v>-0.16284526471607197</v>
      </c>
      <c r="EQ49" s="175">
        <v>79754</v>
      </c>
      <c r="ER49" s="174">
        <f t="shared" si="263"/>
        <v>1.2090327116766086E-2</v>
      </c>
      <c r="ES49" s="174">
        <f t="shared" si="327"/>
        <v>0.32741919376851647</v>
      </c>
      <c r="ET49" s="175">
        <v>69159</v>
      </c>
      <c r="EU49" s="174">
        <f t="shared" si="264"/>
        <v>1.0661880159412522E-2</v>
      </c>
      <c r="EV49" s="174">
        <f t="shared" si="328"/>
        <v>6.5821107138454016E-2</v>
      </c>
      <c r="EW49" s="175">
        <v>74252</v>
      </c>
      <c r="EX49" s="174">
        <f t="shared" si="265"/>
        <v>9.8377536449054791E-3</v>
      </c>
      <c r="EY49" s="174">
        <f t="shared" si="329"/>
        <v>0.19251585963221718</v>
      </c>
      <c r="EZ49" s="175">
        <v>70789</v>
      </c>
      <c r="FA49" s="174">
        <f t="shared" si="330"/>
        <v>1.0074209218906878E-2</v>
      </c>
      <c r="FB49" s="174">
        <f t="shared" si="331"/>
        <v>0.331596471097233</v>
      </c>
      <c r="FC49" s="175">
        <v>66392</v>
      </c>
      <c r="FD49" s="174">
        <f t="shared" si="332"/>
        <v>9.0881875327073862E-3</v>
      </c>
      <c r="FE49" s="174">
        <f t="shared" si="333"/>
        <v>-0.16754018607217191</v>
      </c>
      <c r="FF49" s="175">
        <v>92602</v>
      </c>
      <c r="FG49" s="174">
        <f t="shared" si="88"/>
        <v>1.2269631383714232E-2</v>
      </c>
      <c r="FH49" s="174">
        <f t="shared" si="89"/>
        <v>0.33897251261585626</v>
      </c>
      <c r="FI49" s="175">
        <v>79383</v>
      </c>
      <c r="FJ49" s="174">
        <f t="shared" si="268"/>
        <v>8.9992708349393401E-3</v>
      </c>
      <c r="FK49" s="174">
        <f t="shared" si="334"/>
        <v>6.9102515757151428E-2</v>
      </c>
      <c r="FL49" s="175">
        <v>76474</v>
      </c>
      <c r="FM49" s="174">
        <f t="shared" si="270"/>
        <v>7.5994376690393913E-3</v>
      </c>
      <c r="FN49" s="174">
        <f t="shared" si="335"/>
        <v>8.0309087570102689E-2</v>
      </c>
      <c r="FO49" s="175">
        <v>84068</v>
      </c>
      <c r="FP49" s="174">
        <f t="shared" si="272"/>
        <v>8.4712595078471099E-3</v>
      </c>
      <c r="FQ49" s="174">
        <f t="shared" si="336"/>
        <v>0.26623689601156775</v>
      </c>
      <c r="FR49" s="175">
        <v>93594</v>
      </c>
      <c r="FS49" s="174">
        <f t="shared" si="274"/>
        <v>9.1738083527390761E-3</v>
      </c>
      <c r="FT49" s="174">
        <f t="shared" si="337"/>
        <v>1.0712511608820474E-2</v>
      </c>
      <c r="FU49" s="175">
        <v>94413</v>
      </c>
      <c r="FV49" s="174">
        <f t="shared" si="316"/>
        <v>8.1722323966740128E-3</v>
      </c>
      <c r="FW49" s="174">
        <f t="shared" si="338"/>
        <v>0.1893352481009789</v>
      </c>
      <c r="FX49" s="175">
        <v>90374</v>
      </c>
      <c r="FY49" s="174">
        <f t="shared" si="317"/>
        <v>7.8555627865682341E-3</v>
      </c>
      <c r="FZ49" s="174">
        <f t="shared" si="339"/>
        <v>0.18176112142689016</v>
      </c>
      <c r="GA49" s="175">
        <v>121571</v>
      </c>
      <c r="GB49" s="174">
        <f t="shared" si="318"/>
        <v>9.476950977274759E-3</v>
      </c>
      <c r="GC49" s="174">
        <f t="shared" si="340"/>
        <v>0.44610315458914207</v>
      </c>
      <c r="GD49" s="175">
        <v>122158</v>
      </c>
      <c r="GE49" s="174">
        <f t="shared" si="319"/>
        <v>9.4097329474683977E-3</v>
      </c>
      <c r="GF49" s="174">
        <f t="shared" si="341"/>
        <v>0.30519050366476486</v>
      </c>
      <c r="GG49" s="175">
        <v>145835</v>
      </c>
      <c r="GH49" s="174">
        <f t="shared" si="320"/>
        <v>9.9596498787133392E-3</v>
      </c>
      <c r="GI49" s="174">
        <f t="shared" si="342"/>
        <v>0.54464957156323801</v>
      </c>
    </row>
    <row r="50" spans="2:191" s="154" customFormat="1" ht="16.5" customHeight="1">
      <c r="B50" s="155" t="s">
        <v>273</v>
      </c>
      <c r="C50" s="161" t="s">
        <v>167</v>
      </c>
      <c r="D50" s="45">
        <f>SUM(D51:D60)</f>
        <v>232647</v>
      </c>
      <c r="E50" s="158">
        <f t="shared" si="209"/>
        <v>0.34595069637137427</v>
      </c>
      <c r="F50" s="45">
        <f>SUM(F51:F60)</f>
        <v>216514</v>
      </c>
      <c r="G50" s="158">
        <f t="shared" si="210"/>
        <v>0.30804098600887214</v>
      </c>
      <c r="H50" s="45">
        <f>SUM(H51:H60)</f>
        <v>22801</v>
      </c>
      <c r="I50" s="158">
        <f t="shared" si="211"/>
        <v>2.6092668396183773E-2</v>
      </c>
      <c r="J50" s="45">
        <f>SUM(J51:J60)</f>
        <v>19212</v>
      </c>
      <c r="K50" s="158">
        <f t="shared" si="212"/>
        <v>1.8000832018469311E-2</v>
      </c>
      <c r="L50" s="46">
        <f>SUM(L51:L60)</f>
        <v>19335</v>
      </c>
      <c r="M50" s="158">
        <f t="shared" si="213"/>
        <v>2.0942119166994309E-2</v>
      </c>
      <c r="N50" s="158">
        <f>(L50/D50)-1</f>
        <v>-0.91689125585113929</v>
      </c>
      <c r="O50" s="46">
        <f>SUM(O51:O60)</f>
        <v>25475</v>
      </c>
      <c r="P50" s="158">
        <f t="shared" si="215"/>
        <v>2.4057121380099685E-2</v>
      </c>
      <c r="Q50" s="158">
        <f t="shared" si="344"/>
        <v>-0.88234017199811565</v>
      </c>
      <c r="R50" s="46">
        <f>SUM(R51:R60)</f>
        <v>26299</v>
      </c>
      <c r="S50" s="158">
        <f t="shared" si="217"/>
        <v>2.3596789996734008E-2</v>
      </c>
      <c r="T50" s="158">
        <f t="shared" si="345"/>
        <v>0.1534143239331609</v>
      </c>
      <c r="U50" s="45">
        <f>SUM(U51:U60)</f>
        <v>28797</v>
      </c>
      <c r="V50" s="158">
        <f t="shared" si="219"/>
        <v>2.0192522098389898E-2</v>
      </c>
      <c r="W50" s="158">
        <f t="shared" si="346"/>
        <v>0.49890693316677082</v>
      </c>
      <c r="X50" s="45">
        <f>SUM(X51:X60)</f>
        <v>50583</v>
      </c>
      <c r="Y50" s="158">
        <f t="shared" si="221"/>
        <v>3.9910872582351729E-2</v>
      </c>
      <c r="Z50" s="158">
        <f t="shared" si="347"/>
        <v>1.6161365399534522</v>
      </c>
      <c r="AA50" s="45">
        <f>SUM(AA51:AA60)</f>
        <v>52397</v>
      </c>
      <c r="AB50" s="158">
        <f t="shared" si="223"/>
        <v>3.969821567517727E-2</v>
      </c>
      <c r="AC50" s="158">
        <f t="shared" si="348"/>
        <v>1.0568007850834151</v>
      </c>
      <c r="AD50" s="45">
        <f>SUM(AD51:AD60)</f>
        <v>39319</v>
      </c>
      <c r="AE50" s="158">
        <f t="shared" si="225"/>
        <v>2.8986287191229584E-2</v>
      </c>
      <c r="AF50" s="158">
        <f t="shared" si="349"/>
        <v>0.49507585839765778</v>
      </c>
      <c r="AG50" s="46">
        <f>SUM(AG51:AG60)</f>
        <v>43937</v>
      </c>
      <c r="AH50" s="158">
        <f t="shared" si="227"/>
        <v>2.731795696972561E-2</v>
      </c>
      <c r="AI50" s="158">
        <f t="shared" si="350"/>
        <v>0.52574920998715147</v>
      </c>
      <c r="AJ50" s="46">
        <f>SUM(AJ51:AJ60)</f>
        <v>46223</v>
      </c>
      <c r="AK50" s="158">
        <f t="shared" si="229"/>
        <v>3.1702669929548101E-2</v>
      </c>
      <c r="AL50" s="158">
        <f t="shared" si="288"/>
        <v>-8.6194966688413088E-2</v>
      </c>
      <c r="AM50" s="46">
        <f>SUM(AM51:AM60)</f>
        <v>75839</v>
      </c>
      <c r="AN50" s="158">
        <f t="shared" si="230"/>
        <v>5.0360309390621597E-2</v>
      </c>
      <c r="AO50" s="158">
        <f t="shared" si="289"/>
        <v>0.44739202626104557</v>
      </c>
      <c r="AP50" s="46">
        <f>SUM(AP51:AP60)</f>
        <v>83547</v>
      </c>
      <c r="AQ50" s="158">
        <f t="shared" si="231"/>
        <v>5.8212630399580828E-2</v>
      </c>
      <c r="AR50" s="158">
        <f t="shared" si="290"/>
        <v>1.1248505811439764</v>
      </c>
      <c r="AS50" s="46">
        <f>SUM(AS51:AS60)</f>
        <v>80972</v>
      </c>
      <c r="AT50" s="158">
        <f t="shared" si="232"/>
        <v>4.9787408038220439E-2</v>
      </c>
      <c r="AU50" s="158">
        <f t="shared" si="291"/>
        <v>0.84291144138197871</v>
      </c>
      <c r="AV50" s="46">
        <f>SUM(AV51:AV60)</f>
        <v>76249</v>
      </c>
      <c r="AW50" s="158">
        <f t="shared" si="233"/>
        <v>5.2506359378206371E-2</v>
      </c>
      <c r="AX50" s="158">
        <f t="shared" si="292"/>
        <v>0.64959003093697953</v>
      </c>
      <c r="AY50" s="46">
        <f>SUM(AY51:AY60)</f>
        <v>83029</v>
      </c>
      <c r="AZ50" s="158">
        <f t="shared" si="234"/>
        <v>5.2339812588056193E-2</v>
      </c>
      <c r="BA50" s="158">
        <f t="shared" si="293"/>
        <v>9.4806102401139292E-2</v>
      </c>
      <c r="BB50" s="46">
        <f>SUM(BB51:BB60)</f>
        <v>79659</v>
      </c>
      <c r="BC50" s="158">
        <f t="shared" si="235"/>
        <v>4.88768491646163E-2</v>
      </c>
      <c r="BD50" s="158">
        <f t="shared" si="294"/>
        <v>-4.6536679952601578E-2</v>
      </c>
      <c r="BE50" s="46">
        <f>SUM(BE51:BE60)</f>
        <v>81427</v>
      </c>
      <c r="BF50" s="158">
        <f t="shared" si="236"/>
        <v>4.2383472387266898E-2</v>
      </c>
      <c r="BG50" s="158">
        <f t="shared" si="237"/>
        <v>5.6192263992491664E-3</v>
      </c>
      <c r="BH50" s="46">
        <f>SUM(BH51:BH60)</f>
        <v>83057</v>
      </c>
      <c r="BI50" s="158">
        <f>BH50/$BH$6</f>
        <v>4.5332781708167728E-2</v>
      </c>
      <c r="BJ50" s="158">
        <f>(BH50/AV50)-1</f>
        <v>8.9286416871040997E-2</v>
      </c>
      <c r="BK50" s="46">
        <f>SUM(BK51:BK60)</f>
        <v>93375</v>
      </c>
      <c r="BL50" s="158">
        <f>BK50/$BK$6</f>
        <v>4.98830053208539E-2</v>
      </c>
      <c r="BM50" s="158">
        <f>(BK50/AY50)-1</f>
        <v>0.12460706500138508</v>
      </c>
      <c r="BN50" s="46">
        <f>SUM(BN51:BN60)</f>
        <v>99401</v>
      </c>
      <c r="BO50" s="158">
        <f t="shared" si="238"/>
        <v>5.2163613674076202E-2</v>
      </c>
      <c r="BP50" s="158">
        <f t="shared" si="239"/>
        <v>0.24783138126263204</v>
      </c>
      <c r="BQ50" s="46">
        <f>SUM(BQ51:BQ60)</f>
        <v>457132</v>
      </c>
      <c r="BR50" s="158">
        <f t="shared" si="240"/>
        <v>0.18612752772275415</v>
      </c>
      <c r="BS50" s="158">
        <f t="shared" si="241"/>
        <v>4.6140100949316567</v>
      </c>
      <c r="BT50" s="46">
        <f>SUM(BT51:BT60)</f>
        <v>446786</v>
      </c>
      <c r="BU50" s="158">
        <f t="shared" si="242"/>
        <v>0.20197560756193608</v>
      </c>
      <c r="BV50" s="158">
        <f t="shared" si="243"/>
        <v>4.3792696581865469</v>
      </c>
      <c r="BW50" s="177">
        <f>SUM(BW51:BW60)</f>
        <v>456839</v>
      </c>
      <c r="BX50" s="158">
        <f t="shared" si="244"/>
        <v>0.20496099657814346</v>
      </c>
      <c r="BY50" s="158">
        <f t="shared" si="245"/>
        <v>3.8925194109772425</v>
      </c>
      <c r="BZ50" s="46">
        <f>SUM(BZ51:BZ60)</f>
        <v>783203.375761654</v>
      </c>
      <c r="CA50" s="158">
        <f t="shared" ref="CA50:CA56" si="353">BZ50/$BZ$6</f>
        <v>0.29426787871107846</v>
      </c>
      <c r="CB50" s="158">
        <f t="shared" si="246"/>
        <v>6.879230347397451</v>
      </c>
      <c r="CC50" s="46">
        <f>SUM(CC51:CC60)</f>
        <v>768079</v>
      </c>
      <c r="CD50" s="158">
        <f>CC50/$CC$6</f>
        <v>0.25744192064096444</v>
      </c>
      <c r="CE50" s="158">
        <f t="shared" si="321"/>
        <v>0.68021271755204182</v>
      </c>
      <c r="CF50" s="46">
        <f>SUM(CF51:CF60)</f>
        <v>767655.61325999978</v>
      </c>
      <c r="CG50" s="158">
        <f t="shared" ref="CG50:CG56" si="354">CF50/$CF$6</f>
        <v>0.26845732962360286</v>
      </c>
      <c r="CH50" s="158">
        <f t="shared" si="322"/>
        <v>0.71817293572314211</v>
      </c>
      <c r="CI50" s="46">
        <f>SUM(CI51:CI60)</f>
        <v>763946.83084893005</v>
      </c>
      <c r="CJ50" s="158">
        <f>CI50/$CI$6</f>
        <v>0.26254913459257889</v>
      </c>
      <c r="CK50" s="158">
        <f t="shared" si="323"/>
        <v>0.67224521297203177</v>
      </c>
      <c r="CL50" s="46">
        <f>SUM(CL51:CL60)</f>
        <v>1080528</v>
      </c>
      <c r="CM50" s="158">
        <f>CL50/$CL$6</f>
        <v>0.32524716488445071</v>
      </c>
      <c r="CN50" s="158">
        <f t="shared" si="324"/>
        <v>0.37962633134618717</v>
      </c>
      <c r="CO50" s="46">
        <f>SUM(CO51:CO60)</f>
        <v>739133</v>
      </c>
      <c r="CP50" s="158">
        <f>CO50/$CO$6</f>
        <v>0.19605504256201811</v>
      </c>
      <c r="CQ50" s="158">
        <f>(CO50/CC50)-1</f>
        <v>-3.7686227588568322E-2</v>
      </c>
      <c r="CR50" s="46">
        <f>SUM(CR51:CR60)</f>
        <v>702850</v>
      </c>
      <c r="CS50" s="158">
        <f>CR50/$CR$31</f>
        <v>0.20164812953679601</v>
      </c>
      <c r="CT50" s="158">
        <f t="shared" si="247"/>
        <v>-8.4420164642306283E-2</v>
      </c>
      <c r="CU50" s="46">
        <f>SUM(CU51:CU60)</f>
        <v>696760</v>
      </c>
      <c r="CV50" s="158">
        <f>CU50/$CU$31</f>
        <v>0.19832986871847014</v>
      </c>
      <c r="CW50" s="158">
        <f t="shared" si="248"/>
        <v>-8.7946998581392433E-2</v>
      </c>
      <c r="CX50" s="46">
        <f>SUM(CX51:CX60)</f>
        <v>1103861</v>
      </c>
      <c r="CY50" s="158">
        <f t="shared" si="249"/>
        <v>0.27490439147914242</v>
      </c>
      <c r="CZ50" s="158">
        <f t="shared" si="250"/>
        <v>2.1594072527505004E-2</v>
      </c>
      <c r="DA50" s="46">
        <f>SUM(DA51:DA60)</f>
        <v>1089682</v>
      </c>
      <c r="DB50" s="158">
        <f t="shared" si="251"/>
        <v>0.241319058430428</v>
      </c>
      <c r="DC50" s="158">
        <f t="shared" si="252"/>
        <v>0.47427053047286494</v>
      </c>
      <c r="DD50" s="46">
        <f>SUM(DD51:DD60)</f>
        <v>1092132</v>
      </c>
      <c r="DE50" s="158">
        <f>DD50/$CR$31</f>
        <v>0.31333339262613658</v>
      </c>
      <c r="DF50" s="158">
        <f t="shared" si="254"/>
        <v>0.55386213274525153</v>
      </c>
      <c r="DG50" s="46">
        <f>SUM(DG51:DG60)</f>
        <v>1522677</v>
      </c>
      <c r="DH50" s="158">
        <f t="shared" si="187"/>
        <v>0.34567030450411101</v>
      </c>
      <c r="DI50" s="158">
        <f t="shared" si="78"/>
        <v>1.1853679889775535</v>
      </c>
      <c r="DJ50" s="46">
        <f>SUM(DJ51:DJ60)</f>
        <v>1385038</v>
      </c>
      <c r="DK50" s="158">
        <f t="shared" si="308"/>
        <v>0.30716186453890282</v>
      </c>
      <c r="DL50" s="158">
        <f t="shared" si="255"/>
        <v>0.25472138249290444</v>
      </c>
      <c r="DM50" s="46">
        <f>SUM(DM51:DM60)</f>
        <v>1428910</v>
      </c>
      <c r="DN50" s="158">
        <f t="shared" si="80"/>
        <v>0.26864847245947621</v>
      </c>
      <c r="DO50" s="158">
        <f t="shared" si="256"/>
        <v>0.31130917093243715</v>
      </c>
      <c r="DP50" s="46">
        <f>SUM(DP51:DP60)</f>
        <v>1444295</v>
      </c>
      <c r="DQ50" s="158">
        <f t="shared" si="343"/>
        <v>0.28453884669069518</v>
      </c>
      <c r="DR50" s="158">
        <f t="shared" si="257"/>
        <v>0.32245461171360246</v>
      </c>
      <c r="DS50" s="46">
        <f>SUM(DS51:DS60)</f>
        <v>1366376</v>
      </c>
      <c r="DT50" s="158">
        <f t="shared" si="81"/>
        <v>0.26117181886697532</v>
      </c>
      <c r="DU50" s="158">
        <f t="shared" si="286"/>
        <v>-0.10264882177901158</v>
      </c>
      <c r="DV50" s="46">
        <f>SUM(DV51:DV60)</f>
        <v>1235699</v>
      </c>
      <c r="DW50" s="158">
        <f t="shared" ref="DW50:DW58" si="355">DV50/DV$6</f>
        <v>0.23347034478328355</v>
      </c>
      <c r="DX50" s="158">
        <f t="shared" ref="DX50:DX56" si="356">(DV50/DJ50)-1</f>
        <v>-0.10782303445826036</v>
      </c>
      <c r="DY50" s="46">
        <f>SUM(DY51:DY60)</f>
        <v>1233696</v>
      </c>
      <c r="DZ50" s="158">
        <f t="shared" ref="DZ50:DZ56" si="357">DY50/DY$6</f>
        <v>0.21039480234301813</v>
      </c>
      <c r="EA50" s="158">
        <f t="shared" ref="EA50:EA56" si="358">(DY50/DM50)-1</f>
        <v>-0.13661742167106394</v>
      </c>
      <c r="EB50" s="46">
        <f>SUM(EB51:EB60)</f>
        <v>1234650</v>
      </c>
      <c r="EC50" s="158">
        <f t="shared" si="84"/>
        <v>0.22161118773473212</v>
      </c>
      <c r="ED50" s="158">
        <f t="shared" si="260"/>
        <v>-0.14515386399592878</v>
      </c>
      <c r="EE50" s="46">
        <f>SUM(EE51:EE60)</f>
        <v>1160598</v>
      </c>
      <c r="EF50" s="158">
        <f t="shared" si="311"/>
        <v>0.19966868635291596</v>
      </c>
      <c r="EG50" s="158">
        <f t="shared" si="312"/>
        <v>-0.15060129861765725</v>
      </c>
      <c r="EH50" s="46">
        <f>SUM(EH51:EH60)</f>
        <v>924191</v>
      </c>
      <c r="EI50" s="158">
        <f t="shared" si="313"/>
        <v>0.16287221121358425</v>
      </c>
      <c r="EJ50" s="158">
        <f t="shared" si="314"/>
        <v>-0.25209051718905651</v>
      </c>
      <c r="EK50" s="46">
        <f>SUM(EK51:EK60)</f>
        <v>920665</v>
      </c>
      <c r="EL50" s="158">
        <f t="shared" si="261"/>
        <v>0.14218298952991809</v>
      </c>
      <c r="EM50" s="158">
        <f t="shared" si="325"/>
        <v>-0.2537343073171997</v>
      </c>
      <c r="EN50" s="46">
        <f>SUM(EN51:EN60)</f>
        <v>1240045</v>
      </c>
      <c r="EO50" s="158">
        <f t="shared" si="287"/>
        <v>0.19834607767270437</v>
      </c>
      <c r="EP50" s="158">
        <f t="shared" si="326"/>
        <v>4.3696594176487746E-3</v>
      </c>
      <c r="EQ50" s="46">
        <f>SUM(EQ51:EQ60)</f>
        <v>1125725</v>
      </c>
      <c r="ER50" s="158">
        <f t="shared" si="263"/>
        <v>0.17065455643004115</v>
      </c>
      <c r="ES50" s="158">
        <f t="shared" si="327"/>
        <v>-3.0047441060556679E-2</v>
      </c>
      <c r="ET50" s="46">
        <f>SUM(ET51:ET60)</f>
        <v>1236683</v>
      </c>
      <c r="EU50" s="158">
        <f t="shared" si="264"/>
        <v>0.19065292935384773</v>
      </c>
      <c r="EV50" s="158">
        <f t="shared" si="328"/>
        <v>0.33812491140900525</v>
      </c>
      <c r="EW50" s="46">
        <f>SUM(EW51:EW60)</f>
        <v>1382500</v>
      </c>
      <c r="EX50" s="158">
        <f t="shared" si="265"/>
        <v>0.18316940168725185</v>
      </c>
      <c r="EY50" s="158">
        <f t="shared" si="329"/>
        <v>0.50163197254158676</v>
      </c>
      <c r="EZ50" s="46">
        <f>SUM(EZ51:EZ60)</f>
        <v>1376119</v>
      </c>
      <c r="FA50" s="158">
        <f t="shared" si="330"/>
        <v>0.19583990049460953</v>
      </c>
      <c r="FB50" s="158">
        <f t="shared" si="331"/>
        <v>0.10973311452406964</v>
      </c>
      <c r="FC50" s="46">
        <f>SUM(FC51:FC60)</f>
        <v>906252</v>
      </c>
      <c r="FD50" s="158">
        <f t="shared" si="332"/>
        <v>0.12405392408559969</v>
      </c>
      <c r="FE50" s="158">
        <f t="shared" si="333"/>
        <v>-0.19496146927535585</v>
      </c>
      <c r="FF50" s="46">
        <f>SUM(FF51:FF60)</f>
        <v>700351</v>
      </c>
      <c r="FG50" s="158">
        <f t="shared" si="88"/>
        <v>9.2795496957038134E-2</v>
      </c>
      <c r="FH50" s="158">
        <f t="shared" si="89"/>
        <v>-0.43368591627765563</v>
      </c>
      <c r="FI50" s="46">
        <f>SUM(FI51:FI60)</f>
        <v>542181</v>
      </c>
      <c r="FJ50" s="158">
        <f t="shared" si="268"/>
        <v>6.1464465446736033E-2</v>
      </c>
      <c r="FK50" s="158">
        <f t="shared" si="334"/>
        <v>-0.60782567811934896</v>
      </c>
      <c r="FL50" s="46">
        <f>SUM(FL51:FL60)</f>
        <v>1560422</v>
      </c>
      <c r="FM50" s="158">
        <f t="shared" si="270"/>
        <v>0.15506354743308556</v>
      </c>
      <c r="FN50" s="158">
        <f t="shared" si="335"/>
        <v>0.13392955115073635</v>
      </c>
      <c r="FO50" s="46">
        <f>SUM(FO51:FO60)</f>
        <v>1953578</v>
      </c>
      <c r="FP50" s="158">
        <f t="shared" si="272"/>
        <v>0.19685571450279465</v>
      </c>
      <c r="FQ50" s="158">
        <f t="shared" si="336"/>
        <v>1.1556675185268555</v>
      </c>
      <c r="FR50" s="46">
        <f>SUM(FR51:FR60)</f>
        <v>2246065</v>
      </c>
      <c r="FS50" s="158">
        <f t="shared" si="274"/>
        <v>0.22015267920801435</v>
      </c>
      <c r="FT50" s="158">
        <f t="shared" si="337"/>
        <v>2.2070561761174039</v>
      </c>
      <c r="FU50" s="46">
        <f>SUM(FU51:FU60)</f>
        <v>2096566</v>
      </c>
      <c r="FV50" s="158">
        <f t="shared" si="316"/>
        <v>0.18147526915748094</v>
      </c>
      <c r="FW50" s="158">
        <f t="shared" si="338"/>
        <v>2.8669116033206623</v>
      </c>
      <c r="FX50" s="46">
        <f>SUM(FX51:FX60)</f>
        <v>2042623</v>
      </c>
      <c r="FY50" s="158">
        <f t="shared" si="317"/>
        <v>0.17755054800925449</v>
      </c>
      <c r="FZ50" s="158">
        <f t="shared" si="339"/>
        <v>0.30901961136154199</v>
      </c>
      <c r="GA50" s="46">
        <f>SUM(GA51:GA60)</f>
        <v>2619110</v>
      </c>
      <c r="GB50" s="158">
        <f t="shared" si="318"/>
        <v>0.20417021390043757</v>
      </c>
      <c r="GC50" s="158">
        <f t="shared" si="340"/>
        <v>0.34067336958135286</v>
      </c>
      <c r="GD50" s="46">
        <f>SUM(GD51:GD60)</f>
        <v>2927394</v>
      </c>
      <c r="GE50" s="158">
        <f t="shared" si="319"/>
        <v>0.22549481632002244</v>
      </c>
      <c r="GF50" s="158">
        <f t="shared" si="341"/>
        <v>0.30334340279555572</v>
      </c>
      <c r="GG50" s="46">
        <f>SUM(GG51:GG60)</f>
        <v>3507856</v>
      </c>
      <c r="GH50" s="158">
        <f t="shared" si="320"/>
        <v>0.23956538269238425</v>
      </c>
      <c r="GI50" s="158">
        <f t="shared" si="342"/>
        <v>0.67314360721293776</v>
      </c>
    </row>
    <row r="51" spans="2:191" s="151" customFormat="1" ht="16.5" customHeight="1">
      <c r="B51" s="181" t="s">
        <v>355</v>
      </c>
      <c r="C51" s="179" t="s">
        <v>38</v>
      </c>
      <c r="D51" s="7">
        <v>213296</v>
      </c>
      <c r="E51" s="165">
        <f t="shared" si="209"/>
        <v>0.31717537614165947</v>
      </c>
      <c r="F51" s="7">
        <v>188032</v>
      </c>
      <c r="G51" s="165">
        <f t="shared" si="210"/>
        <v>0.26751878715103988</v>
      </c>
      <c r="H51" s="7">
        <v>0</v>
      </c>
      <c r="I51" s="165" t="s">
        <v>112</v>
      </c>
      <c r="J51" s="7">
        <v>0</v>
      </c>
      <c r="K51" s="165" t="s">
        <v>112</v>
      </c>
      <c r="L51" s="7">
        <v>0</v>
      </c>
      <c r="M51" s="165" t="s">
        <v>112</v>
      </c>
      <c r="N51" s="165" t="s">
        <v>112</v>
      </c>
      <c r="O51" s="166">
        <v>0</v>
      </c>
      <c r="P51" s="165" t="s">
        <v>112</v>
      </c>
      <c r="Q51" s="174" t="s">
        <v>112</v>
      </c>
      <c r="R51" s="166">
        <v>0</v>
      </c>
      <c r="S51" s="165" t="s">
        <v>112</v>
      </c>
      <c r="T51" s="165" t="s">
        <v>112</v>
      </c>
      <c r="U51" s="7">
        <v>0</v>
      </c>
      <c r="V51" s="165" t="s">
        <v>112</v>
      </c>
      <c r="W51" s="165" t="s">
        <v>112</v>
      </c>
      <c r="X51" s="7">
        <v>0</v>
      </c>
      <c r="Y51" s="165" t="s">
        <v>112</v>
      </c>
      <c r="Z51" s="165" t="s">
        <v>112</v>
      </c>
      <c r="AA51" s="7">
        <v>0</v>
      </c>
      <c r="AB51" s="165" t="s">
        <v>112</v>
      </c>
      <c r="AC51" s="165" t="s">
        <v>112</v>
      </c>
      <c r="AD51" s="7">
        <v>0</v>
      </c>
      <c r="AE51" s="165" t="s">
        <v>112</v>
      </c>
      <c r="AF51" s="165" t="s">
        <v>112</v>
      </c>
      <c r="AG51" s="7">
        <v>0</v>
      </c>
      <c r="AH51" s="165" t="s">
        <v>112</v>
      </c>
      <c r="AI51" s="165" t="s">
        <v>112</v>
      </c>
      <c r="AJ51" s="7">
        <v>0</v>
      </c>
      <c r="AK51" s="165" t="s">
        <v>112</v>
      </c>
      <c r="AL51" s="165" t="s">
        <v>112</v>
      </c>
      <c r="AM51" s="8">
        <v>29740</v>
      </c>
      <c r="AN51" s="165">
        <f t="shared" si="230"/>
        <v>1.9748620119952615E-2</v>
      </c>
      <c r="AO51" s="174">
        <v>1</v>
      </c>
      <c r="AP51" s="8">
        <v>29740</v>
      </c>
      <c r="AQ51" s="165">
        <f t="shared" si="231"/>
        <v>2.0721792860109084E-2</v>
      </c>
      <c r="AR51" s="165">
        <v>1</v>
      </c>
      <c r="AS51" s="8">
        <v>29661</v>
      </c>
      <c r="AT51" s="165">
        <f t="shared" si="232"/>
        <v>1.823771562789182E-2</v>
      </c>
      <c r="AU51" s="174">
        <v>1</v>
      </c>
      <c r="AV51" s="8">
        <v>28178</v>
      </c>
      <c r="AW51" s="165">
        <f t="shared" si="233"/>
        <v>1.9403850470945182E-2</v>
      </c>
      <c r="AX51" s="174">
        <v>1</v>
      </c>
      <c r="AY51" s="8">
        <v>39680</v>
      </c>
      <c r="AZ51" s="165">
        <f t="shared" si="234"/>
        <v>2.5013474370329278E-2</v>
      </c>
      <c r="BA51" s="165">
        <f t="shared" si="293"/>
        <v>0.33422999327505054</v>
      </c>
      <c r="BB51" s="8">
        <v>37476</v>
      </c>
      <c r="BC51" s="165">
        <f t="shared" si="235"/>
        <v>2.2994373508243394E-2</v>
      </c>
      <c r="BD51" s="165">
        <f t="shared" si="294"/>
        <v>0.26012104909213174</v>
      </c>
      <c r="BE51" s="8">
        <v>35271</v>
      </c>
      <c r="BF51" s="165">
        <f t="shared" si="236"/>
        <v>1.8358866893920821E-2</v>
      </c>
      <c r="BG51" s="165">
        <f t="shared" si="237"/>
        <v>0.18913725093557199</v>
      </c>
      <c r="BH51" s="8">
        <v>33067</v>
      </c>
      <c r="BI51" s="165">
        <f>BH51/$BH$6</f>
        <v>1.8048076534716909E-2</v>
      </c>
      <c r="BJ51" s="165">
        <f>(BH51/AV51)-1</f>
        <v>0.17350415217545612</v>
      </c>
      <c r="BK51" s="8">
        <v>30862</v>
      </c>
      <c r="BL51" s="165">
        <f>BK51/$BK$6</f>
        <v>1.6487167980853472E-2</v>
      </c>
      <c r="BM51" s="165">
        <f>(BK51/AY51)-1</f>
        <v>-0.22222782258064511</v>
      </c>
      <c r="BN51" s="8">
        <v>28658</v>
      </c>
      <c r="BO51" s="165">
        <f t="shared" si="238"/>
        <v>1.5039132812262209E-2</v>
      </c>
      <c r="BP51" s="165">
        <f t="shared" si="239"/>
        <v>-0.23529725691108971</v>
      </c>
      <c r="BQ51" s="8">
        <v>36415</v>
      </c>
      <c r="BR51" s="165">
        <f t="shared" si="240"/>
        <v>1.4826863842443959E-2</v>
      </c>
      <c r="BS51" s="165">
        <f t="shared" si="241"/>
        <v>3.2434577981911517E-2</v>
      </c>
      <c r="BT51" s="8">
        <v>33380</v>
      </c>
      <c r="BU51" s="165">
        <f t="shared" si="242"/>
        <v>1.5089876989022545E-2</v>
      </c>
      <c r="BV51" s="165">
        <f t="shared" si="243"/>
        <v>9.4656303867903802E-3</v>
      </c>
      <c r="BW51" s="167">
        <v>30345</v>
      </c>
      <c r="BX51" s="165">
        <f t="shared" si="244"/>
        <v>1.3614296155021273E-2</v>
      </c>
      <c r="BY51" s="165">
        <f t="shared" si="245"/>
        <v>-1.6751992741883215E-2</v>
      </c>
      <c r="BZ51" s="8">
        <v>325266</v>
      </c>
      <c r="CA51" s="165">
        <f t="shared" si="353"/>
        <v>0.12221006548108383</v>
      </c>
      <c r="CB51" s="165">
        <f t="shared" si="246"/>
        <v>10.34991974317817</v>
      </c>
      <c r="CC51" s="8">
        <v>322333</v>
      </c>
      <c r="CD51" s="165">
        <f>CC51/$CC$6</f>
        <v>0.10803840048479908</v>
      </c>
      <c r="CE51" s="165">
        <f t="shared" si="321"/>
        <v>7.8516545379651248</v>
      </c>
      <c r="CF51" s="8">
        <v>319401</v>
      </c>
      <c r="CG51" s="165">
        <f t="shared" si="354"/>
        <v>0.1116979255515024</v>
      </c>
      <c r="CH51" s="165">
        <f t="shared" si="322"/>
        <v>8.5686339125224684</v>
      </c>
      <c r="CI51" s="8">
        <v>316468</v>
      </c>
      <c r="CJ51" s="165">
        <f>CI51/$CI$6</f>
        <v>0.10876201873095398</v>
      </c>
      <c r="CK51" s="165">
        <f t="shared" si="323"/>
        <v>9.4289998352282094</v>
      </c>
      <c r="CL51" s="8">
        <v>611961</v>
      </c>
      <c r="CM51" s="165">
        <f>CL51/$CL$6</f>
        <v>0.18420492598975069</v>
      </c>
      <c r="CN51" s="165">
        <f>(CL51/BZ51)-1</f>
        <v>0.88141705557912609</v>
      </c>
      <c r="CO51" s="8">
        <v>608760</v>
      </c>
      <c r="CP51" s="165">
        <f>CO51/$CO$6</f>
        <v>0.16147360178757292</v>
      </c>
      <c r="CQ51" s="165">
        <f>(CO51/CC51)-1</f>
        <v>0.88860588273617647</v>
      </c>
      <c r="CR51" s="8">
        <v>605885</v>
      </c>
      <c r="CS51" s="165">
        <f>CR51/$CR$31</f>
        <v>0.17382880694942257</v>
      </c>
      <c r="CT51" s="165">
        <f t="shared" si="247"/>
        <v>0.89694146229974225</v>
      </c>
      <c r="CU51" s="8">
        <v>603054</v>
      </c>
      <c r="CV51" s="174">
        <f>CU51/$CU$31</f>
        <v>0.17165684116503285</v>
      </c>
      <c r="CW51" s="174">
        <f>(CU51/CI51)-1</f>
        <v>0.90557655118368996</v>
      </c>
      <c r="CX51" s="8">
        <v>1015522</v>
      </c>
      <c r="CY51" s="174">
        <f>CX51/$CX$31</f>
        <v>0.25290453910744348</v>
      </c>
      <c r="CZ51" s="174">
        <f>(CX51/CL51)-1</f>
        <v>0.65945542281289171</v>
      </c>
      <c r="DA51" s="12">
        <v>1015689</v>
      </c>
      <c r="DB51" s="174">
        <f>DA51/$DA$31</f>
        <v>0.2249326988407104</v>
      </c>
      <c r="DC51" s="174">
        <f>(DA51/CO51)-1</f>
        <v>0.66845554898482162</v>
      </c>
      <c r="DD51" s="12">
        <v>1020061</v>
      </c>
      <c r="DE51" s="174">
        <f>DD51/$CR$31</f>
        <v>0.29265617509203057</v>
      </c>
      <c r="DF51" s="174">
        <f>(DD51/CR51)-1</f>
        <v>0.6835884697591128</v>
      </c>
      <c r="DG51" s="12">
        <v>1023971</v>
      </c>
      <c r="DH51" s="174">
        <f>DG51/$DG$6</f>
        <v>0.23245663221640508</v>
      </c>
      <c r="DI51" s="174">
        <f>(DG51/CU51)-1</f>
        <v>0.69797563733927648</v>
      </c>
      <c r="DJ51" s="12">
        <v>884952</v>
      </c>
      <c r="DK51" s="174">
        <f>DJ51/$DJ$6</f>
        <v>0.19625707478598503</v>
      </c>
      <c r="DL51" s="174">
        <f>(DJ51/CX51)-1</f>
        <v>-0.12857427017829259</v>
      </c>
      <c r="DM51" s="12">
        <v>931950</v>
      </c>
      <c r="DN51" s="174">
        <f>DM51/$DM$6</f>
        <v>0.17521533470170192</v>
      </c>
      <c r="DO51" s="174">
        <f>(DM51/DA51)-1</f>
        <v>-8.2445512356636774E-2</v>
      </c>
      <c r="DP51" s="12">
        <v>952879</v>
      </c>
      <c r="DQ51" s="174">
        <f t="shared" si="343"/>
        <v>0.18772556278030661</v>
      </c>
      <c r="DR51" s="174">
        <f>(DP51/DD51)-1</f>
        <v>-6.5860767150199839E-2</v>
      </c>
      <c r="DS51" s="12">
        <v>877062</v>
      </c>
      <c r="DT51" s="174">
        <f t="shared" si="81"/>
        <v>0.16764337034542989</v>
      </c>
      <c r="DU51" s="174">
        <f>(DS51/DG51)-1</f>
        <v>-0.1434698834244329</v>
      </c>
      <c r="DV51" s="12">
        <v>741552</v>
      </c>
      <c r="DW51" s="174">
        <f t="shared" si="355"/>
        <v>0.14010726003236507</v>
      </c>
      <c r="DX51" s="174">
        <f t="shared" si="356"/>
        <v>-0.16204268706099312</v>
      </c>
      <c r="DY51" s="12">
        <v>739769</v>
      </c>
      <c r="DZ51" s="174">
        <f t="shared" si="357"/>
        <v>0.12616037705763186</v>
      </c>
      <c r="EA51" s="174">
        <f t="shared" si="358"/>
        <v>-0.20621385267449965</v>
      </c>
      <c r="EB51" s="12">
        <v>747609</v>
      </c>
      <c r="EC51" s="174">
        <f t="shared" si="84"/>
        <v>0.1341906762654804</v>
      </c>
      <c r="ED51" s="174">
        <f>(EB51/DP51)-1</f>
        <v>-0.21542084566875752</v>
      </c>
      <c r="EE51" s="12">
        <v>631558</v>
      </c>
      <c r="EF51" s="174">
        <f t="shared" si="311"/>
        <v>0.10865291532095946</v>
      </c>
      <c r="EG51" s="174">
        <f t="shared" si="312"/>
        <v>-0.27991635711044371</v>
      </c>
      <c r="EH51" s="12">
        <v>395085</v>
      </c>
      <c r="EI51" s="174">
        <f t="shared" si="313"/>
        <v>6.9626697909110705E-2</v>
      </c>
      <c r="EJ51" s="174">
        <f t="shared" si="314"/>
        <v>-0.46721875202278462</v>
      </c>
      <c r="EK51" s="12">
        <v>392883</v>
      </c>
      <c r="EL51" s="174">
        <f t="shared" si="261"/>
        <v>6.0674924620228651E-2</v>
      </c>
      <c r="EM51" s="174">
        <f t="shared" si="325"/>
        <v>-0.46891124121178362</v>
      </c>
      <c r="EN51" s="12">
        <v>716776</v>
      </c>
      <c r="EO51" s="174">
        <f t="shared" si="287"/>
        <v>0.11464882981660371</v>
      </c>
      <c r="EP51" s="174">
        <f t="shared" si="326"/>
        <v>-4.1242146630123488E-2</v>
      </c>
      <c r="EQ51" s="12">
        <v>601608</v>
      </c>
      <c r="ER51" s="174">
        <f t="shared" si="263"/>
        <v>9.1200911754437536E-2</v>
      </c>
      <c r="ES51" s="174">
        <f t="shared" si="327"/>
        <v>-4.7422406176471532E-2</v>
      </c>
      <c r="ET51" s="12">
        <v>727673</v>
      </c>
      <c r="EU51" s="174">
        <f t="shared" si="264"/>
        <v>0.11218152838011232</v>
      </c>
      <c r="EV51" s="174">
        <f t="shared" si="328"/>
        <v>0.84181378690661512</v>
      </c>
      <c r="EW51" s="12">
        <v>724972</v>
      </c>
      <c r="EX51" s="174">
        <f t="shared" si="265"/>
        <v>9.6052576839067164E-2</v>
      </c>
      <c r="EY51" s="174">
        <f t="shared" si="329"/>
        <v>0.8452618209492393</v>
      </c>
      <c r="EZ51" s="12">
        <v>721344</v>
      </c>
      <c r="FA51" s="174">
        <f t="shared" si="330"/>
        <v>0.1026567740016551</v>
      </c>
      <c r="FB51" s="174">
        <f t="shared" si="331"/>
        <v>6.3729812382111728E-3</v>
      </c>
      <c r="FC51" s="12">
        <v>663811</v>
      </c>
      <c r="FD51" s="174">
        <f t="shared" si="332"/>
        <v>9.086695466733978E-2</v>
      </c>
      <c r="FE51" s="174">
        <f t="shared" si="333"/>
        <v>0.10339456922115398</v>
      </c>
      <c r="FF51" s="12">
        <v>330643</v>
      </c>
      <c r="FG51" s="174">
        <f t="shared" si="88"/>
        <v>4.3809720412144711E-2</v>
      </c>
      <c r="FH51" s="174">
        <f t="shared" si="89"/>
        <v>-0.54561595661787643</v>
      </c>
      <c r="FI51" s="12">
        <v>327258</v>
      </c>
      <c r="FJ51" s="174">
        <f t="shared" si="268"/>
        <v>3.7099673417489626E-2</v>
      </c>
      <c r="FK51" s="174">
        <f t="shared" si="334"/>
        <v>-0.54859222149269216</v>
      </c>
      <c r="FL51" s="12">
        <v>61427</v>
      </c>
      <c r="FM51" s="174">
        <f t="shared" si="270"/>
        <v>6.1041747220765578E-3</v>
      </c>
      <c r="FN51" s="174">
        <f t="shared" si="335"/>
        <v>-0.91484368068494371</v>
      </c>
      <c r="FO51" s="12">
        <v>446207</v>
      </c>
      <c r="FP51" s="174">
        <f t="shared" si="272"/>
        <v>4.4962831174976632E-2</v>
      </c>
      <c r="FQ51" s="174">
        <f t="shared" si="336"/>
        <v>-0.32781017488411612</v>
      </c>
      <c r="FR51" s="12">
        <v>445223</v>
      </c>
      <c r="FS51" s="174">
        <f t="shared" si="274"/>
        <v>4.3639447787588416E-2</v>
      </c>
      <c r="FT51" s="174">
        <f t="shared" si="337"/>
        <v>0.34653689931436626</v>
      </c>
      <c r="FU51" s="12">
        <v>444641</v>
      </c>
      <c r="FV51" s="174">
        <f t="shared" si="316"/>
        <v>3.8487386113030299E-2</v>
      </c>
      <c r="FW51" s="174">
        <f t="shared" si="338"/>
        <v>0.35868641866661788</v>
      </c>
      <c r="FX51" s="12">
        <v>405975</v>
      </c>
      <c r="FY51" s="174">
        <f t="shared" si="317"/>
        <v>3.5288491184157375E-2</v>
      </c>
      <c r="FZ51" s="174">
        <f t="shared" si="339"/>
        <v>5.6090644179269704</v>
      </c>
      <c r="GA51" s="12">
        <v>899701</v>
      </c>
      <c r="GB51" s="174">
        <f t="shared" si="318"/>
        <v>7.0135330557493797E-2</v>
      </c>
      <c r="GC51" s="174">
        <f t="shared" si="340"/>
        <v>1.0163309853946711</v>
      </c>
      <c r="GD51" s="12">
        <v>1049705</v>
      </c>
      <c r="GE51" s="174">
        <f t="shared" si="319"/>
        <v>8.0857935817730431E-2</v>
      </c>
      <c r="GF51" s="174">
        <f t="shared" si="341"/>
        <v>1.3577061382722815</v>
      </c>
      <c r="GG51" s="12">
        <v>1545933</v>
      </c>
      <c r="GH51" s="174">
        <f t="shared" si="320"/>
        <v>0.10557788881920628</v>
      </c>
      <c r="GI51" s="174">
        <f t="shared" si="342"/>
        <v>2.4768116300566074</v>
      </c>
    </row>
    <row r="52" spans="2:191" s="171" customFormat="1" ht="16.5" customHeight="1">
      <c r="B52" s="172" t="s">
        <v>391</v>
      </c>
      <c r="C52" s="173" t="s">
        <v>149</v>
      </c>
      <c r="D52" s="10">
        <v>0</v>
      </c>
      <c r="E52" s="10" t="s">
        <v>112</v>
      </c>
      <c r="F52" s="10" t="s">
        <v>112</v>
      </c>
      <c r="G52" s="10" t="s">
        <v>112</v>
      </c>
      <c r="H52" s="10" t="s">
        <v>112</v>
      </c>
      <c r="I52" s="10" t="s">
        <v>112</v>
      </c>
      <c r="J52" s="10" t="s">
        <v>112</v>
      </c>
      <c r="K52" s="10" t="s">
        <v>112</v>
      </c>
      <c r="L52" s="10" t="s">
        <v>112</v>
      </c>
      <c r="M52" s="10" t="s">
        <v>112</v>
      </c>
      <c r="N52" s="174" t="s">
        <v>112</v>
      </c>
      <c r="O52" s="10" t="s">
        <v>112</v>
      </c>
      <c r="P52" s="10" t="s">
        <v>112</v>
      </c>
      <c r="Q52" s="10" t="s">
        <v>112</v>
      </c>
      <c r="R52" s="174" t="s">
        <v>112</v>
      </c>
      <c r="S52" s="10" t="s">
        <v>112</v>
      </c>
      <c r="T52" s="10" t="s">
        <v>112</v>
      </c>
      <c r="U52" s="10" t="s">
        <v>112</v>
      </c>
      <c r="V52" s="10" t="s">
        <v>112</v>
      </c>
      <c r="W52" s="10" t="s">
        <v>112</v>
      </c>
      <c r="X52" s="10" t="s">
        <v>112</v>
      </c>
      <c r="Y52" s="10" t="s">
        <v>112</v>
      </c>
      <c r="Z52" s="10" t="s">
        <v>112</v>
      </c>
      <c r="AA52" s="10" t="s">
        <v>112</v>
      </c>
      <c r="AB52" s="174" t="s">
        <v>112</v>
      </c>
      <c r="AC52" s="10" t="s">
        <v>112</v>
      </c>
      <c r="AD52" s="10" t="s">
        <v>112</v>
      </c>
      <c r="AE52" s="10" t="s">
        <v>112</v>
      </c>
      <c r="AF52" s="10" t="s">
        <v>112</v>
      </c>
      <c r="AG52" s="10" t="s">
        <v>112</v>
      </c>
      <c r="AH52" s="10" t="s">
        <v>112</v>
      </c>
      <c r="AI52" s="10" t="s">
        <v>112</v>
      </c>
      <c r="AJ52" s="10" t="s">
        <v>112</v>
      </c>
      <c r="AK52" s="174" t="s">
        <v>112</v>
      </c>
      <c r="AL52" s="174" t="s">
        <v>112</v>
      </c>
      <c r="AM52" s="12">
        <v>0</v>
      </c>
      <c r="AN52" s="10" t="s">
        <v>112</v>
      </c>
      <c r="AO52" s="10" t="s">
        <v>112</v>
      </c>
      <c r="AP52" s="10" t="s">
        <v>112</v>
      </c>
      <c r="AQ52" s="10" t="s">
        <v>112</v>
      </c>
      <c r="AR52" s="10" t="s">
        <v>112</v>
      </c>
      <c r="AS52" s="10" t="s">
        <v>112</v>
      </c>
      <c r="AT52" s="10" t="s">
        <v>112</v>
      </c>
      <c r="AU52" s="10" t="s">
        <v>112</v>
      </c>
      <c r="AV52" s="10" t="s">
        <v>112</v>
      </c>
      <c r="AW52" s="10" t="s">
        <v>112</v>
      </c>
      <c r="AX52" s="10" t="s">
        <v>112</v>
      </c>
      <c r="AY52" s="10" t="s">
        <v>112</v>
      </c>
      <c r="AZ52" s="10" t="s">
        <v>112</v>
      </c>
      <c r="BA52" s="10" t="s">
        <v>112</v>
      </c>
      <c r="BB52" s="10" t="s">
        <v>112</v>
      </c>
      <c r="BC52" s="10" t="s">
        <v>112</v>
      </c>
      <c r="BD52" s="10" t="s">
        <v>112</v>
      </c>
      <c r="BE52" s="10" t="s">
        <v>112</v>
      </c>
      <c r="BF52" s="174" t="s">
        <v>112</v>
      </c>
      <c r="BG52" s="174" t="s">
        <v>112</v>
      </c>
      <c r="BH52" s="12" t="s">
        <v>112</v>
      </c>
      <c r="BI52" s="174" t="s">
        <v>112</v>
      </c>
      <c r="BJ52" s="174" t="s">
        <v>112</v>
      </c>
      <c r="BK52" s="12" t="s">
        <v>112</v>
      </c>
      <c r="BL52" s="165" t="s">
        <v>112</v>
      </c>
      <c r="BM52" s="165" t="s">
        <v>112</v>
      </c>
      <c r="BN52" s="12" t="s">
        <v>112</v>
      </c>
      <c r="BO52" s="174" t="s">
        <v>112</v>
      </c>
      <c r="BP52" s="174" t="s">
        <v>112</v>
      </c>
      <c r="BQ52" s="12">
        <v>340661</v>
      </c>
      <c r="BR52" s="174">
        <f>BQ52/$BQ$6</f>
        <v>0.13870477175424417</v>
      </c>
      <c r="BS52" s="165">
        <v>1</v>
      </c>
      <c r="BT52" s="12">
        <v>341224</v>
      </c>
      <c r="BU52" s="165">
        <f>BT52/$BT$6</f>
        <v>0.15425488872684925</v>
      </c>
      <c r="BV52" s="165" t="s">
        <v>112</v>
      </c>
      <c r="BW52" s="33">
        <v>342038</v>
      </c>
      <c r="BX52" s="165">
        <f>BW52/$BW$6</f>
        <v>0.15345548288914701</v>
      </c>
      <c r="BY52" s="165" t="s">
        <v>112</v>
      </c>
      <c r="BZ52" s="12">
        <v>342853</v>
      </c>
      <c r="CA52" s="165">
        <f t="shared" si="353"/>
        <v>0.12881791389320135</v>
      </c>
      <c r="CB52" s="165" t="s">
        <v>112</v>
      </c>
      <c r="CC52" s="12">
        <v>343670</v>
      </c>
      <c r="CD52" s="165">
        <f>CC52/$CC$6</f>
        <v>0.11519005840112834</v>
      </c>
      <c r="CE52" s="165">
        <f>(CC52/BQ52)-1</f>
        <v>8.8328279433218526E-3</v>
      </c>
      <c r="CF52" s="12">
        <v>344489</v>
      </c>
      <c r="CG52" s="165">
        <f t="shared" si="354"/>
        <v>0.12047146588555301</v>
      </c>
      <c r="CH52" s="165">
        <f>(CF52/BT52)-1</f>
        <v>9.5684945959253476E-3</v>
      </c>
      <c r="CI52" s="12">
        <v>345310</v>
      </c>
      <c r="CJ52" s="165">
        <f>CI52/$CI$6</f>
        <v>0.11867428203794923</v>
      </c>
      <c r="CK52" s="165">
        <f>(CI52/BW52)-1</f>
        <v>9.5661885521491907E-3</v>
      </c>
      <c r="CL52" s="12">
        <v>346133</v>
      </c>
      <c r="CM52" s="165">
        <f>CL52/$CL$6</f>
        <v>0.10418867157810771</v>
      </c>
      <c r="CN52" s="165">
        <f>(CL52/BZ52)-1</f>
        <v>9.5667822652856227E-3</v>
      </c>
      <c r="CO52" s="12" t="s">
        <v>112</v>
      </c>
      <c r="CP52" s="165" t="s">
        <v>112</v>
      </c>
      <c r="CQ52" s="165" t="s">
        <v>112</v>
      </c>
      <c r="CR52" s="12" t="s">
        <v>112</v>
      </c>
      <c r="CS52" s="12" t="s">
        <v>112</v>
      </c>
      <c r="CT52" s="165" t="s">
        <v>112</v>
      </c>
      <c r="CU52" s="12" t="s">
        <v>112</v>
      </c>
      <c r="CV52" s="12" t="s">
        <v>112</v>
      </c>
      <c r="CW52" s="165" t="s">
        <v>112</v>
      </c>
      <c r="CX52" s="12">
        <v>0</v>
      </c>
      <c r="CY52" s="12">
        <v>0</v>
      </c>
      <c r="CZ52" s="165" t="s">
        <v>112</v>
      </c>
      <c r="DA52" s="12">
        <v>0</v>
      </c>
      <c r="DB52" s="12">
        <f>DA52/$DA$31</f>
        <v>0</v>
      </c>
      <c r="DC52" s="165" t="s">
        <v>112</v>
      </c>
      <c r="DD52" s="12">
        <v>0</v>
      </c>
      <c r="DE52" s="12" t="s">
        <v>112</v>
      </c>
      <c r="DF52" s="165" t="s">
        <v>112</v>
      </c>
      <c r="DG52" s="12">
        <v>410837</v>
      </c>
      <c r="DH52" s="165">
        <f>DG52/$DG$6</f>
        <v>9.3266103639547626E-2</v>
      </c>
      <c r="DI52" s="165" t="s">
        <v>112</v>
      </c>
      <c r="DJ52" s="12">
        <v>413187</v>
      </c>
      <c r="DK52" s="165">
        <f>DJ52/$DJ$6</f>
        <v>9.1633073838577453E-2</v>
      </c>
      <c r="DL52" s="165" t="s">
        <v>112</v>
      </c>
      <c r="DM52" s="12">
        <v>413659</v>
      </c>
      <c r="DN52" s="165">
        <f>DM52/$DM$6</f>
        <v>7.7771769019122597E-2</v>
      </c>
      <c r="DO52" s="165" t="s">
        <v>112</v>
      </c>
      <c r="DP52" s="12">
        <v>414131</v>
      </c>
      <c r="DQ52" s="165">
        <f>DP52/$DP$6</f>
        <v>8.1587457630791685E-2</v>
      </c>
      <c r="DR52" s="165" t="s">
        <v>112</v>
      </c>
      <c r="DS52" s="12">
        <v>414604</v>
      </c>
      <c r="DT52" s="165">
        <f>DS52/DS$6</f>
        <v>7.9248230933157068E-2</v>
      </c>
      <c r="DU52" s="165" t="s">
        <v>112</v>
      </c>
      <c r="DV52" s="12">
        <v>415077</v>
      </c>
      <c r="DW52" s="174">
        <f t="shared" si="355"/>
        <v>7.8423766873333217E-2</v>
      </c>
      <c r="DX52" s="165">
        <f t="shared" si="356"/>
        <v>4.5742000595372367E-3</v>
      </c>
      <c r="DY52" s="12">
        <v>415551</v>
      </c>
      <c r="DZ52" s="174">
        <f t="shared" si="357"/>
        <v>7.0868164044013707E-2</v>
      </c>
      <c r="EA52" s="174">
        <f t="shared" si="358"/>
        <v>4.5738156307491007E-3</v>
      </c>
      <c r="EB52" s="12">
        <v>415897</v>
      </c>
      <c r="EC52" s="174">
        <f>EB52/EB$6</f>
        <v>7.4650652529309428E-2</v>
      </c>
      <c r="ED52" s="174">
        <f>(EB52/DP52)-1</f>
        <v>4.2643511352686847E-3</v>
      </c>
      <c r="EE52" s="12">
        <v>416387</v>
      </c>
      <c r="EF52" s="174">
        <f t="shared" si="311"/>
        <v>7.1635006526318004E-2</v>
      </c>
      <c r="EG52" s="165">
        <f t="shared" si="312"/>
        <v>4.3004891414457624E-3</v>
      </c>
      <c r="EH52" s="12">
        <v>416878</v>
      </c>
      <c r="EI52" s="174">
        <f t="shared" si="313"/>
        <v>7.3467326198044108E-2</v>
      </c>
      <c r="EJ52" s="165">
        <f t="shared" si="314"/>
        <v>4.3389539772138441E-3</v>
      </c>
      <c r="EK52" s="12">
        <v>417369</v>
      </c>
      <c r="EL52" s="174">
        <f t="shared" si="261"/>
        <v>6.4456422430647836E-2</v>
      </c>
      <c r="EM52" s="165">
        <f t="shared" si="325"/>
        <v>4.3749142704505584E-3</v>
      </c>
      <c r="EN52" s="12">
        <v>417861</v>
      </c>
      <c r="EO52" s="174">
        <f t="shared" si="287"/>
        <v>6.6837163459708263E-2</v>
      </c>
      <c r="EP52" s="165">
        <f t="shared" si="326"/>
        <v>4.722323075184498E-3</v>
      </c>
      <c r="EQ52" s="12">
        <v>418354</v>
      </c>
      <c r="ER52" s="174">
        <f t="shared" si="263"/>
        <v>6.3420476848904866E-2</v>
      </c>
      <c r="ES52" s="165">
        <f t="shared" si="327"/>
        <v>4.7239707291533151E-3</v>
      </c>
      <c r="ET52" s="12">
        <v>418847</v>
      </c>
      <c r="EU52" s="174">
        <f t="shared" si="264"/>
        <v>6.4571444340280462E-2</v>
      </c>
      <c r="EV52" s="165">
        <f t="shared" si="328"/>
        <v>4.7232043907330379E-3</v>
      </c>
      <c r="EW52" s="12">
        <v>570109</v>
      </c>
      <c r="EX52" s="174">
        <f t="shared" si="265"/>
        <v>7.5534556547209739E-2</v>
      </c>
      <c r="EY52" s="165">
        <f t="shared" si="329"/>
        <v>0.36595913927483825</v>
      </c>
      <c r="EZ52" s="12">
        <v>573078</v>
      </c>
      <c r="FA52" s="174">
        <f t="shared" si="330"/>
        <v>8.1556564872405535E-2</v>
      </c>
      <c r="FB52" s="165">
        <f t="shared" si="331"/>
        <v>0.37145605835433315</v>
      </c>
      <c r="FC52" s="12">
        <v>155706</v>
      </c>
      <c r="FD52" s="174">
        <f t="shared" si="332"/>
        <v>2.131409398674142E-2</v>
      </c>
      <c r="FE52" s="165">
        <f t="shared" si="333"/>
        <v>-0.62781280924767069</v>
      </c>
      <c r="FF52" s="12">
        <v>299155</v>
      </c>
      <c r="FG52" s="174">
        <f t="shared" si="88"/>
        <v>3.9637605846472329E-2</v>
      </c>
      <c r="FH52" s="165">
        <f t="shared" si="89"/>
        <v>-0.2857654465711823</v>
      </c>
      <c r="FI52" s="12">
        <v>139028</v>
      </c>
      <c r="FJ52" s="174">
        <f t="shared" si="268"/>
        <v>1.5760939063022898E-2</v>
      </c>
      <c r="FK52" s="165">
        <f t="shared" si="334"/>
        <v>-0.75613786135633709</v>
      </c>
      <c r="FL52" s="12">
        <v>141124</v>
      </c>
      <c r="FM52" s="174">
        <f t="shared" si="270"/>
        <v>1.4023891016626764E-2</v>
      </c>
      <c r="FN52" s="165">
        <f t="shared" si="335"/>
        <v>-0.7537438184679921</v>
      </c>
      <c r="FO52" s="12">
        <v>143295</v>
      </c>
      <c r="FP52" s="174">
        <f t="shared" si="272"/>
        <v>1.4439372069954699E-2</v>
      </c>
      <c r="FQ52" s="165">
        <f t="shared" si="336"/>
        <v>-7.9707911063157444E-2</v>
      </c>
      <c r="FR52" s="12">
        <v>447909</v>
      </c>
      <c r="FS52" s="174">
        <f t="shared" si="274"/>
        <v>4.3902721600391124E-2</v>
      </c>
      <c r="FT52" s="165">
        <f t="shared" si="337"/>
        <v>0.4972472464107236</v>
      </c>
      <c r="FU52" s="12">
        <v>306370</v>
      </c>
      <c r="FV52" s="174">
        <f t="shared" si="316"/>
        <v>2.6518878113914582E-2</v>
      </c>
      <c r="FW52" s="165">
        <f t="shared" si="338"/>
        <v>1.2036568173317606</v>
      </c>
      <c r="FX52" s="12">
        <v>309609</v>
      </c>
      <c r="FY52" s="174">
        <f t="shared" si="317"/>
        <v>2.6912086869969286E-2</v>
      </c>
      <c r="FZ52" s="165">
        <f t="shared" si="339"/>
        <v>1.1938791417476828</v>
      </c>
      <c r="GA52" s="12">
        <v>342663</v>
      </c>
      <c r="GB52" s="174">
        <f t="shared" si="318"/>
        <v>2.6711966280822737E-2</v>
      </c>
      <c r="GC52" s="165">
        <f t="shared" si="340"/>
        <v>1.3913116298544961</v>
      </c>
      <c r="GD52" s="12">
        <v>399573</v>
      </c>
      <c r="GE52" s="174">
        <f t="shared" si="319"/>
        <v>3.0778788315286677E-2</v>
      </c>
      <c r="GF52" s="165">
        <f t="shared" si="341"/>
        <v>-0.10791477733200272</v>
      </c>
      <c r="GG52" s="12">
        <v>420575</v>
      </c>
      <c r="GH52" s="174">
        <f t="shared" si="320"/>
        <v>2.8722732867554859E-2</v>
      </c>
      <c r="GI52" s="165">
        <f t="shared" si="342"/>
        <v>0.37276822143160238</v>
      </c>
    </row>
    <row r="53" spans="2:191" s="151" customFormat="1" ht="16.5" customHeight="1">
      <c r="B53" s="178" t="s">
        <v>344</v>
      </c>
      <c r="C53" s="179" t="s">
        <v>304</v>
      </c>
      <c r="D53" s="7" t="s">
        <v>112</v>
      </c>
      <c r="E53" s="165" t="s">
        <v>112</v>
      </c>
      <c r="F53" s="7" t="s">
        <v>112</v>
      </c>
      <c r="G53" s="165" t="s">
        <v>112</v>
      </c>
      <c r="H53" s="7" t="s">
        <v>112</v>
      </c>
      <c r="I53" s="165" t="s">
        <v>112</v>
      </c>
      <c r="J53" s="7" t="s">
        <v>112</v>
      </c>
      <c r="K53" s="165" t="s">
        <v>112</v>
      </c>
      <c r="L53" s="7" t="s">
        <v>112</v>
      </c>
      <c r="M53" s="165" t="s">
        <v>112</v>
      </c>
      <c r="N53" s="165" t="s">
        <v>112</v>
      </c>
      <c r="O53" s="166" t="s">
        <v>112</v>
      </c>
      <c r="P53" s="165" t="s">
        <v>112</v>
      </c>
      <c r="Q53" s="174" t="s">
        <v>112</v>
      </c>
      <c r="R53" s="166" t="s">
        <v>112</v>
      </c>
      <c r="S53" s="165" t="s">
        <v>112</v>
      </c>
      <c r="T53" s="165" t="s">
        <v>112</v>
      </c>
      <c r="U53" s="7" t="s">
        <v>112</v>
      </c>
      <c r="V53" s="165" t="s">
        <v>112</v>
      </c>
      <c r="W53" s="165" t="s">
        <v>112</v>
      </c>
      <c r="X53" s="7" t="s">
        <v>112</v>
      </c>
      <c r="Y53" s="165" t="s">
        <v>112</v>
      </c>
      <c r="Z53" s="165" t="s">
        <v>112</v>
      </c>
      <c r="AA53" s="7" t="s">
        <v>112</v>
      </c>
      <c r="AB53" s="165" t="s">
        <v>112</v>
      </c>
      <c r="AC53" s="165" t="s">
        <v>112</v>
      </c>
      <c r="AD53" s="7" t="s">
        <v>112</v>
      </c>
      <c r="AE53" s="165" t="s">
        <v>112</v>
      </c>
      <c r="AF53" s="165" t="s">
        <v>112</v>
      </c>
      <c r="AG53" s="7" t="s">
        <v>112</v>
      </c>
      <c r="AH53" s="165" t="s">
        <v>112</v>
      </c>
      <c r="AI53" s="165" t="s">
        <v>112</v>
      </c>
      <c r="AJ53" s="165" t="s">
        <v>112</v>
      </c>
      <c r="AK53" s="165" t="s">
        <v>112</v>
      </c>
      <c r="AL53" s="7" t="s">
        <v>112</v>
      </c>
      <c r="AM53" s="165" t="s">
        <v>112</v>
      </c>
      <c r="AN53" s="165" t="s">
        <v>112</v>
      </c>
      <c r="AO53" s="7" t="s">
        <v>112</v>
      </c>
      <c r="AP53" s="165" t="s">
        <v>112</v>
      </c>
      <c r="AQ53" s="165" t="s">
        <v>112</v>
      </c>
      <c r="AR53" s="7" t="s">
        <v>112</v>
      </c>
      <c r="AS53" s="165" t="s">
        <v>112</v>
      </c>
      <c r="AT53" s="165" t="s">
        <v>112</v>
      </c>
      <c r="AU53" s="165" t="s">
        <v>112</v>
      </c>
      <c r="AV53" s="165" t="s">
        <v>112</v>
      </c>
      <c r="AW53" s="7" t="s">
        <v>112</v>
      </c>
      <c r="AX53" s="165" t="s">
        <v>112</v>
      </c>
      <c r="AY53" s="165" t="s">
        <v>112</v>
      </c>
      <c r="AZ53" s="7" t="s">
        <v>112</v>
      </c>
      <c r="BA53" s="165" t="s">
        <v>112</v>
      </c>
      <c r="BB53" s="165" t="s">
        <v>112</v>
      </c>
      <c r="BC53" s="7" t="s">
        <v>112</v>
      </c>
      <c r="BD53" s="165" t="s">
        <v>112</v>
      </c>
      <c r="BE53" s="165" t="s">
        <v>112</v>
      </c>
      <c r="BF53" s="165" t="s">
        <v>112</v>
      </c>
      <c r="BG53" s="165" t="s">
        <v>112</v>
      </c>
      <c r="BH53" s="7" t="s">
        <v>112</v>
      </c>
      <c r="BI53" s="165" t="s">
        <v>112</v>
      </c>
      <c r="BJ53" s="165" t="s">
        <v>112</v>
      </c>
      <c r="BK53" s="7" t="s">
        <v>112</v>
      </c>
      <c r="BL53" s="165" t="s">
        <v>112</v>
      </c>
      <c r="BM53" s="165" t="s">
        <v>112</v>
      </c>
      <c r="BN53" s="7" t="s">
        <v>112</v>
      </c>
      <c r="BO53" s="165" t="s">
        <v>112</v>
      </c>
      <c r="BP53" s="165" t="s">
        <v>112</v>
      </c>
      <c r="BQ53" s="8" t="s">
        <v>112</v>
      </c>
      <c r="BR53" s="165" t="s">
        <v>112</v>
      </c>
      <c r="BS53" s="165" t="s">
        <v>112</v>
      </c>
      <c r="BT53" s="8" t="s">
        <v>112</v>
      </c>
      <c r="BU53" s="165" t="s">
        <v>112</v>
      </c>
      <c r="BV53" s="165" t="s">
        <v>112</v>
      </c>
      <c r="BW53" s="167" t="s">
        <v>112</v>
      </c>
      <c r="BX53" s="165" t="s">
        <v>112</v>
      </c>
      <c r="BY53" s="165" t="s">
        <v>112</v>
      </c>
      <c r="BZ53" s="8">
        <v>5130.3757616540215</v>
      </c>
      <c r="CA53" s="165">
        <f t="shared" si="353"/>
        <v>1.9276025092518224E-3</v>
      </c>
      <c r="CB53" s="165" t="s">
        <v>112</v>
      </c>
      <c r="CC53" s="8">
        <v>5148</v>
      </c>
      <c r="CD53" s="165">
        <f t="shared" ref="CD53:CD60" si="359">CC53/$CC$6</f>
        <v>1.7254878827043638E-3</v>
      </c>
      <c r="CE53" s="165" t="s">
        <v>112</v>
      </c>
      <c r="CF53" s="8">
        <v>2188.6132599997341</v>
      </c>
      <c r="CG53" s="165">
        <f t="shared" si="354"/>
        <v>7.6538132622152493E-4</v>
      </c>
      <c r="CH53" s="165" t="s">
        <v>112</v>
      </c>
      <c r="CI53" s="8">
        <v>7391.830848930108</v>
      </c>
      <c r="CJ53" s="165">
        <f t="shared" ref="CJ53:CJ60" si="360">CI53/$CI$6</f>
        <v>2.5403846368270405E-3</v>
      </c>
      <c r="CK53" s="165" t="s">
        <v>112</v>
      </c>
      <c r="CL53" s="8">
        <v>24774</v>
      </c>
      <c r="CM53" s="165">
        <f t="shared" ref="CM53:CM60" si="361">CL53/$CL$6</f>
        <v>7.4571628526492436E-3</v>
      </c>
      <c r="CN53" s="165">
        <f t="shared" si="324"/>
        <v>3.8288860603873038</v>
      </c>
      <c r="CO53" s="8">
        <v>36399</v>
      </c>
      <c r="CP53" s="165">
        <f>CO53/$CO$6</f>
        <v>9.6548354548029874E-3</v>
      </c>
      <c r="CQ53" s="165">
        <f>(CO53/CC53)-1</f>
        <v>6.0705128205128203</v>
      </c>
      <c r="CR53" s="8">
        <v>32321</v>
      </c>
      <c r="CS53" s="165">
        <f t="shared" ref="CS53:CS60" si="362">CR53/$CR$31</f>
        <v>9.2729162620171935E-3</v>
      </c>
      <c r="CT53" s="165">
        <f t="shared" si="247"/>
        <v>13.767798674492143</v>
      </c>
      <c r="CU53" s="8">
        <v>32928</v>
      </c>
      <c r="CV53" s="165">
        <f t="shared" ref="CV53:CV60" si="363">CU53/$CU$31</f>
        <v>9.3728197904038475E-3</v>
      </c>
      <c r="CW53" s="165">
        <f t="shared" si="248"/>
        <v>3.4546473902018455</v>
      </c>
      <c r="CX53" s="8">
        <v>29229</v>
      </c>
      <c r="CY53" s="165">
        <f t="shared" si="249"/>
        <v>7.2791596573697727E-3</v>
      </c>
      <c r="CZ53" s="165">
        <f t="shared" si="250"/>
        <v>0.17982562363768473</v>
      </c>
      <c r="DA53" s="8">
        <v>31157</v>
      </c>
      <c r="DB53" s="165">
        <f t="shared" si="251"/>
        <v>6.899974399427398E-3</v>
      </c>
      <c r="DC53" s="165">
        <f t="shared" si="252"/>
        <v>-0.14401494546553473</v>
      </c>
      <c r="DD53" s="8">
        <v>29729</v>
      </c>
      <c r="DE53" s="165">
        <f>DD53/$CR$31</f>
        <v>8.5292697488787202E-3</v>
      </c>
      <c r="DF53" s="165">
        <f t="shared" si="254"/>
        <v>-8.0195538504377994E-2</v>
      </c>
      <c r="DG53" s="8">
        <v>48519</v>
      </c>
      <c r="DH53" s="165">
        <f t="shared" si="187"/>
        <v>1.1014533945304855E-2</v>
      </c>
      <c r="DI53" s="165">
        <f t="shared" si="78"/>
        <v>0.473487609329446</v>
      </c>
      <c r="DJ53" s="8">
        <v>48689</v>
      </c>
      <c r="DK53" s="165">
        <f t="shared" si="308"/>
        <v>1.0797829389904565E-2</v>
      </c>
      <c r="DL53" s="165">
        <f t="shared" si="255"/>
        <v>0.66577713914263237</v>
      </c>
      <c r="DM53" s="8">
        <v>49860</v>
      </c>
      <c r="DN53" s="165">
        <f t="shared" si="80"/>
        <v>9.3741473128674899E-3</v>
      </c>
      <c r="DO53" s="165">
        <f>(DM53/DA53)-1</f>
        <v>0.60028244054305624</v>
      </c>
      <c r="DP53" s="8">
        <v>42017</v>
      </c>
      <c r="DQ53" s="165">
        <f t="shared" si="343"/>
        <v>8.2777193865539514E-3</v>
      </c>
      <c r="DR53" s="165">
        <f>(DP53/DD53)-1</f>
        <v>0.41333378182919045</v>
      </c>
      <c r="DS53" s="8">
        <v>42205</v>
      </c>
      <c r="DT53" s="165">
        <f t="shared" si="81"/>
        <v>8.0671474142408033E-3</v>
      </c>
      <c r="DU53" s="165">
        <f>(DS53/DG53)-1</f>
        <v>-0.13013458645066878</v>
      </c>
      <c r="DV53" s="8">
        <v>41641</v>
      </c>
      <c r="DW53" s="174">
        <f t="shared" si="355"/>
        <v>7.8675621062416577E-3</v>
      </c>
      <c r="DX53" s="165">
        <f t="shared" si="356"/>
        <v>-0.14475548891946843</v>
      </c>
      <c r="DY53" s="8">
        <v>41103</v>
      </c>
      <c r="DZ53" s="174">
        <f t="shared" si="357"/>
        <v>7.0097151654095295E-3</v>
      </c>
      <c r="EA53" s="165">
        <f t="shared" si="358"/>
        <v>-0.17563176895306865</v>
      </c>
      <c r="EB53" s="8">
        <v>32896</v>
      </c>
      <c r="EC53" s="165">
        <f t="shared" si="84"/>
        <v>5.9046058654045669E-3</v>
      </c>
      <c r="ED53" s="165">
        <f>(EB53/DP53)-1</f>
        <v>-0.21707880143751335</v>
      </c>
      <c r="EE53" s="8">
        <v>70562</v>
      </c>
      <c r="EF53" s="165">
        <f t="shared" si="311"/>
        <v>1.2139450392327451E-2</v>
      </c>
      <c r="EG53" s="165">
        <f t="shared" si="312"/>
        <v>0.6718872171543655</v>
      </c>
      <c r="EH53" s="8">
        <v>70604</v>
      </c>
      <c r="EI53" s="165">
        <f t="shared" si="313"/>
        <v>1.2442698100851343E-2</v>
      </c>
      <c r="EJ53" s="165">
        <f t="shared" si="314"/>
        <v>0.69554045291899813</v>
      </c>
      <c r="EK53" s="8">
        <v>69497</v>
      </c>
      <c r="EL53" s="165">
        <f t="shared" si="261"/>
        <v>1.0732776007951554E-2</v>
      </c>
      <c r="EM53" s="165">
        <f t="shared" si="325"/>
        <v>0.69080115806632114</v>
      </c>
      <c r="EN53" s="8">
        <v>63746</v>
      </c>
      <c r="EO53" s="165">
        <f t="shared" si="287"/>
        <v>1.0196217933481619E-2</v>
      </c>
      <c r="EP53" s="165">
        <f t="shared" si="326"/>
        <v>0.9378039883268483</v>
      </c>
      <c r="EQ53" s="8">
        <v>63871</v>
      </c>
      <c r="ER53" s="165">
        <f t="shared" si="263"/>
        <v>9.6825398509788434E-3</v>
      </c>
      <c r="ES53" s="165">
        <f t="shared" si="327"/>
        <v>-9.4824409738953008E-2</v>
      </c>
      <c r="ET53" s="8">
        <v>61358</v>
      </c>
      <c r="EU53" s="165">
        <f t="shared" si="264"/>
        <v>9.459240920505407E-3</v>
      </c>
      <c r="EV53" s="165">
        <f t="shared" si="328"/>
        <v>-0.13095575321511532</v>
      </c>
      <c r="EW53" s="8">
        <v>58896</v>
      </c>
      <c r="EX53" s="165">
        <f t="shared" si="265"/>
        <v>7.8032152490216172E-3</v>
      </c>
      <c r="EY53" s="165">
        <f t="shared" si="329"/>
        <v>-0.15253895851619492</v>
      </c>
      <c r="EZ53" s="8">
        <v>53357</v>
      </c>
      <c r="FA53" s="165">
        <f t="shared" si="330"/>
        <v>7.5934054908702526E-3</v>
      </c>
      <c r="FB53" s="165">
        <f t="shared" si="331"/>
        <v>-0.16297493176042421</v>
      </c>
      <c r="FC53" s="8">
        <v>51382</v>
      </c>
      <c r="FD53" s="165">
        <f t="shared" si="332"/>
        <v>7.0335168665738483E-3</v>
      </c>
      <c r="FE53" s="165">
        <f t="shared" si="333"/>
        <v>-0.19553474972992435</v>
      </c>
      <c r="FF53" s="8">
        <v>33362</v>
      </c>
      <c r="FG53" s="165">
        <f t="shared" si="88"/>
        <v>4.4204168616603767E-3</v>
      </c>
      <c r="FH53" s="165">
        <f t="shared" si="89"/>
        <v>-0.45627302063300634</v>
      </c>
      <c r="FI53" s="8">
        <v>33467</v>
      </c>
      <c r="FJ53" s="165">
        <f t="shared" si="268"/>
        <v>3.7939936388510752E-3</v>
      </c>
      <c r="FK53" s="165">
        <f t="shared" si="334"/>
        <v>-0.43176107036131484</v>
      </c>
      <c r="FL53" s="8">
        <v>1317296</v>
      </c>
      <c r="FM53" s="165">
        <f t="shared" si="270"/>
        <v>0.13090342918736975</v>
      </c>
      <c r="FN53" s="165">
        <f t="shared" si="335"/>
        <v>23.688344547107221</v>
      </c>
      <c r="FO53" s="8">
        <v>1298440</v>
      </c>
      <c r="FP53" s="165">
        <f t="shared" si="272"/>
        <v>0.13083958456688635</v>
      </c>
      <c r="FQ53" s="165">
        <f t="shared" si="336"/>
        <v>24.270328130473708</v>
      </c>
      <c r="FR53" s="8">
        <v>1292705</v>
      </c>
      <c r="FS53" s="165">
        <f t="shared" si="274"/>
        <v>0.12670713856259555</v>
      </c>
      <c r="FT53" s="165">
        <f t="shared" si="337"/>
        <v>37.747826868892751</v>
      </c>
      <c r="FU53" s="8">
        <v>1291676</v>
      </c>
      <c r="FV53" s="165">
        <f t="shared" si="316"/>
        <v>0.11180532821969753</v>
      </c>
      <c r="FW53" s="165">
        <f t="shared" si="338"/>
        <v>37.595511996892462</v>
      </c>
      <c r="FX53" s="8">
        <v>1277335</v>
      </c>
      <c r="FY53" s="165">
        <f t="shared" si="317"/>
        <v>0.11102955819130651</v>
      </c>
      <c r="FZ53" s="165">
        <f t="shared" si="339"/>
        <v>-3.0335626920600989E-2</v>
      </c>
      <c r="GA53" s="8">
        <v>1221502</v>
      </c>
      <c r="GB53" s="165">
        <f t="shared" si="318"/>
        <v>9.5221019590552625E-2</v>
      </c>
      <c r="GC53" s="165">
        <f t="shared" si="340"/>
        <v>-5.9254181941406636E-2</v>
      </c>
      <c r="GD53" s="12">
        <v>1308448</v>
      </c>
      <c r="GE53" s="165">
        <f t="shared" si="319"/>
        <v>0.100788701973257</v>
      </c>
      <c r="GF53" s="165">
        <f t="shared" si="341"/>
        <v>1.217833921892475E-2</v>
      </c>
      <c r="GG53" s="12">
        <v>1365804</v>
      </c>
      <c r="GH53" s="165">
        <f t="shared" si="320"/>
        <v>9.3276165824021623E-2</v>
      </c>
      <c r="GI53" s="165">
        <f t="shared" si="342"/>
        <v>5.7389004672998567E-2</v>
      </c>
    </row>
    <row r="54" spans="2:191" s="151" customFormat="1" ht="16.5" customHeight="1">
      <c r="B54" s="541" t="s">
        <v>39</v>
      </c>
      <c r="C54" s="179"/>
      <c r="D54" s="7"/>
      <c r="E54" s="542"/>
      <c r="F54" s="7"/>
      <c r="G54" s="542"/>
      <c r="H54" s="7"/>
      <c r="I54" s="542"/>
      <c r="J54" s="7"/>
      <c r="K54" s="542"/>
      <c r="L54" s="7"/>
      <c r="M54" s="542"/>
      <c r="N54" s="542"/>
      <c r="O54" s="166"/>
      <c r="P54" s="542"/>
      <c r="Q54" s="517"/>
      <c r="R54" s="166"/>
      <c r="S54" s="542"/>
      <c r="T54" s="542"/>
      <c r="U54" s="7"/>
      <c r="V54" s="542"/>
      <c r="W54" s="542"/>
      <c r="X54" s="7"/>
      <c r="Y54" s="542"/>
      <c r="Z54" s="542"/>
      <c r="AA54" s="7"/>
      <c r="AB54" s="542"/>
      <c r="AC54" s="542"/>
      <c r="AD54" s="7"/>
      <c r="AE54" s="542"/>
      <c r="AF54" s="542"/>
      <c r="AG54" s="7"/>
      <c r="AH54" s="542"/>
      <c r="AI54" s="542"/>
      <c r="AJ54" s="543"/>
      <c r="AK54" s="542"/>
      <c r="AL54" s="544"/>
      <c r="AM54" s="543"/>
      <c r="AN54" s="542"/>
      <c r="AO54" s="544"/>
      <c r="AP54" s="543"/>
      <c r="AQ54" s="542"/>
      <c r="AR54" s="544"/>
      <c r="AS54" s="543"/>
      <c r="AT54" s="542"/>
      <c r="AU54" s="542"/>
      <c r="AV54" s="543"/>
      <c r="AW54" s="544"/>
      <c r="AX54" s="542"/>
      <c r="AY54" s="543"/>
      <c r="AZ54" s="544"/>
      <c r="BA54" s="542"/>
      <c r="BB54" s="543"/>
      <c r="BC54" s="544"/>
      <c r="BD54" s="542"/>
      <c r="BE54" s="543"/>
      <c r="BF54" s="542"/>
      <c r="BG54" s="542"/>
      <c r="BH54" s="7"/>
      <c r="BI54" s="542"/>
      <c r="BJ54" s="542"/>
      <c r="BK54" s="7"/>
      <c r="BL54" s="542"/>
      <c r="BM54" s="542"/>
      <c r="BN54" s="7"/>
      <c r="BO54" s="542"/>
      <c r="BP54" s="542"/>
      <c r="BQ54" s="8"/>
      <c r="BR54" s="542"/>
      <c r="BS54" s="542"/>
      <c r="BT54" s="8"/>
      <c r="BU54" s="542"/>
      <c r="BV54" s="542"/>
      <c r="BW54" s="545"/>
      <c r="BX54" s="542"/>
      <c r="BY54" s="542"/>
      <c r="BZ54" s="8"/>
      <c r="CA54" s="542"/>
      <c r="CB54" s="542"/>
      <c r="CC54" s="8"/>
      <c r="CD54" s="542"/>
      <c r="CE54" s="542"/>
      <c r="CF54" s="8"/>
      <c r="CG54" s="542"/>
      <c r="CH54" s="542"/>
      <c r="CI54" s="8"/>
      <c r="CJ54" s="542"/>
      <c r="CK54" s="542"/>
      <c r="CL54" s="8"/>
      <c r="CM54" s="542"/>
      <c r="CN54" s="542"/>
      <c r="CO54" s="8"/>
      <c r="CP54" s="542"/>
      <c r="CQ54" s="542"/>
      <c r="CR54" s="8"/>
      <c r="CS54" s="542"/>
      <c r="CT54" s="542"/>
      <c r="CU54" s="8"/>
      <c r="CV54" s="542"/>
      <c r="CW54" s="542"/>
      <c r="CX54" s="8"/>
      <c r="CY54" s="542"/>
      <c r="CZ54" s="542"/>
      <c r="DA54" s="8"/>
      <c r="DB54" s="542"/>
      <c r="DC54" s="542"/>
      <c r="DD54" s="8"/>
      <c r="DE54" s="542"/>
      <c r="DF54" s="542"/>
      <c r="DG54" s="8"/>
      <c r="DH54" s="542"/>
      <c r="DI54" s="542"/>
      <c r="DJ54" s="8"/>
      <c r="DK54" s="542"/>
      <c r="DL54" s="542"/>
      <c r="DM54" s="8"/>
      <c r="DN54" s="542"/>
      <c r="DO54" s="542"/>
      <c r="DP54" s="8"/>
      <c r="DQ54" s="542"/>
      <c r="DR54" s="542"/>
      <c r="DS54" s="8"/>
      <c r="DT54" s="542"/>
      <c r="DU54" s="542"/>
      <c r="DV54" s="8"/>
      <c r="DW54" s="517"/>
      <c r="DX54" s="542"/>
      <c r="DY54" s="8"/>
      <c r="DZ54" s="517"/>
      <c r="EA54" s="542"/>
      <c r="EB54" s="8"/>
      <c r="EC54" s="542"/>
      <c r="ED54" s="542"/>
      <c r="EE54" s="8"/>
      <c r="EF54" s="542"/>
      <c r="EG54" s="542"/>
      <c r="EH54" s="8"/>
      <c r="EI54" s="542"/>
      <c r="EJ54" s="542"/>
      <c r="EK54" s="8"/>
      <c r="EL54" s="542"/>
      <c r="EM54" s="542"/>
      <c r="EN54" s="8"/>
      <c r="EO54" s="542"/>
      <c r="EP54" s="542"/>
      <c r="EQ54" s="8"/>
      <c r="ER54" s="542"/>
      <c r="ES54" s="542"/>
      <c r="ET54" s="8"/>
      <c r="EU54" s="542"/>
      <c r="EV54" s="542"/>
      <c r="EW54" s="8"/>
      <c r="EX54" s="542"/>
      <c r="EY54" s="542"/>
      <c r="EZ54" s="8"/>
      <c r="FA54" s="542"/>
      <c r="FB54" s="542"/>
      <c r="FC54" s="8"/>
      <c r="FD54" s="542"/>
      <c r="FE54" s="542"/>
      <c r="FF54" s="8"/>
      <c r="FG54" s="542"/>
      <c r="FH54" s="542"/>
      <c r="FI54" s="8"/>
      <c r="FJ54" s="542"/>
      <c r="FK54" s="542"/>
      <c r="FL54" s="8"/>
      <c r="FM54" s="542"/>
      <c r="FN54" s="542"/>
      <c r="FO54" s="8"/>
      <c r="FP54" s="542"/>
      <c r="FQ54" s="542"/>
      <c r="FR54" s="8"/>
      <c r="FS54" s="542"/>
      <c r="FT54" s="542"/>
      <c r="FU54" s="8">
        <v>0</v>
      </c>
      <c r="FV54" s="542"/>
      <c r="FW54" s="542"/>
      <c r="FX54" s="8"/>
      <c r="FY54" s="542"/>
      <c r="FZ54" s="542"/>
      <c r="GA54" s="8">
        <v>88311</v>
      </c>
      <c r="GB54" s="542"/>
      <c r="GC54" s="542"/>
      <c r="GD54" s="12">
        <v>99686</v>
      </c>
      <c r="GE54" s="542"/>
      <c r="GF54" s="542"/>
      <c r="GG54" s="12">
        <v>95503</v>
      </c>
      <c r="GH54" s="542"/>
      <c r="GI54" s="542"/>
    </row>
    <row r="55" spans="2:191" s="151" customFormat="1" ht="16.5" customHeight="1">
      <c r="B55" s="178" t="s">
        <v>44</v>
      </c>
      <c r="C55" s="179" t="s">
        <v>45</v>
      </c>
      <c r="D55" s="7">
        <v>6874</v>
      </c>
      <c r="E55" s="165">
        <f t="shared" si="209"/>
        <v>1.0221774133587911E-2</v>
      </c>
      <c r="F55" s="7">
        <v>6771</v>
      </c>
      <c r="G55" s="165">
        <f t="shared" si="210"/>
        <v>9.6333055426719438E-3</v>
      </c>
      <c r="H55" s="7">
        <v>6624</v>
      </c>
      <c r="I55" s="165">
        <f t="shared" si="211"/>
        <v>7.5802743500864569E-3</v>
      </c>
      <c r="J55" s="7">
        <v>6537</v>
      </c>
      <c r="K55" s="165">
        <f t="shared" si="212"/>
        <v>6.1248927183392612E-3</v>
      </c>
      <c r="L55" s="7">
        <v>6395</v>
      </c>
      <c r="M55" s="165">
        <f t="shared" ref="M55:M63" si="364">L55/$L$6</f>
        <v>6.9265504045993593E-3</v>
      </c>
      <c r="N55" s="165">
        <f>(L55/D55)-1</f>
        <v>-6.9682862961885417E-2</v>
      </c>
      <c r="O55" s="8">
        <v>6234</v>
      </c>
      <c r="P55" s="165">
        <f t="shared" ref="P55:P67" si="365">O55/$O$6</f>
        <v>5.8870302132891629E-3</v>
      </c>
      <c r="Q55" s="165">
        <f>(O55/F55)-1</f>
        <v>-7.9308817013735045E-2</v>
      </c>
      <c r="R55" s="166">
        <v>6056</v>
      </c>
      <c r="S55" s="165">
        <f t="shared" ref="S55:S67" si="366">R55/$R$6</f>
        <v>5.4337488201156373E-3</v>
      </c>
      <c r="T55" s="165">
        <f>(R55/H55)-1</f>
        <v>-8.5748792270531449E-2</v>
      </c>
      <c r="U55" s="166">
        <v>5864</v>
      </c>
      <c r="V55" s="165">
        <f t="shared" ref="V55:V65" si="367">U55/$U$6</f>
        <v>4.11185017831574E-3</v>
      </c>
      <c r="W55" s="165">
        <f>(U55/J55)-1</f>
        <v>-0.10295242465962984</v>
      </c>
      <c r="X55" s="166">
        <v>5661</v>
      </c>
      <c r="Y55" s="165">
        <f t="shared" ref="Y55:Y67" si="368">X55/$X$6</f>
        <v>4.4666281100111333E-3</v>
      </c>
      <c r="Z55" s="165">
        <f>(X55/L55)-1</f>
        <v>-0.11477716966379981</v>
      </c>
      <c r="AA55" s="166">
        <v>5451</v>
      </c>
      <c r="AB55" s="165">
        <f t="shared" ref="AB55:AB67" si="369">AA55/$AA$6</f>
        <v>4.1299115148842741E-3</v>
      </c>
      <c r="AC55" s="165">
        <f>(AA55/O55)-1</f>
        <v>-0.1256015399422522</v>
      </c>
      <c r="AD55" s="166">
        <v>7732</v>
      </c>
      <c r="AE55" s="165">
        <f t="shared" ref="AE55:AE67" si="370">AD55/$AD$6</f>
        <v>5.7000934042724157E-3</v>
      </c>
      <c r="AF55" s="165">
        <f>(AD55/R55)-1</f>
        <v>0.27675033025099083</v>
      </c>
      <c r="AG55" s="166">
        <v>13707</v>
      </c>
      <c r="AH55" s="165">
        <f t="shared" ref="AH55:AH65" si="371">AG55/$AG$6</f>
        <v>8.5223669386628332E-3</v>
      </c>
      <c r="AI55" s="165">
        <f>(AG55/U55)-1</f>
        <v>1.3374829467939975</v>
      </c>
      <c r="AJ55" s="166">
        <v>16729</v>
      </c>
      <c r="AK55" s="165">
        <f t="shared" ref="AK55:AK67" si="372">AJ55/$AJ$6</f>
        <v>1.1473810986985054E-2</v>
      </c>
      <c r="AL55" s="165">
        <f>(AJ55/X55)-1</f>
        <v>1.9551316021904257</v>
      </c>
      <c r="AM55" s="166">
        <v>17835</v>
      </c>
      <c r="AN55" s="165">
        <f t="shared" ref="AN55:AN67" si="373">AM55/$AM$6</f>
        <v>1.1843195690630628E-2</v>
      </c>
      <c r="AO55" s="165">
        <f>(AM55/AA55)-1</f>
        <v>2.271876719867914</v>
      </c>
      <c r="AP55" s="166">
        <v>21837</v>
      </c>
      <c r="AQ55" s="165">
        <f t="shared" ref="AQ55:AQ67" si="374">AP55/$AP$6</f>
        <v>1.5215258597384065E-2</v>
      </c>
      <c r="AR55" s="165">
        <f>(AP55/AD55)-1</f>
        <v>1.8242369374030005</v>
      </c>
      <c r="AS55" s="166">
        <v>18492</v>
      </c>
      <c r="AT55" s="165">
        <f t="shared" ref="AT55:AT65" si="375">AS55/$AS$6</f>
        <v>1.1370211300730775E-2</v>
      </c>
      <c r="AU55" s="165">
        <f>(AS55/AG55)-1</f>
        <v>0.34909170496826447</v>
      </c>
      <c r="AV55" s="166">
        <v>15572</v>
      </c>
      <c r="AW55" s="165">
        <f t="shared" ref="AW55:AW67" si="376">AV55/$AV$6</f>
        <v>1.072314428041587E-2</v>
      </c>
      <c r="AX55" s="165">
        <f>(AV55/AJ55)-1</f>
        <v>-6.9161336601111789E-2</v>
      </c>
      <c r="AY55" s="166">
        <v>11079</v>
      </c>
      <c r="AZ55" s="165">
        <f t="shared" ref="AZ55:AZ67" si="377">AY55/$AY$6</f>
        <v>6.9839788948810001E-3</v>
      </c>
      <c r="BA55" s="165">
        <f>(AY55/AM55)-1</f>
        <v>-0.37880571909167371</v>
      </c>
      <c r="BB55" s="166">
        <v>10001</v>
      </c>
      <c r="BC55" s="165">
        <f t="shared" ref="BC55:BC67" si="378">BB55/$BB$6</f>
        <v>6.1363733977997164E-3</v>
      </c>
      <c r="BD55" s="165">
        <f>(BB55/AP55)-1</f>
        <v>-0.54201584466730779</v>
      </c>
      <c r="BE55" s="166">
        <v>13720</v>
      </c>
      <c r="BF55" s="165">
        <f t="shared" ref="BF55:BF66" si="379">BE55/$BE$6</f>
        <v>7.1413811285360113E-3</v>
      </c>
      <c r="BG55" s="165">
        <f>(BE55/AS55)-1</f>
        <v>-0.25805753839498158</v>
      </c>
      <c r="BH55" s="166">
        <v>15953</v>
      </c>
      <c r="BI55" s="165">
        <f t="shared" ref="BI55:BI63" si="380">BH55/$BH$6</f>
        <v>8.7071994725357264E-3</v>
      </c>
      <c r="BJ55" s="165">
        <f>(BH55/AV55)-1</f>
        <v>2.4466992036989543E-2</v>
      </c>
      <c r="BK55" s="166">
        <v>21969</v>
      </c>
      <c r="BL55" s="165">
        <f>BK55/$BK$6</f>
        <v>1.173632925187512E-2</v>
      </c>
      <c r="BM55" s="165">
        <f>(BK55/AY55)-1</f>
        <v>0.98294069861900901</v>
      </c>
      <c r="BN55" s="166">
        <v>25701</v>
      </c>
      <c r="BO55" s="165">
        <f t="shared" ref="BO55:BO67" si="381">BN55/$BN$6</f>
        <v>1.3487359634585493E-2</v>
      </c>
      <c r="BP55" s="165">
        <f>(BN55/BB55)-1</f>
        <v>1.5698430156984302</v>
      </c>
      <c r="BQ55" s="166">
        <v>28964</v>
      </c>
      <c r="BR55" s="165">
        <f t="shared" si="240"/>
        <v>1.1793087582934143E-2</v>
      </c>
      <c r="BS55" s="165">
        <f>(BQ55/BE55)-1</f>
        <v>1.111078717201166</v>
      </c>
      <c r="BT55" s="166">
        <v>31203</v>
      </c>
      <c r="BU55" s="165">
        <f t="shared" si="242"/>
        <v>1.4105734921763645E-2</v>
      </c>
      <c r="BV55" s="165">
        <f>(BT55/BH55)-1</f>
        <v>0.95593305334419854</v>
      </c>
      <c r="BW55" s="168">
        <v>27813</v>
      </c>
      <c r="BX55" s="165">
        <f t="shared" si="244"/>
        <v>1.2478313361661119E-2</v>
      </c>
      <c r="BY55" s="165">
        <f>(BW55/BK55)-1</f>
        <v>0.26601119759661351</v>
      </c>
      <c r="BZ55" s="166">
        <v>27112</v>
      </c>
      <c r="CA55" s="165">
        <f t="shared" si="353"/>
        <v>1.0186614325884491E-2</v>
      </c>
      <c r="CB55" s="165">
        <f>(BZ55/BN55)-1</f>
        <v>5.4900587525777311E-2</v>
      </c>
      <c r="CC55" s="166">
        <v>23383</v>
      </c>
      <c r="CD55" s="165">
        <f t="shared" si="359"/>
        <v>7.8374287415066309E-3</v>
      </c>
      <c r="CE55" s="165">
        <f>(CC55/BQ55)-1</f>
        <v>-0.19268747410578646</v>
      </c>
      <c r="CF55" s="166">
        <v>26494</v>
      </c>
      <c r="CG55" s="165">
        <f t="shared" si="354"/>
        <v>9.2652334825548601E-3</v>
      </c>
      <c r="CH55" s="165">
        <f>(CF55/BT55)-1</f>
        <v>-0.15091497612409066</v>
      </c>
      <c r="CI55" s="166">
        <v>24535</v>
      </c>
      <c r="CJ55" s="165">
        <f t="shared" si="360"/>
        <v>8.432056731056398E-3</v>
      </c>
      <c r="CK55" s="165">
        <f>(CI55/BW55)-1</f>
        <v>-0.11785855535181389</v>
      </c>
      <c r="CL55" s="166">
        <v>20636</v>
      </c>
      <c r="CM55" s="165">
        <f t="shared" si="361"/>
        <v>6.2115933086005406E-3</v>
      </c>
      <c r="CN55" s="165">
        <f t="shared" si="324"/>
        <v>-0.23886102095013273</v>
      </c>
      <c r="CO55" s="166">
        <v>541</v>
      </c>
      <c r="CP55" s="165">
        <f>CO55/$CO$6</f>
        <v>1.4350026047551902E-4</v>
      </c>
      <c r="CQ55" s="165">
        <f>(CO55/CC55)-1</f>
        <v>-0.97686353333618436</v>
      </c>
      <c r="CR55" s="166">
        <v>487</v>
      </c>
      <c r="CS55" s="165">
        <f t="shared" si="362"/>
        <v>1.3972062187439662E-4</v>
      </c>
      <c r="CT55" s="165">
        <f>(CR55/CF55)-1</f>
        <v>-0.98161847965577109</v>
      </c>
      <c r="CU55" s="166">
        <v>433</v>
      </c>
      <c r="CV55" s="165">
        <f t="shared" si="363"/>
        <v>1.2325166937696993E-4</v>
      </c>
      <c r="CW55" s="165">
        <f>(CU55/CI55)-1</f>
        <v>-0.98235174240880374</v>
      </c>
      <c r="CX55" s="166">
        <v>377</v>
      </c>
      <c r="CY55" s="165">
        <f>CX55/$CX$31</f>
        <v>9.3887686572527432E-5</v>
      </c>
      <c r="CZ55" s="165">
        <f>(CX55/CL55)-1</f>
        <v>-0.98173095561155266</v>
      </c>
      <c r="DA55" s="166">
        <v>432</v>
      </c>
      <c r="DB55" s="165">
        <f t="shared" si="251"/>
        <v>9.566995989834181E-5</v>
      </c>
      <c r="DC55" s="165">
        <f>(DA55/CO55)-1</f>
        <v>-0.20147874306839186</v>
      </c>
      <c r="DD55" s="166">
        <v>375</v>
      </c>
      <c r="DE55" s="165">
        <f>DD55/$CR$31</f>
        <v>1.0758774784989472E-4</v>
      </c>
      <c r="DF55" s="165">
        <f>(DD55/CR55)-1</f>
        <v>-0.22997946611909648</v>
      </c>
      <c r="DG55" s="166">
        <v>335</v>
      </c>
      <c r="DH55" s="165">
        <f>DG55/$DG$6</f>
        <v>7.6049977775245295E-5</v>
      </c>
      <c r="DI55" s="165">
        <f t="shared" si="78"/>
        <v>-0.2263279445727483</v>
      </c>
      <c r="DJ55" s="166">
        <v>315</v>
      </c>
      <c r="DK55" s="165">
        <f t="shared" si="308"/>
        <v>6.9858001967999718E-5</v>
      </c>
      <c r="DL55" s="165">
        <f>(DJ55/CX55)-1</f>
        <v>-0.16445623342175064</v>
      </c>
      <c r="DM55" s="166">
        <v>300</v>
      </c>
      <c r="DN55" s="165">
        <f t="shared" si="80"/>
        <v>5.6402811750105237E-5</v>
      </c>
      <c r="DO55" s="165">
        <f>(DM55/DA55)-1</f>
        <v>-0.30555555555555558</v>
      </c>
      <c r="DP55" s="166">
        <v>268</v>
      </c>
      <c r="DQ55" s="165">
        <f t="shared" si="343"/>
        <v>5.2798362462728395E-5</v>
      </c>
      <c r="DR55" s="165">
        <f>(DP55/DD55)-1</f>
        <v>-0.28533333333333333</v>
      </c>
      <c r="DS55" s="166">
        <v>243</v>
      </c>
      <c r="DT55" s="165">
        <f t="shared" si="81"/>
        <v>4.6447501994088744E-5</v>
      </c>
      <c r="DU55" s="165">
        <f>(DS55/DG55)-1</f>
        <v>-0.27462686567164174</v>
      </c>
      <c r="DV55" s="166">
        <v>169</v>
      </c>
      <c r="DW55" s="174">
        <f t="shared" si="355"/>
        <v>3.193050109158858E-5</v>
      </c>
      <c r="DX55" s="165">
        <f t="shared" si="356"/>
        <v>-0.46349206349206351</v>
      </c>
      <c r="DY55" s="166">
        <v>169</v>
      </c>
      <c r="DZ55" s="174">
        <f t="shared" si="357"/>
        <v>2.8821299247116037E-5</v>
      </c>
      <c r="EA55" s="165">
        <f t="shared" si="358"/>
        <v>-0.43666666666666665</v>
      </c>
      <c r="EB55" s="166">
        <v>279</v>
      </c>
      <c r="EC55" s="165">
        <f t="shared" si="84"/>
        <v>5.0078582090463101E-5</v>
      </c>
      <c r="ED55" s="165">
        <f>(EB55/DP55)-1</f>
        <v>4.1044776119403048E-2</v>
      </c>
      <c r="EE55" s="166">
        <v>279</v>
      </c>
      <c r="EF55" s="165">
        <f t="shared" si="311"/>
        <v>4.7999017310441301E-5</v>
      </c>
      <c r="EG55" s="165">
        <f t="shared" si="312"/>
        <v>0.14814814814814814</v>
      </c>
      <c r="EH55" s="166">
        <v>95</v>
      </c>
      <c r="EI55" s="165">
        <f t="shared" si="313"/>
        <v>1.6742058800930223E-5</v>
      </c>
      <c r="EJ55" s="165">
        <f t="shared" si="314"/>
        <v>-0.43786982248520712</v>
      </c>
      <c r="EK55" s="166">
        <v>52</v>
      </c>
      <c r="EL55" s="165">
        <f t="shared" si="261"/>
        <v>8.0306250976801993E-6</v>
      </c>
      <c r="EM55" s="165">
        <f t="shared" si="325"/>
        <v>-0.69230769230769229</v>
      </c>
      <c r="EN55" s="166">
        <v>11</v>
      </c>
      <c r="EO55" s="165">
        <f t="shared" si="287"/>
        <v>1.7594578054826624E-6</v>
      </c>
      <c r="EP55" s="165">
        <f t="shared" si="326"/>
        <v>-0.96057347670250892</v>
      </c>
      <c r="EQ55" s="166">
        <v>11</v>
      </c>
      <c r="ER55" s="165">
        <f t="shared" si="263"/>
        <v>1.6675476876949988E-6</v>
      </c>
      <c r="ES55" s="165">
        <f t="shared" si="327"/>
        <v>-0.96057347670250892</v>
      </c>
      <c r="ET55" s="166">
        <v>11</v>
      </c>
      <c r="EU55" s="165">
        <f t="shared" si="264"/>
        <v>1.6958122840633574E-6</v>
      </c>
      <c r="EV55" s="165">
        <f t="shared" si="328"/>
        <v>-0.88421052631578945</v>
      </c>
      <c r="EW55" s="166">
        <v>0</v>
      </c>
      <c r="EX55" s="165">
        <f t="shared" si="265"/>
        <v>0</v>
      </c>
      <c r="EY55" s="165">
        <f t="shared" si="329"/>
        <v>-1</v>
      </c>
      <c r="EZ55" s="166">
        <v>11</v>
      </c>
      <c r="FA55" s="165">
        <f t="shared" si="330"/>
        <v>1.5654452161773109E-6</v>
      </c>
      <c r="FB55" s="165">
        <f t="shared" si="331"/>
        <v>0</v>
      </c>
      <c r="FC55" s="166">
        <v>11</v>
      </c>
      <c r="FD55" s="165">
        <f t="shared" si="332"/>
        <v>1.5057546520632192E-6</v>
      </c>
      <c r="FE55" s="165">
        <f t="shared" si="333"/>
        <v>0</v>
      </c>
      <c r="FF55" s="166">
        <v>6797</v>
      </c>
      <c r="FG55" s="165">
        <f t="shared" si="88"/>
        <v>9.0059269254557815E-4</v>
      </c>
      <c r="FH55" s="165">
        <f t="shared" si="89"/>
        <v>616.90909090909088</v>
      </c>
      <c r="FI55" s="166">
        <v>0</v>
      </c>
      <c r="FJ55" s="165">
        <f t="shared" si="268"/>
        <v>0</v>
      </c>
      <c r="FK55" s="165" t="s">
        <v>112</v>
      </c>
      <c r="FL55" s="166">
        <v>0</v>
      </c>
      <c r="FM55" s="165">
        <f t="shared" si="270"/>
        <v>0</v>
      </c>
      <c r="FN55" s="165" t="s">
        <v>112</v>
      </c>
      <c r="FO55" s="166">
        <v>0</v>
      </c>
      <c r="FP55" s="165">
        <f t="shared" si="272"/>
        <v>0</v>
      </c>
      <c r="FQ55" s="165" t="s">
        <v>112</v>
      </c>
      <c r="FR55" s="166">
        <v>0</v>
      </c>
      <c r="FS55" s="165">
        <f t="shared" si="274"/>
        <v>0</v>
      </c>
      <c r="FT55" s="165">
        <f t="shared" si="337"/>
        <v>-1</v>
      </c>
      <c r="FU55" s="12">
        <v>0</v>
      </c>
      <c r="FV55" s="165">
        <f t="shared" si="316"/>
        <v>0</v>
      </c>
      <c r="FW55" s="165" t="e">
        <f t="shared" si="338"/>
        <v>#DIV/0!</v>
      </c>
      <c r="FX55" s="166">
        <v>0</v>
      </c>
      <c r="FY55" s="165">
        <f t="shared" si="317"/>
        <v>0</v>
      </c>
      <c r="FZ55" s="165" t="e">
        <f t="shared" si="339"/>
        <v>#DIV/0!</v>
      </c>
      <c r="GA55" s="12"/>
      <c r="GB55" s="165">
        <f t="shared" si="318"/>
        <v>0</v>
      </c>
      <c r="GC55" s="165" t="e">
        <f t="shared" si="340"/>
        <v>#DIV/0!</v>
      </c>
      <c r="GD55" s="12"/>
      <c r="GE55" s="165">
        <f t="shared" ref="GE55:GE56" si="382">GD55/GD$6</f>
        <v>0</v>
      </c>
      <c r="GF55" s="165" t="e">
        <f t="shared" ref="GF55:GF56" si="383">(GD55/FR55)-1</f>
        <v>#DIV/0!</v>
      </c>
      <c r="GG55" s="12"/>
      <c r="GH55" s="165">
        <f t="shared" ref="GH55:GH56" si="384">GG55/GG$6</f>
        <v>0</v>
      </c>
      <c r="GI55" s="165" t="e">
        <f t="shared" ref="GI55:GI56" si="385">(GG55/FU55)-1</f>
        <v>#DIV/0!</v>
      </c>
    </row>
    <row r="56" spans="2:191" s="151" customFormat="1" ht="16.5" customHeight="1">
      <c r="B56" s="172" t="s">
        <v>1527</v>
      </c>
      <c r="C56" s="164" t="s">
        <v>144</v>
      </c>
      <c r="D56" s="7">
        <v>12477</v>
      </c>
      <c r="E56" s="165">
        <f t="shared" si="209"/>
        <v>1.8553546096126909E-2</v>
      </c>
      <c r="F56" s="7">
        <v>15331</v>
      </c>
      <c r="G56" s="165">
        <f t="shared" si="210"/>
        <v>2.1811875243642531E-2</v>
      </c>
      <c r="H56" s="7">
        <v>16177</v>
      </c>
      <c r="I56" s="165">
        <f t="shared" si="211"/>
        <v>1.8512394046097315E-2</v>
      </c>
      <c r="J56" s="7">
        <v>12675</v>
      </c>
      <c r="K56" s="165">
        <f t="shared" si="212"/>
        <v>1.187593930013005E-2</v>
      </c>
      <c r="L56" s="7">
        <v>12940</v>
      </c>
      <c r="M56" s="165">
        <f t="shared" si="364"/>
        <v>1.401556876239495E-2</v>
      </c>
      <c r="N56" s="165">
        <f>(L56/D56)-1</f>
        <v>3.7108279233790231E-2</v>
      </c>
      <c r="O56" s="8">
        <v>14741</v>
      </c>
      <c r="P56" s="165">
        <f t="shared" si="365"/>
        <v>1.3920550589364061E-2</v>
      </c>
      <c r="Q56" s="165">
        <f>(O56/F56)-1</f>
        <v>-3.8484117148261721E-2</v>
      </c>
      <c r="R56" s="166">
        <v>16043</v>
      </c>
      <c r="S56" s="165">
        <f t="shared" si="366"/>
        <v>1.4394589220791806E-2</v>
      </c>
      <c r="T56" s="165">
        <f>(R56/H56)-1</f>
        <v>-8.2833652716820527E-3</v>
      </c>
      <c r="U56" s="166">
        <v>19033</v>
      </c>
      <c r="V56" s="165">
        <f t="shared" si="367"/>
        <v>1.3345983022490363E-2</v>
      </c>
      <c r="W56" s="165">
        <f>(U56/J56)-1</f>
        <v>0.50161735700197241</v>
      </c>
      <c r="X56" s="166">
        <v>41322</v>
      </c>
      <c r="Y56" s="165">
        <f t="shared" si="368"/>
        <v>3.2603781445306491E-2</v>
      </c>
      <c r="Z56" s="165">
        <f>(X56/L56)-1</f>
        <v>2.1933539412673881</v>
      </c>
      <c r="AA56" s="166">
        <v>43646</v>
      </c>
      <c r="AB56" s="165">
        <f t="shared" si="369"/>
        <v>3.3068082549741154E-2</v>
      </c>
      <c r="AC56" s="165">
        <f>(AA56/O56)-1</f>
        <v>1.9608574723560137</v>
      </c>
      <c r="AD56" s="166">
        <v>21087</v>
      </c>
      <c r="AE56" s="165">
        <f t="shared" si="370"/>
        <v>1.5545508227611542E-2</v>
      </c>
      <c r="AF56" s="165">
        <f>(AD56/R56)-1</f>
        <v>0.31440503646450169</v>
      </c>
      <c r="AG56" s="166">
        <v>20387</v>
      </c>
      <c r="AH56" s="165">
        <f t="shared" si="371"/>
        <v>1.2675676280624439E-2</v>
      </c>
      <c r="AI56" s="165">
        <f>(AG56/U56)-1</f>
        <v>7.1139599642725759E-2</v>
      </c>
      <c r="AJ56" s="166">
        <v>20428</v>
      </c>
      <c r="AK56" s="165">
        <f t="shared" si="372"/>
        <v>1.401082018304326E-2</v>
      </c>
      <c r="AL56" s="165">
        <f>(AJ56/X56)-1</f>
        <v>-0.50563864285368565</v>
      </c>
      <c r="AM56" s="166">
        <v>19974</v>
      </c>
      <c r="AN56" s="165">
        <f t="shared" si="373"/>
        <v>1.3263582322660844E-2</v>
      </c>
      <c r="AO56" s="165">
        <f>(AM56/AA56)-1</f>
        <v>-0.54236356138019515</v>
      </c>
      <c r="AP56" s="166">
        <f>45208-24363</f>
        <v>20845</v>
      </c>
      <c r="AQ56" s="165">
        <f t="shared" si="374"/>
        <v>1.4524067658674308E-2</v>
      </c>
      <c r="AR56" s="165">
        <f>(AP56/AD56)-1</f>
        <v>-1.1476264997391739E-2</v>
      </c>
      <c r="AS56" s="166">
        <v>22530</v>
      </c>
      <c r="AT56" s="165">
        <f t="shared" si="375"/>
        <v>1.3853064060429611E-2</v>
      </c>
      <c r="AU56" s="165">
        <f>(AS56/AG56)-1</f>
        <v>0.10511600529749354</v>
      </c>
      <c r="AV56" s="166">
        <v>23243</v>
      </c>
      <c r="AW56" s="165">
        <f t="shared" si="376"/>
        <v>1.6005525462991655E-2</v>
      </c>
      <c r="AX56" s="165">
        <f>(AV56/AJ56)-1</f>
        <v>0.13780105737223414</v>
      </c>
      <c r="AY56" s="166">
        <v>24048</v>
      </c>
      <c r="AZ56" s="165">
        <f t="shared" si="377"/>
        <v>1.5159375797824559E-2</v>
      </c>
      <c r="BA56" s="165">
        <f>(AY56/AM56)-1</f>
        <v>0.20396515470111143</v>
      </c>
      <c r="BB56" s="166">
        <f>47065-22074</f>
        <v>24991</v>
      </c>
      <c r="BC56" s="165">
        <f t="shared" si="378"/>
        <v>1.5333877370704201E-2</v>
      </c>
      <c r="BD56" s="165">
        <f>(BB56/AP56)-1</f>
        <v>0.19889661789397928</v>
      </c>
      <c r="BE56" s="166">
        <v>26277</v>
      </c>
      <c r="BF56" s="165">
        <f t="shared" si="379"/>
        <v>1.3677410489398016E-2</v>
      </c>
      <c r="BG56" s="165">
        <f>(BE56/AS56)-1</f>
        <v>0.16631158455392803</v>
      </c>
      <c r="BH56" s="166">
        <v>28911</v>
      </c>
      <c r="BI56" s="165">
        <f t="shared" si="380"/>
        <v>1.5779718169026537E-2</v>
      </c>
      <c r="BJ56" s="165">
        <f>(BH56/AV56)-1</f>
        <v>0.24385836595964383</v>
      </c>
      <c r="BK56" s="166">
        <v>31588</v>
      </c>
      <c r="BL56" s="165">
        <f>BK56/$BK$6</f>
        <v>1.6875013355556981E-2</v>
      </c>
      <c r="BM56" s="165">
        <f>(BK56/AY56)-1</f>
        <v>0.31353958749168331</v>
      </c>
      <c r="BN56" s="166">
        <v>36248</v>
      </c>
      <c r="BO56" s="165">
        <f t="shared" si="381"/>
        <v>1.9022209720806774E-2</v>
      </c>
      <c r="BP56" s="165">
        <f>(BN56/BB56)-1</f>
        <v>0.45044215917730379</v>
      </c>
      <c r="BQ56" s="166">
        <v>43414</v>
      </c>
      <c r="BR56" s="165">
        <f t="shared" si="240"/>
        <v>1.7676602138016258E-2</v>
      </c>
      <c r="BS56" s="165">
        <f>(BQ56/BE56)-1</f>
        <v>0.652167294592229</v>
      </c>
      <c r="BT56" s="166">
        <v>32164</v>
      </c>
      <c r="BU56" s="165">
        <f t="shared" si="242"/>
        <v>1.454016786923071E-2</v>
      </c>
      <c r="BV56" s="165">
        <f>(BT56/BH56)-1</f>
        <v>0.11251772681678252</v>
      </c>
      <c r="BW56" s="168">
        <v>33324</v>
      </c>
      <c r="BX56" s="165">
        <f t="shared" si="244"/>
        <v>1.495082567374951E-2</v>
      </c>
      <c r="BY56" s="165">
        <f>(BW56/BK56)-1</f>
        <v>5.495757882740282E-2</v>
      </c>
      <c r="BZ56" s="166">
        <v>55555</v>
      </c>
      <c r="CA56" s="165">
        <f t="shared" si="353"/>
        <v>2.0873316571057572E-2</v>
      </c>
      <c r="CB56" s="165">
        <f>(BZ56/BN56)-1</f>
        <v>0.53263628338115199</v>
      </c>
      <c r="CC56" s="166">
        <v>47286</v>
      </c>
      <c r="CD56" s="165">
        <f t="shared" si="359"/>
        <v>1.5849149188336936E-2</v>
      </c>
      <c r="CE56" s="165">
        <f>(CC56/BQ56)-1</f>
        <v>8.9187819597364992E-2</v>
      </c>
      <c r="CF56" s="166">
        <f>72374-19888</f>
        <v>52486</v>
      </c>
      <c r="CG56" s="165">
        <f t="shared" si="354"/>
        <v>1.8354912227877045E-2</v>
      </c>
      <c r="CH56" s="165">
        <f>(CF56/BT56)-1</f>
        <v>0.63182439995025486</v>
      </c>
      <c r="CI56" s="166">
        <v>51299</v>
      </c>
      <c r="CJ56" s="165">
        <f t="shared" si="360"/>
        <v>1.7630164183674836E-2</v>
      </c>
      <c r="CK56" s="165">
        <f>(CI56/BW56)-1</f>
        <v>0.53940103228904102</v>
      </c>
      <c r="CL56" s="166">
        <v>57865</v>
      </c>
      <c r="CM56" s="165">
        <f t="shared" si="361"/>
        <v>1.7417806105939633E-2</v>
      </c>
      <c r="CN56" s="165">
        <f t="shared" si="324"/>
        <v>4.1580415804157944E-2</v>
      </c>
      <c r="CO56" s="166">
        <v>75894</v>
      </c>
      <c r="CP56" s="165">
        <f>CO56/$CO$6</f>
        <v>2.0130884969554601E-2</v>
      </c>
      <c r="CQ56" s="165">
        <f>(CO56/CC56)-1</f>
        <v>0.60499936556274592</v>
      </c>
      <c r="CR56" s="166">
        <v>47534</v>
      </c>
      <c r="CS56" s="165">
        <f t="shared" si="362"/>
        <v>1.3637536016791721E-2</v>
      </c>
      <c r="CT56" s="165">
        <f>(CR56/CF56)-1</f>
        <v>-9.4348969248942538E-2</v>
      </c>
      <c r="CU56" s="166">
        <v>48299</v>
      </c>
      <c r="CV56" s="165">
        <f t="shared" si="363"/>
        <v>1.3748111730342426E-2</v>
      </c>
      <c r="CW56" s="165">
        <f>(CU56/CI56)-1</f>
        <v>-5.8480672137858458E-2</v>
      </c>
      <c r="CX56" s="166">
        <v>47801</v>
      </c>
      <c r="CY56" s="165">
        <f>CX56/$CX$31</f>
        <v>1.1904311156109772E-2</v>
      </c>
      <c r="CZ56" s="165">
        <f>(CX56/CL56)-1</f>
        <v>-0.17392205996716492</v>
      </c>
      <c r="DA56" s="166">
        <v>32272</v>
      </c>
      <c r="DB56" s="165">
        <f t="shared" si="251"/>
        <v>7.1469003375909416E-3</v>
      </c>
      <c r="DC56" s="165">
        <f>(DA56/CO56)-1</f>
        <v>-0.57477534455951718</v>
      </c>
      <c r="DD56" s="166">
        <v>32675</v>
      </c>
      <c r="DE56" s="165">
        <f>DD56/$CR$31</f>
        <v>9.3744790959874938E-3</v>
      </c>
      <c r="DF56" s="165">
        <f>(DD56/CR56)-1</f>
        <v>-0.31259729877561326</v>
      </c>
      <c r="DG56" s="166">
        <v>34211</v>
      </c>
      <c r="DH56" s="165">
        <f t="shared" si="187"/>
        <v>7.7664053422952743E-3</v>
      </c>
      <c r="DI56" s="165">
        <f t="shared" si="78"/>
        <v>-0.2916830576202406</v>
      </c>
      <c r="DJ56" s="166">
        <v>33789</v>
      </c>
      <c r="DK56" s="165">
        <f t="shared" si="308"/>
        <v>7.4934350111007693E-3</v>
      </c>
      <c r="DL56" s="165">
        <f>(DJ56/CX56)-1</f>
        <v>-0.293131942846384</v>
      </c>
      <c r="DM56" s="166">
        <v>26259</v>
      </c>
      <c r="DN56" s="165">
        <f t="shared" si="80"/>
        <v>4.936938112486711E-3</v>
      </c>
      <c r="DO56" s="165">
        <f>(DM56/DA56)-1</f>
        <v>-0.18632250867625189</v>
      </c>
      <c r="DP56" s="166">
        <v>28792</v>
      </c>
      <c r="DQ56" s="165">
        <f t="shared" si="343"/>
        <v>5.6722778060704325E-3</v>
      </c>
      <c r="DR56" s="165">
        <f>(DP56/DD56)-1</f>
        <v>-0.1188370313695486</v>
      </c>
      <c r="DS56" s="166">
        <v>29160</v>
      </c>
      <c r="DT56" s="165">
        <f t="shared" si="81"/>
        <v>5.5737002392906489E-3</v>
      </c>
      <c r="DU56" s="165">
        <f>(DS56/DG56)-1</f>
        <v>-0.14764257110286161</v>
      </c>
      <c r="DV56" s="166">
        <v>33191</v>
      </c>
      <c r="DW56" s="174">
        <f t="shared" si="355"/>
        <v>6.2710370516622285E-3</v>
      </c>
      <c r="DX56" s="165">
        <f t="shared" si="356"/>
        <v>-1.7698067418390639E-2</v>
      </c>
      <c r="DY56" s="166">
        <v>34848</v>
      </c>
      <c r="DZ56" s="174">
        <f t="shared" si="357"/>
        <v>5.9429860128017735E-3</v>
      </c>
      <c r="EA56" s="165">
        <f t="shared" si="358"/>
        <v>0.32708785559236842</v>
      </c>
      <c r="EB56" s="166">
        <v>35161</v>
      </c>
      <c r="EC56" s="165">
        <f t="shared" si="84"/>
        <v>6.3111577952787564E-3</v>
      </c>
      <c r="ED56" s="165">
        <f>(EB56/DP56)-1</f>
        <v>0.22120727979994448</v>
      </c>
      <c r="EE56" s="166">
        <v>37199</v>
      </c>
      <c r="EF56" s="165">
        <f t="shared" si="311"/>
        <v>6.399696935236939E-3</v>
      </c>
      <c r="EG56" s="165">
        <f t="shared" si="312"/>
        <v>0.27568587105624132</v>
      </c>
      <c r="EH56" s="166">
        <v>37116</v>
      </c>
      <c r="EI56" s="165">
        <f t="shared" si="313"/>
        <v>6.5410342574244865E-3</v>
      </c>
      <c r="EJ56" s="165">
        <f t="shared" si="314"/>
        <v>0.11825494863065278</v>
      </c>
      <c r="EK56" s="166">
        <v>37356</v>
      </c>
      <c r="EL56" s="165">
        <f t="shared" si="261"/>
        <v>5.7690775220950296E-3</v>
      </c>
      <c r="EM56" s="165">
        <f t="shared" si="325"/>
        <v>7.1969696969697017E-2</v>
      </c>
      <c r="EN56" s="166">
        <v>38412</v>
      </c>
      <c r="EO56" s="165">
        <f t="shared" si="287"/>
        <v>6.144026656745457E-3</v>
      </c>
      <c r="EP56" s="165">
        <f t="shared" si="326"/>
        <v>9.2460396461989225E-2</v>
      </c>
      <c r="EQ56" s="166">
        <v>38913</v>
      </c>
      <c r="ER56" s="165">
        <f t="shared" si="263"/>
        <v>5.8990257428432266E-3</v>
      </c>
      <c r="ES56" s="165">
        <f t="shared" si="327"/>
        <v>4.6076507432995406E-2</v>
      </c>
      <c r="ET56" s="166">
        <v>26096</v>
      </c>
      <c r="EU56" s="165">
        <f t="shared" si="264"/>
        <v>4.0230833968106705E-3</v>
      </c>
      <c r="EV56" s="165">
        <f t="shared" si="328"/>
        <v>-0.29690699428817757</v>
      </c>
      <c r="EW56" s="166">
        <v>26083</v>
      </c>
      <c r="EX56" s="165">
        <f t="shared" si="265"/>
        <v>3.4557739632611866E-3</v>
      </c>
      <c r="EY56" s="165">
        <f t="shared" si="329"/>
        <v>-0.3017721383445765</v>
      </c>
      <c r="EZ56" s="166">
        <v>26164</v>
      </c>
      <c r="FA56" s="165">
        <f t="shared" si="330"/>
        <v>3.723482603278469E-3</v>
      </c>
      <c r="FB56" s="165">
        <f t="shared" si="331"/>
        <v>-0.31885868999271061</v>
      </c>
      <c r="FC56" s="166">
        <v>26371</v>
      </c>
      <c r="FD56" s="165">
        <f t="shared" si="332"/>
        <v>3.6098414481417415E-3</v>
      </c>
      <c r="FE56" s="165">
        <f t="shared" si="333"/>
        <v>-0.32230874000976539</v>
      </c>
      <c r="FF56" s="166">
        <v>28760</v>
      </c>
      <c r="FG56" s="165">
        <f t="shared" si="88"/>
        <v>3.810658501928914E-3</v>
      </c>
      <c r="FH56" s="165">
        <f t="shared" si="89"/>
        <v>0.10208461066830155</v>
      </c>
      <c r="FI56" s="166">
        <v>29452</v>
      </c>
      <c r="FJ56" s="165">
        <f t="shared" si="268"/>
        <v>3.3388323020121873E-3</v>
      </c>
      <c r="FK56" s="165">
        <f t="shared" si="334"/>
        <v>0.1291645899628111</v>
      </c>
      <c r="FL56" s="166">
        <v>29977</v>
      </c>
      <c r="FM56" s="165">
        <f t="shared" si="270"/>
        <v>2.9788992730182002E-3</v>
      </c>
      <c r="FN56" s="165">
        <f t="shared" si="335"/>
        <v>0.14573459715639814</v>
      </c>
      <c r="FO56" s="166">
        <v>30715</v>
      </c>
      <c r="FP56" s="165">
        <f t="shared" si="272"/>
        <v>3.0950508610116095E-3</v>
      </c>
      <c r="FQ56" s="165">
        <f t="shared" ref="FQ56" si="386">(FO56/FC56)-1</f>
        <v>0.16472640400439875</v>
      </c>
      <c r="FR56" s="166">
        <v>31335</v>
      </c>
      <c r="FS56" s="165">
        <f t="shared" si="274"/>
        <v>3.0713644542714165E-3</v>
      </c>
      <c r="FT56" s="165">
        <f t="shared" si="337"/>
        <v>8.9534075104311439E-2</v>
      </c>
      <c r="FU56" s="8">
        <v>24481</v>
      </c>
      <c r="FV56" s="165">
        <f t="shared" si="316"/>
        <v>2.1190346806369519E-3</v>
      </c>
      <c r="FW56" s="165">
        <f t="shared" si="338"/>
        <v>-0.16878310471275293</v>
      </c>
      <c r="FX56" s="166">
        <v>25675</v>
      </c>
      <c r="FY56" s="165">
        <f t="shared" si="317"/>
        <v>2.2317433614218625E-3</v>
      </c>
      <c r="FZ56" s="165">
        <f t="shared" si="339"/>
        <v>-0.14351002435200322</v>
      </c>
      <c r="GA56" s="8">
        <v>45301</v>
      </c>
      <c r="GB56" s="165">
        <f t="shared" si="318"/>
        <v>3.5313961078013989E-3</v>
      </c>
      <c r="GC56" s="165">
        <f t="shared" si="340"/>
        <v>0.47488197948884903</v>
      </c>
      <c r="GD56" s="8">
        <v>48363</v>
      </c>
      <c r="GE56" s="165">
        <f t="shared" si="382"/>
        <v>3.7253631734181477E-3</v>
      </c>
      <c r="GF56" s="165">
        <f t="shared" si="383"/>
        <v>0.54341790330301576</v>
      </c>
      <c r="GG56" s="8">
        <v>55237</v>
      </c>
      <c r="GH56" s="165">
        <f t="shared" si="384"/>
        <v>3.7723535526484639E-3</v>
      </c>
      <c r="GI56" s="165">
        <f t="shared" si="385"/>
        <v>1.2563212287079777</v>
      </c>
    </row>
    <row r="57" spans="2:191" s="171" customFormat="1" ht="16.5" hidden="1" customHeight="1">
      <c r="B57" s="172" t="s">
        <v>1461</v>
      </c>
      <c r="C57" s="173"/>
      <c r="D57" s="10"/>
      <c r="E57" s="517"/>
      <c r="F57" s="10"/>
      <c r="G57" s="517"/>
      <c r="H57" s="10"/>
      <c r="I57" s="517"/>
      <c r="J57" s="10"/>
      <c r="K57" s="517"/>
      <c r="L57" s="10"/>
      <c r="M57" s="517"/>
      <c r="N57" s="517"/>
      <c r="O57" s="12"/>
      <c r="P57" s="517"/>
      <c r="Q57" s="546"/>
      <c r="R57" s="175"/>
      <c r="S57" s="546"/>
      <c r="T57" s="517"/>
      <c r="U57" s="175"/>
      <c r="V57" s="517"/>
      <c r="W57" s="517"/>
      <c r="X57" s="175"/>
      <c r="Y57" s="517"/>
      <c r="Z57" s="546"/>
      <c r="AA57" s="175"/>
      <c r="AB57" s="546"/>
      <c r="AC57" s="517"/>
      <c r="AD57" s="175"/>
      <c r="AE57" s="517"/>
      <c r="AF57" s="517"/>
      <c r="AG57" s="175"/>
      <c r="AH57" s="517"/>
      <c r="AI57" s="546"/>
      <c r="AJ57" s="175"/>
      <c r="AK57" s="546"/>
      <c r="AL57" s="517"/>
      <c r="AM57" s="175"/>
      <c r="AN57" s="517"/>
      <c r="AO57" s="517"/>
      <c r="AP57" s="175"/>
      <c r="AQ57" s="517"/>
      <c r="AR57" s="546"/>
      <c r="AS57" s="175"/>
      <c r="AT57" s="546"/>
      <c r="AU57" s="517"/>
      <c r="AV57" s="175"/>
      <c r="AW57" s="517"/>
      <c r="AX57" s="517"/>
      <c r="AY57" s="175"/>
      <c r="AZ57" s="517"/>
      <c r="BA57" s="546"/>
      <c r="BB57" s="175"/>
      <c r="BC57" s="546"/>
      <c r="BD57" s="517"/>
      <c r="BE57" s="175"/>
      <c r="BF57" s="517"/>
      <c r="BG57" s="517"/>
      <c r="BH57" s="175"/>
      <c r="BI57" s="517"/>
      <c r="BJ57" s="546"/>
      <c r="BK57" s="175"/>
      <c r="BL57" s="546"/>
      <c r="BM57" s="517"/>
      <c r="BN57" s="175"/>
      <c r="BO57" s="517"/>
      <c r="BP57" s="517"/>
      <c r="BQ57" s="175"/>
      <c r="BR57" s="517"/>
      <c r="BS57" s="546"/>
      <c r="BT57" s="175"/>
      <c r="BU57" s="546"/>
      <c r="BV57" s="517"/>
      <c r="BW57" s="175"/>
      <c r="BX57" s="517"/>
      <c r="BY57" s="517"/>
      <c r="BZ57" s="175"/>
      <c r="CA57" s="517"/>
      <c r="CB57" s="546"/>
      <c r="CC57" s="175"/>
      <c r="CD57" s="546"/>
      <c r="CE57" s="517"/>
      <c r="CF57" s="175"/>
      <c r="CG57" s="517"/>
      <c r="CH57" s="517"/>
      <c r="CI57" s="175"/>
      <c r="CJ57" s="517"/>
      <c r="CK57" s="517"/>
      <c r="CL57" s="175"/>
      <c r="CM57" s="517"/>
      <c r="CN57" s="517"/>
      <c r="CO57" s="175"/>
      <c r="CP57" s="517"/>
      <c r="CQ57" s="517"/>
      <c r="CR57" s="175"/>
      <c r="CS57" s="546"/>
      <c r="CT57" s="517"/>
      <c r="CU57" s="175"/>
      <c r="CV57" s="546"/>
      <c r="CW57" s="517"/>
      <c r="CX57" s="583"/>
      <c r="CY57" s="517"/>
      <c r="CZ57" s="517"/>
      <c r="DA57" s="583"/>
      <c r="DB57" s="517"/>
      <c r="DC57" s="517"/>
      <c r="DD57" s="175"/>
      <c r="DE57" s="546"/>
      <c r="DF57" s="517"/>
      <c r="DG57" s="175"/>
      <c r="DH57" s="546"/>
      <c r="DI57" s="517"/>
      <c r="DJ57" s="175"/>
      <c r="DK57" s="546"/>
      <c r="DL57" s="517"/>
      <c r="DM57" s="175"/>
      <c r="DN57" s="546"/>
      <c r="DO57" s="517"/>
      <c r="DP57" s="175"/>
      <c r="DQ57" s="546"/>
      <c r="DR57" s="517"/>
      <c r="DS57" s="175"/>
      <c r="DT57" s="546"/>
      <c r="DU57" s="517"/>
      <c r="DV57" s="175"/>
      <c r="DW57" s="546"/>
      <c r="DX57" s="517"/>
      <c r="DY57" s="175"/>
      <c r="DZ57" s="546"/>
      <c r="EA57" s="517"/>
      <c r="EB57" s="175"/>
      <c r="EC57" s="546"/>
      <c r="ED57" s="517"/>
      <c r="EE57" s="175"/>
      <c r="EF57" s="546"/>
      <c r="EG57" s="517"/>
      <c r="EH57" s="175"/>
      <c r="EI57" s="546"/>
      <c r="EJ57" s="517"/>
      <c r="EK57" s="175"/>
      <c r="EL57" s="546"/>
      <c r="EM57" s="517"/>
      <c r="EN57" s="175"/>
      <c r="EO57" s="546"/>
      <c r="EP57" s="517"/>
      <c r="EQ57" s="175"/>
      <c r="ER57" s="546"/>
      <c r="ES57" s="517"/>
      <c r="ET57" s="175"/>
      <c r="EU57" s="546"/>
      <c r="EV57" s="517"/>
      <c r="EW57" s="175"/>
      <c r="EX57" s="546"/>
      <c r="EY57" s="517"/>
      <c r="EZ57" s="175"/>
      <c r="FA57" s="546"/>
      <c r="FB57" s="517"/>
      <c r="FC57" s="175"/>
      <c r="FD57" s="546"/>
      <c r="FE57" s="517"/>
      <c r="FF57" s="175"/>
      <c r="FG57" s="546"/>
      <c r="FH57" s="517"/>
      <c r="FI57" s="175"/>
      <c r="FJ57" s="546"/>
      <c r="FK57" s="517"/>
      <c r="FL57" s="175"/>
      <c r="FM57" s="546"/>
      <c r="FN57" s="517"/>
      <c r="FO57" s="175"/>
      <c r="FP57" s="546"/>
      <c r="FQ57" s="517"/>
      <c r="FR57" s="175"/>
      <c r="FS57" s="546"/>
      <c r="FT57" s="517"/>
      <c r="FU57" s="12"/>
      <c r="FV57" s="546"/>
      <c r="FW57" s="517"/>
      <c r="FX57" s="175"/>
      <c r="FY57" s="546"/>
      <c r="FZ57" s="517"/>
      <c r="GA57" s="12">
        <v>0</v>
      </c>
      <c r="GB57" s="546"/>
      <c r="GC57" s="517"/>
      <c r="GD57" s="12">
        <v>0</v>
      </c>
      <c r="GE57" s="546"/>
      <c r="GF57" s="517"/>
      <c r="GG57" s="12">
        <v>0</v>
      </c>
      <c r="GH57" s="546"/>
      <c r="GI57" s="517"/>
    </row>
    <row r="58" spans="2:191" s="151" customFormat="1" ht="16.5" customHeight="1">
      <c r="B58" s="163" t="s">
        <v>1320</v>
      </c>
      <c r="C58" s="163" t="s">
        <v>1284</v>
      </c>
      <c r="D58" s="166">
        <v>0</v>
      </c>
      <c r="E58" s="169" t="s">
        <v>112</v>
      </c>
      <c r="F58" s="166">
        <v>6380</v>
      </c>
      <c r="G58" s="169">
        <f t="shared" si="210"/>
        <v>9.0770180715177961E-3</v>
      </c>
      <c r="H58" s="166">
        <v>0</v>
      </c>
      <c r="I58" s="169" t="s">
        <v>112</v>
      </c>
      <c r="J58" s="166">
        <v>0</v>
      </c>
      <c r="K58" s="169" t="s">
        <v>112</v>
      </c>
      <c r="L58" s="166">
        <v>0</v>
      </c>
      <c r="M58" s="169" t="s">
        <v>112</v>
      </c>
      <c r="N58" s="169" t="s">
        <v>112</v>
      </c>
      <c r="O58" s="166">
        <v>0</v>
      </c>
      <c r="P58" s="169" t="s">
        <v>112</v>
      </c>
      <c r="Q58" s="166">
        <v>0</v>
      </c>
      <c r="R58" s="169" t="s">
        <v>112</v>
      </c>
      <c r="S58" s="166">
        <v>0</v>
      </c>
      <c r="T58" s="169" t="s">
        <v>112</v>
      </c>
      <c r="U58" s="166">
        <v>0</v>
      </c>
      <c r="V58" s="169" t="s">
        <v>112</v>
      </c>
      <c r="W58" s="169" t="s">
        <v>112</v>
      </c>
      <c r="X58" s="166">
        <v>0</v>
      </c>
      <c r="Y58" s="169" t="s">
        <v>112</v>
      </c>
      <c r="Z58" s="166">
        <v>0</v>
      </c>
      <c r="AA58" s="169" t="s">
        <v>112</v>
      </c>
      <c r="AB58" s="166">
        <v>0</v>
      </c>
      <c r="AC58" s="169" t="s">
        <v>112</v>
      </c>
      <c r="AD58" s="166">
        <v>0</v>
      </c>
      <c r="AE58" s="169" t="s">
        <v>112</v>
      </c>
      <c r="AF58" s="169" t="s">
        <v>112</v>
      </c>
      <c r="AG58" s="166">
        <v>0</v>
      </c>
      <c r="AH58" s="169" t="s">
        <v>112</v>
      </c>
      <c r="AI58" s="166">
        <v>0</v>
      </c>
      <c r="AJ58" s="169" t="s">
        <v>112</v>
      </c>
      <c r="AK58" s="166">
        <v>0</v>
      </c>
      <c r="AL58" s="169" t="s">
        <v>112</v>
      </c>
      <c r="AM58" s="166">
        <v>0</v>
      </c>
      <c r="AN58" s="169" t="s">
        <v>112</v>
      </c>
      <c r="AO58" s="169" t="s">
        <v>112</v>
      </c>
      <c r="AP58" s="166">
        <v>0</v>
      </c>
      <c r="AQ58" s="169" t="s">
        <v>112</v>
      </c>
      <c r="AR58" s="166">
        <v>0</v>
      </c>
      <c r="AS58" s="169" t="s">
        <v>112</v>
      </c>
      <c r="AT58" s="166">
        <v>0</v>
      </c>
      <c r="AU58" s="169" t="s">
        <v>112</v>
      </c>
      <c r="AV58" s="166">
        <v>0</v>
      </c>
      <c r="AW58" s="169" t="s">
        <v>112</v>
      </c>
      <c r="AX58" s="169" t="s">
        <v>112</v>
      </c>
      <c r="AY58" s="166">
        <v>0</v>
      </c>
      <c r="AZ58" s="169" t="s">
        <v>112</v>
      </c>
      <c r="BA58" s="166">
        <v>0</v>
      </c>
      <c r="BB58" s="169" t="s">
        <v>112</v>
      </c>
      <c r="BC58" s="166">
        <v>0</v>
      </c>
      <c r="BD58" s="169" t="s">
        <v>112</v>
      </c>
      <c r="BE58" s="166">
        <v>0</v>
      </c>
      <c r="BF58" s="169" t="s">
        <v>112</v>
      </c>
      <c r="BG58" s="169" t="s">
        <v>112</v>
      </c>
      <c r="BH58" s="166">
        <v>0</v>
      </c>
      <c r="BI58" s="169" t="s">
        <v>112</v>
      </c>
      <c r="BJ58" s="166">
        <v>0</v>
      </c>
      <c r="BK58" s="169" t="s">
        <v>112</v>
      </c>
      <c r="BL58" s="166">
        <v>0</v>
      </c>
      <c r="BM58" s="169" t="s">
        <v>112</v>
      </c>
      <c r="BN58" s="166">
        <v>0</v>
      </c>
      <c r="BO58" s="169" t="s">
        <v>112</v>
      </c>
      <c r="BP58" s="169" t="s">
        <v>112</v>
      </c>
      <c r="BQ58" s="166">
        <v>0</v>
      </c>
      <c r="BR58" s="169" t="s">
        <v>112</v>
      </c>
      <c r="BS58" s="166">
        <v>0</v>
      </c>
      <c r="BT58" s="169" t="s">
        <v>112</v>
      </c>
      <c r="BU58" s="166">
        <v>0</v>
      </c>
      <c r="BV58" s="169" t="s">
        <v>112</v>
      </c>
      <c r="BW58" s="166">
        <v>0</v>
      </c>
      <c r="BX58" s="169" t="s">
        <v>112</v>
      </c>
      <c r="BY58" s="169" t="s">
        <v>112</v>
      </c>
      <c r="BZ58" s="166">
        <v>0</v>
      </c>
      <c r="CA58" s="169" t="s">
        <v>112</v>
      </c>
      <c r="CB58" s="166">
        <v>0</v>
      </c>
      <c r="CC58" s="169" t="s">
        <v>112</v>
      </c>
      <c r="CD58" s="166">
        <v>0</v>
      </c>
      <c r="CE58" s="169" t="s">
        <v>112</v>
      </c>
      <c r="CF58" s="166">
        <v>0</v>
      </c>
      <c r="CG58" s="169" t="s">
        <v>112</v>
      </c>
      <c r="CH58" s="169" t="s">
        <v>112</v>
      </c>
      <c r="CI58" s="166">
        <v>0</v>
      </c>
      <c r="CJ58" s="165" t="s">
        <v>112</v>
      </c>
      <c r="CK58" s="165" t="s">
        <v>112</v>
      </c>
      <c r="CL58" s="166" t="s">
        <v>112</v>
      </c>
      <c r="CM58" s="165" t="s">
        <v>112</v>
      </c>
      <c r="CN58" s="165" t="s">
        <v>112</v>
      </c>
      <c r="CO58" s="166" t="s">
        <v>112</v>
      </c>
      <c r="CP58" s="165" t="s">
        <v>112</v>
      </c>
      <c r="CQ58" s="165" t="s">
        <v>112</v>
      </c>
      <c r="CR58" s="166" t="s">
        <v>112</v>
      </c>
      <c r="CS58" s="166" t="s">
        <v>112</v>
      </c>
      <c r="CT58" s="165" t="s">
        <v>112</v>
      </c>
      <c r="CU58" s="166" t="s">
        <v>112</v>
      </c>
      <c r="CV58" s="166" t="s">
        <v>112</v>
      </c>
      <c r="CW58" s="165" t="s">
        <v>112</v>
      </c>
      <c r="CX58" s="165" t="s">
        <v>112</v>
      </c>
      <c r="CY58" s="165" t="s">
        <v>112</v>
      </c>
      <c r="CZ58" s="165" t="s">
        <v>112</v>
      </c>
      <c r="DA58" s="165" t="s">
        <v>112</v>
      </c>
      <c r="DB58" s="196" t="s">
        <v>112</v>
      </c>
      <c r="DC58" s="165" t="s">
        <v>112</v>
      </c>
      <c r="DD58" s="166">
        <v>0</v>
      </c>
      <c r="DE58" s="166" t="s">
        <v>112</v>
      </c>
      <c r="DF58" s="165" t="s">
        <v>112</v>
      </c>
      <c r="DG58" s="166">
        <v>0</v>
      </c>
      <c r="DH58" s="166">
        <f t="shared" si="187"/>
        <v>0</v>
      </c>
      <c r="DI58" s="165" t="s">
        <v>112</v>
      </c>
      <c r="DJ58" s="166">
        <v>0</v>
      </c>
      <c r="DK58" s="166">
        <f t="shared" si="308"/>
        <v>0</v>
      </c>
      <c r="DL58" s="165" t="s">
        <v>112</v>
      </c>
      <c r="DM58" s="166">
        <v>0</v>
      </c>
      <c r="DN58" s="166">
        <f t="shared" si="80"/>
        <v>0</v>
      </c>
      <c r="DO58" s="165" t="s">
        <v>112</v>
      </c>
      <c r="DP58" s="166">
        <v>0</v>
      </c>
      <c r="DQ58" s="166">
        <f t="shared" si="343"/>
        <v>0</v>
      </c>
      <c r="DR58" s="165" t="s">
        <v>112</v>
      </c>
      <c r="DS58" s="166">
        <v>0</v>
      </c>
      <c r="DT58" s="166">
        <f t="shared" si="81"/>
        <v>0</v>
      </c>
      <c r="DU58" s="165" t="s">
        <v>112</v>
      </c>
      <c r="DV58" s="166">
        <v>0</v>
      </c>
      <c r="DW58" s="166">
        <f t="shared" si="355"/>
        <v>0</v>
      </c>
      <c r="DX58" s="165" t="s">
        <v>112</v>
      </c>
      <c r="DY58" s="166">
        <v>0</v>
      </c>
      <c r="DZ58" s="166" t="s">
        <v>112</v>
      </c>
      <c r="EA58" s="165" t="s">
        <v>112</v>
      </c>
      <c r="EB58" s="166">
        <v>0</v>
      </c>
      <c r="EC58" s="166">
        <f t="shared" si="84"/>
        <v>0</v>
      </c>
      <c r="ED58" s="165" t="s">
        <v>112</v>
      </c>
      <c r="EE58" s="166" t="s">
        <v>112</v>
      </c>
      <c r="EF58" s="166" t="s">
        <v>112</v>
      </c>
      <c r="EG58" s="165" t="s">
        <v>112</v>
      </c>
      <c r="EH58" s="166">
        <v>0</v>
      </c>
      <c r="EI58" s="166" t="s">
        <v>112</v>
      </c>
      <c r="EJ58" s="165" t="s">
        <v>112</v>
      </c>
      <c r="EK58" s="166">
        <v>0</v>
      </c>
      <c r="EL58" s="166" t="s">
        <v>112</v>
      </c>
      <c r="EM58" s="165" t="s">
        <v>112</v>
      </c>
      <c r="EN58" s="166">
        <v>0</v>
      </c>
      <c r="EO58" s="166" t="s">
        <v>112</v>
      </c>
      <c r="EP58" s="165" t="s">
        <v>112</v>
      </c>
      <c r="EQ58" s="166">
        <v>0</v>
      </c>
      <c r="ER58" s="166" t="s">
        <v>112</v>
      </c>
      <c r="ES58" s="165" t="s">
        <v>112</v>
      </c>
      <c r="ET58" s="166">
        <v>0</v>
      </c>
      <c r="EU58" s="166" t="s">
        <v>112</v>
      </c>
      <c r="EV58" s="165" t="s">
        <v>112</v>
      </c>
      <c r="EW58" s="166">
        <v>0</v>
      </c>
      <c r="EX58" s="166" t="s">
        <v>112</v>
      </c>
      <c r="EY58" s="165" t="s">
        <v>112</v>
      </c>
      <c r="EZ58" s="166">
        <v>0</v>
      </c>
      <c r="FA58" s="166" t="s">
        <v>112</v>
      </c>
      <c r="FB58" s="165" t="s">
        <v>112</v>
      </c>
      <c r="FC58" s="166">
        <v>7082</v>
      </c>
      <c r="FD58" s="166" t="s">
        <v>112</v>
      </c>
      <c r="FE58" s="165" t="s">
        <v>112</v>
      </c>
      <c r="FF58" s="166">
        <v>0</v>
      </c>
      <c r="FG58" s="166">
        <f t="shared" si="88"/>
        <v>0</v>
      </c>
      <c r="FH58" s="165" t="s">
        <v>112</v>
      </c>
      <c r="FI58" s="166">
        <v>11214</v>
      </c>
      <c r="FJ58" s="166">
        <f t="shared" si="268"/>
        <v>1.2712775171385532E-3</v>
      </c>
      <c r="FK58" s="165" t="s">
        <v>112</v>
      </c>
      <c r="FL58" s="166">
        <v>9120</v>
      </c>
      <c r="FM58" s="166">
        <f t="shared" si="270"/>
        <v>9.0628019381278936E-4</v>
      </c>
      <c r="FN58" s="165" t="s">
        <v>112</v>
      </c>
      <c r="FO58" s="166">
        <v>7625</v>
      </c>
      <c r="FP58" s="166">
        <f t="shared" si="272"/>
        <v>7.6834650220457506E-4</v>
      </c>
      <c r="FQ58" s="165" t="s">
        <v>112</v>
      </c>
      <c r="FR58" s="166">
        <v>3188</v>
      </c>
      <c r="FS58" s="166">
        <f t="shared" si="274"/>
        <v>3.1247837498698822E-4</v>
      </c>
      <c r="FT58" s="165" t="s">
        <v>112</v>
      </c>
      <c r="FU58" s="166">
        <v>5287</v>
      </c>
      <c r="FV58" s="166">
        <f t="shared" si="316"/>
        <v>4.5763393474643861E-4</v>
      </c>
      <c r="FW58" s="165" t="s">
        <v>112</v>
      </c>
      <c r="FX58" s="166">
        <v>1510</v>
      </c>
      <c r="FY58" s="166">
        <f t="shared" si="317"/>
        <v>1.3125345572529746E-4</v>
      </c>
      <c r="FZ58" s="165" t="s">
        <v>112</v>
      </c>
      <c r="GA58" s="166">
        <v>0</v>
      </c>
      <c r="GB58" s="166">
        <f t="shared" si="318"/>
        <v>0</v>
      </c>
      <c r="GC58" s="165" t="s">
        <v>112</v>
      </c>
      <c r="GD58" s="166">
        <v>0</v>
      </c>
      <c r="GE58" s="166">
        <f t="shared" ref="GE58:GE67" si="387">GD58/GD$6</f>
        <v>0</v>
      </c>
      <c r="GF58" s="165" t="s">
        <v>112</v>
      </c>
      <c r="GG58" s="166">
        <v>0</v>
      </c>
      <c r="GH58" s="166">
        <f t="shared" ref="GH58:GH67" si="388">GG58/GG$6</f>
        <v>0</v>
      </c>
      <c r="GI58" s="165" t="s">
        <v>112</v>
      </c>
    </row>
    <row r="59" spans="2:191" s="151" customFormat="1" ht="16.5" customHeight="1">
      <c r="B59" s="172" t="s">
        <v>363</v>
      </c>
      <c r="C59" s="164" t="s">
        <v>374</v>
      </c>
      <c r="D59" s="166">
        <v>0</v>
      </c>
      <c r="E59" s="169" t="s">
        <v>112</v>
      </c>
      <c r="F59" s="166">
        <v>0</v>
      </c>
      <c r="G59" s="169" t="s">
        <v>112</v>
      </c>
      <c r="H59" s="166">
        <v>0</v>
      </c>
      <c r="I59" s="169" t="s">
        <v>112</v>
      </c>
      <c r="J59" s="166">
        <v>0</v>
      </c>
      <c r="K59" s="169" t="s">
        <v>112</v>
      </c>
      <c r="L59" s="166">
        <v>0</v>
      </c>
      <c r="M59" s="169" t="s">
        <v>112</v>
      </c>
      <c r="N59" s="169" t="s">
        <v>112</v>
      </c>
      <c r="O59" s="166">
        <v>0</v>
      </c>
      <c r="P59" s="169" t="s">
        <v>112</v>
      </c>
      <c r="Q59" s="166">
        <v>0</v>
      </c>
      <c r="R59" s="169" t="s">
        <v>112</v>
      </c>
      <c r="S59" s="166">
        <v>0</v>
      </c>
      <c r="T59" s="169" t="s">
        <v>112</v>
      </c>
      <c r="U59" s="166">
        <v>0</v>
      </c>
      <c r="V59" s="169" t="s">
        <v>112</v>
      </c>
      <c r="W59" s="169" t="s">
        <v>112</v>
      </c>
      <c r="X59" s="166">
        <v>0</v>
      </c>
      <c r="Y59" s="169" t="s">
        <v>112</v>
      </c>
      <c r="Z59" s="166">
        <v>0</v>
      </c>
      <c r="AA59" s="169" t="s">
        <v>112</v>
      </c>
      <c r="AB59" s="166">
        <v>0</v>
      </c>
      <c r="AC59" s="169" t="s">
        <v>112</v>
      </c>
      <c r="AD59" s="166">
        <v>0</v>
      </c>
      <c r="AE59" s="169" t="s">
        <v>112</v>
      </c>
      <c r="AF59" s="169" t="s">
        <v>112</v>
      </c>
      <c r="AG59" s="166">
        <v>0</v>
      </c>
      <c r="AH59" s="169" t="s">
        <v>112</v>
      </c>
      <c r="AI59" s="166">
        <v>0</v>
      </c>
      <c r="AJ59" s="169" t="s">
        <v>112</v>
      </c>
      <c r="AK59" s="166">
        <v>0</v>
      </c>
      <c r="AL59" s="169" t="s">
        <v>112</v>
      </c>
      <c r="AM59" s="166">
        <v>0</v>
      </c>
      <c r="AN59" s="169" t="s">
        <v>112</v>
      </c>
      <c r="AO59" s="169" t="s">
        <v>112</v>
      </c>
      <c r="AP59" s="166">
        <v>0</v>
      </c>
      <c r="AQ59" s="169" t="s">
        <v>112</v>
      </c>
      <c r="AR59" s="166">
        <v>0</v>
      </c>
      <c r="AS59" s="169" t="s">
        <v>112</v>
      </c>
      <c r="AT59" s="166">
        <v>0</v>
      </c>
      <c r="AU59" s="169" t="s">
        <v>112</v>
      </c>
      <c r="AV59" s="166">
        <v>0</v>
      </c>
      <c r="AW59" s="169" t="s">
        <v>112</v>
      </c>
      <c r="AX59" s="169" t="s">
        <v>112</v>
      </c>
      <c r="AY59" s="166">
        <v>0</v>
      </c>
      <c r="AZ59" s="169" t="s">
        <v>112</v>
      </c>
      <c r="BA59" s="166">
        <v>0</v>
      </c>
      <c r="BB59" s="169" t="s">
        <v>112</v>
      </c>
      <c r="BC59" s="166">
        <v>0</v>
      </c>
      <c r="BD59" s="169" t="s">
        <v>112</v>
      </c>
      <c r="BE59" s="166">
        <v>0</v>
      </c>
      <c r="BF59" s="169" t="s">
        <v>112</v>
      </c>
      <c r="BG59" s="169" t="s">
        <v>112</v>
      </c>
      <c r="BH59" s="166">
        <v>0</v>
      </c>
      <c r="BI59" s="169" t="s">
        <v>112</v>
      </c>
      <c r="BJ59" s="166">
        <v>0</v>
      </c>
      <c r="BK59" s="169" t="s">
        <v>112</v>
      </c>
      <c r="BL59" s="166">
        <v>0</v>
      </c>
      <c r="BM59" s="169" t="s">
        <v>112</v>
      </c>
      <c r="BN59" s="166">
        <v>0</v>
      </c>
      <c r="BO59" s="169" t="s">
        <v>112</v>
      </c>
      <c r="BP59" s="169" t="s">
        <v>112</v>
      </c>
      <c r="BQ59" s="166">
        <v>0</v>
      </c>
      <c r="BR59" s="169" t="s">
        <v>112</v>
      </c>
      <c r="BS59" s="166">
        <v>0</v>
      </c>
      <c r="BT59" s="169" t="s">
        <v>112</v>
      </c>
      <c r="BU59" s="166">
        <v>0</v>
      </c>
      <c r="BV59" s="169" t="s">
        <v>112</v>
      </c>
      <c r="BW59" s="166">
        <v>0</v>
      </c>
      <c r="BX59" s="169" t="s">
        <v>112</v>
      </c>
      <c r="BY59" s="169" t="s">
        <v>112</v>
      </c>
      <c r="BZ59" s="166">
        <v>0</v>
      </c>
      <c r="CA59" s="169" t="s">
        <v>112</v>
      </c>
      <c r="CB59" s="166">
        <v>0</v>
      </c>
      <c r="CC59" s="169" t="s">
        <v>112</v>
      </c>
      <c r="CD59" s="166">
        <v>0</v>
      </c>
      <c r="CE59" s="169" t="s">
        <v>112</v>
      </c>
      <c r="CF59" s="166">
        <v>0</v>
      </c>
      <c r="CG59" s="169" t="s">
        <v>112</v>
      </c>
      <c r="CH59" s="169" t="s">
        <v>112</v>
      </c>
      <c r="CI59" s="166">
        <v>0</v>
      </c>
      <c r="CJ59" s="165" t="s">
        <v>112</v>
      </c>
      <c r="CK59" s="165" t="s">
        <v>112</v>
      </c>
      <c r="CL59" s="166" t="s">
        <v>112</v>
      </c>
      <c r="CM59" s="165" t="s">
        <v>112</v>
      </c>
      <c r="CN59" s="165" t="s">
        <v>112</v>
      </c>
      <c r="CO59" s="166" t="s">
        <v>112</v>
      </c>
      <c r="CP59" s="165" t="s">
        <v>112</v>
      </c>
      <c r="CQ59" s="165" t="s">
        <v>112</v>
      </c>
      <c r="CR59" s="166" t="s">
        <v>112</v>
      </c>
      <c r="CS59" s="166" t="s">
        <v>112</v>
      </c>
      <c r="CT59" s="165" t="s">
        <v>112</v>
      </c>
      <c r="CU59" s="166" t="s">
        <v>112</v>
      </c>
      <c r="CV59" s="166" t="s">
        <v>112</v>
      </c>
      <c r="CW59" s="165" t="s">
        <v>112</v>
      </c>
      <c r="CX59" s="165" t="s">
        <v>112</v>
      </c>
      <c r="CY59" s="165" t="s">
        <v>112</v>
      </c>
      <c r="CZ59" s="165" t="s">
        <v>112</v>
      </c>
      <c r="DA59" s="165" t="s">
        <v>112</v>
      </c>
      <c r="DB59" s="196" t="s">
        <v>112</v>
      </c>
      <c r="DC59" s="165" t="s">
        <v>112</v>
      </c>
      <c r="DD59" s="166">
        <v>0</v>
      </c>
      <c r="DE59" s="166" t="s">
        <v>112</v>
      </c>
      <c r="DF59" s="165" t="s">
        <v>112</v>
      </c>
      <c r="DG59" s="166">
        <v>0</v>
      </c>
      <c r="DH59" s="166">
        <f>DG59/$DG$6</f>
        <v>0</v>
      </c>
      <c r="DI59" s="165" t="s">
        <v>112</v>
      </c>
      <c r="DJ59" s="166">
        <v>0</v>
      </c>
      <c r="DK59" s="166">
        <f>DJ59/$DJ$6</f>
        <v>0</v>
      </c>
      <c r="DL59" s="165" t="s">
        <v>112</v>
      </c>
      <c r="DM59" s="166">
        <v>0</v>
      </c>
      <c r="DN59" s="166">
        <f>DM59/$DM$6</f>
        <v>0</v>
      </c>
      <c r="DO59" s="165" t="s">
        <v>112</v>
      </c>
      <c r="DP59" s="166">
        <v>0</v>
      </c>
      <c r="DQ59" s="166">
        <f>DP59/$DP$6</f>
        <v>0</v>
      </c>
      <c r="DR59" s="165" t="s">
        <v>112</v>
      </c>
      <c r="DS59" s="166">
        <v>0</v>
      </c>
      <c r="DT59" s="166">
        <f>DS59/DS$6</f>
        <v>0</v>
      </c>
      <c r="DU59" s="165" t="s">
        <v>112</v>
      </c>
      <c r="DV59" s="166">
        <v>967</v>
      </c>
      <c r="DW59" s="165" t="s">
        <v>112</v>
      </c>
      <c r="DX59" s="165" t="s">
        <v>112</v>
      </c>
      <c r="DY59" s="166">
        <v>0</v>
      </c>
      <c r="DZ59" s="165" t="s">
        <v>112</v>
      </c>
      <c r="EA59" s="165" t="s">
        <v>112</v>
      </c>
      <c r="EB59" s="166">
        <v>834</v>
      </c>
      <c r="EC59" s="166">
        <f t="shared" si="84"/>
        <v>1.496972668940725E-4</v>
      </c>
      <c r="ED59" s="165" t="s">
        <v>112</v>
      </c>
      <c r="EE59" s="166">
        <v>0</v>
      </c>
      <c r="EF59" s="166">
        <f t="shared" ref="EF59:EF67" si="389">EE59/EE$6</f>
        <v>0</v>
      </c>
      <c r="EG59" s="165" t="s">
        <v>112</v>
      </c>
      <c r="EH59" s="166">
        <v>0</v>
      </c>
      <c r="EI59" s="166">
        <f t="shared" ref="EI59:EI67" si="390">EH59/EH$6</f>
        <v>0</v>
      </c>
      <c r="EJ59" s="165" t="s">
        <v>112</v>
      </c>
      <c r="EK59" s="166">
        <v>0</v>
      </c>
      <c r="EL59" s="166">
        <f t="shared" ref="EL59:EL67" si="391">EK59/EK$6</f>
        <v>0</v>
      </c>
      <c r="EM59" s="165" t="s">
        <v>112</v>
      </c>
      <c r="EN59" s="166">
        <v>0</v>
      </c>
      <c r="EO59" s="166">
        <f t="shared" ref="EO59:EO67" si="392">EN59/EN$6</f>
        <v>0</v>
      </c>
      <c r="EP59" s="165" t="s">
        <v>112</v>
      </c>
      <c r="EQ59" s="166">
        <v>0</v>
      </c>
      <c r="ER59" s="166">
        <f t="shared" ref="ER59:ER67" si="393">EQ59/EQ$6</f>
        <v>0</v>
      </c>
      <c r="ES59" s="165" t="s">
        <v>112</v>
      </c>
      <c r="ET59" s="166">
        <v>0</v>
      </c>
      <c r="EU59" s="166">
        <f t="shared" ref="EU59:EU67" si="394">ET59/ET$6</f>
        <v>0</v>
      </c>
      <c r="EV59" s="165" t="s">
        <v>112</v>
      </c>
      <c r="EW59" s="166">
        <v>0</v>
      </c>
      <c r="EX59" s="166">
        <f t="shared" ref="EX59:EX67" si="395">EW59/EW$6</f>
        <v>0</v>
      </c>
      <c r="EY59" s="165" t="s">
        <v>112</v>
      </c>
      <c r="EZ59" s="166">
        <v>0</v>
      </c>
      <c r="FA59" s="166">
        <f t="shared" ref="FA59:FA67" si="396">EZ59/EZ$6</f>
        <v>0</v>
      </c>
      <c r="FB59" s="165" t="s">
        <v>112</v>
      </c>
      <c r="FC59" s="166"/>
      <c r="FD59" s="166">
        <f t="shared" ref="FD59:FD67" si="397">FC59/FC$6</f>
        <v>0</v>
      </c>
      <c r="FE59" s="165" t="s">
        <v>112</v>
      </c>
      <c r="FF59" s="166">
        <v>0</v>
      </c>
      <c r="FG59" s="166">
        <f t="shared" si="88"/>
        <v>0</v>
      </c>
      <c r="FH59" s="165" t="s">
        <v>112</v>
      </c>
      <c r="FI59" s="166">
        <v>0</v>
      </c>
      <c r="FJ59" s="166">
        <f t="shared" si="268"/>
        <v>0</v>
      </c>
      <c r="FK59" s="165" t="s">
        <v>112</v>
      </c>
      <c r="FL59" s="166">
        <v>0</v>
      </c>
      <c r="FM59" s="166">
        <f t="shared" si="270"/>
        <v>0</v>
      </c>
      <c r="FN59" s="165" t="s">
        <v>112</v>
      </c>
      <c r="FO59" s="166">
        <v>0</v>
      </c>
      <c r="FP59" s="166" t="s">
        <v>112</v>
      </c>
      <c r="FQ59" s="165" t="s">
        <v>112</v>
      </c>
      <c r="FR59" s="166">
        <v>0</v>
      </c>
      <c r="FS59" s="166">
        <f t="shared" si="274"/>
        <v>0</v>
      </c>
      <c r="FT59" s="165" t="s">
        <v>112</v>
      </c>
      <c r="FU59" s="166">
        <v>0</v>
      </c>
      <c r="FV59" s="166">
        <f t="shared" si="316"/>
        <v>0</v>
      </c>
      <c r="FW59" s="165" t="s">
        <v>112</v>
      </c>
      <c r="FX59" s="166">
        <v>0</v>
      </c>
      <c r="FY59" s="166">
        <f t="shared" si="317"/>
        <v>0</v>
      </c>
      <c r="FZ59" s="165" t="s">
        <v>112</v>
      </c>
      <c r="GA59" s="166">
        <v>0</v>
      </c>
      <c r="GB59" s="166">
        <f t="shared" si="318"/>
        <v>0</v>
      </c>
      <c r="GC59" s="165" t="s">
        <v>112</v>
      </c>
      <c r="GD59" s="166">
        <v>0</v>
      </c>
      <c r="GE59" s="166">
        <f t="shared" si="387"/>
        <v>0</v>
      </c>
      <c r="GF59" s="165" t="s">
        <v>112</v>
      </c>
      <c r="GG59" s="166">
        <v>0</v>
      </c>
      <c r="GH59" s="166">
        <f t="shared" si="388"/>
        <v>0</v>
      </c>
      <c r="GI59" s="165" t="s">
        <v>112</v>
      </c>
    </row>
    <row r="60" spans="2:191" s="151" customFormat="1" ht="16.5" customHeight="1">
      <c r="B60" s="163" t="s">
        <v>48</v>
      </c>
      <c r="C60" s="164" t="s">
        <v>49</v>
      </c>
      <c r="D60" s="166">
        <v>0</v>
      </c>
      <c r="E60" s="169" t="s">
        <v>112</v>
      </c>
      <c r="F60" s="166">
        <v>0</v>
      </c>
      <c r="G60" s="169" t="s">
        <v>112</v>
      </c>
      <c r="H60" s="166">
        <v>0</v>
      </c>
      <c r="I60" s="169" t="s">
        <v>112</v>
      </c>
      <c r="J60" s="166">
        <v>0</v>
      </c>
      <c r="K60" s="169" t="s">
        <v>112</v>
      </c>
      <c r="L60" s="166">
        <v>0</v>
      </c>
      <c r="M60" s="169" t="s">
        <v>112</v>
      </c>
      <c r="N60" s="169" t="s">
        <v>112</v>
      </c>
      <c r="O60" s="8">
        <v>4500</v>
      </c>
      <c r="P60" s="169">
        <f t="shared" si="365"/>
        <v>4.2495405774464609E-3</v>
      </c>
      <c r="Q60" s="169">
        <v>1</v>
      </c>
      <c r="R60" s="8">
        <v>4200</v>
      </c>
      <c r="S60" s="169">
        <f t="shared" si="366"/>
        <v>3.768451955826565E-3</v>
      </c>
      <c r="T60" s="169">
        <v>1</v>
      </c>
      <c r="U60" s="166">
        <v>3900</v>
      </c>
      <c r="V60" s="169">
        <f t="shared" si="367"/>
        <v>2.7346888975837971E-3</v>
      </c>
      <c r="W60" s="169">
        <v>1</v>
      </c>
      <c r="X60" s="166">
        <v>3600</v>
      </c>
      <c r="Y60" s="169">
        <f t="shared" si="368"/>
        <v>2.8404630270341068E-3</v>
      </c>
      <c r="Z60" s="180">
        <v>1</v>
      </c>
      <c r="AA60" s="166">
        <v>3300</v>
      </c>
      <c r="AB60" s="169">
        <f t="shared" si="369"/>
        <v>2.5002216105518443E-3</v>
      </c>
      <c r="AC60" s="169">
        <f>(AA60/O60)-1</f>
        <v>-0.26666666666666672</v>
      </c>
      <c r="AD60" s="166">
        <v>10500</v>
      </c>
      <c r="AE60" s="169">
        <f t="shared" si="370"/>
        <v>7.7406855593456243E-3</v>
      </c>
      <c r="AF60" s="169">
        <f>(AD60/R60)-1</f>
        <v>1.5</v>
      </c>
      <c r="AG60" s="166">
        <v>9843</v>
      </c>
      <c r="AH60" s="169">
        <f t="shared" si="371"/>
        <v>6.1199137504383359E-3</v>
      </c>
      <c r="AI60" s="169">
        <f>(AG60/U60)-1</f>
        <v>1.5238461538461539</v>
      </c>
      <c r="AJ60" s="166">
        <v>9066</v>
      </c>
      <c r="AK60" s="169">
        <f t="shared" si="372"/>
        <v>6.218038759519786E-3</v>
      </c>
      <c r="AL60" s="169">
        <f>(AJ60/X60)-1</f>
        <v>1.5183333333333335</v>
      </c>
      <c r="AM60" s="166">
        <v>8290</v>
      </c>
      <c r="AN60" s="169">
        <f t="shared" si="373"/>
        <v>5.5049112573775111E-3</v>
      </c>
      <c r="AO60" s="169">
        <f>(AM60/AA60)-1</f>
        <v>1.5121212121212122</v>
      </c>
      <c r="AP60" s="166">
        <v>11125</v>
      </c>
      <c r="AQ60" s="169">
        <f t="shared" si="374"/>
        <v>7.7515112834133683E-3</v>
      </c>
      <c r="AR60" s="169">
        <f>(AP60/AD60)-1</f>
        <v>5.9523809523809534E-2</v>
      </c>
      <c r="AS60" s="166">
        <v>10289</v>
      </c>
      <c r="AT60" s="169">
        <f t="shared" si="375"/>
        <v>6.326417049168232E-3</v>
      </c>
      <c r="AU60" s="169">
        <f>(AS60/AG60)-1</f>
        <v>4.5311388804226249E-2</v>
      </c>
      <c r="AV60" s="166">
        <v>9256</v>
      </c>
      <c r="AW60" s="169">
        <f t="shared" si="376"/>
        <v>6.3738391638536659E-3</v>
      </c>
      <c r="AX60" s="169">
        <f>(AV60/AJ60)-1</f>
        <v>2.0957423339951431E-2</v>
      </c>
      <c r="AY60" s="166">
        <v>8222</v>
      </c>
      <c r="AZ60" s="169">
        <f t="shared" si="377"/>
        <v>5.182983525021354E-3</v>
      </c>
      <c r="BA60" s="169">
        <f>(AY60/AM60)-1</f>
        <v>-8.2026537997587079E-3</v>
      </c>
      <c r="BB60" s="166">
        <v>7191</v>
      </c>
      <c r="BC60" s="169">
        <f t="shared" si="378"/>
        <v>4.4122248878689894E-3</v>
      </c>
      <c r="BD60" s="169">
        <f>(BB60/AP60)-1</f>
        <v>-0.35361797752808988</v>
      </c>
      <c r="BE60" s="166">
        <v>6159</v>
      </c>
      <c r="BF60" s="169">
        <f t="shared" si="379"/>
        <v>3.2058138754120476E-3</v>
      </c>
      <c r="BG60" s="169">
        <f>(BE60/AS60)-1</f>
        <v>-0.40139955292059482</v>
      </c>
      <c r="BH60" s="166">
        <v>5126</v>
      </c>
      <c r="BI60" s="169">
        <f t="shared" si="380"/>
        <v>2.7977875318885557E-3</v>
      </c>
      <c r="BJ60" s="169">
        <f>(BH60/AV60)-1</f>
        <v>-0.44619706136560067</v>
      </c>
      <c r="BK60" s="166">
        <v>8956</v>
      </c>
      <c r="BL60" s="165">
        <f>BK60/$BK$6</f>
        <v>4.7844947325683274E-3</v>
      </c>
      <c r="BM60" s="165">
        <f>(BK60/AY60)-1</f>
        <v>8.9272683045487744E-2</v>
      </c>
      <c r="BN60" s="166">
        <v>8794</v>
      </c>
      <c r="BO60" s="165">
        <f t="shared" si="381"/>
        <v>4.6149115064217277E-3</v>
      </c>
      <c r="BP60" s="169">
        <f t="shared" ref="BP60:BP67" si="398">(BN60/BB60)-1</f>
        <v>0.2229175358086497</v>
      </c>
      <c r="BQ60" s="166">
        <v>7678</v>
      </c>
      <c r="BR60" s="165">
        <f t="shared" si="240"/>
        <v>3.1262024051156041E-3</v>
      </c>
      <c r="BS60" s="169">
        <f t="shared" ref="BS60:BS66" si="399">(BQ60/BE60)-1</f>
        <v>0.24663094658223739</v>
      </c>
      <c r="BT60" s="166">
        <v>8815</v>
      </c>
      <c r="BU60" s="165">
        <f t="shared" si="242"/>
        <v>3.9849390550699137E-3</v>
      </c>
      <c r="BV60" s="165">
        <f t="shared" ref="BV60:BV67" si="400">(BT60/BH60)-1</f>
        <v>0.71966445571595794</v>
      </c>
      <c r="BW60" s="168">
        <v>23319</v>
      </c>
      <c r="BX60" s="165">
        <f t="shared" si="244"/>
        <v>1.0462078498564543E-2</v>
      </c>
      <c r="BY60" s="165">
        <f t="shared" ref="BY60:BY67" si="401">(BW60/BK60)-1</f>
        <v>1.6037293434569002</v>
      </c>
      <c r="BZ60" s="166">
        <v>27287</v>
      </c>
      <c r="CA60" s="165">
        <f>BZ60/$BZ$6</f>
        <v>1.025236593059937E-2</v>
      </c>
      <c r="CB60" s="169">
        <f t="shared" ref="CB60:CB67" si="402">(BZ60/BN60)-1</f>
        <v>2.1029110757334548</v>
      </c>
      <c r="CC60" s="166">
        <v>26259</v>
      </c>
      <c r="CD60" s="165">
        <f t="shared" si="359"/>
        <v>8.8013959424891007E-3</v>
      </c>
      <c r="CE60" s="165">
        <f t="shared" ref="CE60:CE66" si="403">(CC60/BQ60)-1</f>
        <v>2.4200312581401406</v>
      </c>
      <c r="CF60" s="166">
        <v>22597</v>
      </c>
      <c r="CG60" s="165">
        <f t="shared" ref="CG60:CG67" si="404">CF60/$CF$6</f>
        <v>7.9024111498940206E-3</v>
      </c>
      <c r="CH60" s="169">
        <f t="shared" ref="CH60:CH67" si="405">(CF60/BT60)-1</f>
        <v>1.5634713556437889</v>
      </c>
      <c r="CI60" s="166">
        <v>18943</v>
      </c>
      <c r="CJ60" s="165">
        <f t="shared" si="360"/>
        <v>6.5102282721174378E-3</v>
      </c>
      <c r="CK60" s="165">
        <f t="shared" ref="CK60:CK67" si="406">(CI60/BW60)-1</f>
        <v>-0.18765813285303834</v>
      </c>
      <c r="CL60" s="166">
        <v>19159</v>
      </c>
      <c r="CM60" s="165">
        <f t="shared" si="361"/>
        <v>5.7670050494028763E-3</v>
      </c>
      <c r="CN60" s="165">
        <f t="shared" ref="CN60:CN67" si="407">(CL60/BZ60)-1</f>
        <v>-0.29787078095796538</v>
      </c>
      <c r="CO60" s="166">
        <v>17539</v>
      </c>
      <c r="CP60" s="165">
        <f t="shared" ref="CP60:CP66" si="408">CO60/$CO$6</f>
        <v>4.6522200896120663E-3</v>
      </c>
      <c r="CQ60" s="165">
        <f>(CO60/CC60)-1</f>
        <v>-0.33207662134887084</v>
      </c>
      <c r="CR60" s="166">
        <v>16623</v>
      </c>
      <c r="CS60" s="165">
        <f t="shared" si="362"/>
        <v>4.769149686690133E-3</v>
      </c>
      <c r="CT60" s="165">
        <f t="shared" ref="CT60:CT67" si="409">(CR60/CF60)-1</f>
        <v>-0.26437137673142452</v>
      </c>
      <c r="CU60" s="166">
        <v>12046</v>
      </c>
      <c r="CV60" s="165">
        <f t="shared" si="363"/>
        <v>3.4288443633140411E-3</v>
      </c>
      <c r="CW60" s="165">
        <f t="shared" ref="CW60:CW67" si="410">(CU60/CI60)-1</f>
        <v>-0.3640922768304915</v>
      </c>
      <c r="CX60" s="166">
        <v>10932</v>
      </c>
      <c r="CY60" s="165">
        <f t="shared" ref="CY60:CY67" si="411">CX60/$CX$31</f>
        <v>2.7224938716468696E-3</v>
      </c>
      <c r="CZ60" s="165">
        <f t="shared" ref="CZ60:CZ67" si="412">(CX60/CL60)-1</f>
        <v>-0.42940654522678634</v>
      </c>
      <c r="DA60" s="166">
        <v>10132</v>
      </c>
      <c r="DB60" s="165">
        <f t="shared" ref="DB60:DB67" si="413">DA60/$DA$31</f>
        <v>2.2438148928009241E-3</v>
      </c>
      <c r="DC60" s="165">
        <f t="shared" ref="DC60:DC66" si="414">(DA60/CO60)-1</f>
        <v>-0.42231598152688299</v>
      </c>
      <c r="DD60" s="166">
        <v>9292</v>
      </c>
      <c r="DE60" s="165">
        <f t="shared" ref="DE60:DE67" si="415">DD60/$CR$31</f>
        <v>2.6658809413899246E-3</v>
      </c>
      <c r="DF60" s="165">
        <f t="shared" ref="DF60:DF67" si="416">(DD60/CR60)-1</f>
        <v>-0.44101546050652707</v>
      </c>
      <c r="DG60" s="166">
        <v>4804</v>
      </c>
      <c r="DH60" s="165">
        <f t="shared" si="187"/>
        <v>1.0905793827829208E-3</v>
      </c>
      <c r="DI60" s="174">
        <f t="shared" si="78"/>
        <v>-0.60119541756599704</v>
      </c>
      <c r="DJ60" s="166">
        <v>4106</v>
      </c>
      <c r="DK60" s="165">
        <f t="shared" si="308"/>
        <v>9.1059351136700583E-4</v>
      </c>
      <c r="DL60" s="174">
        <f t="shared" ref="DL60:DL67" si="417">(DJ60/CX60)-1</f>
        <v>-0.62440541529454818</v>
      </c>
      <c r="DM60" s="166">
        <v>6882</v>
      </c>
      <c r="DN60" s="165">
        <f t="shared" si="80"/>
        <v>1.2938805015474141E-3</v>
      </c>
      <c r="DO60" s="174">
        <f t="shared" ref="DO60:DO66" si="418">(DM60/DA60)-1</f>
        <v>-0.32076589024871693</v>
      </c>
      <c r="DP60" s="166">
        <v>6208</v>
      </c>
      <c r="DQ60" s="165">
        <f t="shared" si="343"/>
        <v>1.2230307245097681E-3</v>
      </c>
      <c r="DR60" s="174">
        <f t="shared" ref="DR60:DR65" si="419">(DP60/DD60)-1</f>
        <v>-0.33189840723202757</v>
      </c>
      <c r="DS60" s="166">
        <v>3102</v>
      </c>
      <c r="DT60" s="165">
        <f t="shared" si="81"/>
        <v>5.9292243286281185E-4</v>
      </c>
      <c r="DU60" s="174">
        <f t="shared" ref="DU60:DU65" si="420">(DS60/DG60)-1</f>
        <v>-0.35428809325562027</v>
      </c>
      <c r="DV60" s="175">
        <v>3102</v>
      </c>
      <c r="DW60" s="165">
        <f t="shared" ref="DW60:DW67" si="421">DV60/DV$6</f>
        <v>5.8608529222548976E-4</v>
      </c>
      <c r="DX60" s="174">
        <f t="shared" ref="DX60:DX67" si="422">(DV60/DJ60)-1</f>
        <v>-0.24452021432050652</v>
      </c>
      <c r="DY60" s="175">
        <v>2256</v>
      </c>
      <c r="DZ60" s="165">
        <f t="shared" ref="DZ60:DZ66" si="423">DY60/DY$6</f>
        <v>3.8473876391416438E-4</v>
      </c>
      <c r="EA60" s="174">
        <f t="shared" ref="EA60:EA66" si="424">(DY60/DM60)-1</f>
        <v>-0.67218831734960771</v>
      </c>
      <c r="EB60" s="166">
        <v>1974</v>
      </c>
      <c r="EC60" s="165">
        <f t="shared" si="84"/>
        <v>3.5431943027445937E-4</v>
      </c>
      <c r="ED60" s="174">
        <f>(EB60/DP60)-1</f>
        <v>-0.68202319587628868</v>
      </c>
      <c r="EE60" s="166">
        <v>4613</v>
      </c>
      <c r="EF60" s="165">
        <f t="shared" si="389"/>
        <v>7.9361816076367641E-4</v>
      </c>
      <c r="EG60" s="174">
        <f>(EE60/DS60)-1</f>
        <v>0.48710509348807229</v>
      </c>
      <c r="EH60" s="175">
        <v>4413</v>
      </c>
      <c r="EI60" s="165">
        <f t="shared" si="390"/>
        <v>7.7771268935268503E-4</v>
      </c>
      <c r="EJ60" s="174">
        <f>(EH60/DV60)-1</f>
        <v>0.42263056092843332</v>
      </c>
      <c r="EK60" s="175">
        <v>3508</v>
      </c>
      <c r="EL60" s="165">
        <f t="shared" si="391"/>
        <v>5.4175832389734887E-4</v>
      </c>
      <c r="EM60" s="174">
        <f>(EK60/DY60)-1</f>
        <v>0.55496453900709231</v>
      </c>
      <c r="EN60" s="175">
        <v>3239</v>
      </c>
      <c r="EO60" s="165">
        <f t="shared" si="392"/>
        <v>5.180803483598494E-4</v>
      </c>
      <c r="EP60" s="174">
        <f>(EN60/EB60)-1</f>
        <v>0.64083080040526852</v>
      </c>
      <c r="EQ60" s="166">
        <v>2968</v>
      </c>
      <c r="ER60" s="165">
        <f t="shared" si="393"/>
        <v>4.4993468518897785E-4</v>
      </c>
      <c r="ES60" s="174">
        <f>(EQ60/EE60)-1</f>
        <v>-0.35660091047040976</v>
      </c>
      <c r="ET60" s="166">
        <v>2698</v>
      </c>
      <c r="EU60" s="165">
        <f t="shared" si="394"/>
        <v>4.1593650385481258E-4</v>
      </c>
      <c r="EV60" s="174">
        <f>(ET60/EH60)-1</f>
        <v>-0.38862451846816226</v>
      </c>
      <c r="EW60" s="166">
        <f>2429+11</f>
        <v>2440</v>
      </c>
      <c r="EX60" s="165">
        <f t="shared" si="395"/>
        <v>3.2327908869214797E-4</v>
      </c>
      <c r="EY60" s="174">
        <f>(EW60/EK60)-1</f>
        <v>-0.30444697833523371</v>
      </c>
      <c r="EZ60" s="166">
        <v>2165</v>
      </c>
      <c r="FA60" s="165">
        <f t="shared" si="396"/>
        <v>3.0810808118398892E-4</v>
      </c>
      <c r="FB60" s="174">
        <f>(EZ60/EN60)-1</f>
        <v>-0.33158382216733562</v>
      </c>
      <c r="FC60" s="166">
        <v>1889</v>
      </c>
      <c r="FD60" s="165">
        <f t="shared" si="397"/>
        <v>2.585791397952201E-4</v>
      </c>
      <c r="FE60" s="174">
        <f>(FC60/EQ60)-1</f>
        <v>-0.36354447439353099</v>
      </c>
      <c r="FF60" s="166">
        <v>1634</v>
      </c>
      <c r="FG60" s="165">
        <f t="shared" si="88"/>
        <v>2.1650264228622552E-4</v>
      </c>
      <c r="FH60" s="174">
        <f t="shared" si="89"/>
        <v>-0.39436619718309862</v>
      </c>
      <c r="FI60" s="166">
        <v>1762</v>
      </c>
      <c r="FJ60" s="165">
        <f t="shared" si="268"/>
        <v>1.9974950822169882E-4</v>
      </c>
      <c r="FK60" s="174">
        <f t="shared" ref="FK60:FK66" si="425">(FI60/EW60)-1</f>
        <v>-0.27786885245901638</v>
      </c>
      <c r="FL60" s="166">
        <v>1478</v>
      </c>
      <c r="FM60" s="165">
        <f t="shared" si="270"/>
        <v>1.468730401815025E-4</v>
      </c>
      <c r="FN60" s="174">
        <f t="shared" ref="FN60:FN66" si="426">(FL60/EZ60)-1</f>
        <v>-0.31732101616628172</v>
      </c>
      <c r="FO60" s="166">
        <v>27296</v>
      </c>
      <c r="FP60" s="165">
        <f t="shared" ref="FP60:FP67" si="427">FO60/FO$6</f>
        <v>2.7505293277607975E-3</v>
      </c>
      <c r="FQ60" s="174">
        <f t="shared" ref="FQ60:FQ66" si="428">(FO60/FC60)-1</f>
        <v>13.449973530968766</v>
      </c>
      <c r="FR60" s="166">
        <v>25705</v>
      </c>
      <c r="FS60" s="165">
        <f t="shared" si="274"/>
        <v>2.5195284281808446E-3</v>
      </c>
      <c r="FT60" s="174">
        <f t="shared" ref="FT60:FT67" si="429">(FR60/FF60)-1</f>
        <v>14.731334149326806</v>
      </c>
      <c r="FU60" s="8">
        <v>24111</v>
      </c>
      <c r="FV60" s="165">
        <f t="shared" si="316"/>
        <v>2.0870080954551507E-3</v>
      </c>
      <c r="FW60" s="174">
        <f t="shared" ref="FW60:FW67" si="430">(FU60/FI60)-1</f>
        <v>12.683881952326901</v>
      </c>
      <c r="FX60" s="166">
        <v>22519</v>
      </c>
      <c r="FY60" s="165">
        <f t="shared" si="317"/>
        <v>1.9574149466741546E-3</v>
      </c>
      <c r="FZ60" s="174">
        <f t="shared" ref="FZ60:FZ67" si="431">(FX60/FL60)-1</f>
        <v>14.236129905277402</v>
      </c>
      <c r="GA60" s="8">
        <v>21632</v>
      </c>
      <c r="GB60" s="165">
        <f t="shared" si="318"/>
        <v>1.6863018609734855E-3</v>
      </c>
      <c r="GC60" s="174">
        <f t="shared" ref="GC60:GC67" si="432">(GA60/FO60)-1</f>
        <v>-0.20750293083235638</v>
      </c>
      <c r="GD60" s="8">
        <v>21619</v>
      </c>
      <c r="GE60" s="165">
        <f t="shared" si="387"/>
        <v>1.665294263096312E-3</v>
      </c>
      <c r="GF60" s="174">
        <f t="shared" ref="GF60:GF67" si="433">(GD60/FR60)-1</f>
        <v>-0.15895740128379687</v>
      </c>
      <c r="GG60" s="8">
        <v>24804</v>
      </c>
      <c r="GH60" s="165">
        <f t="shared" si="388"/>
        <v>1.6939634216176203E-3</v>
      </c>
      <c r="GI60" s="174">
        <f t="shared" ref="GI60:GI67" si="434">(GG60/FU60)-1</f>
        <v>2.8742067935797033E-2</v>
      </c>
    </row>
    <row r="61" spans="2:191" s="154" customFormat="1" ht="16.5" customHeight="1">
      <c r="B61" s="155" t="s">
        <v>53</v>
      </c>
      <c r="C61" s="161" t="s">
        <v>54</v>
      </c>
      <c r="D61" s="162">
        <f>SUM(D62:D67)</f>
        <v>150841</v>
      </c>
      <c r="E61" s="158">
        <f t="shared" si="209"/>
        <v>0.22430355427473583</v>
      </c>
      <c r="F61" s="162">
        <f>SUM(F62:F67)</f>
        <v>195046</v>
      </c>
      <c r="G61" s="158">
        <f t="shared" si="210"/>
        <v>0.27749781610928842</v>
      </c>
      <c r="H61" s="162">
        <f>SUM(H62:H67)</f>
        <v>537558</v>
      </c>
      <c r="I61" s="158">
        <f t="shared" si="211"/>
        <v>0.61516260855733329</v>
      </c>
      <c r="J61" s="162">
        <f>SUM(J62:J67)</f>
        <v>517579</v>
      </c>
      <c r="K61" s="158">
        <f t="shared" si="212"/>
        <v>0.48494964789128292</v>
      </c>
      <c r="L61" s="162">
        <f>SUM(L62:L67)</f>
        <v>531048</v>
      </c>
      <c r="M61" s="158">
        <f t="shared" si="364"/>
        <v>0.57518854405968423</v>
      </c>
      <c r="N61" s="158">
        <f>(L61/D61)-1</f>
        <v>2.5205812743219682</v>
      </c>
      <c r="O61" s="162">
        <f>SUM(O62:O67)</f>
        <v>553921</v>
      </c>
      <c r="P61" s="158">
        <f t="shared" si="365"/>
        <v>0.52309105915549348</v>
      </c>
      <c r="Q61" s="158">
        <f>(O61/F61)-1</f>
        <v>1.8399505757616152</v>
      </c>
      <c r="R61" s="162">
        <f>SUM(R62:R67)</f>
        <v>554584</v>
      </c>
      <c r="S61" s="158">
        <f t="shared" si="366"/>
        <v>0.49760075225479045</v>
      </c>
      <c r="T61" s="158">
        <f>(R61/H61)-1</f>
        <v>3.1672861347054715E-2</v>
      </c>
      <c r="U61" s="162">
        <f>SUM(U62:U67)</f>
        <v>543966</v>
      </c>
      <c r="V61" s="158">
        <f t="shared" si="367"/>
        <v>0.38143020022129942</v>
      </c>
      <c r="W61" s="158">
        <f>(U61/J61)-1</f>
        <v>5.0981589283954687E-2</v>
      </c>
      <c r="X61" s="162">
        <f>SUM(X62:X67)</f>
        <v>560743</v>
      </c>
      <c r="Y61" s="158">
        <f t="shared" si="368"/>
        <v>0.44243604421338506</v>
      </c>
      <c r="Z61" s="158">
        <f>(X61/L61)-1</f>
        <v>5.5917732483692584E-2</v>
      </c>
      <c r="AA61" s="162">
        <f>SUM(AA62:AA67)</f>
        <v>601189</v>
      </c>
      <c r="AB61" s="158">
        <f t="shared" si="369"/>
        <v>0.45548658479577359</v>
      </c>
      <c r="AC61" s="158">
        <f>(AA61/O61)-1</f>
        <v>8.5333468129931811E-2</v>
      </c>
      <c r="AD61" s="162">
        <f>SUM(AD62:AD67)</f>
        <v>637020</v>
      </c>
      <c r="AE61" s="158">
        <f t="shared" si="370"/>
        <v>0.46961633476327141</v>
      </c>
      <c r="AF61" s="158">
        <f>(AD61/R61)-1</f>
        <v>0.1486447499386927</v>
      </c>
      <c r="AG61" s="162">
        <f>SUM(AG62:AG67)</f>
        <v>582928</v>
      </c>
      <c r="AH61" s="158">
        <f t="shared" si="371"/>
        <v>0.36243717186990942</v>
      </c>
      <c r="AI61" s="158">
        <f>(AG61/U61)-1</f>
        <v>7.1625800141920548E-2</v>
      </c>
      <c r="AJ61" s="162">
        <f>SUM(AJ62:AJ67)</f>
        <v>610100</v>
      </c>
      <c r="AK61" s="158">
        <f t="shared" si="372"/>
        <v>0.41844533942014356</v>
      </c>
      <c r="AL61" s="158">
        <f>(AJ61/X61)-1</f>
        <v>8.8020715372282954E-2</v>
      </c>
      <c r="AM61" s="162">
        <f>SUM(AM62:AM67)</f>
        <v>656666</v>
      </c>
      <c r="AN61" s="158">
        <f t="shared" si="373"/>
        <v>0.436054047736678</v>
      </c>
      <c r="AO61" s="158">
        <f>(AM61/AA61)-1</f>
        <v>9.2278800842996223E-2</v>
      </c>
      <c r="AP61" s="162">
        <f>SUM(AP62:AP67)</f>
        <v>688174</v>
      </c>
      <c r="AQ61" s="158">
        <f t="shared" si="374"/>
        <v>0.4794955978383561</v>
      </c>
      <c r="AR61" s="158">
        <f>(AP61/AD61)-1</f>
        <v>8.0302031333396195E-2</v>
      </c>
      <c r="AS61" s="162">
        <f>SUM(AS62:AS67)</f>
        <v>711493</v>
      </c>
      <c r="AT61" s="158">
        <f t="shared" si="375"/>
        <v>0.43747705759197714</v>
      </c>
      <c r="AU61" s="158">
        <f>(AS61/AG61)-1</f>
        <v>0.22055039387368591</v>
      </c>
      <c r="AV61" s="162">
        <f>SUM(AV62:AV67)</f>
        <v>726050</v>
      </c>
      <c r="AW61" s="158">
        <f t="shared" si="376"/>
        <v>0.49997038946801581</v>
      </c>
      <c r="AX61" s="158">
        <f>(AV61/AJ61)-1</f>
        <v>0.19005081134240287</v>
      </c>
      <c r="AY61" s="162">
        <f>SUM(AY62:AY67)</f>
        <v>778803</v>
      </c>
      <c r="AZ61" s="158">
        <f t="shared" si="377"/>
        <v>0.49094175604928308</v>
      </c>
      <c r="BA61" s="158">
        <f>(AY61/AM61)-1</f>
        <v>0.18599562030012207</v>
      </c>
      <c r="BB61" s="162">
        <f>SUM(BB62:BB67)</f>
        <v>814652</v>
      </c>
      <c r="BC61" s="158">
        <f t="shared" si="378"/>
        <v>0.49985090103632984</v>
      </c>
      <c r="BD61" s="158">
        <f>(BB61/AP61)-1</f>
        <v>0.18378782110338365</v>
      </c>
      <c r="BE61" s="162">
        <f>SUM(BE62:BE67)</f>
        <v>866436</v>
      </c>
      <c r="BF61" s="158">
        <f t="shared" si="379"/>
        <v>0.45098758742596412</v>
      </c>
      <c r="BG61" s="158">
        <f>(BE61/AS61)-1</f>
        <v>0.21777164357203804</v>
      </c>
      <c r="BH61" s="162">
        <f>SUM(BH62:BH67)</f>
        <v>908002</v>
      </c>
      <c r="BI61" s="158">
        <f t="shared" si="380"/>
        <v>0.49559045542915964</v>
      </c>
      <c r="BJ61" s="158">
        <f>(BH61/AV61)-1</f>
        <v>0.25060533021141795</v>
      </c>
      <c r="BK61" s="162">
        <f>SUM(BK62:BK67)</f>
        <v>915642</v>
      </c>
      <c r="BL61" s="158">
        <f t="shared" ref="BL61:BL67" si="435">BK61/$BK$6</f>
        <v>0.48915635617667796</v>
      </c>
      <c r="BM61" s="158">
        <f>(BK61/AY61)-1</f>
        <v>0.1757042538356941</v>
      </c>
      <c r="BN61" s="162">
        <f>SUM(BN62:BN67)</f>
        <v>976796</v>
      </c>
      <c r="BO61" s="158">
        <f t="shared" si="381"/>
        <v>0.51260258128573088</v>
      </c>
      <c r="BP61" s="158">
        <f t="shared" si="398"/>
        <v>0.19903467983875323</v>
      </c>
      <c r="BQ61" s="162">
        <f>SUM(BQ62:BQ67)</f>
        <v>1021308</v>
      </c>
      <c r="BR61" s="158">
        <f t="shared" si="240"/>
        <v>0.41583947980773733</v>
      </c>
      <c r="BS61" s="158">
        <f t="shared" si="399"/>
        <v>0.17874603548329016</v>
      </c>
      <c r="BT61" s="162">
        <f>SUM(BT62:BT67)</f>
        <v>1056786</v>
      </c>
      <c r="BU61" s="158">
        <f t="shared" si="242"/>
        <v>0.47773429429961589</v>
      </c>
      <c r="BV61" s="158">
        <f t="shared" si="400"/>
        <v>0.1638586699148239</v>
      </c>
      <c r="BW61" s="159">
        <f>SUM(BW62:BW67)</f>
        <v>1016945</v>
      </c>
      <c r="BX61" s="158">
        <f t="shared" si="244"/>
        <v>0.45625277322023755</v>
      </c>
      <c r="BY61" s="158">
        <f t="shared" si="401"/>
        <v>0.110636034607412</v>
      </c>
      <c r="BZ61" s="162">
        <f>SUM(BZ62:BZ67)</f>
        <v>1068589</v>
      </c>
      <c r="CA61" s="158">
        <f t="shared" ref="CA61:CA67" si="436">BZ61/$BZ$6</f>
        <v>0.40149395160381313</v>
      </c>
      <c r="CB61" s="158">
        <f t="shared" si="402"/>
        <v>9.3973562545301093E-2</v>
      </c>
      <c r="CC61" s="162">
        <f>SUM(CC62:CC67)</f>
        <v>1154998</v>
      </c>
      <c r="CD61" s="158">
        <f t="shared" ref="CD61:CD67" si="437">CC61/$CC$6</f>
        <v>0.38712802127967649</v>
      </c>
      <c r="CE61" s="158">
        <f t="shared" si="403"/>
        <v>0.13090076646809767</v>
      </c>
      <c r="CF61" s="162">
        <f>SUM(CF62:CF67)</f>
        <v>1170182</v>
      </c>
      <c r="CG61" s="158">
        <f t="shared" si="404"/>
        <v>0.40922508670200841</v>
      </c>
      <c r="CH61" s="158">
        <f t="shared" si="405"/>
        <v>0.10730270840075473</v>
      </c>
      <c r="CI61" s="162">
        <f>SUM(CI62:CI67)</f>
        <v>1119851</v>
      </c>
      <c r="CJ61" s="158">
        <f t="shared" ref="CJ61:CJ67" si="438">CI61/$CI$6</f>
        <v>0.38486436365723403</v>
      </c>
      <c r="CK61" s="158">
        <f t="shared" si="406"/>
        <v>0.10119131319786212</v>
      </c>
      <c r="CL61" s="162">
        <f>SUM(CL62:CL67)</f>
        <v>1170234.26</v>
      </c>
      <c r="CM61" s="158">
        <f t="shared" ref="CM61:CM67" si="439">CL61/$CL$6</f>
        <v>0.35224943297689015</v>
      </c>
      <c r="CN61" s="158">
        <f t="shared" si="407"/>
        <v>9.5121005363147049E-2</v>
      </c>
      <c r="CO61" s="162">
        <f>SUM(CO62:CO67)</f>
        <v>1305683</v>
      </c>
      <c r="CP61" s="158">
        <f t="shared" si="408"/>
        <v>0.34633244103226818</v>
      </c>
      <c r="CQ61" s="158">
        <f>(CO61/CC61)-1</f>
        <v>0.13046342937390376</v>
      </c>
      <c r="CR61" s="162">
        <f>SUM(CR62:CR67)</f>
        <v>1317146</v>
      </c>
      <c r="CS61" s="158">
        <f t="shared" ref="CS61:CS67" si="440">CR61/$CR$31</f>
        <v>0.37789005794532649</v>
      </c>
      <c r="CT61" s="158">
        <f t="shared" si="409"/>
        <v>0.12559072007602246</v>
      </c>
      <c r="CU61" s="162">
        <f>SUM(CU62:CU67)</f>
        <v>1266367</v>
      </c>
      <c r="CV61" s="158">
        <f t="shared" ref="CV61:CV67" si="441">CU61/$CU$31</f>
        <v>0.36046615887737937</v>
      </c>
      <c r="CW61" s="158">
        <f t="shared" si="410"/>
        <v>0.13083526290551162</v>
      </c>
      <c r="CX61" s="162">
        <f>SUM(CX62:CX67)</f>
        <v>1315462</v>
      </c>
      <c r="CY61" s="158">
        <f t="shared" si="411"/>
        <v>0.32760128369779862</v>
      </c>
      <c r="CZ61" s="158">
        <f t="shared" si="412"/>
        <v>0.12410142564105064</v>
      </c>
      <c r="DA61" s="162">
        <f>SUM(DA62:DA67)</f>
        <v>1493253</v>
      </c>
      <c r="DB61" s="158">
        <f t="shared" si="413"/>
        <v>0.3306931820094412</v>
      </c>
      <c r="DC61" s="158">
        <f t="shared" si="414"/>
        <v>0.14365661496703264</v>
      </c>
      <c r="DD61" s="162">
        <f>SUM(DD62:DD67)</f>
        <v>1518174</v>
      </c>
      <c r="DE61" s="158">
        <f t="shared" si="415"/>
        <v>0.4355651240113762</v>
      </c>
      <c r="DF61" s="158">
        <f t="shared" si="416"/>
        <v>0.15262393083226922</v>
      </c>
      <c r="DG61" s="162">
        <f>SUM(DG62:DG67)</f>
        <v>1567884</v>
      </c>
      <c r="DH61" s="158">
        <f t="shared" si="187"/>
        <v>0.35593296523630658</v>
      </c>
      <c r="DI61" s="158">
        <f t="shared" si="78"/>
        <v>0.23809606535862038</v>
      </c>
      <c r="DJ61" s="162">
        <f>SUM(DJ62:DJ67)</f>
        <v>1668362</v>
      </c>
      <c r="DK61" s="158">
        <f t="shared" si="308"/>
        <v>0.36999503453757437</v>
      </c>
      <c r="DL61" s="158">
        <f t="shared" si="417"/>
        <v>0.26827076722854781</v>
      </c>
      <c r="DM61" s="162">
        <f>SUM(DM62:DM67)</f>
        <v>1855268</v>
      </c>
      <c r="DN61" s="158">
        <f t="shared" si="80"/>
        <v>0.34880777249998079</v>
      </c>
      <c r="DO61" s="158">
        <f t="shared" si="418"/>
        <v>0.24243380056828956</v>
      </c>
      <c r="DP61" s="162">
        <f>SUM(DP62:DP67)</f>
        <v>1944684</v>
      </c>
      <c r="DQ61" s="158">
        <f t="shared" si="343"/>
        <v>0.38311989069950936</v>
      </c>
      <c r="DR61" s="158">
        <f t="shared" si="419"/>
        <v>0.28093617727612252</v>
      </c>
      <c r="DS61" s="162">
        <f>SUM(DS62:DS67)</f>
        <v>2003513</v>
      </c>
      <c r="DT61" s="158">
        <f t="shared" si="81"/>
        <v>0.38295544881762439</v>
      </c>
      <c r="DU61" s="158">
        <f t="shared" si="420"/>
        <v>0.27784517221937333</v>
      </c>
      <c r="DV61" s="162">
        <f>SUM(DV62:DV67)</f>
        <v>2173684</v>
      </c>
      <c r="DW61" s="158">
        <f t="shared" si="421"/>
        <v>0.41069123866727003</v>
      </c>
      <c r="DX61" s="158">
        <f t="shared" si="422"/>
        <v>0.3028851052709185</v>
      </c>
      <c r="DY61" s="162">
        <f>SUM(DY62:DY67)</f>
        <v>2310896</v>
      </c>
      <c r="DZ61" s="158">
        <f t="shared" si="423"/>
        <v>0.39410074050274235</v>
      </c>
      <c r="EA61" s="158">
        <f t="shared" si="424"/>
        <v>0.24558608244199753</v>
      </c>
      <c r="EB61" s="162">
        <f>SUM(EB62:EB67)</f>
        <v>2260818</v>
      </c>
      <c r="EC61" s="158">
        <f t="shared" si="84"/>
        <v>0.40580128962221007</v>
      </c>
      <c r="ED61" s="158">
        <f>(EB61/DP61)-1</f>
        <v>0.16256317221718275</v>
      </c>
      <c r="EE61" s="162">
        <f>SUM(EE62:EE67)</f>
        <v>2297204</v>
      </c>
      <c r="EF61" s="158">
        <f t="shared" si="389"/>
        <v>0.39520980129611111</v>
      </c>
      <c r="EG61" s="158">
        <f>(EE61/DS61)-1</f>
        <v>0.14658801814612632</v>
      </c>
      <c r="EH61" s="162">
        <f>SUM(EH62:EH67)</f>
        <v>2366123</v>
      </c>
      <c r="EI61" s="158">
        <f t="shared" si="390"/>
        <v>0.41698705680245712</v>
      </c>
      <c r="EJ61" s="158">
        <f>(EH61/DV61)-1</f>
        <v>8.8531267654360146E-2</v>
      </c>
      <c r="EK61" s="162">
        <f>SUM(EK62:EK67)</f>
        <v>2636796</v>
      </c>
      <c r="EL61" s="158">
        <f t="shared" si="391"/>
        <v>0.40721384875120692</v>
      </c>
      <c r="EM61" s="158">
        <f>(EK61/DY61)-1</f>
        <v>0.14102754948729834</v>
      </c>
      <c r="EN61" s="162">
        <f>SUM(EN62:EN67)</f>
        <v>2670814</v>
      </c>
      <c r="EO61" s="158">
        <f t="shared" si="392"/>
        <v>0.42719859448112468</v>
      </c>
      <c r="EP61" s="158">
        <f>(EN61/EB61)-1</f>
        <v>0.18134852075664654</v>
      </c>
      <c r="EQ61" s="162">
        <f>SUM(EQ62:EQ67)</f>
        <v>2814012</v>
      </c>
      <c r="ER61" s="158">
        <f t="shared" si="393"/>
        <v>0.42659083670417991</v>
      </c>
      <c r="ES61" s="158">
        <f>(EQ61/EE61)-1</f>
        <v>0.22497261888800479</v>
      </c>
      <c r="ET61" s="162">
        <f>SUM(ET62:ET67)</f>
        <v>2918668</v>
      </c>
      <c r="EU61" s="158">
        <f t="shared" si="394"/>
        <v>0.44995573159114827</v>
      </c>
      <c r="EV61" s="158">
        <f>(ET61/EH61)-1</f>
        <v>0.23352336290209763</v>
      </c>
      <c r="EW61" s="162">
        <f>SUM(EW62:EW67)</f>
        <v>3223446</v>
      </c>
      <c r="EX61" s="158">
        <f t="shared" si="395"/>
        <v>0.42707896939686457</v>
      </c>
      <c r="EY61" s="158">
        <f>(EW61/EK61)-1</f>
        <v>0.22248592610122286</v>
      </c>
      <c r="EZ61" s="162">
        <f>SUM(EZ62:EZ67)</f>
        <v>3268398</v>
      </c>
      <c r="FA61" s="158">
        <f t="shared" si="396"/>
        <v>0.46513618306031734</v>
      </c>
      <c r="FB61" s="158">
        <f>(EZ61/EN61)-1</f>
        <v>0.2237460190039442</v>
      </c>
      <c r="FC61" s="162">
        <f>SUM(FC62:FC67)</f>
        <v>3461783</v>
      </c>
      <c r="FD61" s="158">
        <f t="shared" si="397"/>
        <v>0.47387235060757887</v>
      </c>
      <c r="FE61" s="158">
        <f>(FC61/EQ61)-1</f>
        <v>0.23019482503983646</v>
      </c>
      <c r="FF61" s="162">
        <f>SUM(FF62:FF67)</f>
        <v>3607482</v>
      </c>
      <c r="FG61" s="158">
        <f t="shared" si="88"/>
        <v>0.47798615973072051</v>
      </c>
      <c r="FH61" s="158">
        <f t="shared" si="89"/>
        <v>0.23600286157932326</v>
      </c>
      <c r="FI61" s="162">
        <f>SUM(FI62:FI67)</f>
        <v>3954512</v>
      </c>
      <c r="FJ61" s="158">
        <f t="shared" si="268"/>
        <v>0.44830410173485058</v>
      </c>
      <c r="FK61" s="158">
        <f t="shared" si="425"/>
        <v>0.22679641600945066</v>
      </c>
      <c r="FL61" s="162">
        <f>SUM(FL62:FL67)</f>
        <v>4054885</v>
      </c>
      <c r="FM61" s="158">
        <f t="shared" si="270"/>
        <v>0.40294539075532593</v>
      </c>
      <c r="FN61" s="158">
        <f t="shared" si="426"/>
        <v>0.24063379062158274</v>
      </c>
      <c r="FO61" s="162">
        <f>SUM(FO62:FO67)</f>
        <v>4102142</v>
      </c>
      <c r="FP61" s="158">
        <f t="shared" si="427"/>
        <v>0.41335953537658754</v>
      </c>
      <c r="FQ61" s="158">
        <f t="shared" si="428"/>
        <v>0.18497953222371244</v>
      </c>
      <c r="FR61" s="162">
        <f>SUM(FR62:FR67)</f>
        <v>4260449</v>
      </c>
      <c r="FS61" s="158">
        <f t="shared" si="274"/>
        <v>0.41759666883153673</v>
      </c>
      <c r="FT61" s="158">
        <f t="shared" si="429"/>
        <v>0.18100353653878254</v>
      </c>
      <c r="FU61" s="162">
        <f>SUM(FU62:FU67)</f>
        <v>4691019</v>
      </c>
      <c r="FV61" s="158">
        <f t="shared" si="316"/>
        <v>0.40604680971066837</v>
      </c>
      <c r="FW61" s="158">
        <f t="shared" si="430"/>
        <v>0.18624472501284606</v>
      </c>
      <c r="FX61" s="162">
        <f>SUM(FX62:FX67)</f>
        <v>4671952</v>
      </c>
      <c r="FY61" s="158">
        <f t="shared" si="317"/>
        <v>0.4060992350878907</v>
      </c>
      <c r="FZ61" s="158">
        <f t="shared" si="431"/>
        <v>0.15217866844559103</v>
      </c>
      <c r="GA61" s="162">
        <f>SUM(GA62:GA67)</f>
        <v>5425952</v>
      </c>
      <c r="GB61" s="158">
        <f t="shared" si="318"/>
        <v>0.42297489622562895</v>
      </c>
      <c r="GC61" s="158">
        <f t="shared" si="432"/>
        <v>0.32271189051963578</v>
      </c>
      <c r="GD61" s="162">
        <f>SUM(GD62:GD67)</f>
        <v>5287763</v>
      </c>
      <c r="GE61" s="158">
        <f t="shared" si="387"/>
        <v>0.40731215081701022</v>
      </c>
      <c r="GF61" s="158">
        <f t="shared" si="433"/>
        <v>0.241128106450752</v>
      </c>
      <c r="GG61" s="162">
        <f>SUM(GG62:GG67)</f>
        <v>5501316</v>
      </c>
      <c r="GH61" s="158">
        <f t="shared" si="388"/>
        <v>0.37570666323011453</v>
      </c>
      <c r="GI61" s="158">
        <f t="shared" si="434"/>
        <v>0.17273368536772082</v>
      </c>
    </row>
    <row r="62" spans="2:191" s="151" customFormat="1" ht="16.5" customHeight="1">
      <c r="B62" s="181" t="s">
        <v>170</v>
      </c>
      <c r="C62" s="179" t="s">
        <v>55</v>
      </c>
      <c r="D62" s="166">
        <v>55000</v>
      </c>
      <c r="E62" s="165">
        <f t="shared" si="209"/>
        <v>8.178608922713633E-2</v>
      </c>
      <c r="F62" s="7">
        <v>55000</v>
      </c>
      <c r="G62" s="165">
        <f t="shared" si="210"/>
        <v>7.8250155788946521E-2</v>
      </c>
      <c r="H62" s="7">
        <v>398138</v>
      </c>
      <c r="I62" s="165">
        <f t="shared" si="211"/>
        <v>0.45561522783736741</v>
      </c>
      <c r="J62" s="7">
        <v>398138</v>
      </c>
      <c r="K62" s="165">
        <f t="shared" si="212"/>
        <v>0.37303847898029013</v>
      </c>
      <c r="L62" s="7">
        <v>398138</v>
      </c>
      <c r="M62" s="165">
        <f t="shared" si="364"/>
        <v>0.43123110633094291</v>
      </c>
      <c r="N62" s="165">
        <f>(L62/D62)-1</f>
        <v>6.2388727272727271</v>
      </c>
      <c r="O62" s="8">
        <v>398138</v>
      </c>
      <c r="P62" s="165">
        <f t="shared" si="365"/>
        <v>0.37597857476075086</v>
      </c>
      <c r="Q62" s="165">
        <f>(O62/F62)-1</f>
        <v>6.2388727272727271</v>
      </c>
      <c r="R62" s="8">
        <v>398138</v>
      </c>
      <c r="S62" s="165">
        <f t="shared" si="366"/>
        <v>0.35722950590211355</v>
      </c>
      <c r="T62" s="165">
        <f>(R62/H62)-1</f>
        <v>0</v>
      </c>
      <c r="U62" s="166">
        <v>399820</v>
      </c>
      <c r="V62" s="165">
        <f t="shared" si="367"/>
        <v>0.28035469616203945</v>
      </c>
      <c r="W62" s="165">
        <f>(U62/J62)-1</f>
        <v>4.224665819389184E-3</v>
      </c>
      <c r="X62" s="166">
        <v>399820</v>
      </c>
      <c r="Y62" s="165">
        <f t="shared" si="368"/>
        <v>0.31546497985243793</v>
      </c>
      <c r="Z62" s="165">
        <f>(X62/L62)-1</f>
        <v>4.224665819389184E-3</v>
      </c>
      <c r="AA62" s="166">
        <v>399820</v>
      </c>
      <c r="AB62" s="165">
        <f t="shared" si="369"/>
        <v>0.30292078919116316</v>
      </c>
      <c r="AC62" s="165">
        <f>(AA62/O62)-1</f>
        <v>4.224665819389184E-3</v>
      </c>
      <c r="AD62" s="166">
        <v>399820</v>
      </c>
      <c r="AE62" s="165">
        <f t="shared" si="370"/>
        <v>0.29475056193691118</v>
      </c>
      <c r="AF62" s="165">
        <f>(AD62/R62)-1</f>
        <v>4.224665819389184E-3</v>
      </c>
      <c r="AG62" s="166">
        <v>399820</v>
      </c>
      <c r="AH62" s="165">
        <f t="shared" si="371"/>
        <v>0.24858924268010316</v>
      </c>
      <c r="AI62" s="165">
        <f>(AG62/U62)-1</f>
        <v>0</v>
      </c>
      <c r="AJ62" s="166">
        <v>399820</v>
      </c>
      <c r="AK62" s="165">
        <f t="shared" si="372"/>
        <v>0.27422195641200098</v>
      </c>
      <c r="AL62" s="165">
        <f>(AJ62/X62)-1</f>
        <v>0</v>
      </c>
      <c r="AM62" s="166">
        <v>399820</v>
      </c>
      <c r="AN62" s="165">
        <f t="shared" si="373"/>
        <v>0.26549742085943018</v>
      </c>
      <c r="AO62" s="165">
        <f>(AM62/AA62)-1</f>
        <v>0</v>
      </c>
      <c r="AP62" s="166">
        <v>399820</v>
      </c>
      <c r="AQ62" s="165">
        <f t="shared" si="374"/>
        <v>0.27858060596263667</v>
      </c>
      <c r="AR62" s="165">
        <f>(AP62/AD62)-1</f>
        <v>0</v>
      </c>
      <c r="AS62" s="166">
        <v>399926</v>
      </c>
      <c r="AT62" s="165">
        <f t="shared" si="375"/>
        <v>0.24590326220290157</v>
      </c>
      <c r="AU62" s="165">
        <f>(AS62/AG62)-1</f>
        <v>2.6511930368666725E-4</v>
      </c>
      <c r="AV62" s="166">
        <v>400037</v>
      </c>
      <c r="AW62" s="165">
        <f t="shared" si="376"/>
        <v>0.27547228798514789</v>
      </c>
      <c r="AX62" s="165">
        <f>(AV62/AJ62)-1</f>
        <v>5.4274423490574542E-4</v>
      </c>
      <c r="AY62" s="166">
        <v>400132</v>
      </c>
      <c r="AZ62" s="165">
        <f t="shared" si="377"/>
        <v>0.2522351695249142</v>
      </c>
      <c r="BA62" s="165">
        <f>(AY62/AM62)-1</f>
        <v>7.8035115802110866E-4</v>
      </c>
      <c r="BB62" s="166">
        <v>402131</v>
      </c>
      <c r="BC62" s="165">
        <f t="shared" si="378"/>
        <v>0.24673792329073072</v>
      </c>
      <c r="BD62" s="165">
        <f>(BB62/AP62)-1</f>
        <v>5.7801010454705537E-3</v>
      </c>
      <c r="BE62" s="166">
        <v>402945</v>
      </c>
      <c r="BF62" s="165">
        <f t="shared" si="379"/>
        <v>0.20973642994445651</v>
      </c>
      <c r="BG62" s="165">
        <f>(BE62/AS62)-1</f>
        <v>7.5488965458609947E-3</v>
      </c>
      <c r="BH62" s="166">
        <v>403216</v>
      </c>
      <c r="BI62" s="165">
        <f t="shared" si="380"/>
        <v>0.22007660894615214</v>
      </c>
      <c r="BJ62" s="165">
        <f>(BH62/AV62)-1</f>
        <v>7.9467649242443983E-3</v>
      </c>
      <c r="BK62" s="166">
        <v>403629</v>
      </c>
      <c r="BL62" s="165">
        <f t="shared" si="435"/>
        <v>0.21562760433361114</v>
      </c>
      <c r="BM62" s="165">
        <f>(BK62/AY62)-1</f>
        <v>8.7396159267441043E-3</v>
      </c>
      <c r="BN62" s="166">
        <v>405377</v>
      </c>
      <c r="BO62" s="165">
        <f t="shared" si="381"/>
        <v>0.21273356626549017</v>
      </c>
      <c r="BP62" s="165">
        <f t="shared" si="398"/>
        <v>8.0719964389712739E-3</v>
      </c>
      <c r="BQ62" s="166">
        <v>408734</v>
      </c>
      <c r="BR62" s="165">
        <f t="shared" si="240"/>
        <v>0.16642162201778082</v>
      </c>
      <c r="BS62" s="165">
        <f t="shared" si="399"/>
        <v>1.4366724987281199E-2</v>
      </c>
      <c r="BT62" s="166">
        <v>408734</v>
      </c>
      <c r="BU62" s="165">
        <f t="shared" si="242"/>
        <v>0.18477369027055543</v>
      </c>
      <c r="BV62" s="165">
        <f t="shared" si="400"/>
        <v>1.3684972818538865E-2</v>
      </c>
      <c r="BW62" s="168">
        <v>413725</v>
      </c>
      <c r="BX62" s="165">
        <f t="shared" si="244"/>
        <v>0.18561788356355829</v>
      </c>
      <c r="BY62" s="165">
        <f t="shared" si="401"/>
        <v>2.5013068932113303E-2</v>
      </c>
      <c r="BZ62" s="166">
        <v>414126</v>
      </c>
      <c r="CA62" s="165">
        <f t="shared" si="436"/>
        <v>0.15559685173802157</v>
      </c>
      <c r="CB62" s="165">
        <f t="shared" si="402"/>
        <v>2.1582378872012864E-2</v>
      </c>
      <c r="CC62" s="166">
        <v>421683</v>
      </c>
      <c r="CD62" s="165">
        <f t="shared" si="437"/>
        <v>0.1413381714923124</v>
      </c>
      <c r="CE62" s="165">
        <f t="shared" si="403"/>
        <v>3.168075080614785E-2</v>
      </c>
      <c r="CF62" s="166">
        <v>421683</v>
      </c>
      <c r="CG62" s="165">
        <f t="shared" si="404"/>
        <v>0.14746702840734435</v>
      </c>
      <c r="CH62" s="165">
        <f t="shared" si="405"/>
        <v>3.168075080614785E-2</v>
      </c>
      <c r="CI62" s="166">
        <v>437856</v>
      </c>
      <c r="CJ62" s="165">
        <f t="shared" si="438"/>
        <v>0.15047999315400162</v>
      </c>
      <c r="CK62" s="165">
        <f t="shared" si="406"/>
        <v>5.832618285092761E-2</v>
      </c>
      <c r="CL62" s="166">
        <v>440881</v>
      </c>
      <c r="CM62" s="165">
        <f t="shared" si="439"/>
        <v>0.13270854184382219</v>
      </c>
      <c r="CN62" s="165">
        <f t="shared" si="407"/>
        <v>6.4605941186981708E-2</v>
      </c>
      <c r="CO62" s="166">
        <v>461595</v>
      </c>
      <c r="CP62" s="165">
        <f t="shared" si="408"/>
        <v>0.12243808268798004</v>
      </c>
      <c r="CQ62" s="165">
        <f>(CO62/CC62)-1</f>
        <v>9.464929816947798E-2</v>
      </c>
      <c r="CR62" s="166">
        <v>461881</v>
      </c>
      <c r="CS62" s="165">
        <f t="shared" si="440"/>
        <v>0.13251396417241926</v>
      </c>
      <c r="CT62" s="165">
        <f t="shared" si="409"/>
        <v>9.5327532767505385E-2</v>
      </c>
      <c r="CU62" s="166">
        <v>702861</v>
      </c>
      <c r="CV62" s="165">
        <f t="shared" si="441"/>
        <v>0.20006649327936826</v>
      </c>
      <c r="CW62" s="165">
        <f t="shared" si="410"/>
        <v>0.60523322736242058</v>
      </c>
      <c r="CX62" s="166">
        <v>702861</v>
      </c>
      <c r="CY62" s="165">
        <f t="shared" si="411"/>
        <v>0.17503976995239576</v>
      </c>
      <c r="CZ62" s="165">
        <f t="shared" si="412"/>
        <v>0.59421930180706362</v>
      </c>
      <c r="DA62" s="166">
        <v>719735</v>
      </c>
      <c r="DB62" s="165">
        <f t="shared" si="413"/>
        <v>0.15939124673016908</v>
      </c>
      <c r="DC62" s="165">
        <f t="shared" si="414"/>
        <v>0.55923482706701755</v>
      </c>
      <c r="DD62" s="166">
        <v>719735</v>
      </c>
      <c r="DE62" s="165">
        <f t="shared" si="415"/>
        <v>0.20649244719665061</v>
      </c>
      <c r="DF62" s="165">
        <f t="shared" si="416"/>
        <v>0.55826933777314935</v>
      </c>
      <c r="DG62" s="166">
        <v>725054</v>
      </c>
      <c r="DH62" s="165">
        <f t="shared" si="187"/>
        <v>0.16459803159956032</v>
      </c>
      <c r="DI62" s="165">
        <f t="shared" si="78"/>
        <v>3.1575233225346055E-2</v>
      </c>
      <c r="DJ62" s="166">
        <v>730700</v>
      </c>
      <c r="DK62" s="165">
        <f t="shared" si="308"/>
        <v>0.16204838742227742</v>
      </c>
      <c r="DL62" s="165">
        <f t="shared" si="417"/>
        <v>3.9608115971721203E-2</v>
      </c>
      <c r="DM62" s="166">
        <v>750853</v>
      </c>
      <c r="DN62" s="165">
        <f t="shared" si="80"/>
        <v>0.14116740137000588</v>
      </c>
      <c r="DO62" s="165">
        <f t="shared" si="418"/>
        <v>4.3235357457953372E-2</v>
      </c>
      <c r="DP62" s="166">
        <v>750853</v>
      </c>
      <c r="DQ62" s="165">
        <f t="shared" si="343"/>
        <v>0.14792465988890674</v>
      </c>
      <c r="DR62" s="165">
        <f t="shared" si="419"/>
        <v>4.3235357457953372E-2</v>
      </c>
      <c r="DS62" s="166">
        <v>1128234</v>
      </c>
      <c r="DT62" s="165">
        <f t="shared" si="81"/>
        <v>0.21565288462880131</v>
      </c>
      <c r="DU62" s="165">
        <f t="shared" si="420"/>
        <v>0.55606892727989909</v>
      </c>
      <c r="DV62" s="166">
        <v>1130364</v>
      </c>
      <c r="DW62" s="165">
        <f t="shared" si="421"/>
        <v>0.21356857358516232</v>
      </c>
      <c r="DX62" s="165">
        <f t="shared" si="422"/>
        <v>0.54696044888463113</v>
      </c>
      <c r="DY62" s="166">
        <v>1136124</v>
      </c>
      <c r="DZ62" s="165">
        <f t="shared" si="423"/>
        <v>0.19375485080373053</v>
      </c>
      <c r="EA62" s="165">
        <f t="shared" si="424"/>
        <v>0.51311108832221497</v>
      </c>
      <c r="EB62" s="166">
        <v>1136124</v>
      </c>
      <c r="EC62" s="165">
        <f t="shared" si="84"/>
        <v>0.20392644802489354</v>
      </c>
      <c r="ED62" s="165">
        <f>(EB62/DP62)-1</f>
        <v>0.51311108832221497</v>
      </c>
      <c r="EE62" s="166">
        <v>1160305</v>
      </c>
      <c r="EF62" s="165">
        <f t="shared" si="389"/>
        <v>0.19961827878276556</v>
      </c>
      <c r="EG62" s="165">
        <f>(EE62/DS62)-1</f>
        <v>2.8425840738711905E-2</v>
      </c>
      <c r="EH62" s="166">
        <v>1170192</v>
      </c>
      <c r="EI62" s="165">
        <f t="shared" si="390"/>
        <v>0.20622550813029622</v>
      </c>
      <c r="EJ62" s="165">
        <f>(EH62/DV62)-1</f>
        <v>3.5234667770735806E-2</v>
      </c>
      <c r="EK62" s="166">
        <v>1178368</v>
      </c>
      <c r="EL62" s="165">
        <f t="shared" si="391"/>
        <v>0.18198137759813887</v>
      </c>
      <c r="EM62" s="165">
        <f>(EK62/DY62)-1</f>
        <v>3.7182561058475949E-2</v>
      </c>
      <c r="EN62" s="166">
        <v>1178368</v>
      </c>
      <c r="EO62" s="165">
        <f t="shared" si="392"/>
        <v>0.18848079775736309</v>
      </c>
      <c r="EP62" s="165">
        <f>(EN62/EB62)-1</f>
        <v>3.7182561058475949E-2</v>
      </c>
      <c r="EQ62" s="166">
        <v>2534081</v>
      </c>
      <c r="ER62" s="165">
        <f t="shared" si="393"/>
        <v>0.38415462836198461</v>
      </c>
      <c r="ES62" s="165">
        <f>(EQ62/EE62)-1</f>
        <v>1.1839783505199062</v>
      </c>
      <c r="ET62" s="166">
        <v>2553723</v>
      </c>
      <c r="EU62" s="165">
        <f t="shared" si="394"/>
        <v>0.39369407577228449</v>
      </c>
      <c r="EV62" s="165">
        <f>(ET62/EH62)-1</f>
        <v>1.1823111079207513</v>
      </c>
      <c r="EW62" s="166">
        <v>2556896</v>
      </c>
      <c r="EX62" s="165">
        <f t="shared" si="395"/>
        <v>0.33876680686909766</v>
      </c>
      <c r="EY62" s="165">
        <f>(EW62/EK62)-1</f>
        <v>1.1698620464914185</v>
      </c>
      <c r="EZ62" s="166">
        <v>2556896</v>
      </c>
      <c r="FA62" s="165">
        <f t="shared" si="396"/>
        <v>0.3638800555875365</v>
      </c>
      <c r="FB62" s="165">
        <f>(EZ62/EN62)-1</f>
        <v>1.1698620464914185</v>
      </c>
      <c r="FC62" s="166">
        <v>2600047</v>
      </c>
      <c r="FD62" s="165">
        <f t="shared" si="397"/>
        <v>0.35591207871209246</v>
      </c>
      <c r="FE62" s="165">
        <f>(FC62/EQ62)-1</f>
        <v>2.6031527800413734E-2</v>
      </c>
      <c r="FF62" s="166">
        <v>2614480</v>
      </c>
      <c r="FG62" s="165">
        <f t="shared" si="88"/>
        <v>0.34641482754252806</v>
      </c>
      <c r="FH62" s="165">
        <f t="shared" si="89"/>
        <v>2.3791538863063844E-2</v>
      </c>
      <c r="FI62" s="166">
        <v>2637473</v>
      </c>
      <c r="FJ62" s="165">
        <f t="shared" si="268"/>
        <v>0.29899769279115135</v>
      </c>
      <c r="FK62" s="165">
        <f t="shared" si="425"/>
        <v>3.1513600866050151E-2</v>
      </c>
      <c r="FL62" s="166">
        <v>2637473</v>
      </c>
      <c r="FM62" s="165">
        <f t="shared" si="270"/>
        <v>0.26209315149298235</v>
      </c>
      <c r="FN62" s="165">
        <f t="shared" si="426"/>
        <v>3.1513600866050151E-2</v>
      </c>
      <c r="FO62" s="166">
        <v>3774294</v>
      </c>
      <c r="FP62" s="165">
        <f t="shared" si="427"/>
        <v>0.38032335648415927</v>
      </c>
      <c r="FQ62" s="165">
        <f t="shared" si="428"/>
        <v>0.4516252975426982</v>
      </c>
      <c r="FR62" s="166">
        <v>3790628</v>
      </c>
      <c r="FS62" s="165">
        <f t="shared" si="274"/>
        <v>0.37154619749691881</v>
      </c>
      <c r="FT62" s="165">
        <f t="shared" si="429"/>
        <v>0.44985924543312628</v>
      </c>
      <c r="FU62" s="166">
        <v>3795634</v>
      </c>
      <c r="FV62" s="165">
        <f t="shared" si="316"/>
        <v>0.32854377194578471</v>
      </c>
      <c r="FW62" s="165">
        <f t="shared" si="430"/>
        <v>0.43911767058847606</v>
      </c>
      <c r="FX62" s="166">
        <v>3795634</v>
      </c>
      <c r="FY62" s="165">
        <f t="shared" si="317"/>
        <v>0.32992720474730713</v>
      </c>
      <c r="FZ62" s="165">
        <f t="shared" si="431"/>
        <v>0.43911767058847606</v>
      </c>
      <c r="GA62" s="166">
        <v>3795901</v>
      </c>
      <c r="GB62" s="165">
        <f t="shared" si="318"/>
        <v>0.29590583026863509</v>
      </c>
      <c r="GC62" s="165">
        <f t="shared" si="432"/>
        <v>5.7247792567298728E-3</v>
      </c>
      <c r="GD62" s="166">
        <v>3797161</v>
      </c>
      <c r="GE62" s="165">
        <f t="shared" si="387"/>
        <v>0.29249227204556433</v>
      </c>
      <c r="GF62" s="165">
        <f t="shared" si="433"/>
        <v>1.7234611257026522E-3</v>
      </c>
      <c r="GG62" s="166">
        <v>3805326</v>
      </c>
      <c r="GH62" s="165">
        <f t="shared" si="388"/>
        <v>0.25988078742664461</v>
      </c>
      <c r="GI62" s="165">
        <f t="shared" si="434"/>
        <v>2.5534601070598129E-3</v>
      </c>
    </row>
    <row r="63" spans="2:191" s="151" customFormat="1" ht="16.5" customHeight="1">
      <c r="B63" s="178" t="s">
        <v>450</v>
      </c>
      <c r="C63" s="179" t="s">
        <v>451</v>
      </c>
      <c r="D63" s="166">
        <v>0</v>
      </c>
      <c r="E63" s="165">
        <f>D63/$D$6</f>
        <v>0</v>
      </c>
      <c r="F63" s="7">
        <v>0</v>
      </c>
      <c r="G63" s="165">
        <f>F63/$F$6</f>
        <v>0</v>
      </c>
      <c r="H63" s="7">
        <v>0</v>
      </c>
      <c r="I63" s="165">
        <f>H63/$H$6</f>
        <v>0</v>
      </c>
      <c r="J63" s="7">
        <v>0</v>
      </c>
      <c r="K63" s="165">
        <f>J63/$J$6</f>
        <v>0</v>
      </c>
      <c r="L63" s="7">
        <v>0</v>
      </c>
      <c r="M63" s="165">
        <f t="shared" si="364"/>
        <v>0</v>
      </c>
      <c r="N63" s="169" t="s">
        <v>112</v>
      </c>
      <c r="O63" s="8">
        <v>0</v>
      </c>
      <c r="P63" s="165">
        <f>O63/$O$6</f>
        <v>0</v>
      </c>
      <c r="Q63" s="169" t="s">
        <v>112</v>
      </c>
      <c r="R63" s="8">
        <v>0</v>
      </c>
      <c r="S63" s="165">
        <f>R63/$R$6</f>
        <v>0</v>
      </c>
      <c r="T63" s="169" t="s">
        <v>112</v>
      </c>
      <c r="U63" s="166">
        <v>0</v>
      </c>
      <c r="V63" s="165">
        <f>U63/$U$6</f>
        <v>0</v>
      </c>
      <c r="W63" s="169" t="s">
        <v>112</v>
      </c>
      <c r="X63" s="166">
        <v>0</v>
      </c>
      <c r="Y63" s="165">
        <f>X63/$X$6</f>
        <v>0</v>
      </c>
      <c r="Z63" s="169" t="s">
        <v>112</v>
      </c>
      <c r="AA63" s="166">
        <v>0</v>
      </c>
      <c r="AB63" s="165">
        <f>AA63/$AA$6</f>
        <v>0</v>
      </c>
      <c r="AC63" s="169" t="s">
        <v>112</v>
      </c>
      <c r="AD63" s="166">
        <v>0</v>
      </c>
      <c r="AE63" s="165">
        <f>AD63/$AD$6</f>
        <v>0</v>
      </c>
      <c r="AF63" s="169" t="s">
        <v>112</v>
      </c>
      <c r="AG63" s="166">
        <v>0</v>
      </c>
      <c r="AH63" s="165">
        <f>AG63/$AG$6</f>
        <v>0</v>
      </c>
      <c r="AI63" s="169" t="s">
        <v>112</v>
      </c>
      <c r="AJ63" s="166">
        <v>0</v>
      </c>
      <c r="AK63" s="165">
        <f>AJ63/$AJ$6</f>
        <v>0</v>
      </c>
      <c r="AL63" s="169" t="s">
        <v>112</v>
      </c>
      <c r="AM63" s="166">
        <v>0</v>
      </c>
      <c r="AN63" s="165">
        <f>AM63/$AM$6</f>
        <v>0</v>
      </c>
      <c r="AO63" s="169" t="s">
        <v>112</v>
      </c>
      <c r="AP63" s="166">
        <v>0</v>
      </c>
      <c r="AQ63" s="165">
        <f>AP63/$AP$6</f>
        <v>0</v>
      </c>
      <c r="AR63" s="169" t="s">
        <v>112</v>
      </c>
      <c r="AS63" s="166">
        <v>0</v>
      </c>
      <c r="AT63" s="165">
        <f>AS63/$AS$6</f>
        <v>0</v>
      </c>
      <c r="AU63" s="169" t="s">
        <v>112</v>
      </c>
      <c r="AV63" s="166">
        <v>0</v>
      </c>
      <c r="AW63" s="165">
        <f>AV63/$AV$6</f>
        <v>0</v>
      </c>
      <c r="AX63" s="169" t="s">
        <v>112</v>
      </c>
      <c r="AY63" s="166">
        <v>0</v>
      </c>
      <c r="AZ63" s="165">
        <f>AY63/$AY$6</f>
        <v>0</v>
      </c>
      <c r="BA63" s="169" t="s">
        <v>112</v>
      </c>
      <c r="BB63" s="166">
        <v>0</v>
      </c>
      <c r="BC63" s="165">
        <f>BB63/$BB$6</f>
        <v>0</v>
      </c>
      <c r="BD63" s="169" t="s">
        <v>112</v>
      </c>
      <c r="BE63" s="166">
        <v>0</v>
      </c>
      <c r="BF63" s="165">
        <f>BE63/$BE$6</f>
        <v>0</v>
      </c>
      <c r="BG63" s="169" t="s">
        <v>112</v>
      </c>
      <c r="BH63" s="166">
        <v>0</v>
      </c>
      <c r="BI63" s="165">
        <f t="shared" si="380"/>
        <v>0</v>
      </c>
      <c r="BJ63" s="169" t="s">
        <v>112</v>
      </c>
      <c r="BK63" s="166">
        <v>0</v>
      </c>
      <c r="BL63" s="165">
        <f>BK63/$BK$6</f>
        <v>0</v>
      </c>
      <c r="BM63" s="169" t="s">
        <v>112</v>
      </c>
      <c r="BN63" s="166">
        <v>0</v>
      </c>
      <c r="BO63" s="165">
        <f>BN63/$BN$6</f>
        <v>0</v>
      </c>
      <c r="BP63" s="169" t="s">
        <v>112</v>
      </c>
      <c r="BQ63" s="166">
        <v>0</v>
      </c>
      <c r="BR63" s="165">
        <f>BQ63/$BQ$6</f>
        <v>0</v>
      </c>
      <c r="BS63" s="169" t="s">
        <v>112</v>
      </c>
      <c r="BT63" s="166">
        <v>0</v>
      </c>
      <c r="BU63" s="165">
        <f>BT63/$BT$6</f>
        <v>0</v>
      </c>
      <c r="BV63" s="169" t="s">
        <v>112</v>
      </c>
      <c r="BW63" s="168">
        <v>0</v>
      </c>
      <c r="BX63" s="165">
        <f>BW63/$BW$6</f>
        <v>0</v>
      </c>
      <c r="BY63" s="169" t="s">
        <v>112</v>
      </c>
      <c r="BZ63" s="166">
        <v>0</v>
      </c>
      <c r="CA63" s="165">
        <f>BZ63/$BZ$6</f>
        <v>0</v>
      </c>
      <c r="CB63" s="169" t="s">
        <v>112</v>
      </c>
      <c r="CC63" s="166">
        <v>0</v>
      </c>
      <c r="CD63" s="165">
        <f t="shared" si="437"/>
        <v>0</v>
      </c>
      <c r="CE63" s="169" t="s">
        <v>112</v>
      </c>
      <c r="CF63" s="166">
        <v>0</v>
      </c>
      <c r="CG63" s="165">
        <f t="shared" si="404"/>
        <v>0</v>
      </c>
      <c r="CH63" s="169" t="s">
        <v>112</v>
      </c>
      <c r="CI63" s="166">
        <v>0</v>
      </c>
      <c r="CJ63" s="165">
        <f t="shared" si="438"/>
        <v>0</v>
      </c>
      <c r="CK63" s="169" t="s">
        <v>112</v>
      </c>
      <c r="CL63" s="166">
        <v>0</v>
      </c>
      <c r="CM63" s="165">
        <f t="shared" si="439"/>
        <v>0</v>
      </c>
      <c r="CN63" s="169" t="s">
        <v>112</v>
      </c>
      <c r="CO63" s="166">
        <v>0</v>
      </c>
      <c r="CP63" s="165">
        <f t="shared" si="408"/>
        <v>0</v>
      </c>
      <c r="CQ63" s="169" t="s">
        <v>112</v>
      </c>
      <c r="CR63" s="166">
        <v>0</v>
      </c>
      <c r="CS63" s="165">
        <f t="shared" si="440"/>
        <v>0</v>
      </c>
      <c r="CT63" s="169" t="s">
        <v>112</v>
      </c>
      <c r="CU63" s="166">
        <v>0</v>
      </c>
      <c r="CV63" s="165">
        <f t="shared" si="441"/>
        <v>0</v>
      </c>
      <c r="CW63" s="169" t="s">
        <v>112</v>
      </c>
      <c r="CX63" s="166">
        <v>0</v>
      </c>
      <c r="CY63" s="165">
        <f>CX63/$CX$31</f>
        <v>0</v>
      </c>
      <c r="CZ63" s="169" t="s">
        <v>112</v>
      </c>
      <c r="DA63" s="166">
        <v>0</v>
      </c>
      <c r="DB63" s="165">
        <f>DA63/$DA$31</f>
        <v>0</v>
      </c>
      <c r="DC63" s="169" t="s">
        <v>112</v>
      </c>
      <c r="DD63" s="166">
        <v>0</v>
      </c>
      <c r="DE63" s="165">
        <f>DD63/$CR$31</f>
        <v>0</v>
      </c>
      <c r="DF63" s="169" t="s">
        <v>112</v>
      </c>
      <c r="DG63" s="166">
        <v>0</v>
      </c>
      <c r="DH63" s="165">
        <f>DG63/$DG$6</f>
        <v>0</v>
      </c>
      <c r="DI63" s="169" t="s">
        <v>112</v>
      </c>
      <c r="DJ63" s="166">
        <v>0</v>
      </c>
      <c r="DK63" s="165">
        <f>DJ63/$DJ$6</f>
        <v>0</v>
      </c>
      <c r="DL63" s="169" t="s">
        <v>112</v>
      </c>
      <c r="DM63" s="166">
        <v>0</v>
      </c>
      <c r="DN63" s="165">
        <f>DM63/$DM$6</f>
        <v>0</v>
      </c>
      <c r="DO63" s="169" t="s">
        <v>112</v>
      </c>
      <c r="DP63" s="166">
        <v>0</v>
      </c>
      <c r="DQ63" s="165">
        <f>DP63/$DP$6</f>
        <v>0</v>
      </c>
      <c r="DR63" s="169" t="s">
        <v>112</v>
      </c>
      <c r="DS63" s="166">
        <v>0</v>
      </c>
      <c r="DT63" s="165">
        <f>DS63/DS$6</f>
        <v>0</v>
      </c>
      <c r="DU63" s="169" t="s">
        <v>112</v>
      </c>
      <c r="DV63" s="166">
        <v>0</v>
      </c>
      <c r="DW63" s="165">
        <f t="shared" si="421"/>
        <v>0</v>
      </c>
      <c r="DX63" s="169" t="s">
        <v>112</v>
      </c>
      <c r="DY63" s="166">
        <v>-6016</v>
      </c>
      <c r="DZ63" s="165">
        <f t="shared" si="423"/>
        <v>-1.0259700371044384E-3</v>
      </c>
      <c r="EA63" s="165" t="s">
        <v>112</v>
      </c>
      <c r="EB63" s="166">
        <v>-10140</v>
      </c>
      <c r="EC63" s="165">
        <f t="shared" si="84"/>
        <v>-1.8200602953308094E-3</v>
      </c>
      <c r="ED63" s="169" t="s">
        <v>112</v>
      </c>
      <c r="EE63" s="166">
        <v>-10140</v>
      </c>
      <c r="EF63" s="165">
        <f t="shared" si="389"/>
        <v>-1.7444804140784042E-3</v>
      </c>
      <c r="EG63" s="169" t="s">
        <v>112</v>
      </c>
      <c r="EH63" s="166">
        <v>-10140</v>
      </c>
      <c r="EI63" s="165">
        <f t="shared" si="390"/>
        <v>-1.7869944867519208E-3</v>
      </c>
      <c r="EJ63" s="169" t="s">
        <v>112</v>
      </c>
      <c r="EK63" s="166">
        <v>-19021</v>
      </c>
      <c r="EL63" s="165">
        <f t="shared" si="391"/>
        <v>-2.9375099996725978E-3</v>
      </c>
      <c r="EM63" s="169" t="s">
        <v>112</v>
      </c>
      <c r="EN63" s="166">
        <v>-27857</v>
      </c>
      <c r="EO63" s="165">
        <f t="shared" si="392"/>
        <v>-4.4557469170300483E-3</v>
      </c>
      <c r="EP63" s="169" t="s">
        <v>112</v>
      </c>
      <c r="EQ63" s="166">
        <v>-27857</v>
      </c>
      <c r="ER63" s="165">
        <f t="shared" si="393"/>
        <v>-4.2229887214654165E-3</v>
      </c>
      <c r="ES63" s="169" t="s">
        <v>112</v>
      </c>
      <c r="ET63" s="166">
        <v>-27857</v>
      </c>
      <c r="EU63" s="165">
        <f t="shared" si="394"/>
        <v>-4.2945675270139039E-3</v>
      </c>
      <c r="EV63" s="169" t="s">
        <v>112</v>
      </c>
      <c r="EW63" s="166">
        <v>-27857</v>
      </c>
      <c r="EX63" s="165">
        <f t="shared" si="395"/>
        <v>-3.6908137597119529E-3</v>
      </c>
      <c r="EY63" s="169" t="s">
        <v>112</v>
      </c>
      <c r="EZ63" s="166">
        <v>-27857</v>
      </c>
      <c r="FA63" s="165">
        <f t="shared" si="396"/>
        <v>-3.9644188533683048E-3</v>
      </c>
      <c r="FB63" s="169" t="s">
        <v>112</v>
      </c>
      <c r="FC63" s="166">
        <v>0</v>
      </c>
      <c r="FD63" s="165">
        <f t="shared" si="397"/>
        <v>0</v>
      </c>
      <c r="FE63" s="169" t="s">
        <v>112</v>
      </c>
      <c r="FF63" s="166">
        <v>-44536</v>
      </c>
      <c r="FG63" s="165">
        <f t="shared" si="88"/>
        <v>-5.9009557385920064E-3</v>
      </c>
      <c r="FH63" s="169">
        <f t="shared" si="89"/>
        <v>0.59873640377642956</v>
      </c>
      <c r="FI63" s="166">
        <v>-44536</v>
      </c>
      <c r="FJ63" s="165">
        <f t="shared" si="268"/>
        <v>-5.0488331998646873E-3</v>
      </c>
      <c r="FK63" s="169">
        <f t="shared" si="425"/>
        <v>0.59873640377642956</v>
      </c>
      <c r="FL63" s="166">
        <v>-35553</v>
      </c>
      <c r="FM63" s="165">
        <f t="shared" si="270"/>
        <v>-3.533002163445844E-3</v>
      </c>
      <c r="FN63" s="169">
        <f t="shared" si="426"/>
        <v>0.2762680834260689</v>
      </c>
      <c r="FO63" s="166">
        <v>-35553</v>
      </c>
      <c r="FP63" s="165">
        <f t="shared" si="427"/>
        <v>-3.5825604187382631E-3</v>
      </c>
      <c r="FQ63" s="169" t="e">
        <f t="shared" si="428"/>
        <v>#DIV/0!</v>
      </c>
      <c r="FR63" s="166">
        <v>-35549</v>
      </c>
      <c r="FS63" s="165">
        <f t="shared" si="274"/>
        <v>-3.484408328862122E-3</v>
      </c>
      <c r="FT63" s="169">
        <f t="shared" si="429"/>
        <v>-0.20179180887372017</v>
      </c>
      <c r="FU63" s="166">
        <v>-35549</v>
      </c>
      <c r="FV63" s="165">
        <f t="shared" si="316"/>
        <v>-3.0770623692644499E-3</v>
      </c>
      <c r="FW63" s="169">
        <f t="shared" si="430"/>
        <v>-0.20179180887372017</v>
      </c>
      <c r="FX63" s="166">
        <v>-119461</v>
      </c>
      <c r="FY63" s="165">
        <f t="shared" si="317"/>
        <v>-1.0383886804238253E-2</v>
      </c>
      <c r="FZ63" s="169">
        <f t="shared" si="431"/>
        <v>2.3600821309031588</v>
      </c>
      <c r="GA63" s="166">
        <v>-119461</v>
      </c>
      <c r="GB63" s="165">
        <f t="shared" si="318"/>
        <v>-9.3124679462718903E-3</v>
      </c>
      <c r="GC63" s="169">
        <f t="shared" si="432"/>
        <v>2.3600821309031588</v>
      </c>
      <c r="GD63" s="166">
        <v>-119461</v>
      </c>
      <c r="GE63" s="165">
        <f t="shared" si="387"/>
        <v>-9.2019851965284474E-3</v>
      </c>
      <c r="GF63" s="169">
        <f t="shared" si="433"/>
        <v>2.3604602098511913</v>
      </c>
      <c r="GG63" s="166">
        <v>-119461</v>
      </c>
      <c r="GH63" s="165">
        <f t="shared" si="388"/>
        <v>-8.1584649375045365E-3</v>
      </c>
      <c r="GI63" s="169">
        <f t="shared" si="434"/>
        <v>2.3604602098511913</v>
      </c>
    </row>
    <row r="64" spans="2:191" s="151" customFormat="1" ht="16.5" customHeight="1">
      <c r="B64" s="178" t="s">
        <v>56</v>
      </c>
      <c r="C64" s="179" t="s">
        <v>57</v>
      </c>
      <c r="D64" s="166">
        <v>106660</v>
      </c>
      <c r="E64" s="165">
        <f t="shared" si="209"/>
        <v>0.15860553230847929</v>
      </c>
      <c r="F64" s="7">
        <v>118165</v>
      </c>
      <c r="G64" s="165">
        <f t="shared" si="210"/>
        <v>0.16811690288728848</v>
      </c>
      <c r="H64" s="7">
        <v>118165</v>
      </c>
      <c r="I64" s="165">
        <f t="shared" si="211"/>
        <v>0.13522390075150456</v>
      </c>
      <c r="J64" s="7">
        <v>118165</v>
      </c>
      <c r="K64" s="165">
        <f t="shared" si="212"/>
        <v>0.11071561084022621</v>
      </c>
      <c r="L64" s="7">
        <v>118165</v>
      </c>
      <c r="M64" s="165">
        <f>L64/$L$6</f>
        <v>0.12798683792955173</v>
      </c>
      <c r="N64" s="165">
        <f>(L64/D64)-1</f>
        <v>0.10786611663228962</v>
      </c>
      <c r="O64" s="8">
        <v>118165</v>
      </c>
      <c r="P64" s="165">
        <f t="shared" si="365"/>
        <v>0.11158821385199133</v>
      </c>
      <c r="Q64" s="165">
        <f>(O64/F64)-1</f>
        <v>0</v>
      </c>
      <c r="R64" s="8">
        <v>118165</v>
      </c>
      <c r="S64" s="165">
        <f t="shared" si="366"/>
        <v>0.10602360127624906</v>
      </c>
      <c r="T64" s="165">
        <f>(R64/H64)-1</f>
        <v>0</v>
      </c>
      <c r="U64" s="166">
        <v>118165</v>
      </c>
      <c r="V64" s="165">
        <f t="shared" si="367"/>
        <v>8.2857567585381903E-2</v>
      </c>
      <c r="W64" s="165">
        <f>(U64/J64)-1</f>
        <v>0</v>
      </c>
      <c r="X64" s="166">
        <v>118165</v>
      </c>
      <c r="Y64" s="165">
        <f t="shared" si="368"/>
        <v>9.3234253774857015E-2</v>
      </c>
      <c r="Z64" s="165">
        <f>(X64/L64)-1</f>
        <v>0</v>
      </c>
      <c r="AA64" s="166">
        <v>118165</v>
      </c>
      <c r="AB64" s="165">
        <f t="shared" si="369"/>
        <v>8.9526874730563241E-2</v>
      </c>
      <c r="AC64" s="165">
        <f>(AA64/O64)-1</f>
        <v>0</v>
      </c>
      <c r="AD64" s="166">
        <v>118165</v>
      </c>
      <c r="AE64" s="165">
        <f t="shared" si="370"/>
        <v>8.711220086857864E-2</v>
      </c>
      <c r="AF64" s="165">
        <f>(AD64/R64)-1</f>
        <v>0</v>
      </c>
      <c r="AG64" s="166">
        <v>127881</v>
      </c>
      <c r="AH64" s="165">
        <f t="shared" si="371"/>
        <v>7.9510382029849114E-2</v>
      </c>
      <c r="AI64" s="165">
        <f>(AG64/U64)-1</f>
        <v>8.2224008801252468E-2</v>
      </c>
      <c r="AJ64" s="166">
        <v>129958</v>
      </c>
      <c r="AK64" s="165">
        <f t="shared" si="372"/>
        <v>8.9133452582139019E-2</v>
      </c>
      <c r="AL64" s="165">
        <f>(AJ64/X64)-1</f>
        <v>9.9801125544789038E-2</v>
      </c>
      <c r="AM64" s="166">
        <v>132987</v>
      </c>
      <c r="AN64" s="165">
        <f t="shared" si="373"/>
        <v>8.8309002820851995E-2</v>
      </c>
      <c r="AO64" s="165">
        <f>(AM64/AA64)-1</f>
        <v>0.12543477341006226</v>
      </c>
      <c r="AP64" s="166">
        <v>136083</v>
      </c>
      <c r="AQ64" s="165">
        <f t="shared" si="374"/>
        <v>9.4817879548830683E-2</v>
      </c>
      <c r="AR64" s="165">
        <f>(AP64/AD64)-1</f>
        <v>0.15163542504125593</v>
      </c>
      <c r="AS64" s="166">
        <v>138941</v>
      </c>
      <c r="AT64" s="165">
        <f t="shared" si="375"/>
        <v>8.5430917604090134E-2</v>
      </c>
      <c r="AU64" s="165">
        <f>(AS64/AG64)-1</f>
        <v>8.6486655562593384E-2</v>
      </c>
      <c r="AV64" s="166">
        <v>142527</v>
      </c>
      <c r="AW64" s="165">
        <f t="shared" si="376"/>
        <v>9.8146518421193985E-2</v>
      </c>
      <c r="AX64" s="165">
        <f>(AV64/AJ64)-1</f>
        <v>9.671586204773841E-2</v>
      </c>
      <c r="AY64" s="166">
        <v>147362</v>
      </c>
      <c r="AZ64" s="165">
        <f t="shared" si="377"/>
        <v>9.2894042594769743E-2</v>
      </c>
      <c r="BA64" s="165">
        <f>(AY64/AM64)-1</f>
        <v>0.10809327227473364</v>
      </c>
      <c r="BB64" s="166">
        <v>151793</v>
      </c>
      <c r="BC64" s="165">
        <f t="shared" si="378"/>
        <v>9.3136539063314899E-2</v>
      </c>
      <c r="BD64" s="165">
        <f>(BB64/AP64)-1</f>
        <v>0.11544425093509103</v>
      </c>
      <c r="BE64" s="166">
        <v>156184</v>
      </c>
      <c r="BF64" s="165">
        <f t="shared" si="379"/>
        <v>8.1295150887701784E-2</v>
      </c>
      <c r="BG64" s="165">
        <f>(BE64/AS64)-1</f>
        <v>0.12410303654068988</v>
      </c>
      <c r="BH64" s="166">
        <v>160013</v>
      </c>
      <c r="BI64" s="165">
        <f>BH64/$BH$6</f>
        <v>8.7335617701928103E-2</v>
      </c>
      <c r="BJ64" s="165">
        <f>(BH64/AV64)-1</f>
        <v>0.12268552625116635</v>
      </c>
      <c r="BK64" s="166">
        <v>164643</v>
      </c>
      <c r="BL64" s="165">
        <f t="shared" si="435"/>
        <v>8.7955958715302263E-2</v>
      </c>
      <c r="BM64" s="165">
        <f>(BK64/AY64)-1</f>
        <v>0.11726903815094802</v>
      </c>
      <c r="BN64" s="166">
        <v>169102</v>
      </c>
      <c r="BO64" s="165">
        <f t="shared" si="381"/>
        <v>8.8741274227760625E-2</v>
      </c>
      <c r="BP64" s="165">
        <f t="shared" si="398"/>
        <v>0.11403029125190223</v>
      </c>
      <c r="BQ64" s="166">
        <v>173569</v>
      </c>
      <c r="BR64" s="165">
        <f t="shared" si="240"/>
        <v>7.0670985315643434E-2</v>
      </c>
      <c r="BS64" s="165">
        <f t="shared" si="399"/>
        <v>0.11131101777390762</v>
      </c>
      <c r="BT64" s="166">
        <v>178297</v>
      </c>
      <c r="BU64" s="165">
        <f t="shared" si="242"/>
        <v>8.0601551752898515E-2</v>
      </c>
      <c r="BV64" s="165">
        <f t="shared" si="400"/>
        <v>0.11426571591058221</v>
      </c>
      <c r="BW64" s="168">
        <v>183846</v>
      </c>
      <c r="BX64" s="165">
        <f t="shared" si="244"/>
        <v>8.2482580026892099E-2</v>
      </c>
      <c r="BY64" s="165">
        <f t="shared" si="401"/>
        <v>0.11663417211785498</v>
      </c>
      <c r="BZ64" s="166">
        <v>188105</v>
      </c>
      <c r="CA64" s="165">
        <f t="shared" si="436"/>
        <v>7.0675460599384107E-2</v>
      </c>
      <c r="CB64" s="165">
        <f t="shared" si="402"/>
        <v>0.11237596243687231</v>
      </c>
      <c r="CC64" s="166">
        <v>191642</v>
      </c>
      <c r="CD64" s="165">
        <f t="shared" si="437"/>
        <v>6.423386729161415E-2</v>
      </c>
      <c r="CE64" s="165">
        <f t="shared" si="403"/>
        <v>0.1041257367387034</v>
      </c>
      <c r="CF64" s="166">
        <v>195717</v>
      </c>
      <c r="CG64" s="165">
        <f t="shared" si="404"/>
        <v>6.8444315750931892E-2</v>
      </c>
      <c r="CH64" s="165">
        <f t="shared" si="405"/>
        <v>9.7702148662063948E-2</v>
      </c>
      <c r="CI64" s="166">
        <v>199724</v>
      </c>
      <c r="CJ64" s="165">
        <f t="shared" si="438"/>
        <v>6.8640069229814873E-2</v>
      </c>
      <c r="CK64" s="165">
        <f t="shared" si="406"/>
        <v>8.6365762649173838E-2</v>
      </c>
      <c r="CL64" s="166">
        <v>203724</v>
      </c>
      <c r="CM64" s="165">
        <f t="shared" si="439"/>
        <v>6.1322476991729817E-2</v>
      </c>
      <c r="CN64" s="165">
        <f t="shared" si="407"/>
        <v>8.3033412190000266E-2</v>
      </c>
      <c r="CO64" s="166">
        <v>207768</v>
      </c>
      <c r="CP64" s="165">
        <f t="shared" si="408"/>
        <v>5.511046602306402E-2</v>
      </c>
      <c r="CQ64" s="165">
        <f>(CO64/CC64)-1</f>
        <v>8.4146481460222633E-2</v>
      </c>
      <c r="CR64" s="166">
        <v>212247</v>
      </c>
      <c r="CS64" s="165">
        <f t="shared" si="440"/>
        <v>6.0893804581057615E-2</v>
      </c>
      <c r="CT64" s="165">
        <f t="shared" si="409"/>
        <v>8.4458682689802167E-2</v>
      </c>
      <c r="CU64" s="166">
        <v>215607</v>
      </c>
      <c r="CV64" s="165">
        <f t="shared" si="441"/>
        <v>6.1371645910762947E-2</v>
      </c>
      <c r="CW64" s="165">
        <f t="shared" si="410"/>
        <v>7.9524744146922677E-2</v>
      </c>
      <c r="CX64" s="166">
        <v>217294</v>
      </c>
      <c r="CY64" s="165">
        <f t="shared" si="411"/>
        <v>5.4114670997588266E-2</v>
      </c>
      <c r="CZ64" s="165">
        <f t="shared" si="412"/>
        <v>6.6609726885394016E-2</v>
      </c>
      <c r="DA64" s="166">
        <v>220907</v>
      </c>
      <c r="DB64" s="165">
        <f t="shared" si="413"/>
        <v>4.8921675535331006E-2</v>
      </c>
      <c r="DC64" s="165">
        <f t="shared" si="414"/>
        <v>6.3238804820761718E-2</v>
      </c>
      <c r="DD64" s="166">
        <v>223790</v>
      </c>
      <c r="DE64" s="165">
        <f t="shared" si="415"/>
        <v>6.4205498910207839E-2</v>
      </c>
      <c r="DF64" s="165">
        <f t="shared" si="416"/>
        <v>5.4384749843342961E-2</v>
      </c>
      <c r="DG64" s="166">
        <v>230793</v>
      </c>
      <c r="DH64" s="165">
        <f t="shared" si="187"/>
        <v>5.239344036024534E-2</v>
      </c>
      <c r="DI64" s="165">
        <f t="shared" si="78"/>
        <v>7.04337057702209E-2</v>
      </c>
      <c r="DJ64" s="166">
        <v>238112</v>
      </c>
      <c r="DK64" s="165">
        <f t="shared" si="308"/>
        <v>5.2806439887632853E-2</v>
      </c>
      <c r="DL64" s="165">
        <f t="shared" si="417"/>
        <v>9.5805682623542276E-2</v>
      </c>
      <c r="DM64" s="166">
        <v>245860</v>
      </c>
      <c r="DN64" s="165">
        <f t="shared" si="80"/>
        <v>4.6223984322936243E-2</v>
      </c>
      <c r="DO64" s="165">
        <f t="shared" si="418"/>
        <v>0.11295703621886144</v>
      </c>
      <c r="DP64" s="166">
        <v>252327</v>
      </c>
      <c r="DQ64" s="165">
        <f t="shared" si="343"/>
        <v>4.9710643302734579E-2</v>
      </c>
      <c r="DR64" s="165">
        <f t="shared" si="419"/>
        <v>0.12751686849278343</v>
      </c>
      <c r="DS64" s="166">
        <v>259870</v>
      </c>
      <c r="DT64" s="165">
        <f t="shared" si="81"/>
        <v>4.9672067255982888E-2</v>
      </c>
      <c r="DU64" s="165">
        <f t="shared" si="420"/>
        <v>0.12598735663559979</v>
      </c>
      <c r="DV64" s="166">
        <v>265368</v>
      </c>
      <c r="DW64" s="165">
        <f t="shared" si="421"/>
        <v>5.0138066353092772E-2</v>
      </c>
      <c r="DX64" s="165">
        <f t="shared" si="422"/>
        <v>0.11446714151323745</v>
      </c>
      <c r="DY64" s="166">
        <v>272291</v>
      </c>
      <c r="DZ64" s="165">
        <f t="shared" si="423"/>
        <v>4.6436570374535344E-2</v>
      </c>
      <c r="EA64" s="165">
        <f t="shared" si="424"/>
        <v>0.1075042707231757</v>
      </c>
      <c r="EB64" s="166">
        <v>279382</v>
      </c>
      <c r="EC64" s="165">
        <f t="shared" si="84"/>
        <v>5.0147148464508108E-2</v>
      </c>
      <c r="ED64" s="165">
        <f>(EB64/DP64)-1</f>
        <v>0.10722197783035514</v>
      </c>
      <c r="EE64" s="166">
        <v>285654</v>
      </c>
      <c r="EF64" s="165">
        <f t="shared" si="389"/>
        <v>4.9143768067372043E-2</v>
      </c>
      <c r="EG64" s="165">
        <f>(EE64/DS64)-1</f>
        <v>9.9218840189325475E-2</v>
      </c>
      <c r="EH64" s="166">
        <v>291973</v>
      </c>
      <c r="EI64" s="165">
        <f t="shared" si="390"/>
        <v>5.1455043518778949E-2</v>
      </c>
      <c r="EJ64" s="165">
        <f>(EH64/DV64)-1</f>
        <v>0.10025700159778128</v>
      </c>
      <c r="EK64" s="166">
        <v>298289</v>
      </c>
      <c r="EL64" s="165">
        <f t="shared" si="391"/>
        <v>4.6066290956960174E-2</v>
      </c>
      <c r="EM64" s="165">
        <f>(EK64/DY64)-1</f>
        <v>9.5478734148392697E-2</v>
      </c>
      <c r="EN64" s="166">
        <v>306349</v>
      </c>
      <c r="EO64" s="165">
        <f t="shared" si="392"/>
        <v>4.9000739931982562E-2</v>
      </c>
      <c r="EP64" s="165">
        <f>(EN64/EB64)-1</f>
        <v>9.6523756004323724E-2</v>
      </c>
      <c r="EQ64" s="166">
        <v>77622</v>
      </c>
      <c r="ER64" s="165">
        <f t="shared" si="393"/>
        <v>1.1767126055841928E-2</v>
      </c>
      <c r="ES64" s="165">
        <f>(EQ64/EE64)-1</f>
        <v>-0.72826566405511561</v>
      </c>
      <c r="ET64" s="166">
        <v>86283</v>
      </c>
      <c r="EU64" s="165">
        <f t="shared" si="394"/>
        <v>1.3301797391439879E-2</v>
      </c>
      <c r="EV64" s="165">
        <f>(ET64/EH64)-1</f>
        <v>-0.70448294876581052</v>
      </c>
      <c r="EW64" s="166">
        <v>94285</v>
      </c>
      <c r="EX64" s="165">
        <f t="shared" si="395"/>
        <v>1.2491954457925889E-2</v>
      </c>
      <c r="EY64" s="165">
        <f>(EW64/EK64)-1</f>
        <v>-0.68391392240411153</v>
      </c>
      <c r="EZ64" s="166">
        <v>101469</v>
      </c>
      <c r="FA64" s="165">
        <f t="shared" si="396"/>
        <v>1.4440378240026868E-2</v>
      </c>
      <c r="FB64" s="165">
        <f>(EZ64/EN64)-1</f>
        <v>-0.66877972508478889</v>
      </c>
      <c r="FC64" s="166">
        <v>63669</v>
      </c>
      <c r="FD64" s="165">
        <f t="shared" si="397"/>
        <v>8.7154448129284634E-3</v>
      </c>
      <c r="FE64" s="165">
        <f>(FC64/EQ64)-1</f>
        <v>-0.17975573935224554</v>
      </c>
      <c r="FF64" s="166">
        <v>116588</v>
      </c>
      <c r="FG64" s="165">
        <f t="shared" si="88"/>
        <v>1.544774177409208E-2</v>
      </c>
      <c r="FH64" s="165">
        <f t="shared" si="89"/>
        <v>0.35122793597811852</v>
      </c>
      <c r="FI64" s="166">
        <v>124093</v>
      </c>
      <c r="FJ64" s="165">
        <f t="shared" si="268"/>
        <v>1.4067829582153957E-2</v>
      </c>
      <c r="FK64" s="165">
        <f t="shared" si="425"/>
        <v>0.31614784960492126</v>
      </c>
      <c r="FL64" s="166">
        <v>122411</v>
      </c>
      <c r="FM64" s="165">
        <f t="shared" si="270"/>
        <v>1.2164327281229972E-2</v>
      </c>
      <c r="FN64" s="165">
        <f t="shared" si="426"/>
        <v>0.20638815795957388</v>
      </c>
      <c r="FO64" s="166">
        <v>57015</v>
      </c>
      <c r="FP64" s="165">
        <f t="shared" si="427"/>
        <v>5.7452165014024717E-3</v>
      </c>
      <c r="FQ64" s="165">
        <f t="shared" si="428"/>
        <v>-0.10450925882297513</v>
      </c>
      <c r="FR64" s="166">
        <v>65266</v>
      </c>
      <c r="FS64" s="165">
        <f t="shared" si="274"/>
        <v>6.397181186292589E-3</v>
      </c>
      <c r="FT64" s="165">
        <f t="shared" si="429"/>
        <v>-0.44019967749682642</v>
      </c>
      <c r="FU64" s="166">
        <v>74227</v>
      </c>
      <c r="FV64" s="165">
        <f t="shared" si="316"/>
        <v>6.4249657791609419E-3</v>
      </c>
      <c r="FW64" s="165">
        <f t="shared" si="430"/>
        <v>-0.40184377845648023</v>
      </c>
      <c r="FX64" s="166">
        <v>68933</v>
      </c>
      <c r="FY64" s="165">
        <f t="shared" si="317"/>
        <v>5.9918506380873711E-3</v>
      </c>
      <c r="FZ64" s="165">
        <f t="shared" si="431"/>
        <v>-0.43687250328810323</v>
      </c>
      <c r="GA64" s="166">
        <v>76869</v>
      </c>
      <c r="GB64" s="165">
        <f t="shared" si="318"/>
        <v>5.9922493413078239E-3</v>
      </c>
      <c r="GC64" s="165">
        <f t="shared" si="432"/>
        <v>0.34822415153906872</v>
      </c>
      <c r="GD64" s="166">
        <v>84350</v>
      </c>
      <c r="GE64" s="165">
        <f t="shared" si="387"/>
        <v>6.4974129743361813E-3</v>
      </c>
      <c r="GF64" s="165">
        <f t="shared" si="433"/>
        <v>0.29240339533600945</v>
      </c>
      <c r="GG64" s="166">
        <v>94031</v>
      </c>
      <c r="GH64" s="165">
        <f t="shared" si="388"/>
        <v>6.4217494959734906E-3</v>
      </c>
      <c r="GI64" s="165">
        <f t="shared" si="434"/>
        <v>0.26680318482492904</v>
      </c>
    </row>
    <row r="65" spans="2:191" s="151" customFormat="1" ht="16.5" customHeight="1">
      <c r="B65" s="178" t="s">
        <v>58</v>
      </c>
      <c r="C65" s="179" t="s">
        <v>59</v>
      </c>
      <c r="D65" s="166">
        <v>0</v>
      </c>
      <c r="E65" s="169" t="s">
        <v>112</v>
      </c>
      <c r="F65" s="168">
        <v>0</v>
      </c>
      <c r="G65" s="169" t="s">
        <v>112</v>
      </c>
      <c r="H65" s="7">
        <v>0</v>
      </c>
      <c r="I65" s="169" t="s">
        <v>112</v>
      </c>
      <c r="J65" s="7">
        <v>1276</v>
      </c>
      <c r="K65" s="169">
        <f t="shared" si="212"/>
        <v>1.1955580707665439E-3</v>
      </c>
      <c r="L65" s="7">
        <v>1276</v>
      </c>
      <c r="M65" s="165">
        <f>L65/$L$6</f>
        <v>1.3820607218559473E-3</v>
      </c>
      <c r="N65" s="165" t="s">
        <v>112</v>
      </c>
      <c r="O65" s="8">
        <v>1276</v>
      </c>
      <c r="P65" s="169">
        <f t="shared" si="365"/>
        <v>1.2049808392937075E-3</v>
      </c>
      <c r="Q65" s="180" t="s">
        <v>112</v>
      </c>
      <c r="R65" s="8">
        <v>1276</v>
      </c>
      <c r="S65" s="169">
        <f t="shared" si="366"/>
        <v>1.1448915941987374E-3</v>
      </c>
      <c r="T65" s="180">
        <v>1</v>
      </c>
      <c r="U65" s="166">
        <v>25981</v>
      </c>
      <c r="V65" s="169">
        <f t="shared" si="367"/>
        <v>1.8217936473878111E-2</v>
      </c>
      <c r="W65" s="165">
        <f>(U65/J65)-1</f>
        <v>19.361285266457681</v>
      </c>
      <c r="X65" s="166">
        <v>25981</v>
      </c>
      <c r="Y65" s="169">
        <f t="shared" si="368"/>
        <v>2.0499463862603647E-2</v>
      </c>
      <c r="Z65" s="165">
        <f>(X65/L65)-1</f>
        <v>19.361285266457681</v>
      </c>
      <c r="AA65" s="166">
        <v>25981</v>
      </c>
      <c r="AB65" s="169">
        <f t="shared" si="369"/>
        <v>1.9684320504165898E-2</v>
      </c>
      <c r="AC65" s="165">
        <f>(AA65/O65)-1</f>
        <v>19.361285266457681</v>
      </c>
      <c r="AD65" s="166">
        <v>25981</v>
      </c>
      <c r="AE65" s="169">
        <f t="shared" si="370"/>
        <v>1.9153404906415112E-2</v>
      </c>
      <c r="AF65" s="165">
        <f>(AD65/R65)-1</f>
        <v>19.361285266457681</v>
      </c>
      <c r="AG65" s="166">
        <v>55227</v>
      </c>
      <c r="AH65" s="169">
        <f t="shared" si="371"/>
        <v>3.4337547159957127E-2</v>
      </c>
      <c r="AI65" s="165">
        <f>(AG65/U65)-1</f>
        <v>1.1256687579384934</v>
      </c>
      <c r="AJ65" s="166">
        <v>55227</v>
      </c>
      <c r="AK65" s="169">
        <f t="shared" si="372"/>
        <v>3.7878185150231544E-2</v>
      </c>
      <c r="AL65" s="165">
        <f>(AJ65/X65)-1</f>
        <v>1.1256687579384934</v>
      </c>
      <c r="AM65" s="166">
        <v>55227</v>
      </c>
      <c r="AN65" s="169">
        <f t="shared" si="373"/>
        <v>3.6673068035125184E-2</v>
      </c>
      <c r="AO65" s="165">
        <f>(AM65/AA65)-1</f>
        <v>1.1256687579384934</v>
      </c>
      <c r="AP65" s="166">
        <v>55227</v>
      </c>
      <c r="AQ65" s="169">
        <f t="shared" si="374"/>
        <v>3.8480243923511917E-2</v>
      </c>
      <c r="AR65" s="165">
        <f>(AP65/AD65)-1</f>
        <v>1.1256687579384934</v>
      </c>
      <c r="AS65" s="166">
        <v>172626</v>
      </c>
      <c r="AT65" s="169">
        <f t="shared" si="375"/>
        <v>0.10614287778498545</v>
      </c>
      <c r="AU65" s="165">
        <f>(AS65/AG65)-1</f>
        <v>2.1257537074257158</v>
      </c>
      <c r="AV65" s="166">
        <v>172626</v>
      </c>
      <c r="AW65" s="169">
        <f t="shared" si="376"/>
        <v>0.1188732021931075</v>
      </c>
      <c r="AX65" s="165">
        <f>(AV65/AJ65)-1</f>
        <v>2.1257537074257158</v>
      </c>
      <c r="AY65" s="166">
        <v>172626</v>
      </c>
      <c r="AZ65" s="169">
        <f t="shared" si="377"/>
        <v>0.10881996034910439</v>
      </c>
      <c r="BA65" s="165">
        <f>(AY65/AM65)-1</f>
        <v>2.1257537074257158</v>
      </c>
      <c r="BB65" s="166">
        <v>172625</v>
      </c>
      <c r="BC65" s="169">
        <f t="shared" si="378"/>
        <v>0.10591855392412519</v>
      </c>
      <c r="BD65" s="165">
        <f>(BB65/AP65)-1</f>
        <v>2.1257356003404131</v>
      </c>
      <c r="BE65" s="166">
        <v>308819</v>
      </c>
      <c r="BF65" s="169">
        <f t="shared" si="379"/>
        <v>0.16074301594266491</v>
      </c>
      <c r="BG65" s="165">
        <f>(BE65/AS65)-1</f>
        <v>0.78894836235561261</v>
      </c>
      <c r="BH65" s="166">
        <v>308819</v>
      </c>
      <c r="BI65" s="165">
        <f>BH65/$BH$6</f>
        <v>0.16855441822284273</v>
      </c>
      <c r="BJ65" s="165">
        <f>(BH65/AV65)-1</f>
        <v>0.78894836235561261</v>
      </c>
      <c r="BK65" s="166">
        <v>220023</v>
      </c>
      <c r="BL65" s="165">
        <f t="shared" si="435"/>
        <v>0.11754118853772677</v>
      </c>
      <c r="BM65" s="165">
        <f>(BK65/AY65)-1</f>
        <v>0.27456466580932193</v>
      </c>
      <c r="BN65" s="166">
        <v>220023</v>
      </c>
      <c r="BO65" s="165">
        <f t="shared" si="381"/>
        <v>0.11546357452552056</v>
      </c>
      <c r="BP65" s="165">
        <f t="shared" si="398"/>
        <v>0.27457204923968148</v>
      </c>
      <c r="BQ65" s="166">
        <v>441615</v>
      </c>
      <c r="BR65" s="165">
        <f t="shared" si="240"/>
        <v>0.17980956956696112</v>
      </c>
      <c r="BS65" s="165">
        <f t="shared" si="399"/>
        <v>0.43001240208665914</v>
      </c>
      <c r="BT65" s="166">
        <v>441614</v>
      </c>
      <c r="BU65" s="165">
        <f t="shared" si="242"/>
        <v>0.19963753554913727</v>
      </c>
      <c r="BV65" s="165">
        <f t="shared" si="400"/>
        <v>0.4300091639439283</v>
      </c>
      <c r="BW65" s="168">
        <v>297029</v>
      </c>
      <c r="BX65" s="165">
        <f t="shared" si="244"/>
        <v>0.13326217738111101</v>
      </c>
      <c r="BY65" s="165">
        <f t="shared" si="401"/>
        <v>0.34999068279225343</v>
      </c>
      <c r="BZ65" s="166">
        <v>297030</v>
      </c>
      <c r="CA65" s="165">
        <f t="shared" si="436"/>
        <v>0.11160113799120205</v>
      </c>
      <c r="CB65" s="165">
        <f t="shared" si="402"/>
        <v>0.34999522777164205</v>
      </c>
      <c r="CC65" s="166">
        <v>539533</v>
      </c>
      <c r="CD65" s="165">
        <f t="shared" si="437"/>
        <v>0.18083870509307176</v>
      </c>
      <c r="CE65" s="165">
        <f t="shared" si="403"/>
        <v>0.22172706995912739</v>
      </c>
      <c r="CF65" s="166">
        <v>539533</v>
      </c>
      <c r="CG65" s="165">
        <f t="shared" si="404"/>
        <v>0.1886804263811909</v>
      </c>
      <c r="CH65" s="165">
        <f t="shared" si="405"/>
        <v>0.22172983646351785</v>
      </c>
      <c r="CI65" s="166">
        <v>381256</v>
      </c>
      <c r="CJ65" s="165">
        <f t="shared" si="438"/>
        <v>0.13102800982496995</v>
      </c>
      <c r="CK65" s="165">
        <f t="shared" si="406"/>
        <v>0.2835649044369406</v>
      </c>
      <c r="CL65" s="166">
        <v>381256.26</v>
      </c>
      <c r="CM65" s="165">
        <f t="shared" si="439"/>
        <v>0.11476104058335278</v>
      </c>
      <c r="CN65" s="165">
        <f t="shared" si="407"/>
        <v>0.28356145843854152</v>
      </c>
      <c r="CO65" s="166">
        <v>637061</v>
      </c>
      <c r="CP65" s="165">
        <f t="shared" si="408"/>
        <v>0.16898044258557232</v>
      </c>
      <c r="CQ65" s="165">
        <f>(CO65/CC65)-1</f>
        <v>0.18076373456303885</v>
      </c>
      <c r="CR65" s="166">
        <v>637061</v>
      </c>
      <c r="CS65" s="165">
        <f t="shared" si="440"/>
        <v>0.18277322195467141</v>
      </c>
      <c r="CT65" s="165">
        <f t="shared" si="409"/>
        <v>0.18076373456303885</v>
      </c>
      <c r="CU65" s="166">
        <v>244844</v>
      </c>
      <c r="CV65" s="165">
        <f t="shared" si="441"/>
        <v>6.9693837729641633E-2</v>
      </c>
      <c r="CW65" s="165">
        <f t="shared" si="410"/>
        <v>-0.357796336319953</v>
      </c>
      <c r="CX65" s="166">
        <v>244844</v>
      </c>
      <c r="CY65" s="165">
        <f t="shared" si="411"/>
        <v>6.0975694247119114E-2</v>
      </c>
      <c r="CZ65" s="165">
        <f>(CX65/CL65)-1</f>
        <v>-0.35779677427460477</v>
      </c>
      <c r="DA65" s="166">
        <v>547794</v>
      </c>
      <c r="DB65" s="165">
        <f t="shared" si="413"/>
        <v>0.12131349539942651</v>
      </c>
      <c r="DC65" s="165">
        <f t="shared" si="414"/>
        <v>-0.14012315932069297</v>
      </c>
      <c r="DD65" s="166">
        <v>547794</v>
      </c>
      <c r="DE65" s="165">
        <f t="shared" si="415"/>
        <v>0.15716246065516062</v>
      </c>
      <c r="DF65" s="165">
        <f t="shared" si="416"/>
        <v>-0.14012315932069297</v>
      </c>
      <c r="DG65" s="166">
        <v>489287</v>
      </c>
      <c r="DH65" s="165">
        <f t="shared" si="187"/>
        <v>0.11107541933049686</v>
      </c>
      <c r="DI65" s="165">
        <f t="shared" si="78"/>
        <v>0.9983622224763522</v>
      </c>
      <c r="DJ65" s="166">
        <v>489287</v>
      </c>
      <c r="DK65" s="165">
        <f t="shared" si="308"/>
        <v>0.1085098800283069</v>
      </c>
      <c r="DL65" s="165">
        <f t="shared" si="417"/>
        <v>0.9983622224763522</v>
      </c>
      <c r="DM65" s="166">
        <v>839257</v>
      </c>
      <c r="DN65" s="165">
        <f t="shared" si="80"/>
        <v>0.15778818193652688</v>
      </c>
      <c r="DO65" s="165">
        <f t="shared" si="418"/>
        <v>0.53206679883313801</v>
      </c>
      <c r="DP65" s="166">
        <v>839257</v>
      </c>
      <c r="DQ65" s="165">
        <f t="shared" si="343"/>
        <v>0.16534102718426136</v>
      </c>
      <c r="DR65" s="165">
        <f t="shared" si="419"/>
        <v>0.53206679883313801</v>
      </c>
      <c r="DS65" s="166">
        <v>417831</v>
      </c>
      <c r="DT65" s="165">
        <f t="shared" si="81"/>
        <v>7.9865046113959226E-2</v>
      </c>
      <c r="DU65" s="165">
        <f t="shared" si="420"/>
        <v>-0.14604107609644235</v>
      </c>
      <c r="DV65" s="166">
        <v>417831</v>
      </c>
      <c r="DW65" s="165">
        <f t="shared" si="421"/>
        <v>7.8944101784612711E-2</v>
      </c>
      <c r="DX65" s="165">
        <f t="shared" si="422"/>
        <v>-0.14604107609644235</v>
      </c>
      <c r="DY65" s="166">
        <v>844271</v>
      </c>
      <c r="DZ65" s="165">
        <f t="shared" si="423"/>
        <v>0.14398217240628344</v>
      </c>
      <c r="EA65" s="165">
        <f t="shared" si="424"/>
        <v>5.9743320579990211E-3</v>
      </c>
      <c r="EB65" s="166">
        <v>844271</v>
      </c>
      <c r="EC65" s="165">
        <f t="shared" si="84"/>
        <v>0.15154084078887947</v>
      </c>
      <c r="ED65" s="165">
        <f>(EB65/DP65)-1</f>
        <v>5.9743320579990211E-3</v>
      </c>
      <c r="EE65" s="166">
        <v>765134</v>
      </c>
      <c r="EF65" s="165">
        <f t="shared" si="389"/>
        <v>0.13163326204590392</v>
      </c>
      <c r="EG65" s="165">
        <f>(EE65/DS65)-1</f>
        <v>0.83120448219495446</v>
      </c>
      <c r="EH65" s="166">
        <v>765134</v>
      </c>
      <c r="EI65" s="165">
        <f t="shared" si="390"/>
        <v>0.13484124651148363</v>
      </c>
      <c r="EJ65" s="165">
        <f>(EH65/DV65)-1</f>
        <v>0.83120448219495446</v>
      </c>
      <c r="EK65" s="166">
        <v>1216985</v>
      </c>
      <c r="EL65" s="165">
        <f t="shared" si="391"/>
        <v>0.18794519777885266</v>
      </c>
      <c r="EM65" s="165">
        <f>(EK65/DY65)-1</f>
        <v>0.44146251618260024</v>
      </c>
      <c r="EN65" s="166">
        <v>1216985</v>
      </c>
      <c r="EO65" s="165">
        <f t="shared" si="392"/>
        <v>0.19465761430957437</v>
      </c>
      <c r="EP65" s="165">
        <f>(EN65/EB65)-1</f>
        <v>0.44146251618260024</v>
      </c>
      <c r="EQ65" s="166">
        <v>60168</v>
      </c>
      <c r="ER65" s="165">
        <f t="shared" si="393"/>
        <v>9.1211826612029711E-3</v>
      </c>
      <c r="ES65" s="165">
        <f>(EQ65/EE65)-1</f>
        <v>-0.92136279396811538</v>
      </c>
      <c r="ET65" s="166">
        <v>60168</v>
      </c>
      <c r="EU65" s="165">
        <f t="shared" si="394"/>
        <v>9.2757848643203709E-3</v>
      </c>
      <c r="EV65" s="165">
        <f>(ET65/EH65)-1</f>
        <v>-0.92136279396811538</v>
      </c>
      <c r="EW65" s="166">
        <v>596022</v>
      </c>
      <c r="EX65" s="165">
        <f t="shared" si="395"/>
        <v>7.8967806967406309E-2</v>
      </c>
      <c r="EY65" s="165">
        <f>(EW65/EK65)-1</f>
        <v>-0.5102470449512525</v>
      </c>
      <c r="EZ65" s="166">
        <v>596022</v>
      </c>
      <c r="FA65" s="165">
        <f t="shared" si="396"/>
        <v>8.482179896694847E-2</v>
      </c>
      <c r="FB65" s="165">
        <f>(EZ65/EN65)-1</f>
        <v>-0.5102470449512525</v>
      </c>
      <c r="FC65" s="166">
        <v>499775</v>
      </c>
      <c r="FD65" s="165">
        <f t="shared" si="397"/>
        <v>6.8412593748626849E-2</v>
      </c>
      <c r="FE65" s="165">
        <f>(FC65/EQ65)-1</f>
        <v>7.3063256215928725</v>
      </c>
      <c r="FF65" s="166">
        <v>499775</v>
      </c>
      <c r="FG65" s="165">
        <f t="shared" si="88"/>
        <v>6.6219466370011235E-2</v>
      </c>
      <c r="FH65" s="165">
        <f t="shared" si="89"/>
        <v>7.3063256215928725</v>
      </c>
      <c r="FI65" s="166">
        <v>1235334</v>
      </c>
      <c r="FJ65" s="165">
        <f t="shared" si="268"/>
        <v>0.14004390408033149</v>
      </c>
      <c r="FK65" s="165">
        <f t="shared" si="425"/>
        <v>1.0726315471576551</v>
      </c>
      <c r="FL65" s="166">
        <v>1235334</v>
      </c>
      <c r="FM65" s="165">
        <f t="shared" si="270"/>
        <v>0.12275863343679039</v>
      </c>
      <c r="FN65" s="165">
        <f t="shared" si="426"/>
        <v>1.0726315471576551</v>
      </c>
      <c r="FO65" s="166">
        <v>50695</v>
      </c>
      <c r="FP65" s="165">
        <f t="shared" si="427"/>
        <v>5.1083706136735652E-3</v>
      </c>
      <c r="FQ65" s="165">
        <f t="shared" si="428"/>
        <v>-0.89856435395928169</v>
      </c>
      <c r="FR65" s="166">
        <v>50695</v>
      </c>
      <c r="FS65" s="165">
        <f t="shared" si="274"/>
        <v>4.9689746612187483E-3</v>
      </c>
      <c r="FT65" s="165">
        <f t="shared" si="429"/>
        <v>-0.89856435395928169</v>
      </c>
      <c r="FU65" s="166">
        <v>869896</v>
      </c>
      <c r="FV65" s="165">
        <f t="shared" si="316"/>
        <v>7.5296752279210885E-2</v>
      </c>
      <c r="FW65" s="165">
        <f t="shared" si="430"/>
        <v>-0.29582121110566051</v>
      </c>
      <c r="FX65" s="166">
        <v>882788</v>
      </c>
      <c r="FY65" s="165">
        <f t="shared" si="317"/>
        <v>7.6734420975380066E-2</v>
      </c>
      <c r="FZ65" s="165">
        <f t="shared" si="431"/>
        <v>-0.28538516708841499</v>
      </c>
      <c r="GA65" s="166">
        <v>869571</v>
      </c>
      <c r="GB65" s="165">
        <f t="shared" si="318"/>
        <v>6.7786575238007338E-2</v>
      </c>
      <c r="GC65" s="165">
        <f t="shared" si="432"/>
        <v>16.15299339185324</v>
      </c>
      <c r="GD65" s="166">
        <v>869571</v>
      </c>
      <c r="GE65" s="165">
        <f t="shared" si="387"/>
        <v>6.6982358002447992E-2</v>
      </c>
      <c r="GF65" s="165">
        <f t="shared" si="433"/>
        <v>16.15299339185324</v>
      </c>
      <c r="GG65" s="166">
        <v>1694515</v>
      </c>
      <c r="GH65" s="165">
        <f t="shared" si="388"/>
        <v>0.11572514221022343</v>
      </c>
      <c r="GI65" s="165">
        <f t="shared" si="434"/>
        <v>0.94795124934474928</v>
      </c>
    </row>
    <row r="66" spans="2:191" s="151" customFormat="1" ht="16.5" customHeight="1">
      <c r="B66" s="172" t="s">
        <v>275</v>
      </c>
      <c r="C66" s="179" t="s">
        <v>60</v>
      </c>
      <c r="D66" s="7" t="s">
        <v>112</v>
      </c>
      <c r="E66" s="165" t="s">
        <v>112</v>
      </c>
      <c r="F66" s="7" t="s">
        <v>112</v>
      </c>
      <c r="G66" s="165" t="s">
        <v>112</v>
      </c>
      <c r="H66" s="7" t="s">
        <v>112</v>
      </c>
      <c r="I66" s="165" t="s">
        <v>112</v>
      </c>
      <c r="J66" s="7" t="s">
        <v>112</v>
      </c>
      <c r="K66" s="165" t="s">
        <v>112</v>
      </c>
      <c r="L66" s="7">
        <v>0</v>
      </c>
      <c r="M66" s="7" t="s">
        <v>112</v>
      </c>
      <c r="N66" s="165" t="s">
        <v>112</v>
      </c>
      <c r="O66" s="7" t="s">
        <v>112</v>
      </c>
      <c r="P66" s="165" t="s">
        <v>112</v>
      </c>
      <c r="Q66" s="7" t="s">
        <v>112</v>
      </c>
      <c r="R66" s="165" t="s">
        <v>112</v>
      </c>
      <c r="S66" s="7" t="s">
        <v>112</v>
      </c>
      <c r="T66" s="165" t="s">
        <v>112</v>
      </c>
      <c r="U66" s="7">
        <v>0</v>
      </c>
      <c r="V66" s="7" t="s">
        <v>112</v>
      </c>
      <c r="W66" s="165" t="s">
        <v>112</v>
      </c>
      <c r="X66" s="7" t="s">
        <v>112</v>
      </c>
      <c r="Y66" s="165" t="s">
        <v>112</v>
      </c>
      <c r="Z66" s="7" t="s">
        <v>112</v>
      </c>
      <c r="AA66" s="165" t="s">
        <v>112</v>
      </c>
      <c r="AB66" s="7" t="s">
        <v>112</v>
      </c>
      <c r="AC66" s="165" t="s">
        <v>112</v>
      </c>
      <c r="AD66" s="7">
        <v>0</v>
      </c>
      <c r="AE66" s="7" t="s">
        <v>112</v>
      </c>
      <c r="AF66" s="165" t="s">
        <v>112</v>
      </c>
      <c r="AG66" s="7" t="s">
        <v>112</v>
      </c>
      <c r="AH66" s="165" t="s">
        <v>112</v>
      </c>
      <c r="AI66" s="7" t="s">
        <v>112</v>
      </c>
      <c r="AJ66" s="165" t="s">
        <v>112</v>
      </c>
      <c r="AK66" s="7" t="s">
        <v>112</v>
      </c>
      <c r="AL66" s="165" t="s">
        <v>112</v>
      </c>
      <c r="AM66" s="7">
        <v>0</v>
      </c>
      <c r="AN66" s="7" t="s">
        <v>112</v>
      </c>
      <c r="AO66" s="165" t="s">
        <v>112</v>
      </c>
      <c r="AP66" s="7" t="s">
        <v>112</v>
      </c>
      <c r="AQ66" s="165" t="s">
        <v>112</v>
      </c>
      <c r="AR66" s="7" t="s">
        <v>112</v>
      </c>
      <c r="AS66" s="165" t="s">
        <v>112</v>
      </c>
      <c r="AT66" s="7" t="s">
        <v>112</v>
      </c>
      <c r="AU66" s="165" t="s">
        <v>112</v>
      </c>
      <c r="AV66" s="7">
        <v>0</v>
      </c>
      <c r="AW66" s="165" t="s">
        <v>112</v>
      </c>
      <c r="AX66" s="165" t="s">
        <v>112</v>
      </c>
      <c r="AY66" s="166">
        <v>0</v>
      </c>
      <c r="AZ66" s="165" t="s">
        <v>112</v>
      </c>
      <c r="BA66" s="165" t="s">
        <v>112</v>
      </c>
      <c r="BB66" s="166">
        <v>-1175</v>
      </c>
      <c r="BC66" s="165">
        <f t="shared" si="378"/>
        <v>-7.2095177906356036E-4</v>
      </c>
      <c r="BD66" s="169">
        <v>1</v>
      </c>
      <c r="BE66" s="166">
        <v>-1512</v>
      </c>
      <c r="BF66" s="165">
        <f t="shared" si="379"/>
        <v>-7.8700934885907073E-4</v>
      </c>
      <c r="BG66" s="165">
        <v>1</v>
      </c>
      <c r="BH66" s="166">
        <v>-949</v>
      </c>
      <c r="BI66" s="165">
        <f>BH66/$BH$6</f>
        <v>-5.1796729765162691E-4</v>
      </c>
      <c r="BJ66" s="165" t="s">
        <v>112</v>
      </c>
      <c r="BK66" s="166">
        <v>-514</v>
      </c>
      <c r="BL66" s="165">
        <f t="shared" si="435"/>
        <v>-2.7459025151184907E-4</v>
      </c>
      <c r="BM66" s="165" t="s">
        <v>112</v>
      </c>
      <c r="BN66" s="166">
        <v>-2565</v>
      </c>
      <c r="BO66" s="165">
        <f t="shared" si="381"/>
        <v>-1.3460595876701991E-3</v>
      </c>
      <c r="BP66" s="174">
        <f t="shared" si="398"/>
        <v>1.1829787234042555</v>
      </c>
      <c r="BQ66" s="166">
        <v>-2610</v>
      </c>
      <c r="BR66" s="165">
        <f t="shared" si="240"/>
        <v>-1.0626970926480499E-3</v>
      </c>
      <c r="BS66" s="174">
        <f t="shared" si="399"/>
        <v>0.72619047619047628</v>
      </c>
      <c r="BT66" s="166">
        <v>-972</v>
      </c>
      <c r="BU66" s="165">
        <f t="shared" si="242"/>
        <v>-4.394056450967619E-4</v>
      </c>
      <c r="BV66" s="174">
        <f t="shared" si="400"/>
        <v>2.4236037934667998E-2</v>
      </c>
      <c r="BW66" s="168">
        <v>-1392</v>
      </c>
      <c r="BX66" s="165">
        <f t="shared" si="244"/>
        <v>-6.2452134611269109E-4</v>
      </c>
      <c r="BY66" s="165">
        <f t="shared" si="401"/>
        <v>1.7081712062256811</v>
      </c>
      <c r="BZ66" s="166">
        <v>8271</v>
      </c>
      <c r="CA66" s="165">
        <f t="shared" si="436"/>
        <v>3.1076087005529147E-3</v>
      </c>
      <c r="CB66" s="165">
        <f>(BZ66/-BN66)+1</f>
        <v>4.2245614035087717</v>
      </c>
      <c r="CC66" s="166">
        <v>2140</v>
      </c>
      <c r="CD66" s="165">
        <f t="shared" si="437"/>
        <v>7.172774026781932E-4</v>
      </c>
      <c r="CE66" s="165">
        <f t="shared" si="403"/>
        <v>-1.8199233716475096</v>
      </c>
      <c r="CF66" s="166">
        <v>-2180</v>
      </c>
      <c r="CG66" s="165">
        <f t="shared" si="404"/>
        <v>-7.6236917762397504E-4</v>
      </c>
      <c r="CH66" s="165">
        <f t="shared" si="405"/>
        <v>1.2427983539094649</v>
      </c>
      <c r="CI66" s="166">
        <v>2787</v>
      </c>
      <c r="CJ66" s="165">
        <f t="shared" si="438"/>
        <v>9.5782115791539352E-4</v>
      </c>
      <c r="CK66" s="165">
        <f t="shared" si="406"/>
        <v>-3.0021551724137931</v>
      </c>
      <c r="CL66" s="166">
        <v>-2354</v>
      </c>
      <c r="CM66" s="165">
        <f t="shared" si="439"/>
        <v>-7.0857194458449663E-4</v>
      </c>
      <c r="CN66" s="165">
        <f t="shared" si="407"/>
        <v>-1.2846088743803652</v>
      </c>
      <c r="CO66" s="166">
        <v>-741</v>
      </c>
      <c r="CP66" s="165">
        <f t="shared" si="408"/>
        <v>-1.9655026434816931E-4</v>
      </c>
      <c r="CQ66" s="165">
        <f>(CO66/CC66)-1</f>
        <v>-1.3462616822429907</v>
      </c>
      <c r="CR66" s="166">
        <v>-1839</v>
      </c>
      <c r="CS66" s="165">
        <f t="shared" si="440"/>
        <v>-5.2761031545588372E-4</v>
      </c>
      <c r="CT66" s="165">
        <f t="shared" si="409"/>
        <v>-0.1564220183486239</v>
      </c>
      <c r="CU66" s="166">
        <v>11542</v>
      </c>
      <c r="CV66" s="165">
        <f t="shared" si="441"/>
        <v>3.2853828359099006E-3</v>
      </c>
      <c r="CW66" s="165">
        <f t="shared" si="410"/>
        <v>3.1413706494438465</v>
      </c>
      <c r="CX66" s="166">
        <v>2067</v>
      </c>
      <c r="CY66" s="165">
        <f t="shared" si="411"/>
        <v>5.1476352293213315E-4</v>
      </c>
      <c r="CZ66" s="165">
        <f t="shared" si="412"/>
        <v>-1.8780798640611724</v>
      </c>
      <c r="DA66" s="166">
        <v>4817</v>
      </c>
      <c r="DB66" s="165">
        <f t="shared" si="413"/>
        <v>1.0667643445146124E-3</v>
      </c>
      <c r="DC66" s="165">
        <f t="shared" si="414"/>
        <v>-7.5006747638326585</v>
      </c>
      <c r="DD66" s="166">
        <v>-6691</v>
      </c>
      <c r="DE66" s="165">
        <f t="shared" si="415"/>
        <v>-1.9196523223030549E-3</v>
      </c>
      <c r="DF66" s="165">
        <f t="shared" si="416"/>
        <v>2.6383904295812943</v>
      </c>
      <c r="DG66" s="166">
        <v>-11479</v>
      </c>
      <c r="DH66" s="165">
        <f t="shared" si="187"/>
        <v>-2.6059035668120623E-3</v>
      </c>
      <c r="DI66" s="165">
        <f t="shared" si="78"/>
        <v>-1.9945416738866748</v>
      </c>
      <c r="DJ66" s="166">
        <v>10912</v>
      </c>
      <c r="DK66" s="165">
        <f t="shared" si="308"/>
        <v>2.4199698967454376E-3</v>
      </c>
      <c r="DL66" s="165">
        <f t="shared" si="417"/>
        <v>4.2791485244315437</v>
      </c>
      <c r="DM66" s="166">
        <v>19298</v>
      </c>
      <c r="DN66" s="165">
        <f t="shared" si="80"/>
        <v>3.6282048705117693E-3</v>
      </c>
      <c r="DO66" s="165">
        <f t="shared" si="418"/>
        <v>3.0062279427029273</v>
      </c>
      <c r="DP66" s="166">
        <v>52854</v>
      </c>
      <c r="DQ66" s="165">
        <f t="shared" si="343"/>
        <v>1.0412703916436741E-2</v>
      </c>
      <c r="DR66" s="165">
        <f>(DP66/DD66)-1</f>
        <v>-8.8992676729935738</v>
      </c>
      <c r="DS66" s="166">
        <v>16683</v>
      </c>
      <c r="DT66" s="165">
        <f t="shared" si="81"/>
        <v>3.1888217109768825E-3</v>
      </c>
      <c r="DU66" s="165">
        <f>(DS66/DG66)-1</f>
        <v>-2.4533495949124489</v>
      </c>
      <c r="DV66" s="166">
        <v>113094</v>
      </c>
      <c r="DW66" s="174">
        <f t="shared" si="421"/>
        <v>2.1367740180190054E-2</v>
      </c>
      <c r="DX66" s="165">
        <f t="shared" si="422"/>
        <v>9.3641862170087968</v>
      </c>
      <c r="DY66" s="166">
        <v>64226</v>
      </c>
      <c r="DZ66" s="165">
        <f t="shared" si="423"/>
        <v>1.0953116955297482E-2</v>
      </c>
      <c r="EA66" s="165">
        <f t="shared" si="424"/>
        <v>2.328116903306042</v>
      </c>
      <c r="EB66" s="166">
        <v>-13634</v>
      </c>
      <c r="EC66" s="165">
        <f t="shared" si="84"/>
        <v>-2.447209276779118E-3</v>
      </c>
      <c r="ED66" s="165">
        <f>(EB66/DP66)-1</f>
        <v>-1.2579558784576381</v>
      </c>
      <c r="EE66" s="166">
        <v>-62201</v>
      </c>
      <c r="EF66" s="165">
        <f t="shared" si="389"/>
        <v>-1.0701028228411324E-2</v>
      </c>
      <c r="EG66" s="165">
        <f>(EE66/DS66)-1</f>
        <v>-4.7284061619612778</v>
      </c>
      <c r="EH66" s="166">
        <v>-49556</v>
      </c>
      <c r="EI66" s="165">
        <f t="shared" si="390"/>
        <v>-8.7333627993568235E-3</v>
      </c>
      <c r="EJ66" s="165">
        <f>(EH66/DV66)-1</f>
        <v>-1.4381841653845473</v>
      </c>
      <c r="EK66" s="166">
        <v>-37825</v>
      </c>
      <c r="EL66" s="165">
        <f t="shared" si="391"/>
        <v>-5.8415075830721835E-3</v>
      </c>
      <c r="EM66" s="165">
        <f>(EK66/DY66)-1</f>
        <v>-1.5889359449444149</v>
      </c>
      <c r="EN66" s="166">
        <v>-21997</v>
      </c>
      <c r="EO66" s="165">
        <f t="shared" si="392"/>
        <v>-3.5184357588365568E-3</v>
      </c>
      <c r="EP66" s="165">
        <f>(EN66/EB66)-1</f>
        <v>0.61339298811794052</v>
      </c>
      <c r="EQ66" s="166">
        <v>3394</v>
      </c>
      <c r="ER66" s="165">
        <f t="shared" si="393"/>
        <v>5.145142592760751E-4</v>
      </c>
      <c r="ES66" s="165">
        <f>(EQ66/EE66)-1</f>
        <v>-1.0545650391472805</v>
      </c>
      <c r="ET66" s="166">
        <v>-10478</v>
      </c>
      <c r="EU66" s="165">
        <f t="shared" si="394"/>
        <v>-1.6153382829468962E-3</v>
      </c>
      <c r="EV66" s="165">
        <f>(ET66/EH66)-1</f>
        <v>-0.78856243441762852</v>
      </c>
      <c r="EW66" s="166">
        <v>4100</v>
      </c>
      <c r="EX66" s="165">
        <f t="shared" si="395"/>
        <v>5.4321486214664204E-4</v>
      </c>
      <c r="EY66" s="165">
        <f>(EW66/EK66)-1</f>
        <v>-1.108393919365499</v>
      </c>
      <c r="EZ66" s="166">
        <v>3519</v>
      </c>
      <c r="FA66" s="165">
        <f t="shared" si="396"/>
        <v>5.0080015597526886E-4</v>
      </c>
      <c r="FB66" s="165">
        <f>(EZ66/EN66)-1</f>
        <v>-1.1599763604127835</v>
      </c>
      <c r="FC66" s="166">
        <v>37572</v>
      </c>
      <c r="FD66" s="165">
        <f t="shared" si="397"/>
        <v>5.1431103443017523E-3</v>
      </c>
      <c r="FE66" s="165">
        <f>(FC66/EQ66)-1</f>
        <v>10.070123747790218</v>
      </c>
      <c r="FF66" s="166">
        <v>23289</v>
      </c>
      <c r="FG66" s="165">
        <f t="shared" si="88"/>
        <v>3.0857588960856216E-3</v>
      </c>
      <c r="FH66" s="165">
        <f t="shared" si="89"/>
        <v>-3.2226569956098494</v>
      </c>
      <c r="FI66" s="166">
        <v>2148</v>
      </c>
      <c r="FJ66" s="165">
        <f t="shared" si="268"/>
        <v>2.4350848107843875E-4</v>
      </c>
      <c r="FK66" s="165">
        <f t="shared" si="425"/>
        <v>-0.47609756097560973</v>
      </c>
      <c r="FL66" s="166">
        <v>6009</v>
      </c>
      <c r="FM66" s="165">
        <f t="shared" si="270"/>
        <v>5.9713132506809775E-4</v>
      </c>
      <c r="FN66" s="165">
        <f t="shared" si="426"/>
        <v>0.70758738277919853</v>
      </c>
      <c r="FO66" s="166">
        <v>-3086</v>
      </c>
      <c r="FP66" s="165">
        <f t="shared" si="427"/>
        <v>-3.1096620403977952E-4</v>
      </c>
      <c r="FQ66" s="165">
        <f t="shared" si="428"/>
        <v>-1.0821356329181304</v>
      </c>
      <c r="FR66" s="166">
        <v>6252</v>
      </c>
      <c r="FS66" s="165">
        <f t="shared" si="274"/>
        <v>6.1280263501212369E-4</v>
      </c>
      <c r="FT66" s="165">
        <f t="shared" si="429"/>
        <v>-0.7315470823135386</v>
      </c>
      <c r="FU66" s="166">
        <v>-13189</v>
      </c>
      <c r="FV66" s="165">
        <f t="shared" si="316"/>
        <v>-1.1416179242237144E-3</v>
      </c>
      <c r="FW66" s="165">
        <f t="shared" si="430"/>
        <v>-7.1401303538175043</v>
      </c>
      <c r="FX66" s="166">
        <v>108164</v>
      </c>
      <c r="FY66" s="165">
        <f t="shared" si="317"/>
        <v>9.4019197252126329E-3</v>
      </c>
      <c r="FZ66" s="165">
        <f t="shared" si="431"/>
        <v>17.000332834082212</v>
      </c>
      <c r="GA66" s="166">
        <v>91986</v>
      </c>
      <c r="GB66" s="165">
        <f t="shared" si="318"/>
        <v>7.1706806112937791E-3</v>
      </c>
      <c r="GC66" s="165">
        <f t="shared" si="432"/>
        <v>-30.807517822423851</v>
      </c>
      <c r="GD66" s="166">
        <v>93978</v>
      </c>
      <c r="GE66" s="165">
        <f t="shared" si="387"/>
        <v>7.2390501067239555E-3</v>
      </c>
      <c r="GF66" s="165">
        <f t="shared" si="433"/>
        <v>14.031669865642995</v>
      </c>
      <c r="GG66" s="166">
        <v>26905</v>
      </c>
      <c r="GH66" s="165">
        <f t="shared" si="388"/>
        <v>1.8374490347775388E-3</v>
      </c>
      <c r="GI66" s="165">
        <f t="shared" si="434"/>
        <v>-3.0399575403745547</v>
      </c>
    </row>
    <row r="67" spans="2:191" s="151" customFormat="1" ht="16.5" customHeight="1">
      <c r="B67" s="178" t="s">
        <v>276</v>
      </c>
      <c r="C67" s="179" t="s">
        <v>111</v>
      </c>
      <c r="D67" s="166">
        <v>-10819</v>
      </c>
      <c r="E67" s="165">
        <f t="shared" si="209"/>
        <v>-1.6088067260879781E-2</v>
      </c>
      <c r="F67" s="7">
        <v>21881</v>
      </c>
      <c r="G67" s="165">
        <f t="shared" si="210"/>
        <v>3.1130757433053435E-2</v>
      </c>
      <c r="H67" s="7">
        <v>21255</v>
      </c>
      <c r="I67" s="165">
        <f t="shared" si="211"/>
        <v>2.4323479968461299E-2</v>
      </c>
      <c r="J67" s="7">
        <v>0</v>
      </c>
      <c r="K67" s="165" t="s">
        <v>112</v>
      </c>
      <c r="L67" s="7">
        <v>13469</v>
      </c>
      <c r="M67" s="165">
        <f>L67/$L$6</f>
        <v>1.4588539077333663E-2</v>
      </c>
      <c r="N67" s="165">
        <f>(L67/D67)-1</f>
        <v>-2.2449394583602924</v>
      </c>
      <c r="O67" s="8">
        <v>36342</v>
      </c>
      <c r="P67" s="165">
        <f t="shared" si="365"/>
        <v>3.4319289703457614E-2</v>
      </c>
      <c r="Q67" s="165">
        <f>(O67/F67)-1</f>
        <v>0.66089301220236729</v>
      </c>
      <c r="R67" s="8">
        <v>37005</v>
      </c>
      <c r="S67" s="165">
        <f t="shared" si="366"/>
        <v>3.3202753482229057E-2</v>
      </c>
      <c r="T67" s="165">
        <f>(R67/H67)-1</f>
        <v>0.74100211714890607</v>
      </c>
      <c r="U67" s="166">
        <v>0</v>
      </c>
      <c r="V67" s="165" t="s">
        <v>112</v>
      </c>
      <c r="W67" s="169" t="s">
        <v>112</v>
      </c>
      <c r="X67" s="166">
        <v>16777</v>
      </c>
      <c r="Y67" s="165">
        <f t="shared" si="368"/>
        <v>1.3237346723486447E-2</v>
      </c>
      <c r="Z67" s="169">
        <f>(X67/L67)-1</f>
        <v>0.24560100972603749</v>
      </c>
      <c r="AA67" s="166">
        <v>57223</v>
      </c>
      <c r="AB67" s="165">
        <f t="shared" si="369"/>
        <v>4.3354600369881272E-2</v>
      </c>
      <c r="AC67" s="169">
        <f>(AA67/O67)-1</f>
        <v>0.57456936877442089</v>
      </c>
      <c r="AD67" s="166">
        <v>93054</v>
      </c>
      <c r="AE67" s="165">
        <f t="shared" si="370"/>
        <v>6.8600167051366456E-2</v>
      </c>
      <c r="AF67" s="169">
        <f>(AD67/R67)-1</f>
        <v>1.5146331576813945</v>
      </c>
      <c r="AG67" s="166">
        <v>0</v>
      </c>
      <c r="AH67" s="165" t="s">
        <v>112</v>
      </c>
      <c r="AI67" s="165" t="s">
        <v>112</v>
      </c>
      <c r="AJ67" s="166">
        <v>25095</v>
      </c>
      <c r="AK67" s="165">
        <f t="shared" si="372"/>
        <v>1.7211745275772006E-2</v>
      </c>
      <c r="AL67" s="169">
        <f>(AJ67/X67)-1</f>
        <v>0.49579781844191451</v>
      </c>
      <c r="AM67" s="166">
        <v>68632</v>
      </c>
      <c r="AN67" s="165">
        <f t="shared" si="373"/>
        <v>4.5574556021270606E-2</v>
      </c>
      <c r="AO67" s="169">
        <f>(AM67/AA67)-1</f>
        <v>0.19937787253377137</v>
      </c>
      <c r="AP67" s="166">
        <v>97044</v>
      </c>
      <c r="AQ67" s="165">
        <f t="shared" si="374"/>
        <v>6.7616868403376801E-2</v>
      </c>
      <c r="AR67" s="169">
        <f>(AP67/AD67)-1</f>
        <v>4.2878328712360636E-2</v>
      </c>
      <c r="AS67" s="166">
        <v>0</v>
      </c>
      <c r="AT67" s="165" t="s">
        <v>112</v>
      </c>
      <c r="AU67" s="169" t="s">
        <v>112</v>
      </c>
      <c r="AV67" s="166">
        <v>10860</v>
      </c>
      <c r="AW67" s="165">
        <f t="shared" si="376"/>
        <v>7.4783808685664234E-3</v>
      </c>
      <c r="AX67" s="169">
        <f>(AV67/AJ67)-1</f>
        <v>-0.5672444710101614</v>
      </c>
      <c r="AY67" s="166">
        <v>58683</v>
      </c>
      <c r="AZ67" s="165">
        <f t="shared" si="377"/>
        <v>3.6992583580494787E-2</v>
      </c>
      <c r="BA67" s="169">
        <f>(AY67/AM67)-1</f>
        <v>-0.14496153397831912</v>
      </c>
      <c r="BB67" s="166">
        <v>89278</v>
      </c>
      <c r="BC67" s="165">
        <f t="shared" si="378"/>
        <v>5.477883653722259E-2</v>
      </c>
      <c r="BD67" s="169">
        <f>(BB67/AP67)-1</f>
        <v>-8.002555541816081E-2</v>
      </c>
      <c r="BE67" s="166">
        <v>0</v>
      </c>
      <c r="BF67" s="165" t="s">
        <v>112</v>
      </c>
      <c r="BG67" s="169" t="s">
        <v>112</v>
      </c>
      <c r="BH67" s="166">
        <v>36903</v>
      </c>
      <c r="BI67" s="165">
        <f>BH67/$BH$6</f>
        <v>2.014177785588829E-2</v>
      </c>
      <c r="BJ67" s="165">
        <f>(BH67/AV67)-1</f>
        <v>2.3980662983425414</v>
      </c>
      <c r="BK67" s="166">
        <v>127861</v>
      </c>
      <c r="BL67" s="165">
        <f t="shared" si="435"/>
        <v>6.8306194841549678E-2</v>
      </c>
      <c r="BM67" s="169">
        <f>(BK67/AY67)-1</f>
        <v>1.1788422541451529</v>
      </c>
      <c r="BN67" s="166">
        <v>184859</v>
      </c>
      <c r="BO67" s="165">
        <f t="shared" si="381"/>
        <v>9.7010225854629761E-2</v>
      </c>
      <c r="BP67" s="169">
        <f t="shared" si="398"/>
        <v>1.0705996998140641</v>
      </c>
      <c r="BQ67" s="166">
        <v>0</v>
      </c>
      <c r="BR67" s="165">
        <f t="shared" si="240"/>
        <v>0</v>
      </c>
      <c r="BS67" s="169">
        <v>0</v>
      </c>
      <c r="BT67" s="166">
        <v>29113</v>
      </c>
      <c r="BU67" s="165">
        <f t="shared" si="242"/>
        <v>1.3160922372121429E-2</v>
      </c>
      <c r="BV67" s="165">
        <f t="shared" si="400"/>
        <v>-0.21109394900143619</v>
      </c>
      <c r="BW67" s="168">
        <v>123737</v>
      </c>
      <c r="BX67" s="165">
        <f t="shared" si="244"/>
        <v>5.5514653594788833E-2</v>
      </c>
      <c r="BY67" s="165">
        <f t="shared" si="401"/>
        <v>-3.2253775584423661E-2</v>
      </c>
      <c r="BZ67" s="166">
        <v>161057</v>
      </c>
      <c r="CA67" s="165">
        <f t="shared" si="436"/>
        <v>6.0512892574652491E-2</v>
      </c>
      <c r="CB67" s="169">
        <f t="shared" si="402"/>
        <v>-0.12875759362541184</v>
      </c>
      <c r="CC67" s="166">
        <v>0</v>
      </c>
      <c r="CD67" s="165">
        <f t="shared" si="437"/>
        <v>0</v>
      </c>
      <c r="CE67" s="165" t="s">
        <v>112</v>
      </c>
      <c r="CF67" s="166">
        <v>15429</v>
      </c>
      <c r="CG67" s="165">
        <f t="shared" si="404"/>
        <v>5.3956853401652804E-3</v>
      </c>
      <c r="CH67" s="165">
        <f t="shared" si="405"/>
        <v>-0.47003057053549957</v>
      </c>
      <c r="CI67" s="166">
        <v>98228</v>
      </c>
      <c r="CJ67" s="165">
        <f t="shared" si="438"/>
        <v>3.3758470290532208E-2</v>
      </c>
      <c r="CK67" s="165">
        <f t="shared" si="406"/>
        <v>-0.20615499001915349</v>
      </c>
      <c r="CL67" s="166">
        <v>146727</v>
      </c>
      <c r="CM67" s="165">
        <f t="shared" si="439"/>
        <v>4.4165945502569852E-2</v>
      </c>
      <c r="CN67" s="165">
        <f t="shared" si="407"/>
        <v>-8.8974710816667413E-2</v>
      </c>
      <c r="CO67" s="166" t="s">
        <v>112</v>
      </c>
      <c r="CP67" s="165" t="s">
        <v>112</v>
      </c>
      <c r="CQ67" s="165" t="s">
        <v>112</v>
      </c>
      <c r="CR67" s="166">
        <v>7796</v>
      </c>
      <c r="CS67" s="165">
        <f t="shared" si="440"/>
        <v>2.2366775526340781E-3</v>
      </c>
      <c r="CT67" s="165">
        <f t="shared" si="409"/>
        <v>-0.49471773932205587</v>
      </c>
      <c r="CU67" s="166">
        <v>91513</v>
      </c>
      <c r="CV67" s="165">
        <f t="shared" si="441"/>
        <v>2.604879912169665E-2</v>
      </c>
      <c r="CW67" s="165">
        <f t="shared" si="410"/>
        <v>-6.8361363358716454E-2</v>
      </c>
      <c r="CX67" s="166">
        <v>148396</v>
      </c>
      <c r="CY67" s="165">
        <f t="shared" si="411"/>
        <v>3.6956384977763344E-2</v>
      </c>
      <c r="CZ67" s="165">
        <f t="shared" si="412"/>
        <v>1.1374866248202498E-2</v>
      </c>
      <c r="DA67" s="166">
        <v>0</v>
      </c>
      <c r="DB67" s="165">
        <f t="shared" si="413"/>
        <v>0</v>
      </c>
      <c r="DC67" s="165" t="s">
        <v>112</v>
      </c>
      <c r="DD67" s="166">
        <v>33546</v>
      </c>
      <c r="DE67" s="165">
        <f t="shared" si="415"/>
        <v>9.6243695716601817E-3</v>
      </c>
      <c r="DF67" s="165">
        <f t="shared" si="416"/>
        <v>3.3029758850692659</v>
      </c>
      <c r="DG67" s="166">
        <v>134229</v>
      </c>
      <c r="DH67" s="165">
        <f>DG67/$DG$6</f>
        <v>3.0471977512816124E-2</v>
      </c>
      <c r="DI67" s="165">
        <f t="shared" si="78"/>
        <v>0.46677521226492402</v>
      </c>
      <c r="DJ67" s="166">
        <v>199351</v>
      </c>
      <c r="DK67" s="165">
        <f t="shared" si="308"/>
        <v>4.4210357302611782E-2</v>
      </c>
      <c r="DL67" s="165">
        <f t="shared" si="417"/>
        <v>0.34337178899700804</v>
      </c>
      <c r="DM67" s="166">
        <v>0</v>
      </c>
      <c r="DN67" s="165" t="s">
        <v>112</v>
      </c>
      <c r="DO67" s="165" t="s">
        <v>112</v>
      </c>
      <c r="DP67" s="166">
        <v>49393</v>
      </c>
      <c r="DQ67" s="165">
        <f t="shared" si="343"/>
        <v>9.7308564071699397E-3</v>
      </c>
      <c r="DR67" s="165" t="s">
        <v>112</v>
      </c>
      <c r="DS67" s="166">
        <v>180895</v>
      </c>
      <c r="DT67" s="165">
        <f t="shared" si="81"/>
        <v>3.4576629107904044E-2</v>
      </c>
      <c r="DU67" s="165" t="s">
        <v>112</v>
      </c>
      <c r="DV67" s="166">
        <v>247027</v>
      </c>
      <c r="DW67" s="165">
        <f t="shared" si="421"/>
        <v>4.6672756764212141E-2</v>
      </c>
      <c r="DX67" s="165">
        <f t="shared" si="422"/>
        <v>0.23915606141930557</v>
      </c>
      <c r="DY67" s="166">
        <v>0</v>
      </c>
      <c r="DZ67" s="165" t="s">
        <v>112</v>
      </c>
      <c r="EA67" s="165" t="s">
        <v>112</v>
      </c>
      <c r="EB67" s="166">
        <v>24815</v>
      </c>
      <c r="EC67" s="165">
        <f t="shared" si="84"/>
        <v>4.4541219160388595E-3</v>
      </c>
      <c r="ED67" s="165">
        <f>(EB67/DP67)-1</f>
        <v>-0.49760087461786084</v>
      </c>
      <c r="EE67" s="166">
        <v>158452</v>
      </c>
      <c r="EF67" s="165">
        <f t="shared" si="389"/>
        <v>2.7260001042559302E-2</v>
      </c>
      <c r="EG67" s="165">
        <f>(EE67/DS67)-1</f>
        <v>-0.12406644738660544</v>
      </c>
      <c r="EH67" s="166">
        <v>198520</v>
      </c>
      <c r="EI67" s="165">
        <f t="shared" si="390"/>
        <v>3.498561592800703E-2</v>
      </c>
      <c r="EJ67" s="165">
        <f>(EH67/DV67)-1</f>
        <v>-0.196363150586778</v>
      </c>
      <c r="EK67" s="166">
        <v>0</v>
      </c>
      <c r="EL67" s="165">
        <f t="shared" si="391"/>
        <v>0</v>
      </c>
      <c r="EM67" s="165" t="s">
        <v>112</v>
      </c>
      <c r="EN67" s="166">
        <v>18966</v>
      </c>
      <c r="EO67" s="165">
        <f t="shared" si="392"/>
        <v>3.0336251580712886E-3</v>
      </c>
      <c r="EP67" s="165" t="s">
        <v>112</v>
      </c>
      <c r="EQ67" s="166">
        <v>166604</v>
      </c>
      <c r="ER67" s="165">
        <f t="shared" si="393"/>
        <v>2.5256374087339779E-2</v>
      </c>
      <c r="ES67" s="165" t="s">
        <v>112</v>
      </c>
      <c r="ET67" s="166">
        <v>256829</v>
      </c>
      <c r="EU67" s="165">
        <f t="shared" si="394"/>
        <v>3.9593979373064365E-2</v>
      </c>
      <c r="EV67" s="165" t="s">
        <v>112</v>
      </c>
      <c r="EW67" s="166">
        <v>0</v>
      </c>
      <c r="EX67" s="165">
        <f t="shared" si="395"/>
        <v>0</v>
      </c>
      <c r="EY67" s="165" t="s">
        <v>112</v>
      </c>
      <c r="EZ67" s="166">
        <v>38349</v>
      </c>
      <c r="FA67" s="165">
        <f t="shared" si="396"/>
        <v>5.4575689631985178E-3</v>
      </c>
      <c r="FB67" s="165" t="s">
        <v>112</v>
      </c>
      <c r="FC67" s="166">
        <v>260720</v>
      </c>
      <c r="FD67" s="165">
        <f t="shared" si="397"/>
        <v>3.568912298962932E-2</v>
      </c>
      <c r="FE67" s="165" t="s">
        <v>112</v>
      </c>
      <c r="FF67" s="166">
        <v>397886</v>
      </c>
      <c r="FG67" s="165">
        <f t="shared" si="88"/>
        <v>5.2719320886595547E-2</v>
      </c>
      <c r="FH67" s="165">
        <f t="shared" si="89"/>
        <v>0.54922536006447875</v>
      </c>
      <c r="FI67" s="166">
        <v>0</v>
      </c>
      <c r="FJ67" s="165">
        <f t="shared" si="268"/>
        <v>0</v>
      </c>
      <c r="FK67" s="166">
        <v>0</v>
      </c>
      <c r="FL67" s="166">
        <v>89211</v>
      </c>
      <c r="FM67" s="165">
        <f t="shared" si="270"/>
        <v>8.8651493827009587E-3</v>
      </c>
      <c r="FN67" s="166">
        <v>0</v>
      </c>
      <c r="FO67" s="166">
        <v>258777</v>
      </c>
      <c r="FP67" s="165">
        <f t="shared" si="427"/>
        <v>2.6076118400130271E-2</v>
      </c>
      <c r="FQ67" s="166">
        <v>0</v>
      </c>
      <c r="FR67" s="166">
        <v>383157</v>
      </c>
      <c r="FS67" s="165">
        <f t="shared" si="274"/>
        <v>3.755592118095654E-2</v>
      </c>
      <c r="FT67" s="165">
        <f t="shared" si="429"/>
        <v>-3.7018140874521821E-2</v>
      </c>
      <c r="FU67" s="166">
        <v>0</v>
      </c>
      <c r="FV67" s="165">
        <f t="shared" si="316"/>
        <v>0</v>
      </c>
      <c r="FW67" s="165" t="e">
        <f t="shared" si="430"/>
        <v>#DIV/0!</v>
      </c>
      <c r="FX67" s="166">
        <v>-64106</v>
      </c>
      <c r="FY67" s="165">
        <f t="shared" si="317"/>
        <v>-5.5722741938582249E-3</v>
      </c>
      <c r="FZ67" s="165">
        <f t="shared" si="431"/>
        <v>-1.7185885148692426</v>
      </c>
      <c r="GA67" s="166">
        <v>711086</v>
      </c>
      <c r="GB67" s="165">
        <f t="shared" si="318"/>
        <v>5.5432028712656796E-2</v>
      </c>
      <c r="GC67" s="165">
        <f t="shared" si="432"/>
        <v>1.7478717196659672</v>
      </c>
      <c r="GD67" s="166">
        <v>562164</v>
      </c>
      <c r="GE67" s="165">
        <f t="shared" si="387"/>
        <v>4.3303042884466215E-2</v>
      </c>
      <c r="GF67" s="165">
        <f t="shared" si="433"/>
        <v>0.46718968986603393</v>
      </c>
      <c r="GG67" s="166">
        <v>0</v>
      </c>
      <c r="GH67" s="165">
        <f t="shared" si="388"/>
        <v>0</v>
      </c>
      <c r="GI67" s="165" t="e">
        <f t="shared" si="434"/>
        <v>#DIV/0!</v>
      </c>
    </row>
    <row r="68" spans="2:191" s="151" customFormat="1">
      <c r="D68" s="182"/>
      <c r="E68" s="182"/>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2"/>
      <c r="AI68" s="182"/>
      <c r="AJ68" s="182"/>
      <c r="AK68" s="182"/>
      <c r="AL68" s="182"/>
      <c r="AM68" s="182"/>
      <c r="AN68" s="182"/>
      <c r="AO68" s="182"/>
      <c r="AP68" s="182"/>
      <c r="AQ68" s="182"/>
      <c r="AR68" s="182"/>
      <c r="AS68" s="182"/>
      <c r="AT68" s="182"/>
      <c r="AU68" s="182"/>
      <c r="AV68" s="182"/>
      <c r="AW68" s="182"/>
      <c r="AX68" s="182"/>
      <c r="AY68" s="182"/>
      <c r="AZ68" s="182"/>
      <c r="BA68" s="182"/>
      <c r="BB68" s="182"/>
      <c r="BC68" s="182"/>
      <c r="BD68" s="182"/>
      <c r="BE68" s="182"/>
      <c r="BF68" s="182"/>
      <c r="BG68" s="182"/>
      <c r="BH68" s="182"/>
      <c r="BI68" s="182"/>
      <c r="BJ68" s="182"/>
      <c r="BK68" s="182"/>
      <c r="BL68" s="182"/>
      <c r="BM68" s="182"/>
      <c r="BN68" s="182"/>
      <c r="BO68" s="182"/>
      <c r="BP68" s="182"/>
      <c r="BQ68" s="182"/>
      <c r="BR68" s="182"/>
      <c r="BS68" s="182"/>
      <c r="BT68" s="182"/>
      <c r="BU68" s="182"/>
      <c r="BV68" s="182"/>
      <c r="BW68" s="183"/>
      <c r="BX68" s="182"/>
      <c r="BY68" s="182"/>
      <c r="BZ68" s="182"/>
      <c r="CA68" s="182"/>
      <c r="CB68" s="182"/>
      <c r="CC68" s="182"/>
      <c r="CD68" s="182"/>
      <c r="CE68" s="182"/>
      <c r="CI68" s="183"/>
      <c r="CJ68" s="182"/>
      <c r="CK68" s="182"/>
      <c r="CL68" s="183"/>
      <c r="CM68" s="182"/>
      <c r="CN68" s="182"/>
      <c r="CP68" s="182"/>
      <c r="CS68" s="182"/>
      <c r="CV68" s="182"/>
    </row>
    <row r="69" spans="2:191" s="423" customFormat="1">
      <c r="R69" s="422"/>
      <c r="S69" s="422"/>
      <c r="T69" s="422"/>
      <c r="U69" s="422"/>
      <c r="V69" s="422"/>
      <c r="W69" s="422"/>
      <c r="X69" s="422"/>
      <c r="Y69" s="422"/>
      <c r="Z69" s="422"/>
      <c r="AA69" s="422"/>
      <c r="AB69" s="422"/>
      <c r="AC69" s="422"/>
      <c r="AD69" s="422"/>
      <c r="AE69" s="422"/>
      <c r="AF69" s="422"/>
      <c r="AG69" s="422"/>
      <c r="AH69" s="422"/>
      <c r="AI69" s="422"/>
      <c r="AJ69" s="422"/>
      <c r="AK69" s="422"/>
      <c r="AL69" s="422"/>
      <c r="AM69" s="422"/>
      <c r="AN69" s="422"/>
      <c r="AO69" s="422"/>
      <c r="AP69" s="422"/>
      <c r="AQ69" s="422"/>
      <c r="AR69" s="422"/>
      <c r="AS69" s="422"/>
      <c r="AT69" s="422"/>
      <c r="AU69" s="422"/>
      <c r="AV69" s="422"/>
      <c r="AW69" s="422"/>
      <c r="AX69" s="422"/>
      <c r="AY69" s="422"/>
      <c r="AZ69" s="422"/>
      <c r="BA69" s="422"/>
      <c r="BB69" s="422"/>
      <c r="BC69" s="422"/>
      <c r="BD69" s="422"/>
      <c r="BE69" s="422"/>
      <c r="BF69" s="422"/>
      <c r="BG69" s="422"/>
      <c r="BH69" s="422"/>
      <c r="BI69" s="422"/>
      <c r="BJ69" s="422"/>
      <c r="BK69" s="422"/>
      <c r="BL69" s="422"/>
      <c r="BM69" s="422"/>
      <c r="BN69" s="422"/>
      <c r="BO69" s="422"/>
      <c r="BP69" s="422"/>
      <c r="BQ69" s="422"/>
      <c r="BR69" s="422"/>
      <c r="BS69" s="422"/>
      <c r="BT69" s="422"/>
      <c r="BU69" s="422"/>
      <c r="BV69" s="422"/>
      <c r="BW69" s="422"/>
      <c r="BX69" s="422"/>
      <c r="BY69" s="422"/>
      <c r="BZ69" s="422"/>
      <c r="CA69" s="422"/>
      <c r="CB69" s="422"/>
      <c r="CC69" s="422"/>
      <c r="CD69" s="422"/>
      <c r="CE69" s="422"/>
      <c r="CI69" s="422"/>
      <c r="CJ69" s="422"/>
      <c r="CK69" s="422"/>
      <c r="CL69" s="422"/>
      <c r="CM69" s="422"/>
      <c r="CN69" s="422"/>
      <c r="CP69" s="422"/>
      <c r="CS69" s="422"/>
      <c r="CV69" s="422"/>
      <c r="EZ69" s="424">
        <f>EZ31-EZ6</f>
        <v>0</v>
      </c>
      <c r="FC69" s="424">
        <f>FC31-FC6</f>
        <v>0</v>
      </c>
      <c r="FF69" s="424">
        <f>FF31-FF6</f>
        <v>0</v>
      </c>
      <c r="FI69" s="424">
        <f>FI31-FI6</f>
        <v>0</v>
      </c>
      <c r="FL69" s="424">
        <f>FL6-FL31</f>
        <v>0</v>
      </c>
      <c r="FO69" s="424">
        <f>FO6-FO31</f>
        <v>0</v>
      </c>
      <c r="FR69" s="424">
        <f>FR31-FR6</f>
        <v>0</v>
      </c>
      <c r="FU69" s="424">
        <f>FU31-FU6</f>
        <v>0</v>
      </c>
      <c r="FX69" s="424">
        <f>FX31-FX6</f>
        <v>0</v>
      </c>
      <c r="GA69" s="424">
        <f>GA31-GA6</f>
        <v>0</v>
      </c>
      <c r="GD69" s="424">
        <f>GD31-GD6</f>
        <v>0</v>
      </c>
      <c r="GG69" s="424">
        <f>GG31-GG6</f>
        <v>0</v>
      </c>
    </row>
    <row r="70" spans="2:191">
      <c r="FC70" s="419"/>
    </row>
  </sheetData>
  <mergeCells count="7">
    <mergeCell ref="B1:C1"/>
    <mergeCell ref="D1:F1"/>
    <mergeCell ref="W1:X1"/>
    <mergeCell ref="H1:J1"/>
    <mergeCell ref="P1:S1"/>
    <mergeCell ref="T1:U1"/>
    <mergeCell ref="L1:N1"/>
  </mergeCells>
  <phoneticPr fontId="28" type="noConversion"/>
  <hyperlinks>
    <hyperlink ref="B1:C1" location="'Capa | Cover'!A1" display="CAPA/COVER" xr:uid="{00000000-0004-0000-0100-000000000000}"/>
  </hyperlinks>
  <printOptions horizontalCentered="1"/>
  <pageMargins left="0.25" right="0.25" top="0.75" bottom="0.75" header="0.3" footer="0.3"/>
  <pageSetup paperSize="9" scale="10" orientation="portrait" horizontalDpi="300" verticalDpi="300" r:id="rId1"/>
  <headerFooter alignWithMargins="0">
    <oddHeader>&amp;L&amp;G</oddHeader>
    <oddFooter>&amp;L&amp;"Calibri"&amp;11&amp;K000000&amp;"Calibri"&amp;11&amp;K000000&amp;"Calibri"&amp;11 Investor Relations Lojas Renner  S.A._x000D_&amp;1#&amp;"Calibri"&amp;10&amp;K317100Classificação: Público</oddFooter>
  </headerFooter>
  <colBreaks count="2" manualBreakCount="2">
    <brk id="23" min="3" max="62" man="1"/>
    <brk id="47" min="3" max="62" man="1"/>
  </colBreaks>
  <ignoredErrors>
    <ignoredError sqref="DE47" formula="1"/>
    <ignoredError sqref="AG11:AS11 AG37:CR40 DP11 DP37 DS11 DS37 FC11" formulaRange="1"/>
  </ignoredErrors>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3">
    <tabColor theme="0" tint="-0.14999847407452621"/>
    <pageSetUpPr fitToPage="1"/>
  </sheetPr>
  <dimension ref="A1:LT43"/>
  <sheetViews>
    <sheetView tabSelected="1" zoomScaleNormal="100" zoomScaleSheetLayoutView="100" workbookViewId="0">
      <pane xSplit="3" ySplit="3" topLeftCell="LC25" activePane="bottomRight" state="frozen"/>
      <selection activeCell="JZ13" sqref="JZ13"/>
      <selection pane="topRight" activeCell="JZ13" sqref="JZ13"/>
      <selection pane="bottomLeft" activeCell="JZ13" sqref="JZ13"/>
      <selection pane="bottomRight" activeCell="LR29" sqref="LR29"/>
    </sheetView>
  </sheetViews>
  <sheetFormatPr defaultRowHeight="12.75" outlineLevelCol="1"/>
  <cols>
    <col min="1" max="1" width="1.140625" customWidth="1"/>
    <col min="2" max="2" width="45.28515625" customWidth="1"/>
    <col min="3" max="3" width="47" hidden="1" customWidth="1"/>
    <col min="4" max="4" width="8.7109375" customWidth="1" outlineLevel="1"/>
    <col min="5" max="5" width="6.140625" customWidth="1" outlineLevel="1"/>
    <col min="6" max="6" width="8" customWidth="1" outlineLevel="1"/>
    <col min="7" max="7" width="6.140625" customWidth="1" outlineLevel="1"/>
    <col min="8" max="8" width="8" customWidth="1" outlineLevel="1"/>
    <col min="9" max="9" width="6.140625" customWidth="1" outlineLevel="1"/>
    <col min="10" max="10" width="8" customWidth="1" outlineLevel="1"/>
    <col min="11" max="11" width="6.140625" customWidth="1" outlineLevel="1"/>
    <col min="12" max="12" width="8" customWidth="1" outlineLevel="1"/>
    <col min="13" max="13" width="6.140625" customWidth="1" outlineLevel="1"/>
    <col min="14" max="14" width="8" customWidth="1" outlineLevel="1"/>
    <col min="15" max="15" width="6.140625" customWidth="1" outlineLevel="1"/>
    <col min="16" max="16" width="9.28515625" customWidth="1"/>
    <col min="17" max="17" width="6.140625" customWidth="1" outlineLevel="1"/>
    <col min="18" max="18" width="8" customWidth="1" outlineLevel="1"/>
    <col min="19" max="19" width="6.140625" customWidth="1" outlineLevel="1"/>
    <col min="20" max="20" width="7.5703125" customWidth="1" outlineLevel="1"/>
    <col min="21" max="21" width="8" customWidth="1" outlineLevel="1"/>
    <col min="22" max="22" width="6.140625" customWidth="1" outlineLevel="1"/>
    <col min="23" max="23" width="6.7109375" customWidth="1" outlineLevel="1"/>
    <col min="24" max="24" width="8" customWidth="1" outlineLevel="1"/>
    <col min="25" max="25" width="6.140625" customWidth="1" outlineLevel="1"/>
    <col min="26" max="26" width="6.7109375" customWidth="1" outlineLevel="1"/>
    <col min="27" max="27" width="8" customWidth="1" outlineLevel="1"/>
    <col min="28" max="28" width="6.140625" customWidth="1" outlineLevel="1"/>
    <col min="29" max="29" width="8.5703125" customWidth="1" outlineLevel="1"/>
    <col min="30" max="30" width="8" customWidth="1" outlineLevel="1"/>
    <col min="31" max="31" width="6.140625" customWidth="1" outlineLevel="1"/>
    <col min="32" max="32" width="6.7109375" customWidth="1" outlineLevel="1"/>
    <col min="33" max="33" width="8" customWidth="1" outlineLevel="1"/>
    <col min="34" max="34" width="6.140625" customWidth="1" outlineLevel="1"/>
    <col min="35" max="35" width="7" customWidth="1" outlineLevel="1"/>
    <col min="36" max="36" width="9.28515625" customWidth="1"/>
    <col min="37" max="37" width="6.140625" customWidth="1" outlineLevel="1"/>
    <col min="38" max="38" width="6.7109375" customWidth="1" outlineLevel="1"/>
    <col min="39" max="39" width="8" customWidth="1" outlineLevel="1"/>
    <col min="40" max="40" width="6.140625" customWidth="1" outlineLevel="1"/>
    <col min="41" max="41" width="6.7109375" customWidth="1" outlineLevel="1"/>
    <col min="42" max="42" width="8" customWidth="1" outlineLevel="1"/>
    <col min="43" max="43" width="6.140625" customWidth="1" outlineLevel="1"/>
    <col min="44" max="44" width="7" customWidth="1" outlineLevel="1"/>
    <col min="45" max="45" width="8" customWidth="1" outlineLevel="1"/>
    <col min="46" max="46" width="6.140625" customWidth="1" outlineLevel="1"/>
    <col min="47" max="47" width="6.7109375" customWidth="1" outlineLevel="1"/>
    <col min="48" max="48" width="8" customWidth="1" outlineLevel="1"/>
    <col min="49" max="49" width="6.140625" customWidth="1" outlineLevel="1"/>
    <col min="50" max="50" width="7.85546875" customWidth="1" outlineLevel="1"/>
    <col min="51" max="51" width="9.28515625" customWidth="1" outlineLevel="1"/>
    <col min="52" max="52" width="6.140625" customWidth="1" outlineLevel="1"/>
    <col min="53" max="53" width="6.7109375" customWidth="1" outlineLevel="1"/>
    <col min="54" max="54" width="8" customWidth="1" outlineLevel="1"/>
    <col min="55" max="55" width="6.140625" customWidth="1" outlineLevel="1"/>
    <col min="56" max="56" width="6.7109375" customWidth="1" outlineLevel="1"/>
    <col min="57" max="57" width="9.28515625" customWidth="1"/>
    <col min="58" max="58" width="6.140625" customWidth="1" outlineLevel="1"/>
    <col min="59" max="59" width="6.7109375" customWidth="1" outlineLevel="1"/>
    <col min="60" max="60" width="8" customWidth="1" outlineLevel="1"/>
    <col min="61" max="61" width="6.140625" customWidth="1" outlineLevel="1"/>
    <col min="62" max="62" width="6.7109375" customWidth="1" outlineLevel="1"/>
    <col min="63" max="63" width="8" customWidth="1" outlineLevel="1"/>
    <col min="64" max="65" width="6.140625" customWidth="1" outlineLevel="1"/>
    <col min="66" max="66" width="8" customWidth="1" outlineLevel="1"/>
    <col min="67" max="67" width="6.140625" customWidth="1" outlineLevel="1"/>
    <col min="68" max="68" width="6.7109375" customWidth="1" outlineLevel="1"/>
    <col min="69" max="69" width="8" customWidth="1" outlineLevel="1"/>
    <col min="70" max="70" width="6.140625" customWidth="1" outlineLevel="1"/>
    <col min="71" max="71" width="6.7109375" customWidth="1" outlineLevel="1"/>
    <col min="72" max="72" width="9.28515625" customWidth="1" outlineLevel="1"/>
    <col min="73" max="73" width="6.140625" customWidth="1" outlineLevel="1"/>
    <col min="74" max="74" width="6.7109375" customWidth="1" outlineLevel="1"/>
    <col min="75" max="75" width="8" customWidth="1" outlineLevel="1"/>
    <col min="76" max="76" width="6.140625" customWidth="1" outlineLevel="1"/>
    <col min="77" max="77" width="6.7109375" customWidth="1" outlineLevel="1"/>
    <col min="78" max="78" width="9.28515625" customWidth="1"/>
    <col min="79" max="79" width="6.140625" customWidth="1" outlineLevel="1"/>
    <col min="80" max="80" width="6.7109375" customWidth="1" outlineLevel="1"/>
    <col min="81" max="81" width="8" customWidth="1" outlineLevel="1"/>
    <col min="82" max="82" width="6.140625" customWidth="1" outlineLevel="1"/>
    <col min="83" max="83" width="7" customWidth="1" outlineLevel="1"/>
    <col min="84" max="84" width="8" customWidth="1" outlineLevel="1"/>
    <col min="85" max="85" width="6.140625" customWidth="1" outlineLevel="1"/>
    <col min="86" max="86" width="6.7109375" customWidth="1" outlineLevel="1"/>
    <col min="87" max="87" width="9.28515625" customWidth="1" outlineLevel="1"/>
    <col min="88" max="88" width="6.140625" customWidth="1" outlineLevel="1"/>
    <col min="89" max="89" width="6.7109375" customWidth="1" outlineLevel="1"/>
    <col min="90" max="90" width="8" customWidth="1" outlineLevel="1"/>
    <col min="91" max="92" width="6.140625" customWidth="1" outlineLevel="1"/>
    <col min="93" max="93" width="9.28515625" customWidth="1" outlineLevel="1"/>
    <col min="94" max="94" width="6.140625" customWidth="1" outlineLevel="1"/>
    <col min="95" max="95" width="6.7109375" customWidth="1" outlineLevel="1"/>
    <col min="96" max="96" width="8" customWidth="1" outlineLevel="1"/>
    <col min="97" max="97" width="6.140625" customWidth="1" outlineLevel="1"/>
    <col min="98" max="98" width="6.7109375" customWidth="1" outlineLevel="1"/>
    <col min="99" max="99" width="9.5703125" customWidth="1"/>
    <col min="100" max="100" width="6.140625" customWidth="1" outlineLevel="1"/>
    <col min="101" max="101" width="7" customWidth="1" outlineLevel="1"/>
    <col min="102" max="102" width="8" customWidth="1" outlineLevel="1"/>
    <col min="103" max="103" width="6.140625" customWidth="1" outlineLevel="1"/>
    <col min="104" max="104" width="8.42578125" customWidth="1" outlineLevel="1"/>
    <col min="105" max="105" width="8" customWidth="1" outlineLevel="1"/>
    <col min="106" max="107" width="6.140625" customWidth="1" outlineLevel="1"/>
    <col min="108" max="108" width="9.28515625" customWidth="1" outlineLevel="1"/>
    <col min="109" max="110" width="6.140625" customWidth="1" outlineLevel="1"/>
    <col min="111" max="111" width="8" customWidth="1" outlineLevel="1"/>
    <col min="112" max="112" width="6.140625" customWidth="1" outlineLevel="1"/>
    <col min="113" max="113" width="8.42578125" customWidth="1" outlineLevel="1"/>
    <col min="114" max="114" width="9.28515625" customWidth="1" outlineLevel="1"/>
    <col min="115" max="116" width="6.140625" customWidth="1" outlineLevel="1"/>
    <col min="117" max="117" width="8" customWidth="1" outlineLevel="1"/>
    <col min="118" max="118" width="6.140625" customWidth="1" outlineLevel="1"/>
    <col min="119" max="119" width="6.7109375" customWidth="1" outlineLevel="1"/>
    <col min="120" max="120" width="9.28515625" customWidth="1"/>
    <col min="121" max="122" width="6.140625" customWidth="1" outlineLevel="1"/>
    <col min="123" max="123" width="8" customWidth="1" outlineLevel="1" collapsed="1"/>
    <col min="124" max="124" width="6.140625" customWidth="1" outlineLevel="1"/>
    <col min="125" max="125" width="6.7109375" customWidth="1" outlineLevel="1"/>
    <col min="126" max="126" width="8" customWidth="1" outlineLevel="1" collapsed="1"/>
    <col min="127" max="127" width="6.140625" customWidth="1" outlineLevel="1"/>
    <col min="128" max="128" width="6.7109375" customWidth="1" outlineLevel="1"/>
    <col min="129" max="129" width="9.28515625" customWidth="1" outlineLevel="1"/>
    <col min="130" max="130" width="6.140625" customWidth="1" outlineLevel="1"/>
    <col min="131" max="131" width="6.7109375" customWidth="1" outlineLevel="1"/>
    <col min="132" max="132" width="8" customWidth="1" outlineLevel="1" collapsed="1"/>
    <col min="133" max="133" width="6.140625" customWidth="1" outlineLevel="1"/>
    <col min="134" max="134" width="6" customWidth="1" outlineLevel="1"/>
    <col min="135" max="135" width="9.28515625" customWidth="1" outlineLevel="1"/>
    <col min="136" max="136" width="6.140625" customWidth="1" outlineLevel="1"/>
    <col min="137" max="137" width="5.85546875" customWidth="1" outlineLevel="1"/>
    <col min="138" max="138" width="9.28515625" customWidth="1" outlineLevel="1"/>
    <col min="139" max="139" width="6.140625" customWidth="1" outlineLevel="1"/>
    <col min="140" max="140" width="6.7109375" customWidth="1" outlineLevel="1"/>
    <col min="141" max="141" width="9.28515625" customWidth="1"/>
    <col min="142" max="142" width="6.140625" customWidth="1"/>
    <col min="143" max="143" width="6.7109375" customWidth="1"/>
    <col min="144" max="144" width="8" customWidth="1" outlineLevel="1"/>
    <col min="145" max="145" width="6.140625" customWidth="1" outlineLevel="1"/>
    <col min="146" max="146" width="6.7109375" customWidth="1" outlineLevel="1"/>
    <col min="147" max="147" width="9.140625" customWidth="1" outlineLevel="1" collapsed="1"/>
    <col min="148" max="148" width="6.140625" customWidth="1" outlineLevel="1"/>
    <col min="149" max="149" width="6.7109375" customWidth="1" outlineLevel="1"/>
    <col min="150" max="150" width="9.28515625" customWidth="1" outlineLevel="1"/>
    <col min="151" max="151" width="6.140625" customWidth="1" outlineLevel="1"/>
    <col min="152" max="152" width="6.7109375" customWidth="1" outlineLevel="1"/>
    <col min="153" max="153" width="9.28515625" customWidth="1" outlineLevel="1" collapsed="1"/>
    <col min="154" max="154" width="6.140625" customWidth="1" outlineLevel="1"/>
    <col min="155" max="155" width="7.85546875" customWidth="1" outlineLevel="1"/>
    <col min="156" max="156" width="9.28515625" customWidth="1" outlineLevel="1"/>
    <col min="157" max="157" width="6.140625" customWidth="1" outlineLevel="1"/>
    <col min="158" max="158" width="6.7109375" customWidth="1" outlineLevel="1"/>
    <col min="159" max="159" width="9.28515625" customWidth="1" outlineLevel="1" collapsed="1"/>
    <col min="160" max="160" width="6.140625" customWidth="1" outlineLevel="1"/>
    <col min="161" max="161" width="7.5703125" customWidth="1" outlineLevel="1"/>
    <col min="162" max="162" width="9.28515625" customWidth="1"/>
    <col min="163" max="163" width="6.140625" customWidth="1" outlineLevel="1"/>
    <col min="164" max="164" width="7.5703125" customWidth="1" outlineLevel="1"/>
    <col min="165" max="165" width="9.5703125" customWidth="1" outlineLevel="1"/>
    <col min="166" max="166" width="6.140625" customWidth="1" outlineLevel="1"/>
    <col min="167" max="167" width="6.7109375" customWidth="1" outlineLevel="1"/>
    <col min="168" max="168" width="9.28515625" customWidth="1" outlineLevel="1"/>
    <col min="169" max="169" width="6.140625" customWidth="1" outlineLevel="1"/>
    <col min="170" max="170" width="7.5703125" customWidth="1" outlineLevel="1"/>
    <col min="171" max="171" width="9.28515625" customWidth="1" outlineLevel="1"/>
    <col min="172" max="172" width="6.140625" customWidth="1" outlineLevel="1"/>
    <col min="173" max="173" width="6.85546875" customWidth="1" outlineLevel="1"/>
    <col min="174" max="174" width="9.28515625" customWidth="1" outlineLevel="1"/>
    <col min="175" max="175" width="6.140625" customWidth="1" outlineLevel="1"/>
    <col min="176" max="176" width="6.7109375" customWidth="1" outlineLevel="1"/>
    <col min="177" max="177" width="9.28515625" customWidth="1" outlineLevel="1"/>
    <col min="178" max="179" width="6.140625" customWidth="1" outlineLevel="1"/>
    <col min="180" max="180" width="9.28515625" customWidth="1" outlineLevel="1"/>
    <col min="181" max="182" width="6.140625" customWidth="1" outlineLevel="1"/>
    <col min="183" max="183" width="9.28515625" customWidth="1"/>
    <col min="184" max="185" width="6.140625" customWidth="1"/>
    <col min="186" max="186" width="9.42578125" customWidth="1" outlineLevel="1"/>
    <col min="187" max="188" width="6.140625" customWidth="1" outlineLevel="1"/>
    <col min="189" max="189" width="9.28515625" customWidth="1" outlineLevel="1"/>
    <col min="190" max="190" width="6.140625" customWidth="1" outlineLevel="1"/>
    <col min="191" max="191" width="6.7109375" customWidth="1" outlineLevel="1"/>
    <col min="192" max="192" width="9.28515625" customWidth="1" outlineLevel="1"/>
    <col min="193" max="193" width="6.140625" customWidth="1" outlineLevel="1"/>
    <col min="194" max="194" width="6.5703125" customWidth="1" outlineLevel="1"/>
    <col min="195" max="195" width="9.28515625" customWidth="1" outlineLevel="1"/>
    <col min="196" max="196" width="6.140625" customWidth="1" outlineLevel="1"/>
    <col min="197" max="197" width="7.85546875" customWidth="1" outlineLevel="1"/>
    <col min="198" max="198" width="9.28515625" customWidth="1" outlineLevel="1"/>
    <col min="199" max="200" width="6.140625" customWidth="1" outlineLevel="1"/>
    <col min="201" max="201" width="9.28515625" customWidth="1" outlineLevel="1"/>
    <col min="202" max="202" width="6.140625" customWidth="1" outlineLevel="1"/>
    <col min="203" max="203" width="7" customWidth="1" outlineLevel="1"/>
    <col min="204" max="204" width="9.28515625" customWidth="1"/>
    <col min="205" max="206" width="6.140625" customWidth="1"/>
    <col min="207" max="207" width="9.28515625" customWidth="1" outlineLevel="1"/>
    <col min="208" max="209" width="6.140625" customWidth="1" outlineLevel="1"/>
    <col min="210" max="210" width="9.28515625" customWidth="1" outlineLevel="1"/>
    <col min="211" max="211" width="6.140625" customWidth="1" outlineLevel="1"/>
    <col min="212" max="212" width="7" customWidth="1" outlineLevel="1"/>
    <col min="213" max="213" width="9.28515625" customWidth="1" outlineLevel="1"/>
    <col min="214" max="215" width="6.140625" customWidth="1" outlineLevel="1"/>
    <col min="216" max="216" width="9.28515625" customWidth="1" outlineLevel="1"/>
    <col min="217" max="217" width="6.28515625" customWidth="1" outlineLevel="1"/>
    <col min="218" max="218" width="7" customWidth="1" outlineLevel="1"/>
    <col min="219" max="219" width="9.28515625" customWidth="1" outlineLevel="1"/>
    <col min="220" max="221" width="7.7109375" customWidth="1" outlineLevel="1"/>
    <col min="222" max="222" width="9.28515625" customWidth="1" outlineLevel="1"/>
    <col min="223" max="223" width="7.7109375" customWidth="1" outlineLevel="1"/>
    <col min="224" max="224" width="7" customWidth="1" outlineLevel="1"/>
    <col min="225" max="225" width="9.28515625" customWidth="1"/>
    <col min="226" max="227" width="7.7109375" customWidth="1"/>
    <col min="228" max="228" width="9.28515625" customWidth="1" outlineLevel="1"/>
    <col min="229" max="230" width="6.7109375" customWidth="1" outlineLevel="1"/>
    <col min="231" max="231" width="9.28515625" customWidth="1" outlineLevel="1"/>
    <col min="232" max="232" width="6.140625" customWidth="1" outlineLevel="1"/>
    <col min="233" max="233" width="7" customWidth="1" outlineLevel="1"/>
    <col min="234" max="234" width="9.28515625" customWidth="1" outlineLevel="1"/>
    <col min="235" max="236" width="6.140625" customWidth="1" outlineLevel="1"/>
    <col min="237" max="237" width="9.28515625" customWidth="1" outlineLevel="1"/>
    <col min="238" max="238" width="6.140625" customWidth="1" outlineLevel="1"/>
    <col min="239" max="239" width="7" customWidth="1" outlineLevel="1"/>
    <col min="240" max="240" width="9.28515625" customWidth="1" outlineLevel="1"/>
    <col min="241" max="242" width="6.140625" customWidth="1" outlineLevel="1"/>
    <col min="243" max="243" width="9.28515625" customWidth="1" outlineLevel="1"/>
    <col min="244" max="244" width="6.140625" customWidth="1" outlineLevel="1"/>
    <col min="245" max="245" width="7" customWidth="1" outlineLevel="1"/>
    <col min="246" max="246" width="9.28515625" customWidth="1"/>
    <col min="247" max="248" width="6.140625" customWidth="1"/>
    <col min="249" max="249" width="9.28515625" customWidth="1" outlineLevel="1"/>
    <col min="250" max="251" width="6.7109375" customWidth="1" outlineLevel="1"/>
    <col min="252" max="252" width="9.28515625" customWidth="1" outlineLevel="1"/>
    <col min="253" max="253" width="6.140625" customWidth="1" outlineLevel="1"/>
    <col min="254" max="254" width="7" customWidth="1" outlineLevel="1"/>
    <col min="255" max="255" width="9.28515625" customWidth="1" outlineLevel="1"/>
    <col min="256" max="257" width="6.140625" customWidth="1" outlineLevel="1"/>
    <col min="258" max="258" width="9.28515625" customWidth="1" outlineLevel="1"/>
    <col min="259" max="259" width="6.140625" customWidth="1" outlineLevel="1"/>
    <col min="260" max="260" width="7" customWidth="1" outlineLevel="1"/>
    <col min="261" max="261" width="10" customWidth="1" outlineLevel="1"/>
    <col min="262" max="262" width="6.28515625" customWidth="1" outlineLevel="1"/>
    <col min="263" max="263" width="6.140625" customWidth="1" outlineLevel="1"/>
    <col min="264" max="264" width="9.140625" customWidth="1" outlineLevel="1"/>
    <col min="265" max="265" width="6" customWidth="1" outlineLevel="1"/>
    <col min="266" max="266" width="6.7109375" customWidth="1" outlineLevel="1"/>
    <col min="267" max="267" width="10.140625" customWidth="1"/>
    <col min="268" max="269" width="6" customWidth="1"/>
    <col min="270" max="270" width="9.140625" customWidth="1" outlineLevel="1"/>
    <col min="271" max="271" width="6" customWidth="1" outlineLevel="1"/>
    <col min="272" max="272" width="6.7109375" customWidth="1" outlineLevel="1"/>
    <col min="273" max="273" width="9.140625" customWidth="1" outlineLevel="1"/>
    <col min="274" max="274" width="6" customWidth="1" outlineLevel="1"/>
    <col min="275" max="275" width="6.7109375" customWidth="1" outlineLevel="1"/>
    <col min="276" max="276" width="9.140625" customWidth="1" outlineLevel="1"/>
    <col min="277" max="277" width="6" customWidth="1" outlineLevel="1"/>
    <col min="278" max="278" width="6.7109375" customWidth="1" outlineLevel="1"/>
    <col min="279" max="279" width="9.140625" customWidth="1" outlineLevel="1"/>
    <col min="280" max="281" width="6.7109375" customWidth="1" outlineLevel="1"/>
    <col min="282" max="282" width="9.140625" customWidth="1" outlineLevel="1"/>
    <col min="283" max="284" width="6.7109375" customWidth="1" outlineLevel="1"/>
    <col min="285" max="285" width="10.42578125" customWidth="1" outlineLevel="1"/>
    <col min="286" max="287" width="6.7109375" customWidth="1" outlineLevel="1"/>
    <col min="288" max="288" width="10.42578125" customWidth="1"/>
    <col min="289" max="290" width="6.7109375" customWidth="1"/>
    <col min="291" max="291" width="10.42578125" customWidth="1" outlineLevel="1"/>
    <col min="292" max="292" width="6.7109375" customWidth="1" outlineLevel="1"/>
    <col min="293" max="293" width="7.7109375" customWidth="1" outlineLevel="1"/>
    <col min="294" max="294" width="9.140625" customWidth="1" outlineLevel="1"/>
    <col min="295" max="295" width="6" customWidth="1" outlineLevel="1"/>
    <col min="296" max="296" width="6.7109375" customWidth="1" outlineLevel="1"/>
    <col min="297" max="297" width="9.140625" customWidth="1" outlineLevel="1"/>
    <col min="298" max="298" width="6" customWidth="1" outlineLevel="1"/>
    <col min="299" max="299" width="6.7109375" customWidth="1" outlineLevel="1"/>
    <col min="300" max="300" width="9.140625" customWidth="1" outlineLevel="1"/>
    <col min="301" max="302" width="6.7109375" customWidth="1" outlineLevel="1"/>
    <col min="303" max="303" width="9.140625" customWidth="1" outlineLevel="1"/>
    <col min="304" max="305" width="6.7109375" customWidth="1" outlineLevel="1"/>
    <col min="306" max="306" width="13.85546875" customWidth="1" outlineLevel="1"/>
    <col min="307" max="307" width="6.7109375" customWidth="1"/>
    <col min="308" max="308" width="7.5703125" bestFit="1" customWidth="1"/>
    <col min="309" max="309" width="10.140625" customWidth="1"/>
    <col min="310" max="311" width="6.7109375" customWidth="1"/>
    <col min="312" max="312" width="10.7109375" customWidth="1"/>
    <col min="313" max="313" width="6.7109375" customWidth="1"/>
    <col min="314" max="314" width="7.5703125" customWidth="1"/>
    <col min="315" max="315" width="9.140625" customWidth="1"/>
    <col min="316" max="316" width="7.7109375" customWidth="1"/>
    <col min="317" max="317" width="6.7109375" customWidth="1"/>
    <col min="318" max="318" width="10" customWidth="1"/>
    <col min="319" max="319" width="6" customWidth="1"/>
    <col min="320" max="320" width="6.7109375" style="585" customWidth="1"/>
    <col min="321" max="321" width="11.42578125" customWidth="1"/>
    <col min="322" max="322" width="6" style="585" customWidth="1"/>
    <col min="323" max="323" width="6.7109375" style="585" customWidth="1"/>
    <col min="324" max="324" width="10" customWidth="1"/>
    <col min="325" max="325" width="6" style="585" customWidth="1"/>
    <col min="326" max="326" width="6.7109375" style="585" customWidth="1"/>
    <col min="327" max="327" width="11.42578125" style="599" bestFit="1" customWidth="1"/>
    <col min="328" max="328" width="6" style="599" customWidth="1"/>
    <col min="329" max="329" width="6.7109375" style="599" customWidth="1"/>
    <col min="330" max="330" width="10" style="599" bestFit="1" customWidth="1"/>
    <col min="331" max="331" width="6" style="599" customWidth="1"/>
    <col min="332" max="332" width="6.7109375" style="599" customWidth="1"/>
  </cols>
  <sheetData>
    <row r="1" spans="1:332" ht="16.5" customHeight="1">
      <c r="A1" s="103"/>
      <c r="B1" s="612" t="s">
        <v>1132</v>
      </c>
      <c r="C1" s="612"/>
      <c r="D1" s="615"/>
      <c r="E1" s="615"/>
      <c r="F1" s="102"/>
      <c r="G1" s="613"/>
      <c r="H1" s="613"/>
      <c r="I1" s="613"/>
      <c r="J1" s="102"/>
      <c r="K1" s="613"/>
      <c r="L1" s="613"/>
      <c r="M1" s="613"/>
      <c r="N1" s="102"/>
      <c r="O1" s="613"/>
      <c r="P1" s="613"/>
      <c r="Q1" s="613"/>
      <c r="R1" s="102"/>
      <c r="S1" s="613"/>
      <c r="T1" s="613"/>
      <c r="U1" s="102"/>
      <c r="V1" s="614"/>
      <c r="W1" s="614"/>
      <c r="X1" s="102"/>
      <c r="Y1" s="102"/>
      <c r="Z1" s="102"/>
      <c r="AA1" s="102"/>
      <c r="AB1" s="102"/>
      <c r="AC1" s="102"/>
      <c r="AD1" s="102"/>
      <c r="AE1" s="102"/>
      <c r="AF1" s="102"/>
      <c r="AG1" s="102"/>
      <c r="AH1" s="102"/>
      <c r="AI1" s="102"/>
      <c r="AJ1" s="102"/>
      <c r="AK1" s="102"/>
      <c r="AL1" s="102"/>
      <c r="AM1" s="103"/>
      <c r="AN1" s="104"/>
      <c r="AO1" s="104"/>
      <c r="AP1" s="103"/>
      <c r="AQ1" s="104"/>
      <c r="AR1" s="104"/>
      <c r="AS1" s="104"/>
      <c r="AT1" s="104"/>
      <c r="AU1" s="104"/>
      <c r="AV1" s="103"/>
      <c r="AW1" s="104"/>
      <c r="AX1" s="104"/>
      <c r="AY1" s="104"/>
      <c r="AZ1" s="104"/>
      <c r="BA1" s="104"/>
      <c r="BB1" s="103"/>
      <c r="BC1" s="104"/>
      <c r="BD1" s="104"/>
      <c r="BE1" s="103"/>
      <c r="BF1" s="104"/>
      <c r="BG1" s="104"/>
      <c r="BH1" s="103"/>
      <c r="BI1" s="104"/>
      <c r="BJ1" s="104"/>
      <c r="BK1" s="103"/>
      <c r="BL1" s="104"/>
      <c r="BM1" s="104"/>
      <c r="BN1" s="103"/>
      <c r="BO1" s="104"/>
      <c r="BP1" s="104"/>
      <c r="BQ1" s="103"/>
      <c r="BR1" s="104"/>
      <c r="BS1" s="104"/>
      <c r="BT1" s="103"/>
      <c r="BU1" s="104"/>
      <c r="BV1" s="104"/>
      <c r="BW1" s="103"/>
      <c r="BX1" s="104"/>
      <c r="BY1" s="104"/>
      <c r="BZ1" s="103"/>
      <c r="CA1" s="104"/>
      <c r="CB1" s="104"/>
      <c r="CC1" s="103"/>
      <c r="CD1" s="104"/>
      <c r="CE1" s="104"/>
      <c r="CF1" s="103"/>
      <c r="CG1" s="104"/>
      <c r="CH1" s="104"/>
      <c r="CI1" s="103"/>
      <c r="CJ1" s="104"/>
      <c r="CK1" s="104"/>
      <c r="CL1" s="103"/>
      <c r="CM1" s="104"/>
      <c r="CN1" s="104"/>
      <c r="CO1" s="103"/>
      <c r="CP1" s="104"/>
      <c r="CQ1" s="104"/>
      <c r="CR1" s="103"/>
      <c r="CS1" s="104"/>
      <c r="CT1" s="104"/>
      <c r="CU1" s="103"/>
      <c r="CV1" s="104"/>
      <c r="CW1" s="104"/>
      <c r="CX1" s="103"/>
      <c r="CY1" s="104"/>
      <c r="CZ1" s="104"/>
      <c r="DA1" s="103"/>
      <c r="DB1" s="104"/>
      <c r="DC1" s="104"/>
      <c r="DD1" s="103"/>
      <c r="DE1" s="104"/>
      <c r="DF1" s="104"/>
      <c r="DG1" s="103"/>
      <c r="DH1" s="104"/>
      <c r="DI1" s="104"/>
      <c r="DJ1" s="103"/>
      <c r="DK1" s="104"/>
      <c r="DL1" s="104"/>
      <c r="DM1" s="105"/>
      <c r="DN1" s="105"/>
      <c r="DO1" s="105"/>
      <c r="DP1" s="103"/>
      <c r="DQ1" s="104"/>
      <c r="DR1" s="104"/>
      <c r="DS1" s="103"/>
      <c r="DT1" s="104"/>
      <c r="DU1" s="104"/>
      <c r="DV1" s="103"/>
      <c r="DW1" s="104"/>
      <c r="DX1" s="104"/>
      <c r="DY1" s="105"/>
      <c r="DZ1" s="105"/>
      <c r="EA1" s="106"/>
      <c r="EB1" s="103"/>
      <c r="EC1" s="104"/>
      <c r="ED1" s="104"/>
      <c r="EE1" s="105"/>
      <c r="EF1" s="105"/>
      <c r="EG1" s="106"/>
      <c r="EH1" s="105"/>
      <c r="EI1" s="105"/>
      <c r="EJ1" s="106"/>
      <c r="EK1" s="105"/>
      <c r="EL1" s="105"/>
      <c r="EM1" s="106"/>
      <c r="EN1" s="105"/>
      <c r="EO1" s="105"/>
      <c r="EP1" s="105"/>
      <c r="EQ1" s="103"/>
      <c r="ER1" s="106"/>
      <c r="ES1" s="104"/>
      <c r="ET1" s="105"/>
      <c r="EU1" s="106"/>
      <c r="EV1" s="106"/>
      <c r="EW1" s="103"/>
      <c r="EX1" s="106"/>
      <c r="EY1" s="106"/>
      <c r="EZ1" s="105"/>
      <c r="FA1" s="106"/>
      <c r="FB1" s="106"/>
      <c r="FC1" s="103"/>
      <c r="FD1" s="106"/>
      <c r="FE1" s="106"/>
      <c r="FF1" s="105"/>
      <c r="FG1" s="106"/>
      <c r="FH1" s="106"/>
      <c r="FI1" s="105"/>
      <c r="FJ1" s="106"/>
      <c r="FK1" s="106"/>
      <c r="FL1" s="105"/>
      <c r="FM1" s="105"/>
      <c r="FN1" s="105"/>
      <c r="FO1" s="105"/>
      <c r="FP1" s="105"/>
      <c r="FQ1" s="105"/>
      <c r="FR1" s="105"/>
      <c r="FS1" s="105"/>
      <c r="FT1" s="105"/>
      <c r="FU1" s="105"/>
      <c r="FV1" s="105"/>
      <c r="FW1" s="105"/>
      <c r="FX1" s="105"/>
      <c r="FY1" s="105"/>
      <c r="FZ1" s="105"/>
      <c r="GA1" s="105"/>
      <c r="GB1" s="105"/>
      <c r="GC1" s="105"/>
      <c r="GD1" s="105"/>
      <c r="GE1" s="105"/>
      <c r="GF1" s="105"/>
      <c r="GG1" s="105"/>
      <c r="GH1" s="105"/>
      <c r="GI1" s="105"/>
      <c r="GJ1" s="105"/>
      <c r="GK1" s="105"/>
      <c r="GL1" s="105"/>
      <c r="GM1" s="105"/>
      <c r="GN1" s="105"/>
      <c r="GO1" s="105"/>
      <c r="GP1" s="105"/>
      <c r="GQ1" s="105"/>
      <c r="GR1" s="105"/>
      <c r="GS1" s="105"/>
      <c r="GT1" s="105"/>
      <c r="GU1" s="105"/>
      <c r="GV1" s="105"/>
      <c r="GW1" s="105"/>
      <c r="GX1" s="105"/>
      <c r="GY1" s="105"/>
      <c r="GZ1" s="105"/>
      <c r="HA1" s="105"/>
      <c r="HB1" s="103"/>
      <c r="HC1" s="105"/>
      <c r="HD1" s="103"/>
      <c r="HE1" s="103"/>
      <c r="HF1" s="105"/>
      <c r="HG1" s="103"/>
      <c r="HH1" s="105"/>
      <c r="HI1" s="105"/>
      <c r="HJ1" s="105"/>
      <c r="HK1" s="105"/>
      <c r="HL1" s="105"/>
      <c r="HM1" s="105"/>
      <c r="HN1" s="105"/>
      <c r="HO1" s="105"/>
      <c r="HP1" s="105"/>
      <c r="HQ1" s="105"/>
      <c r="HR1" s="105"/>
      <c r="HS1" s="105"/>
      <c r="HT1" s="105"/>
      <c r="HU1" s="105"/>
      <c r="HV1" s="105"/>
      <c r="HW1" s="103"/>
      <c r="HX1" s="105"/>
      <c r="HY1" s="103"/>
      <c r="HZ1" s="103"/>
      <c r="IA1" s="105"/>
      <c r="IB1" s="103"/>
      <c r="IC1" s="103"/>
      <c r="ID1" s="105"/>
      <c r="IE1" s="103"/>
      <c r="IF1" s="103"/>
      <c r="IG1" s="105"/>
      <c r="IH1" s="103"/>
      <c r="II1" s="103"/>
      <c r="IJ1" s="105"/>
      <c r="IK1" s="103"/>
      <c r="IL1" s="103"/>
      <c r="IM1" s="105"/>
      <c r="IN1" s="103"/>
      <c r="IO1" s="105"/>
      <c r="IP1" s="105"/>
      <c r="IQ1" s="105"/>
      <c r="IR1" s="103"/>
      <c r="IS1" s="105"/>
      <c r="IT1" s="103"/>
      <c r="IU1" s="103"/>
      <c r="IV1" s="105"/>
      <c r="IW1" s="103"/>
      <c r="IX1" s="103"/>
      <c r="IY1" s="105"/>
      <c r="IZ1" s="103"/>
      <c r="JA1" s="103"/>
      <c r="JB1" s="105"/>
      <c r="JC1" s="103"/>
      <c r="JD1" s="103"/>
      <c r="JE1" s="103"/>
      <c r="JF1" s="103"/>
      <c r="JG1" s="103"/>
      <c r="JH1" s="103"/>
      <c r="JI1" s="103"/>
      <c r="JJ1" s="103"/>
      <c r="JK1" s="103"/>
      <c r="JL1" s="103"/>
      <c r="JM1" s="103"/>
      <c r="JN1" s="103"/>
      <c r="JO1" s="103"/>
      <c r="JP1" s="103"/>
      <c r="JQ1" s="103"/>
      <c r="JR1" s="103"/>
      <c r="JS1" s="103"/>
      <c r="JT1" s="103"/>
      <c r="JU1" s="103"/>
      <c r="JV1" s="103"/>
      <c r="JW1" s="103"/>
      <c r="JX1" s="103"/>
      <c r="JY1" s="103"/>
      <c r="JZ1" s="103"/>
      <c r="KA1" s="103"/>
      <c r="KB1" s="103"/>
      <c r="KC1" s="103"/>
      <c r="KD1" s="103"/>
      <c r="KE1" s="555">
        <v>1</v>
      </c>
      <c r="KF1" s="555">
        <f>KE1+1</f>
        <v>2</v>
      </c>
      <c r="KG1" s="555">
        <f t="shared" ref="KG1:LH1" si="0">KF1+1</f>
        <v>3</v>
      </c>
      <c r="KH1" s="555">
        <f t="shared" si="0"/>
        <v>4</v>
      </c>
      <c r="KI1" s="555">
        <f t="shared" si="0"/>
        <v>5</v>
      </c>
      <c r="KJ1" s="555">
        <f t="shared" si="0"/>
        <v>6</v>
      </c>
      <c r="KK1" s="555">
        <f t="shared" si="0"/>
        <v>7</v>
      </c>
      <c r="KL1" s="555">
        <f t="shared" si="0"/>
        <v>8</v>
      </c>
      <c r="KM1" s="555">
        <f t="shared" si="0"/>
        <v>9</v>
      </c>
      <c r="KN1" s="555">
        <f t="shared" si="0"/>
        <v>10</v>
      </c>
      <c r="KO1" s="555">
        <f t="shared" si="0"/>
        <v>11</v>
      </c>
      <c r="KP1" s="555">
        <f t="shared" si="0"/>
        <v>12</v>
      </c>
      <c r="KQ1" s="555">
        <f t="shared" si="0"/>
        <v>13</v>
      </c>
      <c r="KR1" s="555">
        <f t="shared" si="0"/>
        <v>14</v>
      </c>
      <c r="KS1" s="555">
        <f t="shared" si="0"/>
        <v>15</v>
      </c>
      <c r="KT1" s="555">
        <f t="shared" si="0"/>
        <v>16</v>
      </c>
      <c r="KU1" s="555">
        <f t="shared" si="0"/>
        <v>17</v>
      </c>
      <c r="KV1" s="555">
        <f t="shared" si="0"/>
        <v>18</v>
      </c>
      <c r="KW1" s="555">
        <f t="shared" si="0"/>
        <v>19</v>
      </c>
      <c r="KX1" s="555">
        <f t="shared" si="0"/>
        <v>20</v>
      </c>
      <c r="KY1" s="555">
        <f t="shared" si="0"/>
        <v>21</v>
      </c>
      <c r="KZ1" s="555">
        <f t="shared" si="0"/>
        <v>22</v>
      </c>
      <c r="LA1" s="555">
        <f t="shared" si="0"/>
        <v>23</v>
      </c>
      <c r="LB1" s="555">
        <f t="shared" si="0"/>
        <v>24</v>
      </c>
      <c r="LC1" s="555">
        <f t="shared" si="0"/>
        <v>25</v>
      </c>
      <c r="LD1" s="361"/>
      <c r="LE1" s="590"/>
      <c r="LF1" s="555">
        <f t="shared" si="0"/>
        <v>1</v>
      </c>
      <c r="LG1" s="103"/>
      <c r="LH1" s="555">
        <f t="shared" si="0"/>
        <v>1</v>
      </c>
      <c r="LI1" s="555">
        <f t="shared" ref="LI1" si="1">LG1+1</f>
        <v>1</v>
      </c>
      <c r="LJ1" s="103"/>
      <c r="LK1" s="555">
        <f t="shared" ref="LK1" si="2">LJ1+1</f>
        <v>1</v>
      </c>
      <c r="LL1" s="555">
        <f t="shared" ref="LL1" si="3">LK1+1</f>
        <v>2</v>
      </c>
      <c r="LM1" s="103"/>
      <c r="LN1" s="555">
        <f t="shared" ref="LN1" si="4">LM1+1</f>
        <v>1</v>
      </c>
      <c r="LO1" s="555">
        <f t="shared" ref="LO1" si="5">LM1+1</f>
        <v>1</v>
      </c>
      <c r="LP1" s="103"/>
      <c r="LQ1" s="555">
        <f t="shared" ref="LQ1" si="6">LP1+1</f>
        <v>1</v>
      </c>
      <c r="LR1" s="555">
        <f t="shared" ref="LR1" si="7">LQ1+1</f>
        <v>2</v>
      </c>
      <c r="LS1" s="103"/>
      <c r="LT1" s="555">
        <f t="shared" ref="LT1" si="8">LS1+1</f>
        <v>1</v>
      </c>
    </row>
    <row r="2" spans="1:332" ht="18" customHeight="1">
      <c r="A2" s="103"/>
      <c r="B2" s="107"/>
      <c r="C2" s="102"/>
      <c r="D2" s="102"/>
      <c r="E2" s="102"/>
      <c r="F2" s="102"/>
      <c r="G2" s="102"/>
      <c r="H2" s="102"/>
      <c r="I2" s="102"/>
      <c r="J2" s="102"/>
      <c r="K2" s="102"/>
      <c r="L2" s="102"/>
      <c r="M2" s="102"/>
      <c r="N2" s="105"/>
      <c r="O2" s="102"/>
      <c r="P2" s="102"/>
      <c r="Q2" s="102"/>
      <c r="R2" s="102"/>
      <c r="S2" s="102"/>
      <c r="T2" s="102"/>
      <c r="U2" s="105"/>
      <c r="V2" s="102"/>
      <c r="W2" s="102"/>
      <c r="X2" s="102"/>
      <c r="Y2" s="102"/>
      <c r="Z2" s="102"/>
      <c r="AA2" s="102"/>
      <c r="AB2" s="102"/>
      <c r="AC2" s="102"/>
      <c r="AD2" s="102"/>
      <c r="AE2" s="102"/>
      <c r="AF2" s="102"/>
      <c r="AG2" s="102"/>
      <c r="AH2" s="102"/>
      <c r="AI2" s="102"/>
      <c r="AJ2" s="105"/>
      <c r="AK2" s="102"/>
      <c r="AL2" s="102"/>
      <c r="AM2" s="103"/>
      <c r="AN2" s="104"/>
      <c r="AO2" s="104"/>
      <c r="AP2" s="103"/>
      <c r="AQ2" s="104"/>
      <c r="AR2" s="104"/>
      <c r="AS2" s="104"/>
      <c r="AT2" s="104"/>
      <c r="AU2" s="104"/>
      <c r="AV2" s="103"/>
      <c r="AW2" s="104"/>
      <c r="AX2" s="104"/>
      <c r="AY2" s="104"/>
      <c r="AZ2" s="104"/>
      <c r="BA2" s="104"/>
      <c r="BB2" s="103"/>
      <c r="BC2" s="104"/>
      <c r="BD2" s="104"/>
      <c r="BE2" s="103"/>
      <c r="BF2" s="104"/>
      <c r="BG2" s="104"/>
      <c r="BH2" s="103"/>
      <c r="BI2" s="104"/>
      <c r="BJ2" s="104"/>
      <c r="BK2" s="103"/>
      <c r="BL2" s="104"/>
      <c r="BM2" s="104"/>
      <c r="BN2" s="103"/>
      <c r="BO2" s="104"/>
      <c r="BP2" s="104"/>
      <c r="BQ2" s="103"/>
      <c r="BR2" s="104"/>
      <c r="BS2" s="104"/>
      <c r="BT2" s="103"/>
      <c r="BU2" s="104"/>
      <c r="BV2" s="104"/>
      <c r="BW2" s="103"/>
      <c r="BX2" s="104"/>
      <c r="BY2" s="104"/>
      <c r="BZ2" s="103"/>
      <c r="CA2" s="104"/>
      <c r="CB2" s="104"/>
      <c r="CC2" s="103"/>
      <c r="CD2" s="104"/>
      <c r="CE2" s="104"/>
      <c r="CF2" s="103"/>
      <c r="CG2" s="104"/>
      <c r="CH2" s="104"/>
      <c r="CI2" s="103"/>
      <c r="CJ2" s="104"/>
      <c r="CK2" s="104"/>
      <c r="CL2" s="103"/>
      <c r="CM2" s="104"/>
      <c r="CN2" s="104"/>
      <c r="CO2" s="103"/>
      <c r="CP2" s="104"/>
      <c r="CQ2" s="104"/>
      <c r="CR2" s="103"/>
      <c r="CS2" s="104"/>
      <c r="CT2" s="104"/>
      <c r="CU2" s="103"/>
      <c r="CV2" s="104"/>
      <c r="CW2" s="104"/>
      <c r="CX2" s="103"/>
      <c r="CY2" s="104"/>
      <c r="CZ2" s="104"/>
      <c r="DA2" s="103"/>
      <c r="DB2" s="104"/>
      <c r="DC2" s="104"/>
      <c r="DD2" s="103"/>
      <c r="DE2" s="104"/>
      <c r="DF2" s="104"/>
      <c r="DG2" s="103"/>
      <c r="DH2" s="104"/>
      <c r="DI2" s="104"/>
      <c r="DJ2" s="103"/>
      <c r="DK2" s="104"/>
      <c r="DL2" s="104"/>
      <c r="DM2" s="105"/>
      <c r="DN2" s="105"/>
      <c r="DO2" s="105"/>
      <c r="DP2" s="103"/>
      <c r="DQ2" s="104"/>
      <c r="DR2" s="104"/>
      <c r="DS2" s="103"/>
      <c r="DT2" s="104"/>
      <c r="DU2" s="104"/>
      <c r="DV2" s="184"/>
      <c r="DW2" s="184"/>
      <c r="DX2" s="184"/>
      <c r="DY2" s="184"/>
      <c r="DZ2" s="184"/>
      <c r="EA2" s="184"/>
      <c r="EB2" s="184"/>
      <c r="EC2" s="184"/>
      <c r="ED2" s="184"/>
      <c r="EE2" s="184"/>
      <c r="EF2" s="184"/>
      <c r="EG2" s="184"/>
      <c r="EH2" s="184"/>
      <c r="EI2" s="184"/>
      <c r="EJ2" s="184"/>
      <c r="EK2" s="184"/>
      <c r="EL2" s="184"/>
      <c r="EM2" s="184"/>
      <c r="EN2" s="105"/>
      <c r="EO2" s="184"/>
      <c r="EP2" s="184"/>
      <c r="EQ2" s="184"/>
      <c r="ER2" s="184"/>
      <c r="ES2" s="184"/>
      <c r="ET2" s="184"/>
      <c r="EU2" s="184"/>
      <c r="EV2" s="184"/>
      <c r="EW2" s="184"/>
      <c r="EX2" s="184"/>
      <c r="EY2" s="184"/>
      <c r="EZ2" s="184"/>
      <c r="FA2" s="184"/>
      <c r="FB2" s="184"/>
      <c r="FC2" s="184"/>
      <c r="FD2" s="184"/>
      <c r="FE2" s="184"/>
      <c r="FF2" s="184"/>
      <c r="FG2" s="184"/>
      <c r="FH2" s="184"/>
      <c r="FI2" s="184"/>
      <c r="FJ2" s="184"/>
      <c r="FK2" s="184"/>
      <c r="FL2" s="105"/>
      <c r="FM2" s="105"/>
      <c r="FN2" s="105"/>
      <c r="FO2" s="105"/>
      <c r="FP2" s="105"/>
      <c r="FQ2" s="105"/>
      <c r="FR2" s="105"/>
      <c r="FS2" s="105"/>
      <c r="FT2" s="105"/>
      <c r="FU2" s="105"/>
      <c r="FV2" s="105"/>
      <c r="FW2" s="105"/>
      <c r="FX2" s="105"/>
      <c r="FY2" s="105"/>
      <c r="FZ2" s="105"/>
      <c r="GA2" s="105"/>
      <c r="GB2" s="105"/>
      <c r="GC2" s="105"/>
      <c r="GD2" s="105"/>
      <c r="GE2" s="105"/>
      <c r="GF2" s="105"/>
      <c r="GG2" s="105"/>
      <c r="GH2" s="105"/>
      <c r="GI2" s="105"/>
      <c r="GJ2" s="105"/>
      <c r="GK2" s="105"/>
      <c r="GL2" s="105"/>
      <c r="GM2" s="105"/>
      <c r="GN2" s="105"/>
      <c r="GO2" s="105"/>
      <c r="GP2" s="105"/>
      <c r="GQ2" s="105"/>
      <c r="GR2" s="105"/>
      <c r="GS2" s="105"/>
      <c r="GT2" s="105"/>
      <c r="GU2" s="105"/>
      <c r="GV2" s="105"/>
      <c r="GW2" s="105"/>
      <c r="GX2" s="105"/>
      <c r="GY2" s="105"/>
      <c r="GZ2" s="105"/>
      <c r="HA2" s="105"/>
      <c r="HB2" s="103"/>
      <c r="HC2" s="105"/>
      <c r="HD2" s="103"/>
      <c r="HE2" s="103"/>
      <c r="HF2" s="105"/>
      <c r="HG2" s="103"/>
      <c r="HH2" s="105"/>
      <c r="HI2" s="105"/>
      <c r="HJ2" s="105"/>
      <c r="HK2" s="105"/>
      <c r="HL2" s="105"/>
      <c r="HM2" s="105"/>
      <c r="HN2" s="105"/>
      <c r="HO2" s="105"/>
      <c r="HP2" s="105"/>
      <c r="HQ2" s="105"/>
      <c r="HR2" s="105"/>
      <c r="HS2" s="105"/>
      <c r="HT2" s="201"/>
      <c r="HU2" s="105"/>
      <c r="HV2" s="105"/>
      <c r="HW2" s="103"/>
      <c r="HX2" s="105"/>
      <c r="HY2" s="103"/>
      <c r="HZ2" s="103"/>
      <c r="IA2" s="105"/>
      <c r="IB2" s="103"/>
      <c r="IC2" s="103"/>
      <c r="ID2" s="105"/>
      <c r="IE2" s="103"/>
      <c r="IF2" s="103"/>
      <c r="IG2" s="105"/>
      <c r="IH2" s="103"/>
      <c r="II2" s="103"/>
      <c r="IJ2" s="105"/>
      <c r="IK2" s="103"/>
      <c r="IL2" s="103"/>
      <c r="IM2" s="105"/>
      <c r="IN2" s="103"/>
      <c r="IO2" s="201"/>
      <c r="IP2" s="105"/>
      <c r="IQ2" s="105"/>
      <c r="IR2" s="103"/>
      <c r="IS2" s="105"/>
      <c r="IT2" s="103"/>
      <c r="IU2" s="103"/>
      <c r="IV2" s="105"/>
      <c r="IW2" s="103"/>
      <c r="IX2" s="103"/>
      <c r="IY2" s="105"/>
      <c r="IZ2" s="103"/>
      <c r="JA2" s="103"/>
      <c r="JB2" s="105"/>
      <c r="JC2" s="103"/>
      <c r="JD2" s="103"/>
      <c r="JE2" s="103"/>
      <c r="JF2" s="103"/>
      <c r="JG2" s="103"/>
      <c r="JH2" s="103"/>
      <c r="JI2" s="103"/>
      <c r="JJ2" s="103"/>
      <c r="JK2" s="103"/>
      <c r="JL2" s="103"/>
      <c r="JM2" s="103"/>
      <c r="JN2" s="103"/>
      <c r="JO2" s="103"/>
      <c r="JP2" s="103"/>
      <c r="JQ2" s="103"/>
      <c r="JR2" s="103"/>
      <c r="JS2" s="103"/>
      <c r="JT2" s="103"/>
      <c r="JU2" s="103"/>
      <c r="JV2" s="103"/>
      <c r="JW2" s="103"/>
      <c r="JX2" s="103"/>
      <c r="JY2" s="103"/>
      <c r="JZ2" s="103"/>
      <c r="KA2" s="103"/>
      <c r="KB2" s="103"/>
      <c r="KC2" s="103"/>
      <c r="KD2" s="103"/>
      <c r="KE2" s="556"/>
      <c r="KF2" s="556"/>
      <c r="KG2" s="556"/>
      <c r="KH2" s="556"/>
      <c r="KI2" s="556"/>
      <c r="KJ2" s="556"/>
      <c r="KK2" s="556"/>
      <c r="KL2" s="556"/>
      <c r="KM2" s="556"/>
      <c r="KN2" s="556"/>
      <c r="KO2" s="556"/>
      <c r="KP2" s="556"/>
      <c r="KQ2" s="556"/>
      <c r="KR2" s="556"/>
      <c r="KS2" s="556"/>
      <c r="KT2" s="556"/>
      <c r="KU2" s="556"/>
      <c r="KV2" s="556"/>
      <c r="KW2" s="556"/>
      <c r="KX2" s="556"/>
      <c r="KY2" s="556"/>
      <c r="KZ2" s="556"/>
      <c r="LA2" s="556"/>
      <c r="LB2" s="556"/>
      <c r="LC2" s="556"/>
      <c r="LD2" s="556"/>
      <c r="LE2" s="556"/>
      <c r="LF2" s="556"/>
      <c r="LG2" s="103"/>
      <c r="LH2" s="556"/>
      <c r="LI2" s="556"/>
      <c r="LJ2" s="361"/>
      <c r="LK2" s="556"/>
      <c r="LL2" s="556"/>
      <c r="LM2" s="103"/>
      <c r="LN2" s="556"/>
      <c r="LO2" s="556"/>
      <c r="LP2" s="361"/>
      <c r="LQ2" s="556"/>
      <c r="LR2" s="556"/>
      <c r="LS2" s="103"/>
      <c r="LT2" s="556"/>
    </row>
    <row r="3" spans="1:332" ht="18" customHeight="1">
      <c r="A3" s="108"/>
      <c r="B3" s="285" t="s">
        <v>278</v>
      </c>
      <c r="C3" s="286" t="s">
        <v>207</v>
      </c>
      <c r="D3" s="287" t="s">
        <v>1468</v>
      </c>
      <c r="E3" s="288" t="s">
        <v>4</v>
      </c>
      <c r="F3" s="289" t="s">
        <v>1469</v>
      </c>
      <c r="G3" s="288" t="s">
        <v>4</v>
      </c>
      <c r="H3" s="289" t="s">
        <v>62</v>
      </c>
      <c r="I3" s="288" t="s">
        <v>4</v>
      </c>
      <c r="J3" s="289" t="s">
        <v>1470</v>
      </c>
      <c r="K3" s="288" t="s">
        <v>4</v>
      </c>
      <c r="L3" s="289" t="s">
        <v>63</v>
      </c>
      <c r="M3" s="288" t="s">
        <v>4</v>
      </c>
      <c r="N3" s="289" t="s">
        <v>1471</v>
      </c>
      <c r="O3" s="288" t="s">
        <v>4</v>
      </c>
      <c r="P3" s="290">
        <v>2005</v>
      </c>
      <c r="Q3" s="288" t="s">
        <v>4</v>
      </c>
      <c r="R3" s="289" t="s">
        <v>1472</v>
      </c>
      <c r="S3" s="288" t="s">
        <v>4</v>
      </c>
      <c r="T3" s="288" t="s">
        <v>9</v>
      </c>
      <c r="U3" s="289" t="s">
        <v>1473</v>
      </c>
      <c r="V3" s="288" t="s">
        <v>4</v>
      </c>
      <c r="W3" s="288" t="s">
        <v>9</v>
      </c>
      <c r="X3" s="289" t="s">
        <v>64</v>
      </c>
      <c r="Y3" s="288" t="s">
        <v>4</v>
      </c>
      <c r="Z3" s="288" t="s">
        <v>9</v>
      </c>
      <c r="AA3" s="289" t="s">
        <v>1474</v>
      </c>
      <c r="AB3" s="288" t="s">
        <v>4</v>
      </c>
      <c r="AC3" s="288" t="s">
        <v>9</v>
      </c>
      <c r="AD3" s="289" t="s">
        <v>65</v>
      </c>
      <c r="AE3" s="288" t="s">
        <v>4</v>
      </c>
      <c r="AF3" s="288" t="s">
        <v>9</v>
      </c>
      <c r="AG3" s="289" t="s">
        <v>1475</v>
      </c>
      <c r="AH3" s="288" t="s">
        <v>4</v>
      </c>
      <c r="AI3" s="288" t="s">
        <v>9</v>
      </c>
      <c r="AJ3" s="290">
        <v>2006</v>
      </c>
      <c r="AK3" s="288" t="s">
        <v>4</v>
      </c>
      <c r="AL3" s="288" t="s">
        <v>9</v>
      </c>
      <c r="AM3" s="289" t="s">
        <v>1476</v>
      </c>
      <c r="AN3" s="288" t="s">
        <v>4</v>
      </c>
      <c r="AO3" s="288" t="s">
        <v>9</v>
      </c>
      <c r="AP3" s="289" t="s">
        <v>1477</v>
      </c>
      <c r="AQ3" s="288" t="s">
        <v>4</v>
      </c>
      <c r="AR3" s="288" t="s">
        <v>9</v>
      </c>
      <c r="AS3" s="289" t="s">
        <v>66</v>
      </c>
      <c r="AT3" s="288" t="s">
        <v>4</v>
      </c>
      <c r="AU3" s="288" t="s">
        <v>9</v>
      </c>
      <c r="AV3" s="289" t="s">
        <v>1478</v>
      </c>
      <c r="AW3" s="288" t="s">
        <v>4</v>
      </c>
      <c r="AX3" s="288" t="s">
        <v>9</v>
      </c>
      <c r="AY3" s="289" t="s">
        <v>67</v>
      </c>
      <c r="AZ3" s="288" t="s">
        <v>4</v>
      </c>
      <c r="BA3" s="288" t="s">
        <v>9</v>
      </c>
      <c r="BB3" s="289" t="s">
        <v>1479</v>
      </c>
      <c r="BC3" s="288" t="s">
        <v>4</v>
      </c>
      <c r="BD3" s="288" t="s">
        <v>9</v>
      </c>
      <c r="BE3" s="290">
        <v>2007</v>
      </c>
      <c r="BF3" s="288" t="s">
        <v>4</v>
      </c>
      <c r="BG3" s="288" t="s">
        <v>9</v>
      </c>
      <c r="BH3" s="290" t="s">
        <v>1480</v>
      </c>
      <c r="BI3" s="288" t="s">
        <v>4</v>
      </c>
      <c r="BJ3" s="288" t="s">
        <v>9</v>
      </c>
      <c r="BK3" s="290" t="s">
        <v>1481</v>
      </c>
      <c r="BL3" s="288" t="s">
        <v>4</v>
      </c>
      <c r="BM3" s="288" t="s">
        <v>9</v>
      </c>
      <c r="BN3" s="290" t="s">
        <v>68</v>
      </c>
      <c r="BO3" s="288" t="s">
        <v>4</v>
      </c>
      <c r="BP3" s="288" t="s">
        <v>9</v>
      </c>
      <c r="BQ3" s="290" t="s">
        <v>1482</v>
      </c>
      <c r="BR3" s="288" t="s">
        <v>4</v>
      </c>
      <c r="BS3" s="288" t="s">
        <v>9</v>
      </c>
      <c r="BT3" s="290" t="s">
        <v>69</v>
      </c>
      <c r="BU3" s="288" t="s">
        <v>4</v>
      </c>
      <c r="BV3" s="288" t="s">
        <v>9</v>
      </c>
      <c r="BW3" s="290" t="s">
        <v>1483</v>
      </c>
      <c r="BX3" s="288" t="s">
        <v>4</v>
      </c>
      <c r="BY3" s="288" t="s">
        <v>9</v>
      </c>
      <c r="BZ3" s="290">
        <v>2008</v>
      </c>
      <c r="CA3" s="288" t="s">
        <v>4</v>
      </c>
      <c r="CB3" s="288" t="s">
        <v>9</v>
      </c>
      <c r="CC3" s="290" t="s">
        <v>1484</v>
      </c>
      <c r="CD3" s="288" t="s">
        <v>4</v>
      </c>
      <c r="CE3" s="288" t="s">
        <v>9</v>
      </c>
      <c r="CF3" s="290" t="s">
        <v>1485</v>
      </c>
      <c r="CG3" s="288" t="s">
        <v>4</v>
      </c>
      <c r="CH3" s="288" t="s">
        <v>9</v>
      </c>
      <c r="CI3" s="290" t="s">
        <v>70</v>
      </c>
      <c r="CJ3" s="288" t="s">
        <v>4</v>
      </c>
      <c r="CK3" s="288" t="s">
        <v>9</v>
      </c>
      <c r="CL3" s="290" t="s">
        <v>1486</v>
      </c>
      <c r="CM3" s="288" t="s">
        <v>4</v>
      </c>
      <c r="CN3" s="288" t="s">
        <v>9</v>
      </c>
      <c r="CO3" s="290" t="s">
        <v>71</v>
      </c>
      <c r="CP3" s="288" t="s">
        <v>4</v>
      </c>
      <c r="CQ3" s="288" t="s">
        <v>9</v>
      </c>
      <c r="CR3" s="290" t="s">
        <v>1487</v>
      </c>
      <c r="CS3" s="288" t="s">
        <v>4</v>
      </c>
      <c r="CT3" s="288" t="s">
        <v>9</v>
      </c>
      <c r="CU3" s="290">
        <v>2009</v>
      </c>
      <c r="CV3" s="288" t="s">
        <v>4</v>
      </c>
      <c r="CW3" s="288" t="s">
        <v>9</v>
      </c>
      <c r="CX3" s="290" t="s">
        <v>1488</v>
      </c>
      <c r="CY3" s="288" t="s">
        <v>4</v>
      </c>
      <c r="CZ3" s="288" t="s">
        <v>9</v>
      </c>
      <c r="DA3" s="290" t="s">
        <v>1489</v>
      </c>
      <c r="DB3" s="288" t="s">
        <v>4</v>
      </c>
      <c r="DC3" s="288" t="s">
        <v>9</v>
      </c>
      <c r="DD3" s="290" t="s">
        <v>72</v>
      </c>
      <c r="DE3" s="288" t="s">
        <v>4</v>
      </c>
      <c r="DF3" s="288" t="s">
        <v>9</v>
      </c>
      <c r="DG3" s="290" t="s">
        <v>1490</v>
      </c>
      <c r="DH3" s="288" t="s">
        <v>4</v>
      </c>
      <c r="DI3" s="288" t="s">
        <v>9</v>
      </c>
      <c r="DJ3" s="290" t="s">
        <v>73</v>
      </c>
      <c r="DK3" s="288" t="s">
        <v>4</v>
      </c>
      <c r="DL3" s="288" t="s">
        <v>9</v>
      </c>
      <c r="DM3" s="290" t="s">
        <v>1491</v>
      </c>
      <c r="DN3" s="288" t="s">
        <v>4</v>
      </c>
      <c r="DO3" s="288" t="s">
        <v>9</v>
      </c>
      <c r="DP3" s="290">
        <v>2010</v>
      </c>
      <c r="DQ3" s="288" t="s">
        <v>4</v>
      </c>
      <c r="DR3" s="288" t="s">
        <v>9</v>
      </c>
      <c r="DS3" s="290" t="s">
        <v>1492</v>
      </c>
      <c r="DT3" s="288" t="s">
        <v>4</v>
      </c>
      <c r="DU3" s="288" t="s">
        <v>9</v>
      </c>
      <c r="DV3" s="291" t="s">
        <v>1493</v>
      </c>
      <c r="DW3" s="292" t="s">
        <v>4</v>
      </c>
      <c r="DX3" s="292" t="s">
        <v>9</v>
      </c>
      <c r="DY3" s="291" t="s">
        <v>254</v>
      </c>
      <c r="DZ3" s="292" t="s">
        <v>4</v>
      </c>
      <c r="EA3" s="293" t="s">
        <v>9</v>
      </c>
      <c r="EB3" s="291" t="s">
        <v>1494</v>
      </c>
      <c r="EC3" s="292" t="s">
        <v>4</v>
      </c>
      <c r="ED3" s="292" t="s">
        <v>9</v>
      </c>
      <c r="EE3" s="291" t="s">
        <v>284</v>
      </c>
      <c r="EF3" s="292" t="s">
        <v>4</v>
      </c>
      <c r="EG3" s="293" t="s">
        <v>9</v>
      </c>
      <c r="EH3" s="291" t="s">
        <v>286</v>
      </c>
      <c r="EI3" s="292" t="s">
        <v>4</v>
      </c>
      <c r="EJ3" s="293" t="s">
        <v>9</v>
      </c>
      <c r="EK3" s="291">
        <v>2011</v>
      </c>
      <c r="EL3" s="292" t="s">
        <v>4</v>
      </c>
      <c r="EM3" s="293" t="s">
        <v>9</v>
      </c>
      <c r="EN3" s="291" t="s">
        <v>1495</v>
      </c>
      <c r="EO3" s="292" t="s">
        <v>4</v>
      </c>
      <c r="EP3" s="292" t="s">
        <v>9</v>
      </c>
      <c r="EQ3" s="291" t="s">
        <v>1496</v>
      </c>
      <c r="ER3" s="293" t="s">
        <v>4</v>
      </c>
      <c r="ES3" s="292" t="s">
        <v>9</v>
      </c>
      <c r="ET3" s="291" t="s">
        <v>300</v>
      </c>
      <c r="EU3" s="293" t="s">
        <v>4</v>
      </c>
      <c r="EV3" s="293" t="s">
        <v>9</v>
      </c>
      <c r="EW3" s="291" t="s">
        <v>1497</v>
      </c>
      <c r="EX3" s="293" t="s">
        <v>4</v>
      </c>
      <c r="EY3" s="293" t="s">
        <v>9</v>
      </c>
      <c r="EZ3" s="291" t="s">
        <v>306</v>
      </c>
      <c r="FA3" s="293" t="s">
        <v>4</v>
      </c>
      <c r="FB3" s="293" t="s">
        <v>9</v>
      </c>
      <c r="FC3" s="291" t="s">
        <v>1498</v>
      </c>
      <c r="FD3" s="293" t="s">
        <v>4</v>
      </c>
      <c r="FE3" s="293" t="s">
        <v>9</v>
      </c>
      <c r="FF3" s="291">
        <v>2012</v>
      </c>
      <c r="FG3" s="293" t="s">
        <v>4</v>
      </c>
      <c r="FH3" s="293" t="s">
        <v>9</v>
      </c>
      <c r="FI3" s="291" t="s">
        <v>1499</v>
      </c>
      <c r="FJ3" s="293" t="s">
        <v>4</v>
      </c>
      <c r="FK3" s="293" t="s">
        <v>9</v>
      </c>
      <c r="FL3" s="291" t="s">
        <v>1500</v>
      </c>
      <c r="FM3" s="293" t="s">
        <v>4</v>
      </c>
      <c r="FN3" s="293" t="s">
        <v>9</v>
      </c>
      <c r="FO3" s="291" t="s">
        <v>325</v>
      </c>
      <c r="FP3" s="293" t="s">
        <v>4</v>
      </c>
      <c r="FQ3" s="293" t="s">
        <v>9</v>
      </c>
      <c r="FR3" s="291" t="s">
        <v>1501</v>
      </c>
      <c r="FS3" s="293" t="s">
        <v>4</v>
      </c>
      <c r="FT3" s="293" t="s">
        <v>9</v>
      </c>
      <c r="FU3" s="291" t="s">
        <v>329</v>
      </c>
      <c r="FV3" s="293" t="s">
        <v>4</v>
      </c>
      <c r="FW3" s="293" t="s">
        <v>9</v>
      </c>
      <c r="FX3" s="291" t="s">
        <v>1502</v>
      </c>
      <c r="FY3" s="293" t="s">
        <v>4</v>
      </c>
      <c r="FZ3" s="293" t="s">
        <v>9</v>
      </c>
      <c r="GA3" s="291">
        <v>2013</v>
      </c>
      <c r="GB3" s="293" t="s">
        <v>4</v>
      </c>
      <c r="GC3" s="293" t="s">
        <v>9</v>
      </c>
      <c r="GD3" s="291" t="s">
        <v>1503</v>
      </c>
      <c r="GE3" s="293" t="s">
        <v>4</v>
      </c>
      <c r="GF3" s="293" t="s">
        <v>9</v>
      </c>
      <c r="GG3" s="291" t="s">
        <v>1504</v>
      </c>
      <c r="GH3" s="293" t="s">
        <v>4</v>
      </c>
      <c r="GI3" s="293" t="s">
        <v>9</v>
      </c>
      <c r="GJ3" s="291" t="s">
        <v>346</v>
      </c>
      <c r="GK3" s="293" t="s">
        <v>4</v>
      </c>
      <c r="GL3" s="293" t="s">
        <v>9</v>
      </c>
      <c r="GM3" s="291" t="s">
        <v>1505</v>
      </c>
      <c r="GN3" s="293" t="s">
        <v>4</v>
      </c>
      <c r="GO3" s="293" t="s">
        <v>9</v>
      </c>
      <c r="GP3" s="291" t="s">
        <v>350</v>
      </c>
      <c r="GQ3" s="293" t="s">
        <v>4</v>
      </c>
      <c r="GR3" s="293" t="s">
        <v>9</v>
      </c>
      <c r="GS3" s="291" t="s">
        <v>1506</v>
      </c>
      <c r="GT3" s="293" t="s">
        <v>4</v>
      </c>
      <c r="GU3" s="293" t="s">
        <v>9</v>
      </c>
      <c r="GV3" s="291">
        <v>2014</v>
      </c>
      <c r="GW3" s="293" t="s">
        <v>4</v>
      </c>
      <c r="GX3" s="293" t="s">
        <v>9</v>
      </c>
      <c r="GY3" s="291" t="s">
        <v>1507</v>
      </c>
      <c r="GZ3" s="293" t="s">
        <v>4</v>
      </c>
      <c r="HA3" s="293" t="s">
        <v>9</v>
      </c>
      <c r="HB3" s="291" t="s">
        <v>1508</v>
      </c>
      <c r="HC3" s="293" t="s">
        <v>4</v>
      </c>
      <c r="HD3" s="293" t="s">
        <v>9</v>
      </c>
      <c r="HE3" s="291" t="s">
        <v>372</v>
      </c>
      <c r="HF3" s="293" t="s">
        <v>4</v>
      </c>
      <c r="HG3" s="293" t="s">
        <v>9</v>
      </c>
      <c r="HH3" s="291" t="s">
        <v>1509</v>
      </c>
      <c r="HI3" s="293" t="s">
        <v>4</v>
      </c>
      <c r="HJ3" s="293" t="s">
        <v>9</v>
      </c>
      <c r="HK3" s="291" t="s">
        <v>394</v>
      </c>
      <c r="HL3" s="293" t="s">
        <v>4</v>
      </c>
      <c r="HM3" s="293" t="s">
        <v>9</v>
      </c>
      <c r="HN3" s="291" t="s">
        <v>1510</v>
      </c>
      <c r="HO3" s="293" t="s">
        <v>4</v>
      </c>
      <c r="HP3" s="293" t="s">
        <v>9</v>
      </c>
      <c r="HQ3" s="291">
        <v>2015</v>
      </c>
      <c r="HR3" s="293" t="s">
        <v>4</v>
      </c>
      <c r="HS3" s="293" t="s">
        <v>9</v>
      </c>
      <c r="HT3" s="291" t="s">
        <v>1511</v>
      </c>
      <c r="HU3" s="293" t="s">
        <v>4</v>
      </c>
      <c r="HV3" s="293" t="s">
        <v>9</v>
      </c>
      <c r="HW3" s="291" t="s">
        <v>1512</v>
      </c>
      <c r="HX3" s="293" t="s">
        <v>4</v>
      </c>
      <c r="HY3" s="293" t="s">
        <v>9</v>
      </c>
      <c r="HZ3" s="291" t="s">
        <v>846</v>
      </c>
      <c r="IA3" s="293" t="s">
        <v>4</v>
      </c>
      <c r="IB3" s="293" t="s">
        <v>9</v>
      </c>
      <c r="IC3" s="291" t="s">
        <v>1513</v>
      </c>
      <c r="ID3" s="293" t="s">
        <v>4</v>
      </c>
      <c r="IE3" s="293" t="s">
        <v>9</v>
      </c>
      <c r="IF3" s="291" t="s">
        <v>1081</v>
      </c>
      <c r="IG3" s="293" t="s">
        <v>4</v>
      </c>
      <c r="IH3" s="293" t="s">
        <v>9</v>
      </c>
      <c r="II3" s="291" t="s">
        <v>1514</v>
      </c>
      <c r="IJ3" s="293" t="s">
        <v>4</v>
      </c>
      <c r="IK3" s="293" t="s">
        <v>9</v>
      </c>
      <c r="IL3" s="291">
        <v>2016</v>
      </c>
      <c r="IM3" s="293" t="s">
        <v>4</v>
      </c>
      <c r="IN3" s="293" t="s">
        <v>9</v>
      </c>
      <c r="IO3" s="291" t="s">
        <v>1515</v>
      </c>
      <c r="IP3" s="293" t="s">
        <v>4</v>
      </c>
      <c r="IQ3" s="293" t="s">
        <v>9</v>
      </c>
      <c r="IR3" s="291" t="s">
        <v>1516</v>
      </c>
      <c r="IS3" s="293" t="s">
        <v>4</v>
      </c>
      <c r="IT3" s="293" t="s">
        <v>9</v>
      </c>
      <c r="IU3" s="291" t="s">
        <v>1202</v>
      </c>
      <c r="IV3" s="293" t="s">
        <v>4</v>
      </c>
      <c r="IW3" s="293" t="s">
        <v>9</v>
      </c>
      <c r="IX3" s="291" t="s">
        <v>1467</v>
      </c>
      <c r="IY3" s="293" t="s">
        <v>4</v>
      </c>
      <c r="IZ3" s="293" t="s">
        <v>9</v>
      </c>
      <c r="JA3" s="291" t="s">
        <v>1223</v>
      </c>
      <c r="JB3" s="293" t="s">
        <v>4</v>
      </c>
      <c r="JC3" s="293" t="s">
        <v>9</v>
      </c>
      <c r="JD3" s="291" t="s">
        <v>1517</v>
      </c>
      <c r="JE3" s="293" t="s">
        <v>4</v>
      </c>
      <c r="JF3" s="293" t="s">
        <v>9</v>
      </c>
      <c r="JG3" s="291">
        <v>2017</v>
      </c>
      <c r="JH3" s="293" t="s">
        <v>4</v>
      </c>
      <c r="JI3" s="293" t="s">
        <v>9</v>
      </c>
      <c r="JJ3" s="291" t="s">
        <v>1518</v>
      </c>
      <c r="JK3" s="293" t="s">
        <v>4</v>
      </c>
      <c r="JL3" s="293" t="s">
        <v>9</v>
      </c>
      <c r="JM3" s="291" t="s">
        <v>1519</v>
      </c>
      <c r="JN3" s="293" t="s">
        <v>4</v>
      </c>
      <c r="JO3" s="293" t="s">
        <v>9</v>
      </c>
      <c r="JP3" s="291" t="s">
        <v>1257</v>
      </c>
      <c r="JQ3" s="293" t="s">
        <v>4</v>
      </c>
      <c r="JR3" s="293" t="s">
        <v>9</v>
      </c>
      <c r="JS3" s="291" t="s">
        <v>1279</v>
      </c>
      <c r="JT3" s="293" t="s">
        <v>4</v>
      </c>
      <c r="JU3" s="293" t="s">
        <v>9</v>
      </c>
      <c r="JV3" s="291" t="s">
        <v>1314</v>
      </c>
      <c r="JW3" s="293" t="s">
        <v>4</v>
      </c>
      <c r="JX3" s="293" t="s">
        <v>9</v>
      </c>
      <c r="JY3" s="291" t="s">
        <v>1307</v>
      </c>
      <c r="JZ3" s="293" t="s">
        <v>4</v>
      </c>
      <c r="KA3" s="293" t="s">
        <v>9</v>
      </c>
      <c r="KB3" s="291">
        <v>2018</v>
      </c>
      <c r="KC3" s="293" t="s">
        <v>4</v>
      </c>
      <c r="KD3" s="293" t="s">
        <v>9</v>
      </c>
      <c r="KE3" s="291" t="s">
        <v>1358</v>
      </c>
      <c r="KF3" s="293" t="s">
        <v>4</v>
      </c>
      <c r="KG3" s="293" t="s">
        <v>9</v>
      </c>
      <c r="KH3" s="291" t="s">
        <v>1362</v>
      </c>
      <c r="KI3" s="293" t="s">
        <v>4</v>
      </c>
      <c r="KJ3" s="293" t="s">
        <v>9</v>
      </c>
      <c r="KK3" s="291" t="s">
        <v>1373</v>
      </c>
      <c r="KL3" s="293" t="s">
        <v>4</v>
      </c>
      <c r="KM3" s="293" t="s">
        <v>9</v>
      </c>
      <c r="KN3" s="291" t="s">
        <v>1395</v>
      </c>
      <c r="KO3" s="293" t="s">
        <v>4</v>
      </c>
      <c r="KP3" s="293" t="s">
        <v>9</v>
      </c>
      <c r="KQ3" s="291" t="s">
        <v>1394</v>
      </c>
      <c r="KR3" s="293" t="s">
        <v>4</v>
      </c>
      <c r="KS3" s="293" t="s">
        <v>9</v>
      </c>
      <c r="KT3" s="291" t="s">
        <v>1397</v>
      </c>
      <c r="KU3" s="293" t="s">
        <v>4</v>
      </c>
      <c r="KV3" s="293" t="s">
        <v>9</v>
      </c>
      <c r="KW3" s="291">
        <v>2019</v>
      </c>
      <c r="KX3" s="293" t="s">
        <v>4</v>
      </c>
      <c r="KY3" s="293" t="s">
        <v>9</v>
      </c>
      <c r="KZ3" s="291" t="s">
        <v>1436</v>
      </c>
      <c r="LA3" s="293" t="s">
        <v>4</v>
      </c>
      <c r="LB3" s="293" t="s">
        <v>9</v>
      </c>
      <c r="LC3" s="291" t="s">
        <v>1458</v>
      </c>
      <c r="LD3" s="293" t="s">
        <v>4</v>
      </c>
      <c r="LE3" s="293" t="s">
        <v>9</v>
      </c>
      <c r="LF3" s="291" t="s">
        <v>1459</v>
      </c>
      <c r="LG3" s="293" t="s">
        <v>4</v>
      </c>
      <c r="LH3" s="293" t="s">
        <v>9</v>
      </c>
      <c r="LI3" s="291" t="s">
        <v>1452</v>
      </c>
      <c r="LJ3" s="293" t="s">
        <v>4</v>
      </c>
      <c r="LK3" s="293" t="s">
        <v>9</v>
      </c>
      <c r="LL3" s="291" t="s">
        <v>1466</v>
      </c>
      <c r="LM3" s="293" t="s">
        <v>4</v>
      </c>
      <c r="LN3" s="293" t="s">
        <v>9</v>
      </c>
      <c r="LO3" s="291" t="s">
        <v>1520</v>
      </c>
      <c r="LP3" s="293" t="s">
        <v>4</v>
      </c>
      <c r="LQ3" s="293" t="s">
        <v>9</v>
      </c>
      <c r="LR3" s="291">
        <v>2020</v>
      </c>
      <c r="LS3" s="293" t="s">
        <v>4</v>
      </c>
      <c r="LT3" s="293" t="s">
        <v>9</v>
      </c>
    </row>
    <row r="4" spans="1:332" ht="16.5" customHeight="1">
      <c r="A4" s="114"/>
      <c r="B4" s="109" t="s">
        <v>1024</v>
      </c>
      <c r="C4" s="109" t="s">
        <v>113</v>
      </c>
      <c r="D4" s="110">
        <f>SUM(D5:D6)</f>
        <v>0</v>
      </c>
      <c r="E4" s="111">
        <f>D4/$D$8</f>
        <v>0</v>
      </c>
      <c r="F4" s="110">
        <f>SUM(F5:F6)</f>
        <v>0</v>
      </c>
      <c r="G4" s="111">
        <f>F4/$F$8</f>
        <v>0</v>
      </c>
      <c r="H4" s="110">
        <f>SUM(H5:H6)</f>
        <v>0</v>
      </c>
      <c r="I4" s="111">
        <f>H4/$H$8</f>
        <v>0</v>
      </c>
      <c r="J4" s="110">
        <f>SUM(J5:J6)</f>
        <v>0</v>
      </c>
      <c r="K4" s="111">
        <f>J4/$J$8</f>
        <v>0</v>
      </c>
      <c r="L4" s="110">
        <f>SUM(L5:L6)</f>
        <v>0</v>
      </c>
      <c r="M4" s="111">
        <f>L4/$L$8</f>
        <v>0</v>
      </c>
      <c r="N4" s="110">
        <f>SUM(N5:N6)</f>
        <v>0</v>
      </c>
      <c r="O4" s="111">
        <f>N4/$N$8</f>
        <v>0</v>
      </c>
      <c r="P4" s="110">
        <f>SUM(P5:P6)</f>
        <v>0</v>
      </c>
      <c r="Q4" s="111">
        <f>P4/$P$8</f>
        <v>0</v>
      </c>
      <c r="R4" s="110">
        <f>SUM(R5:R6)</f>
        <v>0</v>
      </c>
      <c r="S4" s="111">
        <f>R4/$R$8</f>
        <v>0</v>
      </c>
      <c r="T4" s="22" t="e">
        <f>R4/D4-1</f>
        <v>#DIV/0!</v>
      </c>
      <c r="U4" s="110">
        <f>SUM(U5:U6)</f>
        <v>0</v>
      </c>
      <c r="V4" s="112">
        <f>U4/$U$8</f>
        <v>0</v>
      </c>
      <c r="W4" s="22" t="e">
        <f>U4/F4-1</f>
        <v>#DIV/0!</v>
      </c>
      <c r="X4" s="110">
        <f>SUM(X5:X6)</f>
        <v>0</v>
      </c>
      <c r="Y4" s="112">
        <f>X4/$X$8</f>
        <v>0</v>
      </c>
      <c r="Z4" s="22" t="e">
        <f>X4/H4-1</f>
        <v>#DIV/0!</v>
      </c>
      <c r="AA4" s="110">
        <f>SUM(AA5:AA6)</f>
        <v>0</v>
      </c>
      <c r="AB4" s="112">
        <f>AA4/$AA$8</f>
        <v>0</v>
      </c>
      <c r="AC4" s="22" t="e">
        <f>AA4/J4-1</f>
        <v>#DIV/0!</v>
      </c>
      <c r="AD4" s="110">
        <f>SUM(AD5:AD6)</f>
        <v>0</v>
      </c>
      <c r="AE4" s="112">
        <f>AD4/$AD$8</f>
        <v>0</v>
      </c>
      <c r="AF4" s="22" t="e">
        <f>AD4/L4-1</f>
        <v>#DIV/0!</v>
      </c>
      <c r="AG4" s="110">
        <f>SUM(AG5:AG6)</f>
        <v>0</v>
      </c>
      <c r="AH4" s="112">
        <f>AG4/$AG$8</f>
        <v>0</v>
      </c>
      <c r="AI4" s="22" t="e">
        <f>AG4/N4-1</f>
        <v>#DIV/0!</v>
      </c>
      <c r="AJ4" s="110">
        <f>SUM(AJ5:AJ6)</f>
        <v>0</v>
      </c>
      <c r="AK4" s="112">
        <f>AJ4/$AJ$8</f>
        <v>0</v>
      </c>
      <c r="AL4" s="22" t="e">
        <f>AJ4/P4-1</f>
        <v>#DIV/0!</v>
      </c>
      <c r="AM4" s="110">
        <f>SUM(AM5:AM6)</f>
        <v>0</v>
      </c>
      <c r="AN4" s="113">
        <f>AM4/$AM$8</f>
        <v>0</v>
      </c>
      <c r="AO4" s="113" t="e">
        <f>AM4/R4-1</f>
        <v>#DIV/0!</v>
      </c>
      <c r="AP4" s="110">
        <f>SUM(AP5:AP6)</f>
        <v>0</v>
      </c>
      <c r="AQ4" s="113">
        <f>AP4/$AP$8</f>
        <v>0</v>
      </c>
      <c r="AR4" s="113" t="e">
        <f>AP4/U4-1</f>
        <v>#DIV/0!</v>
      </c>
      <c r="AS4" s="110">
        <f>SUM(AS5:AS6)</f>
        <v>0</v>
      </c>
      <c r="AT4" s="113">
        <f>AS4/$AS$8</f>
        <v>0</v>
      </c>
      <c r="AU4" s="113" t="e">
        <f>AS4/X4-1</f>
        <v>#DIV/0!</v>
      </c>
      <c r="AV4" s="110">
        <f>SUM(AV5:AV6)</f>
        <v>0</v>
      </c>
      <c r="AW4" s="113">
        <f>AV4/$AV$8</f>
        <v>0</v>
      </c>
      <c r="AX4" s="113" t="e">
        <f>AV4/AA4-1</f>
        <v>#DIV/0!</v>
      </c>
      <c r="AY4" s="110">
        <f>SUM(AY5:AY6)</f>
        <v>0</v>
      </c>
      <c r="AZ4" s="113">
        <f>AY4/$AY$8</f>
        <v>0</v>
      </c>
      <c r="BA4" s="113" t="e">
        <f>AY4/AD4-1</f>
        <v>#DIV/0!</v>
      </c>
      <c r="BB4" s="110">
        <f>SUM(BB5:BB6)</f>
        <v>0</v>
      </c>
      <c r="BC4" s="113">
        <f>BB4/$BB$8</f>
        <v>0</v>
      </c>
      <c r="BD4" s="113" t="e">
        <f>BB4/AG4-1</f>
        <v>#DIV/0!</v>
      </c>
      <c r="BE4" s="110">
        <f>SUM(BE5:BE6)</f>
        <v>0</v>
      </c>
      <c r="BF4" s="113">
        <f>BE4/$BE$8</f>
        <v>0</v>
      </c>
      <c r="BG4" s="113" t="e">
        <f>BE4/AJ4-1</f>
        <v>#DIV/0!</v>
      </c>
      <c r="BH4" s="110">
        <f>SUM(BH5:BH6)</f>
        <v>0</v>
      </c>
      <c r="BI4" s="113">
        <f>BH4/$BH$8</f>
        <v>0</v>
      </c>
      <c r="BJ4" s="113" t="e">
        <f>(BH4/AM4)-1</f>
        <v>#DIV/0!</v>
      </c>
      <c r="BK4" s="110">
        <f>SUM(BK5:BK6)</f>
        <v>0</v>
      </c>
      <c r="BL4" s="113">
        <f>BK4/$BK$8</f>
        <v>0</v>
      </c>
      <c r="BM4" s="113" t="e">
        <f>(BK4/AP4)-1</f>
        <v>#DIV/0!</v>
      </c>
      <c r="BN4" s="110">
        <f>SUM(BN5:BN6)</f>
        <v>0</v>
      </c>
      <c r="BO4" s="113">
        <f>BN4/$BN$8</f>
        <v>0</v>
      </c>
      <c r="BP4" s="113" t="e">
        <f>BN4/AS4-1</f>
        <v>#DIV/0!</v>
      </c>
      <c r="BQ4" s="110">
        <f>SUM(BQ5:BQ6)</f>
        <v>0</v>
      </c>
      <c r="BR4" s="113">
        <f>BQ4/$BQ$8</f>
        <v>0</v>
      </c>
      <c r="BS4" s="113" t="e">
        <f>(BQ4/AV4)-1</f>
        <v>#DIV/0!</v>
      </c>
      <c r="BT4" s="110">
        <f>SUM(BT5:BT6)</f>
        <v>0</v>
      </c>
      <c r="BU4" s="113">
        <f>BT4/$BT$8</f>
        <v>0</v>
      </c>
      <c r="BV4" s="113" t="e">
        <f>BT4/AY4-1</f>
        <v>#DIV/0!</v>
      </c>
      <c r="BW4" s="110">
        <f>SUM(BW5:BW6)</f>
        <v>0</v>
      </c>
      <c r="BX4" s="113">
        <f>BW4/$BW$8</f>
        <v>0</v>
      </c>
      <c r="BY4" s="113" t="e">
        <f>(BW4/BB4)-1</f>
        <v>#DIV/0!</v>
      </c>
      <c r="BZ4" s="110">
        <f>SUM(BZ5:BZ6)</f>
        <v>0</v>
      </c>
      <c r="CA4" s="113">
        <f>BZ4/$BZ$8</f>
        <v>0</v>
      </c>
      <c r="CB4" s="113" t="e">
        <f>(BZ4/BE4)-1</f>
        <v>#DIV/0!</v>
      </c>
      <c r="CC4" s="110">
        <f>SUM(CC5:CC6)</f>
        <v>0</v>
      </c>
      <c r="CD4" s="113">
        <f>CC4/$CC$8</f>
        <v>0</v>
      </c>
      <c r="CE4" s="113" t="e">
        <f>(CC4/BH4)-1</f>
        <v>#DIV/0!</v>
      </c>
      <c r="CF4" s="110">
        <f>SUM(CF5:CF6)</f>
        <v>0</v>
      </c>
      <c r="CG4" s="113">
        <f>CF4/$CF$8</f>
        <v>0</v>
      </c>
      <c r="CH4" s="113" t="e">
        <f>(CF4/BK4)-1</f>
        <v>#DIV/0!</v>
      </c>
      <c r="CI4" s="110">
        <f>SUM(CI5:CI6)</f>
        <v>0</v>
      </c>
      <c r="CJ4" s="113">
        <f>CI4/$CI$8</f>
        <v>0</v>
      </c>
      <c r="CK4" s="113" t="e">
        <f>(CI4/BN4)-1</f>
        <v>#DIV/0!</v>
      </c>
      <c r="CL4" s="110">
        <f>SUM(CL5:CL6)</f>
        <v>0</v>
      </c>
      <c r="CM4" s="113">
        <f>CL4/$CL$8</f>
        <v>0</v>
      </c>
      <c r="CN4" s="113" t="e">
        <f>(CL4/BQ4)-1</f>
        <v>#DIV/0!</v>
      </c>
      <c r="CO4" s="110">
        <f>SUM(CO5:CO6)</f>
        <v>0</v>
      </c>
      <c r="CP4" s="113">
        <f>CO4/$CO$8</f>
        <v>0</v>
      </c>
      <c r="CQ4" s="113" t="e">
        <f>(CO4/BT4)-1</f>
        <v>#DIV/0!</v>
      </c>
      <c r="CR4" s="110">
        <f>SUM(CR5:CR6)</f>
        <v>0</v>
      </c>
      <c r="CS4" s="113">
        <f>CR4/$CR$8</f>
        <v>0</v>
      </c>
      <c r="CT4" s="113" t="e">
        <f>(CR4/BW4)-1</f>
        <v>#DIV/0!</v>
      </c>
      <c r="CU4" s="110">
        <f>SUM(CU5:CU6)</f>
        <v>0</v>
      </c>
      <c r="CV4" s="113">
        <f>CU4/$CU$8</f>
        <v>0</v>
      </c>
      <c r="CW4" s="113" t="e">
        <f>(CU4/BZ4)-1</f>
        <v>#DIV/0!</v>
      </c>
      <c r="CX4" s="110">
        <f>SUM(CX5:CX6)</f>
        <v>0</v>
      </c>
      <c r="CY4" s="113">
        <f>CX4/$CX$8</f>
        <v>0</v>
      </c>
      <c r="CZ4" s="113" t="e">
        <f>CX4/CC4-1</f>
        <v>#DIV/0!</v>
      </c>
      <c r="DA4" s="110">
        <f>SUM(DA5:DA6)</f>
        <v>0</v>
      </c>
      <c r="DB4" s="113">
        <f>DA4/$DA$8</f>
        <v>0</v>
      </c>
      <c r="DC4" s="113" t="e">
        <f>DA4/CF4-1</f>
        <v>#DIV/0!</v>
      </c>
      <c r="DD4" s="110">
        <f>SUM(DD5:DD6)</f>
        <v>0</v>
      </c>
      <c r="DE4" s="113">
        <f>DD4/$DD$8</f>
        <v>0</v>
      </c>
      <c r="DF4" s="113" t="e">
        <f>DD4/CI4-1</f>
        <v>#DIV/0!</v>
      </c>
      <c r="DG4" s="110">
        <f>SUM(DG5:DG6)</f>
        <v>0</v>
      </c>
      <c r="DH4" s="113">
        <f>DG4/$DG$8</f>
        <v>0</v>
      </c>
      <c r="DI4" s="113" t="e">
        <f>DG4/CL4-1</f>
        <v>#DIV/0!</v>
      </c>
      <c r="DJ4" s="110">
        <f>SUM(DJ5:DJ6)</f>
        <v>0</v>
      </c>
      <c r="DK4" s="113">
        <f>DJ4/$DJ$8</f>
        <v>0</v>
      </c>
      <c r="DL4" s="113" t="e">
        <f>DJ4/CO4-1</f>
        <v>#DIV/0!</v>
      </c>
      <c r="DM4" s="110">
        <f>SUM(DM5:DM6)</f>
        <v>0</v>
      </c>
      <c r="DN4" s="113">
        <f>DM4/$DM$8</f>
        <v>0</v>
      </c>
      <c r="DO4" s="113" t="e">
        <f>DM4/CR4-1</f>
        <v>#DIV/0!</v>
      </c>
      <c r="DP4" s="110">
        <f>SUM(DP5:DP6)</f>
        <v>0</v>
      </c>
      <c r="DQ4" s="113">
        <f>DP4/$DP$8</f>
        <v>0</v>
      </c>
      <c r="DR4" s="113" t="e">
        <f>DP4/CU4-1</f>
        <v>#DIV/0!</v>
      </c>
      <c r="DS4" s="110">
        <f>SUM(DS5:DS6)</f>
        <v>0</v>
      </c>
      <c r="DT4" s="113">
        <f t="shared" ref="DT4:EM4" si="9">DT5+DT6</f>
        <v>0</v>
      </c>
      <c r="DU4" s="113" t="e">
        <f t="shared" si="9"/>
        <v>#DIV/0!</v>
      </c>
      <c r="DV4" s="110">
        <f>SUM(DV5:DV6)</f>
        <v>0</v>
      </c>
      <c r="DW4" s="113">
        <f t="shared" si="9"/>
        <v>0</v>
      </c>
      <c r="DX4" s="113" t="e">
        <f t="shared" si="9"/>
        <v>#DIV/0!</v>
      </c>
      <c r="DY4" s="110">
        <f>SUM(DY5:DY6)</f>
        <v>1858007</v>
      </c>
      <c r="DZ4" s="113">
        <f t="shared" si="9"/>
        <v>1.4660451647519253</v>
      </c>
      <c r="EA4" s="113" t="e">
        <f t="shared" si="9"/>
        <v>#DIV/0!</v>
      </c>
      <c r="EB4" s="110">
        <f>SUM(EB5:EB6)</f>
        <v>955384</v>
      </c>
      <c r="EC4" s="193">
        <f t="shared" si="9"/>
        <v>1.4539931453895742</v>
      </c>
      <c r="ED4" s="193" t="e">
        <f t="shared" si="9"/>
        <v>#DIV/0!</v>
      </c>
      <c r="EE4" s="110">
        <f>SUM(EE5:EE6)</f>
        <v>2813391</v>
      </c>
      <c r="EF4" s="193">
        <f t="shared" si="9"/>
        <v>1.4619301447281177</v>
      </c>
      <c r="EG4" s="193" t="e">
        <f t="shared" si="9"/>
        <v>#DIV/0!</v>
      </c>
      <c r="EH4" s="110">
        <f>SUM(EH5:EH6)</f>
        <v>1385714</v>
      </c>
      <c r="EI4" s="193">
        <f t="shared" si="9"/>
        <v>1.4253677302557139</v>
      </c>
      <c r="EJ4" s="193" t="e">
        <f t="shared" si="9"/>
        <v>#DIV/0!</v>
      </c>
      <c r="EK4" s="110">
        <f>SUM(EK5:EK6)</f>
        <v>4199105</v>
      </c>
      <c r="EL4" s="193">
        <f t="shared" si="9"/>
        <v>1.4496583428185363</v>
      </c>
      <c r="EM4" s="193" t="e">
        <f t="shared" si="9"/>
        <v>#DIV/0!</v>
      </c>
      <c r="EN4" s="110">
        <f>SUM(EN5:EN6)</f>
        <v>909115</v>
      </c>
      <c r="EO4" s="113">
        <f>(EN4/$EN$8)</f>
        <v>1.4682113504705272</v>
      </c>
      <c r="EP4" s="113" t="e">
        <f>(EN4/DS4)-1</f>
        <v>#DIV/0!</v>
      </c>
      <c r="EQ4" s="110">
        <f>SUM(EQ5:EQ6)</f>
        <v>1241110</v>
      </c>
      <c r="ER4" s="113">
        <f>ER5+ER6</f>
        <v>1.4513037773820145</v>
      </c>
      <c r="ES4" s="113" t="e">
        <f>ES5+ES6</f>
        <v>#DIV/0!</v>
      </c>
      <c r="ET4" s="110">
        <f>SUM(ET5:ET6)</f>
        <v>2150225</v>
      </c>
      <c r="EU4" s="113">
        <f>EU5+EU6</f>
        <v>1.458404550288666</v>
      </c>
      <c r="EV4" s="113">
        <f t="shared" ref="EV4:EV14" si="10">(ET4/DY4)-1</f>
        <v>0.15727497259159939</v>
      </c>
      <c r="EW4" s="110">
        <f>SUM(EW5:EW6)</f>
        <v>1165356</v>
      </c>
      <c r="EX4" s="113">
        <f>EW4/$EW$8</f>
        <v>1.4507830590344346</v>
      </c>
      <c r="EY4" s="113">
        <f>(EW4/EB4)-1</f>
        <v>0.21977759728025581</v>
      </c>
      <c r="EZ4" s="110">
        <f>SUM(EZ5:EZ6)</f>
        <v>3315582</v>
      </c>
      <c r="FA4" s="113">
        <f>(EZ4/$EZ$8)</f>
        <v>1.4557164489914731</v>
      </c>
      <c r="FB4" s="113">
        <f>(EZ4/EE4)-1</f>
        <v>0.17850025112044499</v>
      </c>
      <c r="FC4" s="110">
        <f>SUM(FC5:FC6)</f>
        <v>1684413</v>
      </c>
      <c r="FD4" s="113">
        <f>FC4/$FC$8</f>
        <v>1.422247309031589</v>
      </c>
      <c r="FE4" s="113">
        <f>(FC4/EH4)-1</f>
        <v>0.21555602382598438</v>
      </c>
      <c r="FF4" s="110">
        <f>SUM(FF5:FF6)</f>
        <v>4999995</v>
      </c>
      <c r="FG4" s="113">
        <f>(FF4/$FF$8)</f>
        <v>1.4442671203595652</v>
      </c>
      <c r="FH4" s="113">
        <f>(FF4/EK4)-1</f>
        <v>0.19072873862406392</v>
      </c>
      <c r="FI4" s="110">
        <f>SUM(FI5:FI6)</f>
        <v>1065393</v>
      </c>
      <c r="FJ4" s="113">
        <f>(FI4/$FI$8)</f>
        <v>1.4660073672376712</v>
      </c>
      <c r="FK4" s="113">
        <f>(FI4/EN4)-1</f>
        <v>0.17190124461701761</v>
      </c>
      <c r="FL4" s="110">
        <f>SUM(FL5:FL6)</f>
        <v>1386518</v>
      </c>
      <c r="FM4" s="113">
        <f>(FL4/$FL$8)</f>
        <v>1.4638023739367378</v>
      </c>
      <c r="FN4" s="113">
        <f>(FL4/EQ4)-1</f>
        <v>0.11715963935509333</v>
      </c>
      <c r="FO4" s="110">
        <f>SUM(FO5:FO6)</f>
        <v>2451911</v>
      </c>
      <c r="FP4" s="113">
        <f>(FO4/$FO$8)</f>
        <v>1.4647596619699463</v>
      </c>
      <c r="FQ4" s="113">
        <f>(FO4/ET4)-1</f>
        <v>0.14030438675022383</v>
      </c>
      <c r="FR4" s="110">
        <f>SUM(FR5:FR6)</f>
        <v>1331589</v>
      </c>
      <c r="FS4" s="113">
        <f t="shared" ref="FS4:FS9" si="11">(FR4/$FR$8)</f>
        <v>1.4682573286669798</v>
      </c>
      <c r="FT4" s="113">
        <f>(FR4/EW4)-1</f>
        <v>0.14264568080483553</v>
      </c>
      <c r="FU4" s="110">
        <f>SUM(FU5:FU6)</f>
        <v>3783500</v>
      </c>
      <c r="FV4" s="113">
        <f>(FU4/$FU$8)</f>
        <v>1.4659887510016072</v>
      </c>
      <c r="FW4" s="113">
        <f>(FU4/EZ4)-1</f>
        <v>0.14112695749946758</v>
      </c>
      <c r="FX4" s="110">
        <f>SUM(FX5:FX6)</f>
        <v>1922030</v>
      </c>
      <c r="FY4" s="113">
        <f t="shared" ref="FY4:FY12" si="12">(FX4/$FX$8)</f>
        <v>1.4419327298616456</v>
      </c>
      <c r="FZ4" s="113">
        <f>(FX4/FC4)-1</f>
        <v>0.14106813471517965</v>
      </c>
      <c r="GA4" s="110">
        <f>SUM(GA5:GA6)</f>
        <v>5705530</v>
      </c>
      <c r="GB4" s="113">
        <f>(GA4/$GA$8)</f>
        <v>1.4577946956532626</v>
      </c>
      <c r="GC4" s="113">
        <f>(GA4/FF4)-1</f>
        <v>0.14110714110714118</v>
      </c>
      <c r="GD4" s="110">
        <f>SUM(GD5:GD6)</f>
        <v>1218239</v>
      </c>
      <c r="GE4" s="113">
        <f t="shared" ref="GE4:GE16" si="13">(GD4/$GD$8)</f>
        <v>1.4956599993124751</v>
      </c>
      <c r="GF4" s="113">
        <f>(GD4/FI4)-1</f>
        <v>0.14346443049653979</v>
      </c>
      <c r="GG4" s="110">
        <f>SUM(GG5:GG6)</f>
        <v>1649537</v>
      </c>
      <c r="GH4" s="113">
        <f>(GG4/$GG$8)</f>
        <v>1.4844672146638134</v>
      </c>
      <c r="GI4" s="113">
        <f>(GG4/FL4)-1</f>
        <v>0.18969750122248685</v>
      </c>
      <c r="GJ4" s="110">
        <f>SUM(GJ5:GJ6)</f>
        <v>2867776</v>
      </c>
      <c r="GK4" s="113">
        <f>(GJ4/$GJ$8)</f>
        <v>1.489201407893384</v>
      </c>
      <c r="GL4" s="113">
        <f>(GJ4/FO4)-1</f>
        <v>0.16960852167962059</v>
      </c>
      <c r="GM4" s="110">
        <f>SUM(GM5:GM6)</f>
        <v>1571477</v>
      </c>
      <c r="GN4" s="113">
        <f>(GM4/$GM$8)</f>
        <v>1.500802700051858</v>
      </c>
      <c r="GO4" s="113">
        <f>(GM4/FR4)-1</f>
        <v>0.18015168343986021</v>
      </c>
      <c r="GP4" s="110">
        <f>SUM(GP5:GP6)</f>
        <v>4439915</v>
      </c>
      <c r="GQ4" s="113">
        <f>(GP4/$GP$8)</f>
        <v>1.4935103378795447</v>
      </c>
      <c r="GR4" s="113">
        <f>(GP4/FU4)-1</f>
        <v>0.17349411920179736</v>
      </c>
      <c r="GS4" s="110">
        <f>SUM(GS5:GS6)</f>
        <v>2406483</v>
      </c>
      <c r="GT4" s="113">
        <f>(GS4/$GS$8)</f>
        <v>1.4411743393098724</v>
      </c>
      <c r="GU4" s="113">
        <f>(GS4/FX4)-1</f>
        <v>0.25205277753208843</v>
      </c>
      <c r="GV4" s="110">
        <f>SUM(GV5:GV6)</f>
        <v>6846398</v>
      </c>
      <c r="GW4" s="113">
        <f>(GV4/$GV$8)</f>
        <v>1.4746866634558304</v>
      </c>
      <c r="GX4" s="113">
        <f>(GV4/GA4)-1</f>
        <v>0.19995828608385202</v>
      </c>
      <c r="GY4" s="110">
        <f>SUM(GY5:GY6)</f>
        <v>1522213</v>
      </c>
      <c r="GZ4" s="113">
        <f>GY4/$GY$8</f>
        <v>1.5058072302266803</v>
      </c>
      <c r="HA4" s="113">
        <f>GY4/GD4-1</f>
        <v>0.2495191830174539</v>
      </c>
      <c r="HB4" s="110">
        <f>SUM(HB5:HB6)</f>
        <v>2022914</v>
      </c>
      <c r="HC4" s="113">
        <f>(HB4/$HB$8)</f>
        <v>1.4937787341256186</v>
      </c>
      <c r="HD4" s="113">
        <f t="shared" ref="HD4:HD11" si="14">(HB4/GG4)-1</f>
        <v>0.22635260682239933</v>
      </c>
      <c r="HE4" s="110">
        <f>SUM(HE5:HE6)</f>
        <v>3545127</v>
      </c>
      <c r="HF4" s="113">
        <f>(HE4/$HE$8)</f>
        <v>1.4989199284095824</v>
      </c>
      <c r="HG4" s="113">
        <f t="shared" ref="HG4:HG10" si="15">(HE4/GJ4)-1</f>
        <v>0.23619383103840752</v>
      </c>
      <c r="HH4" s="110">
        <f>SUM(HH5:HH6)</f>
        <v>1867391</v>
      </c>
      <c r="HI4" s="113">
        <f t="shared" ref="HI4:HI10" si="16">(HH4/$HH$8)</f>
        <v>1.4958693971715002</v>
      </c>
      <c r="HJ4" s="113">
        <f>(HH4/GM4)-1</f>
        <v>0.18830310593155364</v>
      </c>
      <c r="HK4" s="110">
        <f>SUM(HK5:HK6)</f>
        <v>5412518</v>
      </c>
      <c r="HL4" s="113">
        <f t="shared" ref="HL4:HL13" si="17">(HK4/$HK$8)</f>
        <v>1.4978660495709684</v>
      </c>
      <c r="HM4" s="113">
        <f>(HK4/GP4)-1</f>
        <v>0.21905892342533595</v>
      </c>
      <c r="HN4" s="110">
        <f>SUM(HN5:HN6)</f>
        <v>2660869</v>
      </c>
      <c r="HO4" s="113">
        <f>HN4/$HN$8</f>
        <v>1.4481975828441367</v>
      </c>
      <c r="HP4" s="113">
        <f>(HN4/GS4)-1</f>
        <v>0.10570862125350566</v>
      </c>
      <c r="HQ4" s="110">
        <f>SUM(HQ5:HQ6)</f>
        <v>8073387</v>
      </c>
      <c r="HR4" s="113">
        <f>(HQ4/HQ$8)</f>
        <v>1.48112386834205</v>
      </c>
      <c r="HS4" s="113">
        <f>(HQ4/GV4)-1</f>
        <v>0.17921672096772645</v>
      </c>
      <c r="HT4" s="110">
        <f>SUM(HT5:HT6)</f>
        <v>1613495</v>
      </c>
      <c r="HU4" s="113">
        <f>HT4/HT$8</f>
        <v>1.4993244423629464</v>
      </c>
      <c r="HV4" s="113">
        <f>HT4/GY4-1</f>
        <v>5.9966640673808413E-2</v>
      </c>
      <c r="HW4" s="110">
        <f>SUM(HW5:HW6)</f>
        <v>2165742</v>
      </c>
      <c r="HX4" s="113">
        <f>(HW4/HW$8)</f>
        <v>1.4786370885813225</v>
      </c>
      <c r="HY4" s="113">
        <f t="shared" ref="HY4:HY11" si="18">(HW4/HB4)-1</f>
        <v>7.0605077625643053E-2</v>
      </c>
      <c r="HZ4" s="110">
        <f>SUM(HZ5:HZ6)</f>
        <v>3779237</v>
      </c>
      <c r="IA4" s="113">
        <f>(HZ4/HZ$8)</f>
        <v>1.4873990292958696</v>
      </c>
      <c r="IB4" s="113">
        <f t="shared" ref="IB4:IB10" si="19">(HZ4/HE4)-1</f>
        <v>6.6037126455554374E-2</v>
      </c>
      <c r="IC4" s="110">
        <f>SUM(IC5:IC6)</f>
        <v>1878922</v>
      </c>
      <c r="ID4" s="113">
        <f>(IC4/IC$8)</f>
        <v>1.4907133982535952</v>
      </c>
      <c r="IE4" s="113">
        <f t="shared" ref="IE4:IE11" si="20">(IC4/HH4)-1</f>
        <v>6.1749253370075863E-3</v>
      </c>
      <c r="IF4" s="110">
        <f>SUM(IF5:IF6)</f>
        <v>5658159</v>
      </c>
      <c r="IG4" s="113">
        <f>(IF4/IF$8)</f>
        <v>1.488498006184275</v>
      </c>
      <c r="IH4" s="113">
        <f t="shared" ref="IH4:IH10" si="21">(IF4/HK4)-1</f>
        <v>4.5383867545567558E-2</v>
      </c>
      <c r="II4" s="110">
        <f>SUM(II5:II6)</f>
        <v>2791927</v>
      </c>
      <c r="IJ4" s="113">
        <f t="shared" ref="IJ4:IJ36" si="22">(II4/II$8)</f>
        <v>1.4537470372360588</v>
      </c>
      <c r="IK4" s="113">
        <f t="shared" ref="IK4:IK25" si="23">(II4/HN4)-1</f>
        <v>4.9253833991827589E-2</v>
      </c>
      <c r="IL4" s="110">
        <f>IL5+IL6</f>
        <v>8450085</v>
      </c>
      <c r="IM4" s="113">
        <f t="shared" ref="IM4:IM25" si="24">(IL4/IL$8)</f>
        <v>1.4768339515292244</v>
      </c>
      <c r="IN4" s="113">
        <f t="shared" ref="IN4:IN25" si="25">(IL4/HQ4)-1</f>
        <v>4.6659227409759918E-2</v>
      </c>
      <c r="IO4" s="110">
        <f>SUM(IO5:IO6)</f>
        <v>1949369</v>
      </c>
      <c r="IP4" s="113">
        <f t="shared" ref="IP4:IP25" si="26">IO4/IO$8</f>
        <v>1.5788404158472937</v>
      </c>
      <c r="IQ4" s="113">
        <f t="shared" ref="IQ4:IQ25" si="27">IO4/HT4-1</f>
        <v>0.20816550407655421</v>
      </c>
      <c r="IR4" s="110">
        <f>SUM(IR5:IR6)</f>
        <v>2514219</v>
      </c>
      <c r="IS4" s="113">
        <f>(IR4/IR$8)</f>
        <v>1.5420342529942543</v>
      </c>
      <c r="IT4" s="113">
        <f t="shared" ref="IT4:IT11" si="28">(IR4/HW4)-1</f>
        <v>0.16090420742636935</v>
      </c>
      <c r="IU4" s="110">
        <f>SUM(IU5:IU6)</f>
        <v>4463588</v>
      </c>
      <c r="IV4" s="113">
        <f>(IU4/IU$8)</f>
        <v>1.5578952511919137</v>
      </c>
      <c r="IW4" s="113">
        <f t="shared" ref="IW4:IW10" si="29">(IU4/HZ4)-1</f>
        <v>0.18108178978984379</v>
      </c>
      <c r="IX4" s="110">
        <f>SUM(IX5:IX6)</f>
        <v>2359223</v>
      </c>
      <c r="IY4" s="113">
        <f>(IX4/IX$8)</f>
        <v>1.5597364235100604</v>
      </c>
      <c r="IZ4" s="113">
        <f t="shared" ref="IZ4:IZ11" si="30">(IX4/IC4)-1</f>
        <v>0.25562583225913582</v>
      </c>
      <c r="JA4" s="110">
        <f>SUM(JA5:JA6)</f>
        <v>6822811</v>
      </c>
      <c r="JB4" s="113">
        <f t="shared" ref="JB4:JB25" si="31">(JA4/JA$8)</f>
        <v>1.5585314083730382</v>
      </c>
      <c r="JC4" s="113">
        <f t="shared" ref="JC4:JC25" si="32">(JA4/IF4)-1</f>
        <v>0.20583585579691199</v>
      </c>
      <c r="JD4" s="110">
        <f>SUM(JD5:JD6)</f>
        <v>3356910</v>
      </c>
      <c r="JE4" s="113">
        <f>(JD4/JD$8)</f>
        <v>1.5105192464750232</v>
      </c>
      <c r="JF4" s="113">
        <f t="shared" ref="JF4:JF11" si="33">(JD4/II4)-1</f>
        <v>0.20236309903518257</v>
      </c>
      <c r="JG4" s="110">
        <f>SUM(JG5:JG6)</f>
        <v>10179721</v>
      </c>
      <c r="JH4" s="113">
        <f t="shared" ref="JH4:JH25" si="34">(JG4/JG$8)</f>
        <v>1.5423649102062962</v>
      </c>
      <c r="JI4" s="113">
        <f t="shared" ref="JI4:JI25" si="35">(JG4/IL4)-1</f>
        <v>0.20468859188990396</v>
      </c>
      <c r="JJ4" s="110">
        <f>SUM(JJ5:JJ6)</f>
        <v>2190171</v>
      </c>
      <c r="JK4" s="113">
        <f>(JJ4/JJ$8)</f>
        <v>1.5657286611062617</v>
      </c>
      <c r="JL4" s="113">
        <f>(JJ4/IO4)-1</f>
        <v>0.12352817757951429</v>
      </c>
      <c r="JM4" s="110">
        <f>SUM(JM5:JM6)</f>
        <v>2736459</v>
      </c>
      <c r="JN4" s="113">
        <f>(JM4/JM$8)</f>
        <v>1.5373097434819956</v>
      </c>
      <c r="JO4" s="113">
        <f>(JM4/IR4)-1</f>
        <v>8.839325452556035E-2</v>
      </c>
      <c r="JP4" s="110">
        <f>JM4+JJ4</f>
        <v>4926630</v>
      </c>
      <c r="JQ4" s="113">
        <f>(JP4/JP$8)</f>
        <v>1.5498151847366186</v>
      </c>
      <c r="JR4" s="113">
        <f>(JP4/IU4)-1</f>
        <v>0.10373762094530226</v>
      </c>
      <c r="JS4" s="110">
        <f>SUM(JS5:JS6)</f>
        <v>2620460</v>
      </c>
      <c r="JT4" s="113">
        <f>(JS4/JS$8)</f>
        <v>1.5311245771887294</v>
      </c>
      <c r="JU4" s="113">
        <f>(JS4/IX4)-1</f>
        <v>0.11073010054581522</v>
      </c>
      <c r="JV4" s="110">
        <f>JS4+JP4</f>
        <v>7547090</v>
      </c>
      <c r="JW4" s="113">
        <f>(JV4/JV$8)</f>
        <v>1.543274037172687</v>
      </c>
      <c r="JX4" s="113">
        <f>(JV4/JA4)-1</f>
        <v>0.10615551273514678</v>
      </c>
      <c r="JY4" s="110">
        <f>SUM(JY5:JY6)</f>
        <v>3873312</v>
      </c>
      <c r="JZ4" s="113">
        <f>(JY4/JY$8)</f>
        <v>1.4925356110425636</v>
      </c>
      <c r="KA4" s="113">
        <f>(JY4/JD4)-1</f>
        <v>0.15383254242741096</v>
      </c>
      <c r="KB4" s="110">
        <f>JV4+JY4</f>
        <v>11420402</v>
      </c>
      <c r="KC4" s="113">
        <f>(KB4/KB$8)</f>
        <v>1.5256835509716005</v>
      </c>
      <c r="KD4" s="113">
        <f>(KB4/JG4)-1</f>
        <v>0.12187770175626622</v>
      </c>
      <c r="KE4" s="110">
        <f>SUM(KE5:KE6)</f>
        <v>2552363</v>
      </c>
      <c r="KF4" s="113">
        <f>(KE4/KE$8)</f>
        <v>1.5465707912989892</v>
      </c>
      <c r="KG4" s="113">
        <f>(KE4/JJ4)-1</f>
        <v>0.16537156231180128</v>
      </c>
      <c r="KH4" s="110">
        <f>SUM(KH5:KH6)</f>
        <v>3097696</v>
      </c>
      <c r="KI4" s="113">
        <f>(KH4/KH$8)</f>
        <v>1.5339882557663909</v>
      </c>
      <c r="KJ4" s="113">
        <f>(KH4/JM4)-1</f>
        <v>0.13200892101800177</v>
      </c>
      <c r="KK4" s="110">
        <f>KH4+KE4</f>
        <v>5650059</v>
      </c>
      <c r="KL4" s="113">
        <f>(KK4/KK$8)</f>
        <v>1.5396468550248235</v>
      </c>
      <c r="KM4" s="113">
        <f>(KK4/JP4)-1</f>
        <v>0.14684053805542541</v>
      </c>
      <c r="KN4" s="110">
        <f>SUM(KN5:KN6)</f>
        <v>2991101</v>
      </c>
      <c r="KO4" s="113">
        <f>(KN4/KN$8)</f>
        <v>1.548249827632971</v>
      </c>
      <c r="KP4" s="113">
        <f>(KN4/JS4)-1</f>
        <v>0.14144119734703064</v>
      </c>
      <c r="KQ4" s="110">
        <f>KN4+KK4</f>
        <v>8641160</v>
      </c>
      <c r="KR4" s="113">
        <f>(KQ4/KQ$8)</f>
        <v>1.5426138975495547</v>
      </c>
      <c r="KS4" s="113">
        <f>(KQ4/JV4)-1</f>
        <v>0.14496580801341974</v>
      </c>
      <c r="KT4" s="110">
        <f>SUM(KT5:KT6)</f>
        <v>4315726</v>
      </c>
      <c r="KU4" s="113">
        <f>(KT4/KT$8)</f>
        <v>1.5021367476744292</v>
      </c>
      <c r="KV4" s="113">
        <f>(KT4/JY4)-1</f>
        <v>0.11422111102849453</v>
      </c>
      <c r="KW4" s="110">
        <f>KT4+KQ4</f>
        <v>12956886</v>
      </c>
      <c r="KX4" s="113">
        <f>(KW4/KW$8)</f>
        <v>1.5288914890486298</v>
      </c>
      <c r="KY4" s="113">
        <f>(KW4/KB4)-1</f>
        <v>0.13453852149863033</v>
      </c>
      <c r="KZ4" s="110">
        <f>SUM(KZ5:KZ6)</f>
        <v>2478859</v>
      </c>
      <c r="LA4" s="113">
        <f>(KZ4/KZ$8)</f>
        <v>1.5990781715671729</v>
      </c>
      <c r="LB4" s="113">
        <f>(KZ4/KE4)-1</f>
        <v>-2.8798411511215316E-2</v>
      </c>
      <c r="LC4" s="110">
        <f>SUM(LC5:LC6)</f>
        <v>1031541</v>
      </c>
      <c r="LD4" s="113">
        <f>(LC4/LC$8)</f>
        <v>1.9115496371628282</v>
      </c>
      <c r="LE4" s="113">
        <f>(LC4/KH4)-1</f>
        <v>-0.66699734254103693</v>
      </c>
      <c r="LF4" s="110">
        <f>LC4+KZ4</f>
        <v>3510400</v>
      </c>
      <c r="LG4" s="113">
        <f>(LF4/LF$8)</f>
        <v>1.6797651085071605</v>
      </c>
      <c r="LH4" s="113">
        <f>(LF4/KK4)-1</f>
        <v>-0.37869675343213227</v>
      </c>
      <c r="LI4" s="110">
        <f>SUM(LI5:LI6)</f>
        <v>2536668</v>
      </c>
      <c r="LJ4" s="113">
        <f>(LI4/LI$8)</f>
        <v>1.5362600586120252</v>
      </c>
      <c r="LK4" s="113">
        <f>(LI4/KN4)-1</f>
        <v>-0.15192833675626471</v>
      </c>
      <c r="LL4" s="110">
        <f>LF4+LI4</f>
        <v>6047068</v>
      </c>
      <c r="LM4" s="113">
        <f>(LL4/LL$8)</f>
        <v>1.6164252837399924</v>
      </c>
      <c r="LN4" s="113">
        <f>(LL4/KQ4)-1</f>
        <v>-0.30020182475500978</v>
      </c>
      <c r="LO4" s="110">
        <f>SUM(LO5:LO6)</f>
        <v>4294537</v>
      </c>
      <c r="LP4" s="113">
        <f>(LO4/LO$8)</f>
        <v>1.4709545074973678</v>
      </c>
      <c r="LQ4" s="113">
        <f>(LO4/KT4)-1</f>
        <v>-4.9097185502509078E-3</v>
      </c>
      <c r="LR4" s="110">
        <f>LL4+LO4</f>
        <v>10341605</v>
      </c>
      <c r="LS4" s="113">
        <f>(LR4/LR$8)</f>
        <v>1.5526604250596534</v>
      </c>
      <c r="LT4" s="113">
        <f>(LR4/KW4)-1</f>
        <v>-0.20184487229416082</v>
      </c>
    </row>
    <row r="5" spans="1:332" ht="16.5" customHeight="1">
      <c r="A5" s="114"/>
      <c r="B5" s="115" t="s">
        <v>1025</v>
      </c>
      <c r="C5" s="116" t="s">
        <v>109</v>
      </c>
      <c r="D5" s="120"/>
      <c r="E5" s="118">
        <f>D5/$D$8</f>
        <v>0</v>
      </c>
      <c r="F5" s="120"/>
      <c r="G5" s="118">
        <f>F5/$F$8</f>
        <v>0</v>
      </c>
      <c r="H5" s="117">
        <f>D5+F5</f>
        <v>0</v>
      </c>
      <c r="I5" s="118">
        <f>H5/$H$8</f>
        <v>0</v>
      </c>
      <c r="J5" s="120"/>
      <c r="K5" s="118">
        <f>J5/$J$8</f>
        <v>0</v>
      </c>
      <c r="L5" s="117">
        <f>H5+J5</f>
        <v>0</v>
      </c>
      <c r="M5" s="118">
        <f>L5/$L$8</f>
        <v>0</v>
      </c>
      <c r="N5" s="120"/>
      <c r="O5" s="118">
        <f>N5/$N$8</f>
        <v>0</v>
      </c>
      <c r="P5" s="117">
        <f>L5+N5</f>
        <v>0</v>
      </c>
      <c r="Q5" s="118">
        <f>P5/$P$8</f>
        <v>0</v>
      </c>
      <c r="R5" s="120"/>
      <c r="S5" s="118">
        <f>R5/$R$8</f>
        <v>0</v>
      </c>
      <c r="T5" s="26" t="e">
        <f>R5/D5-1</f>
        <v>#DIV/0!</v>
      </c>
      <c r="U5" s="120"/>
      <c r="V5" s="119">
        <f>U5/$U$8</f>
        <v>0</v>
      </c>
      <c r="W5" s="26" t="e">
        <f>U5/F5-1</f>
        <v>#DIV/0!</v>
      </c>
      <c r="X5" s="117">
        <f>R5+U5</f>
        <v>0</v>
      </c>
      <c r="Y5" s="119">
        <f>X5/$X$8</f>
        <v>0</v>
      </c>
      <c r="Z5" s="26" t="e">
        <f>X5/H5-1</f>
        <v>#DIV/0!</v>
      </c>
      <c r="AA5" s="120"/>
      <c r="AB5" s="119">
        <f>AA5/$AA$8</f>
        <v>0</v>
      </c>
      <c r="AC5" s="26" t="e">
        <f>AA5/J5-1</f>
        <v>#DIV/0!</v>
      </c>
      <c r="AD5" s="117">
        <f>X5+AA5</f>
        <v>0</v>
      </c>
      <c r="AE5" s="119">
        <f>AD5/$AD$8</f>
        <v>0</v>
      </c>
      <c r="AF5" s="26" t="e">
        <f>AD5/L5-1</f>
        <v>#DIV/0!</v>
      </c>
      <c r="AG5" s="120"/>
      <c r="AH5" s="119">
        <f>AG5/$AG$8</f>
        <v>0</v>
      </c>
      <c r="AI5" s="26" t="e">
        <f>AG5/N5-1</f>
        <v>#DIV/0!</v>
      </c>
      <c r="AJ5" s="117">
        <f>AD5+AG5</f>
        <v>0</v>
      </c>
      <c r="AK5" s="119">
        <f>AJ5/$AJ$8</f>
        <v>0</v>
      </c>
      <c r="AL5" s="26" t="e">
        <f>AJ5/P5-1</f>
        <v>#DIV/0!</v>
      </c>
      <c r="AM5" s="120"/>
      <c r="AN5" s="119">
        <f>AM5/$AM$8</f>
        <v>0</v>
      </c>
      <c r="AO5" s="119" t="e">
        <f>AM5/R5-1</f>
        <v>#DIV/0!</v>
      </c>
      <c r="AP5" s="120"/>
      <c r="AQ5" s="119">
        <f>AP5/$AP$8</f>
        <v>0</v>
      </c>
      <c r="AR5" s="119" t="e">
        <f>AP5/U5-1</f>
        <v>#DIV/0!</v>
      </c>
      <c r="AS5" s="120">
        <f>AM5+AP5</f>
        <v>0</v>
      </c>
      <c r="AT5" s="119">
        <f>AS5/$AS$8</f>
        <v>0</v>
      </c>
      <c r="AU5" s="119" t="e">
        <f>AS5/X5-1</f>
        <v>#DIV/0!</v>
      </c>
      <c r="AV5" s="120"/>
      <c r="AW5" s="119">
        <f>AV5/$AV$8</f>
        <v>0</v>
      </c>
      <c r="AX5" s="119" t="e">
        <f>AV5/AA5-1</f>
        <v>#DIV/0!</v>
      </c>
      <c r="AY5" s="120">
        <f>AV5+AS5</f>
        <v>0</v>
      </c>
      <c r="AZ5" s="119">
        <f>AY5/$AY$8</f>
        <v>0</v>
      </c>
      <c r="BA5" s="119" t="e">
        <f>AY5/AD5-1</f>
        <v>#DIV/0!</v>
      </c>
      <c r="BB5" s="120"/>
      <c r="BC5" s="119">
        <f>BB5/$BB$8</f>
        <v>0</v>
      </c>
      <c r="BD5" s="26" t="e">
        <f>BB5/AG5-1</f>
        <v>#DIV/0!</v>
      </c>
      <c r="BE5" s="120">
        <f>BB5+AY5</f>
        <v>0</v>
      </c>
      <c r="BF5" s="119">
        <f>BE5/$BE$8</f>
        <v>0</v>
      </c>
      <c r="BG5" s="26" t="e">
        <f>BE5/AJ5-1</f>
        <v>#DIV/0!</v>
      </c>
      <c r="BH5" s="120"/>
      <c r="BI5" s="119">
        <f>BH5/$BH$8</f>
        <v>0</v>
      </c>
      <c r="BJ5" s="119" t="e">
        <f>(BH5/AM5)-1</f>
        <v>#DIV/0!</v>
      </c>
      <c r="BK5" s="120"/>
      <c r="BL5" s="119">
        <f>BK5/$BK$8</f>
        <v>0</v>
      </c>
      <c r="BM5" s="119" t="e">
        <f>(BK5/AP5)-1</f>
        <v>#DIV/0!</v>
      </c>
      <c r="BN5" s="120">
        <f>BK5+BH5</f>
        <v>0</v>
      </c>
      <c r="BO5" s="119">
        <f>BN5/$BN$8</f>
        <v>0</v>
      </c>
      <c r="BP5" s="119" t="e">
        <f>BN5/AS5-1</f>
        <v>#DIV/0!</v>
      </c>
      <c r="BQ5" s="120"/>
      <c r="BR5" s="119">
        <f>BQ5/$BQ$8</f>
        <v>0</v>
      </c>
      <c r="BS5" s="119" t="e">
        <f>(BQ5/AV5)-1</f>
        <v>#DIV/0!</v>
      </c>
      <c r="BT5" s="120">
        <f>BN5+BQ5</f>
        <v>0</v>
      </c>
      <c r="BU5" s="119">
        <f>BT5/$BT$8</f>
        <v>0</v>
      </c>
      <c r="BV5" s="119" t="e">
        <f>BT5/AY5-1</f>
        <v>#DIV/0!</v>
      </c>
      <c r="BW5" s="120"/>
      <c r="BX5" s="119">
        <f>BW5/$BW$8</f>
        <v>0</v>
      </c>
      <c r="BY5" s="119" t="e">
        <f>(BW5/BB5)-1</f>
        <v>#DIV/0!</v>
      </c>
      <c r="BZ5" s="120">
        <f>BT5+BW5</f>
        <v>0</v>
      </c>
      <c r="CA5" s="119">
        <f>BZ5/$BZ$8</f>
        <v>0</v>
      </c>
      <c r="CB5" s="119" t="e">
        <f>(BZ5/BE5)-1</f>
        <v>#DIV/0!</v>
      </c>
      <c r="CC5" s="120"/>
      <c r="CD5" s="119">
        <f>CC5/$CC$8</f>
        <v>0</v>
      </c>
      <c r="CE5" s="119" t="e">
        <f>(CC5/BH5)-1</f>
        <v>#DIV/0!</v>
      </c>
      <c r="CF5" s="120"/>
      <c r="CG5" s="119">
        <f>CF5/$CF$8</f>
        <v>0</v>
      </c>
      <c r="CH5" s="119" t="e">
        <f>(CF5/BK5)-1</f>
        <v>#DIV/0!</v>
      </c>
      <c r="CI5" s="120">
        <f>CF5+CC5</f>
        <v>0</v>
      </c>
      <c r="CJ5" s="119">
        <f>CI5/$CI$8</f>
        <v>0</v>
      </c>
      <c r="CK5" s="119" t="e">
        <f>(CI5/BN5)-1</f>
        <v>#DIV/0!</v>
      </c>
      <c r="CL5" s="120"/>
      <c r="CM5" s="119">
        <f>CL5/$CL$8</f>
        <v>0</v>
      </c>
      <c r="CN5" s="119" t="e">
        <f>(CL5/BQ5)-1</f>
        <v>#DIV/0!</v>
      </c>
      <c r="CO5" s="121">
        <f>CI5+CL5</f>
        <v>0</v>
      </c>
      <c r="CP5" s="119">
        <f>CO5/$CO$8</f>
        <v>0</v>
      </c>
      <c r="CQ5" s="119" t="e">
        <f>(CO5/BT5)-1</f>
        <v>#DIV/0!</v>
      </c>
      <c r="CR5" s="122"/>
      <c r="CS5" s="119">
        <f>CR5/$CR$8</f>
        <v>0</v>
      </c>
      <c r="CT5" s="119" t="e">
        <f>(CR5/BW5)-1</f>
        <v>#DIV/0!</v>
      </c>
      <c r="CU5" s="122">
        <f>CO5+CR5</f>
        <v>0</v>
      </c>
      <c r="CV5" s="119">
        <f>CU5/$CU$8</f>
        <v>0</v>
      </c>
      <c r="CW5" s="119" t="e">
        <f>(CU5/BZ5)-1</f>
        <v>#DIV/0!</v>
      </c>
      <c r="CX5" s="120"/>
      <c r="CY5" s="119">
        <f>CX5/$CX$8</f>
        <v>0</v>
      </c>
      <c r="CZ5" s="119" t="e">
        <f>CX5/CC5-1</f>
        <v>#DIV/0!</v>
      </c>
      <c r="DA5" s="120"/>
      <c r="DB5" s="119">
        <f>DA5/$DA$8</f>
        <v>0</v>
      </c>
      <c r="DC5" s="119" t="e">
        <f>DA5/CF5-1</f>
        <v>#DIV/0!</v>
      </c>
      <c r="DD5" s="120">
        <f>SUM(CX5,DA5)</f>
        <v>0</v>
      </c>
      <c r="DE5" s="119">
        <f>DD5/$DD$8</f>
        <v>0</v>
      </c>
      <c r="DF5" s="119" t="e">
        <f>DD5/CI5-1</f>
        <v>#DIV/0!</v>
      </c>
      <c r="DG5" s="120"/>
      <c r="DH5" s="119">
        <f>DG5/$DG$8</f>
        <v>0</v>
      </c>
      <c r="DI5" s="119" t="e">
        <f>DG5/CL5-1</f>
        <v>#DIV/0!</v>
      </c>
      <c r="DJ5" s="120">
        <f>SUM(DD5,DG5)</f>
        <v>0</v>
      </c>
      <c r="DK5" s="119">
        <f>DJ5/$DJ$8</f>
        <v>0</v>
      </c>
      <c r="DL5" s="119" t="e">
        <f>DJ5/CO5-1</f>
        <v>#DIV/0!</v>
      </c>
      <c r="DM5" s="120"/>
      <c r="DN5" s="119">
        <f>DM5/$DM$8</f>
        <v>0</v>
      </c>
      <c r="DO5" s="119" t="e">
        <f>DM5/CR5-1</f>
        <v>#DIV/0!</v>
      </c>
      <c r="DP5" s="122">
        <f>DJ5+DM5</f>
        <v>0</v>
      </c>
      <c r="DQ5" s="119">
        <f>DP5/$DP$8</f>
        <v>0</v>
      </c>
      <c r="DR5" s="119" t="e">
        <f>DP5/CU5-1</f>
        <v>#DIV/0!</v>
      </c>
      <c r="DS5" s="120"/>
      <c r="DT5" s="123">
        <f>DS5/$DS$8</f>
        <v>0</v>
      </c>
      <c r="DU5" s="123" t="e">
        <f>(DS5/CX5)-1</f>
        <v>#DIV/0!</v>
      </c>
      <c r="DV5" s="120"/>
      <c r="DW5" s="123">
        <f>(DV5/$DV$8)</f>
        <v>0</v>
      </c>
      <c r="DX5" s="123" t="e">
        <f>(DV5/DA5)-1</f>
        <v>#DIV/0!</v>
      </c>
      <c r="DY5" s="120">
        <f>+EE5-EB5</f>
        <v>1684144</v>
      </c>
      <c r="DZ5" s="123">
        <f>(DY5/$DY$8)</f>
        <v>1.3288599924251989</v>
      </c>
      <c r="EA5" s="123" t="e">
        <f>(DY5/DD5)-1</f>
        <v>#DIV/0!</v>
      </c>
      <c r="EB5" s="120">
        <v>867791</v>
      </c>
      <c r="EC5" s="123">
        <f>(EB5/$EB$8)</f>
        <v>1.3206858871728688</v>
      </c>
      <c r="ED5" s="123" t="e">
        <f>(EB5/DG5)-1</f>
        <v>#DIV/0!</v>
      </c>
      <c r="EE5" s="120">
        <v>2551935</v>
      </c>
      <c r="EF5" s="123">
        <f>(EE5/$EE$8)</f>
        <v>1.3260690404877065</v>
      </c>
      <c r="EG5" s="123" t="e">
        <f>(EE5/DJ5)-1</f>
        <v>#DIV/0!</v>
      </c>
      <c r="EH5" s="120">
        <f>+EK5-EE5</f>
        <v>1292709</v>
      </c>
      <c r="EI5" s="123">
        <f>(EH5/$EH$8)</f>
        <v>1.3297012898845892</v>
      </c>
      <c r="EJ5" s="123" t="e">
        <f>(EH5/DM5)-1</f>
        <v>#DIV/0!</v>
      </c>
      <c r="EK5" s="120">
        <v>3844644</v>
      </c>
      <c r="EL5" s="123">
        <f>(EK5/$EK$8)</f>
        <v>1.3272876600530896</v>
      </c>
      <c r="EM5" s="123" t="e">
        <f>(EK5/DP5)-1</f>
        <v>#DIV/0!</v>
      </c>
      <c r="EN5" s="120">
        <f>+ET5-EQ5</f>
        <v>815826</v>
      </c>
      <c r="EO5" s="123">
        <f>(EN5/$EN$8)</f>
        <v>1.3175505774395631</v>
      </c>
      <c r="EP5" s="123" t="e">
        <f>(EN5/DS5)-1</f>
        <v>#DIV/0!</v>
      </c>
      <c r="EQ5" s="120">
        <v>1137336</v>
      </c>
      <c r="ER5" s="123">
        <f>(EQ5/$EQ$8)</f>
        <v>1.3299546639319246</v>
      </c>
      <c r="ES5" s="123" t="e">
        <f>(EQ5/DV5)-1</f>
        <v>#DIV/0!</v>
      </c>
      <c r="ET5" s="120">
        <v>1953162</v>
      </c>
      <c r="EU5" s="123">
        <f>(ET5/$ET$8)</f>
        <v>1.3247452467769241</v>
      </c>
      <c r="EV5" s="123">
        <f t="shared" si="10"/>
        <v>0.15973574706200888</v>
      </c>
      <c r="EW5" s="120">
        <v>1059752</v>
      </c>
      <c r="EX5" s="123">
        <f>EW5/$EW$8</f>
        <v>1.3193137962801584</v>
      </c>
      <c r="EY5" s="123">
        <f>(EW5/EB5)-1</f>
        <v>0.22120648865913561</v>
      </c>
      <c r="EZ5" s="120">
        <v>3012915</v>
      </c>
      <c r="FA5" s="123">
        <f>(EZ5/$EZ$8)</f>
        <v>1.3228295740877904</v>
      </c>
      <c r="FB5" s="123">
        <f>(EZ5/EE5)-1</f>
        <v>0.18063939716332911</v>
      </c>
      <c r="FC5" s="120">
        <f>+FF5-EZ5</f>
        <v>1571625</v>
      </c>
      <c r="FD5" s="123">
        <f>FC5/$FC$8</f>
        <v>1.3270138778653282</v>
      </c>
      <c r="FE5" s="123">
        <f>(FC5/EH5)-1</f>
        <v>0.21576085569142012</v>
      </c>
      <c r="FF5" s="120">
        <v>4584540</v>
      </c>
      <c r="FG5" s="123">
        <f>(FF5/$FF$8)</f>
        <v>1.3242614010560492</v>
      </c>
      <c r="FH5" s="123">
        <f>(FF5/EK5)-1</f>
        <v>0.19244850758613796</v>
      </c>
      <c r="FI5" s="120">
        <f>+FO5-FL5</f>
        <v>953514</v>
      </c>
      <c r="FJ5" s="123">
        <f>(FI5/$FI$8)</f>
        <v>1.3120590699997661</v>
      </c>
      <c r="FK5" s="123">
        <f>(FI5/EN5)-1</f>
        <v>0.16877128211162673</v>
      </c>
      <c r="FL5" s="120">
        <v>1268355</v>
      </c>
      <c r="FM5" s="123">
        <f>(FL5/$FL$8)</f>
        <v>1.3390529801953752</v>
      </c>
      <c r="FN5" s="123">
        <f>(FL5/EQ5)-1</f>
        <v>0.11519814724936173</v>
      </c>
      <c r="FO5" s="120">
        <v>2221869</v>
      </c>
      <c r="FP5" s="123">
        <f>(FO5/$FO$8)</f>
        <v>1.3273336941599847</v>
      </c>
      <c r="FQ5" s="123">
        <f>(FO5/ET5)-1</f>
        <v>0.13757537777204343</v>
      </c>
      <c r="FR5" s="120">
        <v>1210566</v>
      </c>
      <c r="FS5" s="123">
        <f t="shared" si="11"/>
        <v>1.3348130702003931</v>
      </c>
      <c r="FT5" s="123">
        <f>(FR5/EW5)-1</f>
        <v>0.14231065381334496</v>
      </c>
      <c r="FU5" s="120">
        <v>3432435</v>
      </c>
      <c r="FV5" s="123">
        <f>(FU5/$FU$8)</f>
        <v>1.3299619660484212</v>
      </c>
      <c r="FW5" s="123">
        <f>(FU5/EZ5)-1</f>
        <v>0.13924056934895268</v>
      </c>
      <c r="FX5" s="120">
        <f>+GA5-FU5</f>
        <v>1790573</v>
      </c>
      <c r="FY5" s="123">
        <f t="shared" si="12"/>
        <v>1.3433119222418779</v>
      </c>
      <c r="FZ5" s="123">
        <f>(FX5/FC5)-1</f>
        <v>0.13931313131313128</v>
      </c>
      <c r="GA5" s="120">
        <v>5223008</v>
      </c>
      <c r="GB5" s="123">
        <f>(GA5/$GA$8)</f>
        <v>1.334507636933739</v>
      </c>
      <c r="GC5" s="123">
        <f>(GA5/FF5)-1</f>
        <v>0.13926544429757404</v>
      </c>
      <c r="GD5" s="120">
        <f>+GJ5-GG5</f>
        <v>1083086</v>
      </c>
      <c r="GE5" s="123">
        <f t="shared" si="13"/>
        <v>1.3297295571848804</v>
      </c>
      <c r="GF5" s="123">
        <f>(GD5/FI5)-1</f>
        <v>0.13588893293648541</v>
      </c>
      <c r="GG5" s="120">
        <v>1494139</v>
      </c>
      <c r="GH5" s="123">
        <f>(GG5/$GG$8)</f>
        <v>1.3446199507198537</v>
      </c>
      <c r="GI5" s="123">
        <f>(GG5/FL5)-1</f>
        <v>0.17801325338726137</v>
      </c>
      <c r="GJ5" s="120">
        <v>2577225</v>
      </c>
      <c r="GK5" s="123">
        <f>(GJ5/$GJ$8)</f>
        <v>1.3383217861011552</v>
      </c>
      <c r="GL5" s="123">
        <f>(GJ5/FO5)-1</f>
        <v>0.15993562176707998</v>
      </c>
      <c r="GM5" s="120">
        <v>1404870</v>
      </c>
      <c r="GN5" s="123">
        <f>(GM5/$GM$8)</f>
        <v>1.3416885447396645</v>
      </c>
      <c r="GO5" s="123">
        <f>(GM5/FR5)-1</f>
        <v>0.1605067381704095</v>
      </c>
      <c r="GP5" s="120">
        <v>3982095</v>
      </c>
      <c r="GQ5" s="123">
        <f>(GP5/$GP$8)</f>
        <v>1.3395076367269296</v>
      </c>
      <c r="GR5" s="123">
        <f>(GP5/FU5)-1</f>
        <v>0.16013704556677699</v>
      </c>
      <c r="GS5" s="120">
        <f>+GV5-GP5</f>
        <v>2249639</v>
      </c>
      <c r="GT5" s="123">
        <f>(GS5/$GS$8)</f>
        <v>1.3472449211196265</v>
      </c>
      <c r="GU5" s="123">
        <f>(GS5/FX5)-1</f>
        <v>0.25637938246583625</v>
      </c>
      <c r="GV5" s="120">
        <v>6231734</v>
      </c>
      <c r="GW5" s="123">
        <f>(GV5/$GV$8)</f>
        <v>1.3422905037078265</v>
      </c>
      <c r="GX5" s="123">
        <f>(GV5/GA5)-1</f>
        <v>0.19313123778481667</v>
      </c>
      <c r="GY5" s="120">
        <v>1349420</v>
      </c>
      <c r="GZ5" s="123">
        <f>GY5/$GY$8</f>
        <v>1.3348765203112094</v>
      </c>
      <c r="HA5" s="123">
        <f>GY5/GD5-1</f>
        <v>0.24590291075685577</v>
      </c>
      <c r="HB5" s="120">
        <v>1829287</v>
      </c>
      <c r="HC5" s="123">
        <f>(HB5/$HB$8)</f>
        <v>1.3507989065340644</v>
      </c>
      <c r="HD5" s="123">
        <f t="shared" si="14"/>
        <v>0.22430844787533144</v>
      </c>
      <c r="HE5" s="120">
        <f>GY5+HB5</f>
        <v>3178707</v>
      </c>
      <c r="HF5" s="123">
        <f>(HE5/$HE$8)</f>
        <v>1.3439933939954869</v>
      </c>
      <c r="HG5" s="123">
        <f t="shared" si="15"/>
        <v>0.23338358117742919</v>
      </c>
      <c r="HH5" s="120">
        <v>1678224</v>
      </c>
      <c r="HI5" s="123">
        <f t="shared" si="16"/>
        <v>1.3443375935723927</v>
      </c>
      <c r="HJ5" s="123">
        <f>(HH5/GM5)-1</f>
        <v>0.19457601059172736</v>
      </c>
      <c r="HK5" s="120">
        <v>4856931</v>
      </c>
      <c r="HL5" s="123">
        <f t="shared" si="17"/>
        <v>1.3441123059560767</v>
      </c>
      <c r="HM5" s="123">
        <f>(HK5/GP5)-1</f>
        <v>0.2196923980969816</v>
      </c>
      <c r="HN5" s="120">
        <f>+HQ5-HK5</f>
        <v>2466004</v>
      </c>
      <c r="HO5" s="123">
        <f>HN5/$HN$8</f>
        <v>1.3421408690484096</v>
      </c>
      <c r="HP5" s="123">
        <f>(HN5/GS5)-1</f>
        <v>9.6177653392388818E-2</v>
      </c>
      <c r="HQ5" s="120">
        <v>7322935</v>
      </c>
      <c r="HR5" s="123">
        <f>(HQ5/HQ$8)</f>
        <v>1.3434477766044648</v>
      </c>
      <c r="HS5" s="123">
        <f>(HQ5/GV5)-1</f>
        <v>0.17510391168814321</v>
      </c>
      <c r="HT5" s="120">
        <v>1425416</v>
      </c>
      <c r="HU5" s="123">
        <f>HT5/HT$8</f>
        <v>1.324553871772284</v>
      </c>
      <c r="HV5" s="123">
        <f>HT5/GY5-1</f>
        <v>5.6317529012464673E-2</v>
      </c>
      <c r="HW5" s="120">
        <v>1964141</v>
      </c>
      <c r="HX5" s="123">
        <f>(HW5/HW$8)</f>
        <v>1.3409961711982348</v>
      </c>
      <c r="HY5" s="123">
        <f t="shared" si="18"/>
        <v>7.3719432762600956E-2</v>
      </c>
      <c r="HZ5" s="120">
        <f>HT5+HW5</f>
        <v>3389557</v>
      </c>
      <c r="IA5" s="123">
        <f>(HZ5/HZ$8)</f>
        <v>1.3340321846825218</v>
      </c>
      <c r="IB5" s="123">
        <f t="shared" si="19"/>
        <v>6.6332002288981062E-2</v>
      </c>
      <c r="IC5" s="120">
        <v>1673726</v>
      </c>
      <c r="ID5" s="123">
        <f>(IC5/IC$8)</f>
        <v>1.3279134382403297</v>
      </c>
      <c r="IE5" s="123">
        <f t="shared" si="20"/>
        <v>-2.680214321806873E-3</v>
      </c>
      <c r="IF5" s="120">
        <f>HZ5+IC5</f>
        <v>5063283</v>
      </c>
      <c r="IG5" s="123">
        <f>(IF5/IF$8)</f>
        <v>1.3320033336367421</v>
      </c>
      <c r="IH5" s="123">
        <f t="shared" si="21"/>
        <v>4.2486088437327929E-2</v>
      </c>
      <c r="II5" s="120">
        <v>2581359</v>
      </c>
      <c r="IJ5" s="123">
        <f t="shared" si="22"/>
        <v>1.3441049849414528</v>
      </c>
      <c r="IK5" s="123">
        <f t="shared" si="23"/>
        <v>4.6778107415884174E-2</v>
      </c>
      <c r="IL5" s="120">
        <v>7644642</v>
      </c>
      <c r="IM5" s="123">
        <f t="shared" si="24"/>
        <v>1.3360654777894272</v>
      </c>
      <c r="IN5" s="123">
        <f t="shared" si="25"/>
        <v>4.3931429133264199E-2</v>
      </c>
      <c r="IO5" s="120">
        <v>1749159</v>
      </c>
      <c r="IP5" s="123">
        <f t="shared" si="26"/>
        <v>1.4166855648894778</v>
      </c>
      <c r="IQ5" s="123">
        <f t="shared" si="27"/>
        <v>0.22712176655797323</v>
      </c>
      <c r="IR5" s="120">
        <v>2292309</v>
      </c>
      <c r="IS5" s="123">
        <f>(IR5/IR$8)</f>
        <v>1.4059312241483364</v>
      </c>
      <c r="IT5" s="123">
        <f t="shared" si="28"/>
        <v>0.1670796546683766</v>
      </c>
      <c r="IU5" s="120">
        <f>IO5+IR5</f>
        <v>4041468</v>
      </c>
      <c r="IV5" s="123">
        <f>(IU5/IU$8)</f>
        <v>1.4105656268105573</v>
      </c>
      <c r="IW5" s="123">
        <f t="shared" si="29"/>
        <v>0.19232926308659204</v>
      </c>
      <c r="IX5" s="120">
        <v>2110424</v>
      </c>
      <c r="IY5" s="123">
        <f>(IX5/IX$8)</f>
        <v>1.3952496995196282</v>
      </c>
      <c r="IZ5" s="123">
        <f t="shared" si="30"/>
        <v>0.26091367404222665</v>
      </c>
      <c r="JA5" s="120">
        <f>IU5+IX5</f>
        <v>6151892</v>
      </c>
      <c r="JB5" s="123">
        <f t="shared" si="31"/>
        <v>1.4052737065292922</v>
      </c>
      <c r="JC5" s="123">
        <f t="shared" si="32"/>
        <v>0.21500062311350177</v>
      </c>
      <c r="JD5" s="120">
        <v>3112217</v>
      </c>
      <c r="JE5" s="123">
        <f>(JD5/JD$8)</f>
        <v>1.400413975264978</v>
      </c>
      <c r="JF5" s="123">
        <f t="shared" si="33"/>
        <v>0.20565058947631853</v>
      </c>
      <c r="JG5" s="120">
        <f>+JD5+JA5</f>
        <v>9264109</v>
      </c>
      <c r="JH5" s="123">
        <f t="shared" si="34"/>
        <v>1.4036373537080575</v>
      </c>
      <c r="JI5" s="123">
        <f t="shared" si="35"/>
        <v>0.21184340613988195</v>
      </c>
      <c r="JJ5" s="120">
        <v>1945972</v>
      </c>
      <c r="JK5" s="123">
        <f>(JJ5/JJ$8)</f>
        <v>1.3911535373768873</v>
      </c>
      <c r="JL5" s="123">
        <f>(JJ5/IO5)-1</f>
        <v>0.11251864467438355</v>
      </c>
      <c r="JM5" s="120">
        <v>2481580</v>
      </c>
      <c r="JN5" s="123">
        <f>(JM5/JM$8)</f>
        <v>1.3941217877666174</v>
      </c>
      <c r="JO5" s="123">
        <f>(JM5/IR5)-1</f>
        <v>8.2567838803581983E-2</v>
      </c>
      <c r="JP5" s="120">
        <f t="shared" ref="JP5:JP35" si="36">JM5+JJ5</f>
        <v>4427552</v>
      </c>
      <c r="JQ5" s="123">
        <f>(JP5/JP$8)</f>
        <v>1.3928156408764176</v>
      </c>
      <c r="JR5" s="123">
        <f>(JP5/IU5)-1</f>
        <v>9.5530633918170293E-2</v>
      </c>
      <c r="JS5" s="120">
        <v>2374653</v>
      </c>
      <c r="JT5" s="123">
        <f t="shared" ref="JT5:JT36" si="37">(JS5/JS$8)</f>
        <v>1.3875005039553925</v>
      </c>
      <c r="JU5" s="123">
        <f t="shared" ref="JU5:JU36" si="38">(JS5/IX5)-1</f>
        <v>0.1252018551722307</v>
      </c>
      <c r="JV5" s="120">
        <f t="shared" ref="JV5:JV36" si="39">JS5+JP5</f>
        <v>6802205</v>
      </c>
      <c r="JW5" s="123">
        <f t="shared" ref="JW5:JW36" si="40">(JV5/JV$8)</f>
        <v>1.3909555036479275</v>
      </c>
      <c r="JX5" s="123">
        <f t="shared" ref="JX5:JX36" si="41">(JV5/JA5)-1</f>
        <v>0.10570943052966464</v>
      </c>
      <c r="JY5" s="120">
        <v>3618440</v>
      </c>
      <c r="JZ5" s="123">
        <f t="shared" ref="JZ5:JZ36" si="42">(JY5/JY$8)</f>
        <v>1.3943236580014351</v>
      </c>
      <c r="KA5" s="123">
        <f t="shared" ref="KA5:KA25" si="43">(JY5/JD5)-1</f>
        <v>0.16265671706053908</v>
      </c>
      <c r="KB5" s="120">
        <f t="shared" ref="KB5:KB36" si="44">JV5+JY5</f>
        <v>10420645</v>
      </c>
      <c r="KC5" s="123">
        <f t="shared" ref="KC5:KC36" si="45">(KB5/KB$8)</f>
        <v>1.3921232078358059</v>
      </c>
      <c r="KD5" s="123">
        <f t="shared" ref="KD5:KD25" si="46">(KB5/JG5)-1</f>
        <v>0.12484050004161218</v>
      </c>
      <c r="KE5" s="120">
        <v>2295081</v>
      </c>
      <c r="KF5" s="123">
        <f t="shared" ref="KF5:KF36" si="47">(KE5/KE$8)</f>
        <v>1.3906741471590347</v>
      </c>
      <c r="KG5" s="123">
        <f t="shared" ref="KG5:KG36" si="48">(KE5/JJ5)-1</f>
        <v>0.17940083413327623</v>
      </c>
      <c r="KH5" s="120">
        <v>2807673</v>
      </c>
      <c r="KI5" s="123">
        <f>(KH5/KH$8)</f>
        <v>1.3903680051342644</v>
      </c>
      <c r="KJ5" s="123">
        <f>(KH5/JM5)-1</f>
        <v>0.13140539494999159</v>
      </c>
      <c r="KK5" s="120">
        <f t="shared" ref="KK5:KK14" si="49">KH5+KE5</f>
        <v>5102754</v>
      </c>
      <c r="KL5" s="123">
        <f>(KK5/KK$8)</f>
        <v>1.390505682872575</v>
      </c>
      <c r="KM5" s="123">
        <f>(KK5/JP5)-1</f>
        <v>0.15250007227470164</v>
      </c>
      <c r="KN5" s="120">
        <v>2679703</v>
      </c>
      <c r="KO5" s="123">
        <f t="shared" ref="KO5:KO36" si="50">(KN5/KN$8)</f>
        <v>1.3870643979783883</v>
      </c>
      <c r="KP5" s="123">
        <f t="shared" ref="KP5:KP19" si="51">(KN5/JS5)-1</f>
        <v>0.1284608740729698</v>
      </c>
      <c r="KQ5" s="120">
        <f t="shared" ref="KQ5:KQ14" si="52">KN5+KK5</f>
        <v>7782457</v>
      </c>
      <c r="KR5" s="123">
        <f t="shared" ref="KR5:KR36" si="53">(KQ5/KQ$8)</f>
        <v>1.389318832805065</v>
      </c>
      <c r="KS5" s="123">
        <f t="shared" ref="KS5:KS19" si="54">(KQ5/JV5)-1</f>
        <v>0.14410797675165621</v>
      </c>
      <c r="KT5" s="120">
        <v>3991792</v>
      </c>
      <c r="KU5" s="123">
        <f t="shared" ref="KU5:KU36" si="55">(KT5/KT$8)</f>
        <v>1.3893878926217291</v>
      </c>
      <c r="KV5" s="123">
        <f t="shared" ref="KV5:KV19" si="56">(KT5/JY5)-1</f>
        <v>0.10318037607366715</v>
      </c>
      <c r="KW5" s="120">
        <f t="shared" ref="KW5:KW14" si="57">KT5+KQ5</f>
        <v>11774249</v>
      </c>
      <c r="KX5" s="123">
        <f t="shared" ref="KX5:KX36" si="58">(KW5/KW$8)</f>
        <v>1.3893422451999147</v>
      </c>
      <c r="KY5" s="123">
        <f t="shared" ref="KY5:KY19" si="59">(KW5/KB5)-1</f>
        <v>0.12989637397685083</v>
      </c>
      <c r="KZ5" s="120">
        <v>2148076</v>
      </c>
      <c r="LA5" s="123">
        <f t="shared" ref="LA5:LA36" si="60">(KZ5/KZ$8)</f>
        <v>1.3856945645021868</v>
      </c>
      <c r="LB5" s="123">
        <f t="shared" ref="LB5:LB19" si="61">(KZ5/KE5)-1</f>
        <v>-6.4052205564858022E-2</v>
      </c>
      <c r="LC5" s="120">
        <v>747075</v>
      </c>
      <c r="LD5" s="123">
        <f>(LC5/LC$8)</f>
        <v>1.3844054140198208</v>
      </c>
      <c r="LE5" s="123">
        <f>(LC5/KH5)-1</f>
        <v>-0.73391666337212347</v>
      </c>
      <c r="LF5" s="120">
        <f>LC5+KZ5</f>
        <v>2895151</v>
      </c>
      <c r="LG5" s="123">
        <f>(LF5/LF$8)</f>
        <v>1.3853616777745026</v>
      </c>
      <c r="LH5" s="123">
        <f>(LF5/KK5)-1</f>
        <v>-0.43262971328815769</v>
      </c>
      <c r="LI5" s="120">
        <v>2386644</v>
      </c>
      <c r="LJ5" s="123">
        <f>(LI5/LI$8)</f>
        <v>1.4454023353966849</v>
      </c>
      <c r="LK5" s="123">
        <f>(LI5/KN5)-1</f>
        <v>-0.10936249278371524</v>
      </c>
      <c r="LL5" s="120">
        <f t="shared" ref="LL5:LL36" si="62">LF5+LI5</f>
        <v>5281795</v>
      </c>
      <c r="LM5" s="123">
        <f>(LL5/LL$8)</f>
        <v>1.4118622415907136</v>
      </c>
      <c r="LN5" s="123">
        <f>(LL5/KQ5)-1</f>
        <v>-0.32132037478652309</v>
      </c>
      <c r="LO5" s="120">
        <v>4126576</v>
      </c>
      <c r="LP5" s="123">
        <f>(LO5/LO$8)</f>
        <v>1.4134249088389408</v>
      </c>
      <c r="LQ5" s="123">
        <f>(LO5/KT5)-1</f>
        <v>3.3765286367626324E-2</v>
      </c>
      <c r="LR5" s="120">
        <f t="shared" ref="LR5:LR36" si="63">LL5+LO5</f>
        <v>9408371</v>
      </c>
      <c r="LS5" s="123">
        <f>(LR5/LR$8)</f>
        <v>1.4125472125437895</v>
      </c>
      <c r="LT5" s="123">
        <f>(LR5/KW5)-1</f>
        <v>-0.2009366372326592</v>
      </c>
    </row>
    <row r="6" spans="1:332" ht="16.5" customHeight="1">
      <c r="A6" s="114"/>
      <c r="B6" s="115" t="s">
        <v>1026</v>
      </c>
      <c r="C6" s="116" t="s">
        <v>164</v>
      </c>
      <c r="D6" s="120"/>
      <c r="E6" s="118">
        <f>D6/$D$8</f>
        <v>0</v>
      </c>
      <c r="F6" s="120"/>
      <c r="G6" s="118">
        <f>F6/$F$8</f>
        <v>0</v>
      </c>
      <c r="H6" s="117">
        <f>D6+F6</f>
        <v>0</v>
      </c>
      <c r="I6" s="118">
        <f>H6/$H$8</f>
        <v>0</v>
      </c>
      <c r="J6" s="120"/>
      <c r="K6" s="118">
        <f>J6/$J$8</f>
        <v>0</v>
      </c>
      <c r="L6" s="117">
        <f>H6+J6</f>
        <v>0</v>
      </c>
      <c r="M6" s="118">
        <f>L6/$L$8</f>
        <v>0</v>
      </c>
      <c r="N6" s="120"/>
      <c r="O6" s="118">
        <f>N6/$N$8</f>
        <v>0</v>
      </c>
      <c r="P6" s="117">
        <f>L6+N6</f>
        <v>0</v>
      </c>
      <c r="Q6" s="118">
        <f>P6/$P$8</f>
        <v>0</v>
      </c>
      <c r="R6" s="120"/>
      <c r="S6" s="118">
        <f>R6/$R$8</f>
        <v>0</v>
      </c>
      <c r="T6" s="26" t="e">
        <f>R6/D6-1</f>
        <v>#DIV/0!</v>
      </c>
      <c r="U6" s="120"/>
      <c r="V6" s="119">
        <f>U6/$U$8</f>
        <v>0</v>
      </c>
      <c r="W6" s="26" t="e">
        <f>U6/F6-1</f>
        <v>#DIV/0!</v>
      </c>
      <c r="X6" s="117">
        <f>R6+U6</f>
        <v>0</v>
      </c>
      <c r="Y6" s="119">
        <f>X6/$X$8</f>
        <v>0</v>
      </c>
      <c r="Z6" s="26" t="e">
        <f>X6/H6-1</f>
        <v>#DIV/0!</v>
      </c>
      <c r="AA6" s="120"/>
      <c r="AB6" s="119">
        <f>AA6/$AA$8</f>
        <v>0</v>
      </c>
      <c r="AC6" s="26" t="e">
        <f>AA6/J6-1</f>
        <v>#DIV/0!</v>
      </c>
      <c r="AD6" s="117">
        <f>X6+AA6</f>
        <v>0</v>
      </c>
      <c r="AE6" s="119">
        <f>AD6/$AD$8</f>
        <v>0</v>
      </c>
      <c r="AF6" s="26" t="e">
        <f>AD6/L6-1</f>
        <v>#DIV/0!</v>
      </c>
      <c r="AG6" s="120"/>
      <c r="AH6" s="119">
        <f>AG6/$AG$8</f>
        <v>0</v>
      </c>
      <c r="AI6" s="26" t="e">
        <f>AG6/N6-1</f>
        <v>#DIV/0!</v>
      </c>
      <c r="AJ6" s="117">
        <f>AD6+AG6</f>
        <v>0</v>
      </c>
      <c r="AK6" s="119">
        <f>AJ6/$AJ$8</f>
        <v>0</v>
      </c>
      <c r="AL6" s="26" t="e">
        <f>AJ6/P6-1</f>
        <v>#DIV/0!</v>
      </c>
      <c r="AM6" s="120"/>
      <c r="AN6" s="119">
        <f>AM6/$AM$8</f>
        <v>0</v>
      </c>
      <c r="AO6" s="119" t="e">
        <f>AM6/R6-1</f>
        <v>#DIV/0!</v>
      </c>
      <c r="AP6" s="120"/>
      <c r="AQ6" s="119">
        <f>AP6/$AP$8</f>
        <v>0</v>
      </c>
      <c r="AR6" s="119" t="e">
        <f>AP6/U6-1</f>
        <v>#DIV/0!</v>
      </c>
      <c r="AS6" s="120">
        <f>AM6+AP6</f>
        <v>0</v>
      </c>
      <c r="AT6" s="119">
        <f>AS6/$AS$8</f>
        <v>0</v>
      </c>
      <c r="AU6" s="119" t="e">
        <f>AS6/X6-1</f>
        <v>#DIV/0!</v>
      </c>
      <c r="AV6" s="120"/>
      <c r="AW6" s="119">
        <f>AV6/$AV$8</f>
        <v>0</v>
      </c>
      <c r="AX6" s="119" t="e">
        <f>AV6/AA6-1</f>
        <v>#DIV/0!</v>
      </c>
      <c r="AY6" s="120">
        <f>AV6+AS6</f>
        <v>0</v>
      </c>
      <c r="AZ6" s="119">
        <f>AY6/$AY$8</f>
        <v>0</v>
      </c>
      <c r="BA6" s="119" t="e">
        <f>AY6/AD6-1</f>
        <v>#DIV/0!</v>
      </c>
      <c r="BB6" s="120"/>
      <c r="BC6" s="119">
        <f>BB6/$BB$8</f>
        <v>0</v>
      </c>
      <c r="BD6" s="26" t="e">
        <f>BB6/AG6-1</f>
        <v>#DIV/0!</v>
      </c>
      <c r="BE6" s="120">
        <f>BB6+AY6</f>
        <v>0</v>
      </c>
      <c r="BF6" s="119">
        <f>BE6/$BE$8</f>
        <v>0</v>
      </c>
      <c r="BG6" s="26" t="e">
        <f>BE6/AJ6-1</f>
        <v>#DIV/0!</v>
      </c>
      <c r="BH6" s="120"/>
      <c r="BI6" s="119">
        <f>BH6/$BH$8</f>
        <v>0</v>
      </c>
      <c r="BJ6" s="119" t="e">
        <f>(BH6/AM6)-1</f>
        <v>#DIV/0!</v>
      </c>
      <c r="BK6" s="120"/>
      <c r="BL6" s="119">
        <f>BK6/$BK$8</f>
        <v>0</v>
      </c>
      <c r="BM6" s="119" t="e">
        <f>(BK6/AP6)-1</f>
        <v>#DIV/0!</v>
      </c>
      <c r="BN6" s="120">
        <f>BK6+BH6</f>
        <v>0</v>
      </c>
      <c r="BO6" s="119">
        <f>BN6/$BN$8</f>
        <v>0</v>
      </c>
      <c r="BP6" s="119" t="e">
        <f>BN6/AS6-1</f>
        <v>#DIV/0!</v>
      </c>
      <c r="BQ6" s="120"/>
      <c r="BR6" s="119">
        <f>BQ6/$BQ$8</f>
        <v>0</v>
      </c>
      <c r="BS6" s="119" t="e">
        <f>(BQ6/AV6)-1</f>
        <v>#DIV/0!</v>
      </c>
      <c r="BT6" s="120">
        <f>BN6+BQ6</f>
        <v>0</v>
      </c>
      <c r="BU6" s="119">
        <f>BT6/$BT$8</f>
        <v>0</v>
      </c>
      <c r="BV6" s="119" t="e">
        <f>BT6/AY6-1</f>
        <v>#DIV/0!</v>
      </c>
      <c r="BW6" s="120"/>
      <c r="BX6" s="119">
        <f>BW6/$BW$8</f>
        <v>0</v>
      </c>
      <c r="BY6" s="119" t="e">
        <f>(BW6/BB6)-1</f>
        <v>#DIV/0!</v>
      </c>
      <c r="BZ6" s="120">
        <f>BT6+BW6</f>
        <v>0</v>
      </c>
      <c r="CA6" s="119">
        <f>BZ6/$BZ$8</f>
        <v>0</v>
      </c>
      <c r="CB6" s="119" t="e">
        <f>(BZ6/BE6)-1</f>
        <v>#DIV/0!</v>
      </c>
      <c r="CC6" s="120"/>
      <c r="CD6" s="119">
        <f>CC6/$CC$8</f>
        <v>0</v>
      </c>
      <c r="CE6" s="119" t="e">
        <f>(CC6/BH6)-1</f>
        <v>#DIV/0!</v>
      </c>
      <c r="CF6" s="120"/>
      <c r="CG6" s="119">
        <f>CF6/$CF$8</f>
        <v>0</v>
      </c>
      <c r="CH6" s="119" t="e">
        <f>(CF6/BK6)-1</f>
        <v>#DIV/0!</v>
      </c>
      <c r="CI6" s="120">
        <f>CF6+CC6</f>
        <v>0</v>
      </c>
      <c r="CJ6" s="119">
        <f>CI6/$CI$8</f>
        <v>0</v>
      </c>
      <c r="CK6" s="119" t="e">
        <f>(CI6/BN6)-1</f>
        <v>#DIV/0!</v>
      </c>
      <c r="CL6" s="120"/>
      <c r="CM6" s="119">
        <f>CL6/$CL$8</f>
        <v>0</v>
      </c>
      <c r="CN6" s="119" t="e">
        <f>(CL6/BQ6)-1</f>
        <v>#DIV/0!</v>
      </c>
      <c r="CO6" s="121">
        <f>CI6+CL6</f>
        <v>0</v>
      </c>
      <c r="CP6" s="119">
        <f>CO6/$CO$8</f>
        <v>0</v>
      </c>
      <c r="CQ6" s="119" t="e">
        <f>(CO6/BT6)-1</f>
        <v>#DIV/0!</v>
      </c>
      <c r="CR6" s="122"/>
      <c r="CS6" s="119">
        <f>CR6/$CR$8</f>
        <v>0</v>
      </c>
      <c r="CT6" s="119" t="e">
        <f>(CR6/BW6)-1</f>
        <v>#DIV/0!</v>
      </c>
      <c r="CU6" s="122">
        <f>CO6+CR6</f>
        <v>0</v>
      </c>
      <c r="CV6" s="119">
        <f>CU6/$CU$8</f>
        <v>0</v>
      </c>
      <c r="CW6" s="119" t="e">
        <f>(CU6/BZ6)-1</f>
        <v>#DIV/0!</v>
      </c>
      <c r="CX6" s="120"/>
      <c r="CY6" s="119">
        <f>CX6/$CX$8</f>
        <v>0</v>
      </c>
      <c r="CZ6" s="119" t="e">
        <f>CX6/CC6-1</f>
        <v>#DIV/0!</v>
      </c>
      <c r="DA6" s="120"/>
      <c r="DB6" s="119">
        <f>DA6/$DA$8</f>
        <v>0</v>
      </c>
      <c r="DC6" s="119" t="e">
        <f>DA6/CF6-1</f>
        <v>#DIV/0!</v>
      </c>
      <c r="DD6" s="120">
        <f>SUM(CX6,DA6)</f>
        <v>0</v>
      </c>
      <c r="DE6" s="119">
        <f>DD6/$DD$8</f>
        <v>0</v>
      </c>
      <c r="DF6" s="119" t="e">
        <f>DD6/CI6-1</f>
        <v>#DIV/0!</v>
      </c>
      <c r="DG6" s="120"/>
      <c r="DH6" s="119">
        <f>DG6/$DG$8</f>
        <v>0</v>
      </c>
      <c r="DI6" s="119" t="e">
        <f>DG6/CL6-1</f>
        <v>#DIV/0!</v>
      </c>
      <c r="DJ6" s="120">
        <f>SUM(DD6,DG6)</f>
        <v>0</v>
      </c>
      <c r="DK6" s="119">
        <f>DJ6/$DJ$8</f>
        <v>0</v>
      </c>
      <c r="DL6" s="119" t="e">
        <f>DJ6/CO6-1</f>
        <v>#DIV/0!</v>
      </c>
      <c r="DM6" s="120"/>
      <c r="DN6" s="119">
        <f>DM6/$DM$8</f>
        <v>0</v>
      </c>
      <c r="DO6" s="119" t="e">
        <f>DM6/CR6-1</f>
        <v>#DIV/0!</v>
      </c>
      <c r="DP6" s="122">
        <f>DJ6+DM6</f>
        <v>0</v>
      </c>
      <c r="DQ6" s="119">
        <f>DP6/$DP$8</f>
        <v>0</v>
      </c>
      <c r="DR6" s="119" t="e">
        <f>DP6/CU6-1</f>
        <v>#DIV/0!</v>
      </c>
      <c r="DS6" s="120"/>
      <c r="DT6" s="123">
        <f>DS6/$DS$8</f>
        <v>0</v>
      </c>
      <c r="DU6" s="123" t="e">
        <f>(DS6/CX6)-1</f>
        <v>#DIV/0!</v>
      </c>
      <c r="DV6" s="120"/>
      <c r="DW6" s="123">
        <f>(DV6/$DV$8)</f>
        <v>0</v>
      </c>
      <c r="DX6" s="123" t="e">
        <f>(DV6/DA6)-1</f>
        <v>#DIV/0!</v>
      </c>
      <c r="DY6" s="120">
        <f>+EE6-EB6</f>
        <v>173863</v>
      </c>
      <c r="DZ6" s="123">
        <f>(DY6/$DY$8)</f>
        <v>0.13718517232672642</v>
      </c>
      <c r="EA6" s="123" t="e">
        <f>(DY6/DD6)-1</f>
        <v>#DIV/0!</v>
      </c>
      <c r="EB6" s="120">
        <v>87593</v>
      </c>
      <c r="EC6" s="123">
        <f>(EB6/$EB$8)</f>
        <v>0.13330725821670553</v>
      </c>
      <c r="ED6" s="123" t="e">
        <f>(EB6/DG6)-1</f>
        <v>#DIV/0!</v>
      </c>
      <c r="EE6" s="120">
        <v>261456</v>
      </c>
      <c r="EF6" s="123">
        <f>(EE6/$EE$8)</f>
        <v>0.13586110424041123</v>
      </c>
      <c r="EG6" s="123" t="e">
        <f>(EE6/DJ6)-1</f>
        <v>#DIV/0!</v>
      </c>
      <c r="EH6" s="120">
        <f>+EK6-EE6</f>
        <v>93005</v>
      </c>
      <c r="EI6" s="123">
        <f>(EH6/$EH$8)</f>
        <v>9.5666440371124692E-2</v>
      </c>
      <c r="EJ6" s="123" t="e">
        <f>(EH6/DM6)-1</f>
        <v>#DIV/0!</v>
      </c>
      <c r="EK6" s="120">
        <v>354461</v>
      </c>
      <c r="EL6" s="123">
        <f>(EK6/$EK$8)</f>
        <v>0.12237068276544673</v>
      </c>
      <c r="EM6" s="123" t="e">
        <f>(EK6/DP6)-1</f>
        <v>#DIV/0!</v>
      </c>
      <c r="EN6" s="120">
        <f>+ET6-EQ6</f>
        <v>93289</v>
      </c>
      <c r="EO6" s="123">
        <f>(EN6/$EN$8)</f>
        <v>0.1506607730309642</v>
      </c>
      <c r="EP6" s="123" t="e">
        <f>(EN6/DS6)-1</f>
        <v>#DIV/0!</v>
      </c>
      <c r="EQ6" s="120">
        <v>103774</v>
      </c>
      <c r="ER6" s="123">
        <f>(EQ6/$EQ$8)</f>
        <v>0.12134911345008999</v>
      </c>
      <c r="ES6" s="123" t="e">
        <f>(EQ6/DV6)-1</f>
        <v>#DIV/0!</v>
      </c>
      <c r="ET6" s="120">
        <v>197063</v>
      </c>
      <c r="EU6" s="123">
        <f>(ET6/$ET$8)</f>
        <v>0.13365930351174199</v>
      </c>
      <c r="EV6" s="123">
        <f t="shared" si="10"/>
        <v>0.13343839689870762</v>
      </c>
      <c r="EW6" s="120">
        <v>105604</v>
      </c>
      <c r="EX6" s="123">
        <f>EW6/$EW$8</f>
        <v>0.13146926275427631</v>
      </c>
      <c r="EY6" s="123">
        <f>(EW6/EB6)-1</f>
        <v>0.20562145376913676</v>
      </c>
      <c r="EZ6" s="120">
        <v>302667</v>
      </c>
      <c r="FA6" s="123">
        <f>(EZ6/$EZ$8)</f>
        <v>0.13288687490368273</v>
      </c>
      <c r="FB6" s="123">
        <f>(EZ6/EE6)-1</f>
        <v>0.15762116761520106</v>
      </c>
      <c r="FC6" s="120">
        <f>+FF6-EZ6</f>
        <v>112788</v>
      </c>
      <c r="FD6" s="123">
        <f>FC6/$FC$8</f>
        <v>9.5233431166260818E-2</v>
      </c>
      <c r="FE6" s="123">
        <f>(FC6/EH6)-1</f>
        <v>0.21270899414009992</v>
      </c>
      <c r="FF6" s="120">
        <v>415455</v>
      </c>
      <c r="FG6" s="123">
        <f>(FF6/$FF$8)</f>
        <v>0.12000571930351593</v>
      </c>
      <c r="FH6" s="123">
        <f>(FF6/EK6)-1</f>
        <v>0.17207534820473902</v>
      </c>
      <c r="FI6" s="120">
        <f>+FO6-FL6</f>
        <v>111879</v>
      </c>
      <c r="FJ6" s="123">
        <f>(FI6/$FI$8)</f>
        <v>0.1539482972379051</v>
      </c>
      <c r="FK6" s="123">
        <f>(FI6/EN6)-1</f>
        <v>0.19927322621102173</v>
      </c>
      <c r="FL6" s="120">
        <v>118163</v>
      </c>
      <c r="FM6" s="123">
        <f>(FL6/$FL$8)</f>
        <v>0.12474939374136272</v>
      </c>
      <c r="FN6" s="123">
        <f>(FL6/EQ6)-1</f>
        <v>0.13865708173530944</v>
      </c>
      <c r="FO6" s="120">
        <v>230042</v>
      </c>
      <c r="FP6" s="123">
        <f>(FO6/$FO$8)</f>
        <v>0.13742596780996144</v>
      </c>
      <c r="FQ6" s="123">
        <f>(FO6/ET6)-1</f>
        <v>0.1673525725275673</v>
      </c>
      <c r="FR6" s="120">
        <v>121023</v>
      </c>
      <c r="FS6" s="123">
        <f t="shared" si="11"/>
        <v>0.13344425846658683</v>
      </c>
      <c r="FT6" s="123">
        <f>(FR6/EW6)-1</f>
        <v>0.14600772698003861</v>
      </c>
      <c r="FU6" s="120">
        <v>351065</v>
      </c>
      <c r="FV6" s="123">
        <f>(FU6/$FU$8)</f>
        <v>0.13602678495318601</v>
      </c>
      <c r="FW6" s="123">
        <f>(FU6/EZ6)-1</f>
        <v>0.15990511023666265</v>
      </c>
      <c r="FX6" s="120">
        <f>+GA6-FU6</f>
        <v>131457</v>
      </c>
      <c r="FY6" s="123">
        <f t="shared" si="12"/>
        <v>9.8620807619767825E-2</v>
      </c>
      <c r="FZ6" s="123">
        <f>(FX6/FC6)-1</f>
        <v>0.16552292797106083</v>
      </c>
      <c r="GA6" s="120">
        <v>482522</v>
      </c>
      <c r="GB6" s="123">
        <f>(GA6/$GA$8)</f>
        <v>0.12328705871952361</v>
      </c>
      <c r="GC6" s="123">
        <f>(GA6/FF6)-1</f>
        <v>0.16143023913540566</v>
      </c>
      <c r="GD6" s="120">
        <f>+GJ6-GG6</f>
        <v>135153</v>
      </c>
      <c r="GE6" s="123">
        <f t="shared" si="13"/>
        <v>0.16593044212759478</v>
      </c>
      <c r="GF6" s="123">
        <f>(GD6/FI6)-1</f>
        <v>0.20802831630600926</v>
      </c>
      <c r="GG6" s="120">
        <v>155398</v>
      </c>
      <c r="GH6" s="123">
        <f>(GG6/$GG$8)</f>
        <v>0.13984726394395958</v>
      </c>
      <c r="GI6" s="123">
        <f>(GG6/FL6)-1</f>
        <v>0.31511556070851277</v>
      </c>
      <c r="GJ6" s="120">
        <v>290551</v>
      </c>
      <c r="GK6" s="123">
        <f>(GJ6/$GJ$8)</f>
        <v>0.15087962179222875</v>
      </c>
      <c r="GL6" s="123">
        <f>(GJ6/FO6)-1</f>
        <v>0.26303457629476346</v>
      </c>
      <c r="GM6" s="120">
        <v>166607</v>
      </c>
      <c r="GN6" s="123">
        <f>(GM6/$GM$8)</f>
        <v>0.1591141553121935</v>
      </c>
      <c r="GO6" s="123">
        <f>(GM6/FR6)-1</f>
        <v>0.37665567702007063</v>
      </c>
      <c r="GP6" s="120">
        <v>457820</v>
      </c>
      <c r="GQ6" s="123">
        <f>(GP6/$GP$8)</f>
        <v>0.15400270115261513</v>
      </c>
      <c r="GR6" s="123">
        <f>(GP6/FU6)-1</f>
        <v>0.30408898637004533</v>
      </c>
      <c r="GS6" s="120">
        <f>+GV6-GP6</f>
        <v>156844</v>
      </c>
      <c r="GT6" s="123">
        <f>(GS6/$GS$8)</f>
        <v>9.3929418190245945E-2</v>
      </c>
      <c r="GU6" s="123">
        <f>(GS6/FX6)-1</f>
        <v>0.19312018378633322</v>
      </c>
      <c r="GV6" s="120">
        <v>614664</v>
      </c>
      <c r="GW6" s="123">
        <f>(GV6/$GV$8)</f>
        <v>0.13239615974800392</v>
      </c>
      <c r="GX6" s="123">
        <f>(GV6/GA6)-1</f>
        <v>0.27385694331035682</v>
      </c>
      <c r="GY6" s="120">
        <v>172793</v>
      </c>
      <c r="GZ6" s="123">
        <f>GY6/$GY$8</f>
        <v>0.17093070991547094</v>
      </c>
      <c r="HA6" s="123">
        <f>GY6/GD6-1</f>
        <v>0.27849918240808558</v>
      </c>
      <c r="HB6" s="120">
        <v>193627</v>
      </c>
      <c r="HC6" s="123">
        <f>(HB6/$HB$8)</f>
        <v>0.14297982759155414</v>
      </c>
      <c r="HD6" s="123">
        <f t="shared" si="14"/>
        <v>0.24600702711746614</v>
      </c>
      <c r="HE6" s="120">
        <f>GY6+HB6</f>
        <v>366420</v>
      </c>
      <c r="HF6" s="123">
        <f>(HE6/$HE$8)</f>
        <v>0.15492653441409551</v>
      </c>
      <c r="HG6" s="123">
        <f t="shared" si="15"/>
        <v>0.26112111126790127</v>
      </c>
      <c r="HH6" s="120">
        <v>189167</v>
      </c>
      <c r="HI6" s="123">
        <f t="shared" si="16"/>
        <v>0.15153180359910765</v>
      </c>
      <c r="HJ6" s="123">
        <f>(HH6/GM6)-1</f>
        <v>0.13540847623449204</v>
      </c>
      <c r="HK6" s="120">
        <v>555587</v>
      </c>
      <c r="HL6" s="123">
        <f t="shared" si="17"/>
        <v>0.15375374361489155</v>
      </c>
      <c r="HM6" s="123">
        <f>(HK6/GP6)-1</f>
        <v>0.21354899305403863</v>
      </c>
      <c r="HN6" s="120">
        <f>+HQ6-HK6</f>
        <v>194865</v>
      </c>
      <c r="HO6" s="123">
        <f>HN6/$HN$8</f>
        <v>0.10605671379572715</v>
      </c>
      <c r="HP6" s="123">
        <f>(HN6/GS6)-1</f>
        <v>0.24241284333477853</v>
      </c>
      <c r="HQ6" s="120">
        <v>750452</v>
      </c>
      <c r="HR6" s="123">
        <f>(HQ6/HQ$8)</f>
        <v>0.13767609173758524</v>
      </c>
      <c r="HS6" s="123">
        <f>(HQ6/GV6)-1</f>
        <v>0.22091419051709549</v>
      </c>
      <c r="HT6" s="120">
        <v>188079</v>
      </c>
      <c r="HU6" s="123">
        <f>HT6/HT$8</f>
        <v>0.17477057059066226</v>
      </c>
      <c r="HV6" s="123">
        <f>HT6/GY6-1</f>
        <v>8.8464231768647927E-2</v>
      </c>
      <c r="HW6" s="120">
        <v>201601</v>
      </c>
      <c r="HX6" s="123">
        <f>(HW6/HW$8)</f>
        <v>0.13764091738308773</v>
      </c>
      <c r="HY6" s="123">
        <f t="shared" si="18"/>
        <v>4.118227313339573E-2</v>
      </c>
      <c r="HZ6" s="120">
        <f>HT6+HW6</f>
        <v>389680</v>
      </c>
      <c r="IA6" s="123">
        <f>(HZ6/HZ$8)</f>
        <v>0.15336684461334774</v>
      </c>
      <c r="IB6" s="123">
        <f t="shared" si="19"/>
        <v>6.3479067736477157E-2</v>
      </c>
      <c r="IC6" s="120">
        <v>205196</v>
      </c>
      <c r="ID6" s="123">
        <f>(IC6/IC$8)</f>
        <v>0.16279996001326544</v>
      </c>
      <c r="IE6" s="123">
        <f t="shared" si="20"/>
        <v>8.4734652449951708E-2</v>
      </c>
      <c r="IF6" s="120">
        <f>HZ6+IC6</f>
        <v>594876</v>
      </c>
      <c r="IG6" s="123">
        <f>(IF6/IF$8)</f>
        <v>0.15649467254753299</v>
      </c>
      <c r="IH6" s="123">
        <f t="shared" si="21"/>
        <v>7.0716197463223551E-2</v>
      </c>
      <c r="II6" s="120">
        <v>210568</v>
      </c>
      <c r="IJ6" s="123">
        <f t="shared" si="22"/>
        <v>0.109642052294606</v>
      </c>
      <c r="IK6" s="123">
        <f t="shared" si="23"/>
        <v>8.0583994047160878E-2</v>
      </c>
      <c r="IL6" s="120">
        <v>805443</v>
      </c>
      <c r="IM6" s="123">
        <f t="shared" si="24"/>
        <v>0.14076847373979706</v>
      </c>
      <c r="IN6" s="123">
        <f t="shared" si="25"/>
        <v>7.3277171624567483E-2</v>
      </c>
      <c r="IO6" s="120">
        <v>200210</v>
      </c>
      <c r="IP6" s="123">
        <f t="shared" si="26"/>
        <v>0.16215485095781593</v>
      </c>
      <c r="IQ6" s="123">
        <f t="shared" si="27"/>
        <v>6.4499492234646016E-2</v>
      </c>
      <c r="IR6" s="120">
        <v>221910</v>
      </c>
      <c r="IS6" s="123">
        <f>(IR6/IR$8)</f>
        <v>0.13610302884591796</v>
      </c>
      <c r="IT6" s="123">
        <f t="shared" si="28"/>
        <v>0.10073858760621235</v>
      </c>
      <c r="IU6" s="120">
        <f>IO6+IR6</f>
        <v>422120</v>
      </c>
      <c r="IV6" s="123">
        <f>(IU6/IU$8)</f>
        <v>0.14732962438135658</v>
      </c>
      <c r="IW6" s="123">
        <f t="shared" si="29"/>
        <v>8.3247793060973185E-2</v>
      </c>
      <c r="IX6" s="120">
        <v>248799</v>
      </c>
      <c r="IY6" s="123">
        <f>(IX6/IX$8)</f>
        <v>0.16448672399043224</v>
      </c>
      <c r="IZ6" s="123">
        <f t="shared" si="30"/>
        <v>0.21249439560225336</v>
      </c>
      <c r="JA6" s="120">
        <f>IU6+IX6</f>
        <v>670919</v>
      </c>
      <c r="JB6" s="123">
        <f t="shared" si="31"/>
        <v>0.15325770184374599</v>
      </c>
      <c r="JC6" s="123">
        <f t="shared" si="32"/>
        <v>0.12783000154654078</v>
      </c>
      <c r="JD6" s="120">
        <v>244693</v>
      </c>
      <c r="JE6" s="123">
        <f>(JD6/JD$8)</f>
        <v>0.11010527121004519</v>
      </c>
      <c r="JF6" s="123">
        <f t="shared" si="33"/>
        <v>0.16206166179096537</v>
      </c>
      <c r="JG6" s="120">
        <f>+JD6+JA6</f>
        <v>915612</v>
      </c>
      <c r="JH6" s="123">
        <f t="shared" si="34"/>
        <v>0.13872755649823873</v>
      </c>
      <c r="JI6" s="123">
        <f t="shared" si="35"/>
        <v>0.13678062879682362</v>
      </c>
      <c r="JJ6" s="120">
        <v>244199</v>
      </c>
      <c r="JK6" s="123">
        <f>(JJ6/JJ$8)</f>
        <v>0.17457512372937456</v>
      </c>
      <c r="JL6" s="123">
        <f t="shared" ref="JL6:JL11" si="64">(JJ6/IO6)-1</f>
        <v>0.21971429998501568</v>
      </c>
      <c r="JM6" s="120">
        <v>254879</v>
      </c>
      <c r="JN6" s="123">
        <f>(JM6/JM$8)</f>
        <v>0.14318795571537798</v>
      </c>
      <c r="JO6" s="123">
        <f t="shared" ref="JO6:JO11" si="65">(JM6/IR6)-1</f>
        <v>0.14856923978189363</v>
      </c>
      <c r="JP6" s="120">
        <f t="shared" si="36"/>
        <v>499078</v>
      </c>
      <c r="JQ6" s="123">
        <f>(JP6/JP$8)</f>
        <v>0.15699954386020101</v>
      </c>
      <c r="JR6" s="123">
        <f t="shared" ref="JR6:JR11" si="66">(JP6/IU6)-1</f>
        <v>0.18231308632616328</v>
      </c>
      <c r="JS6" s="120">
        <v>245807</v>
      </c>
      <c r="JT6" s="123">
        <f t="shared" si="37"/>
        <v>0.1436240732333369</v>
      </c>
      <c r="JU6" s="123">
        <f t="shared" si="38"/>
        <v>-1.202577180776454E-2</v>
      </c>
      <c r="JV6" s="120">
        <f t="shared" si="39"/>
        <v>744885</v>
      </c>
      <c r="JW6" s="123">
        <f t="shared" si="40"/>
        <v>0.15231853352475946</v>
      </c>
      <c r="JX6" s="123">
        <f t="shared" si="41"/>
        <v>0.11024579718267025</v>
      </c>
      <c r="JY6" s="120">
        <v>254872</v>
      </c>
      <c r="JZ6" s="123">
        <f t="shared" si="42"/>
        <v>9.8211953041128702E-2</v>
      </c>
      <c r="KA6" s="123">
        <f t="shared" si="43"/>
        <v>4.1599064950775144E-2</v>
      </c>
      <c r="KB6" s="120">
        <f t="shared" si="44"/>
        <v>999757</v>
      </c>
      <c r="KC6" s="123">
        <f t="shared" si="45"/>
        <v>0.13356034313579454</v>
      </c>
      <c r="KD6" s="123">
        <f t="shared" si="46"/>
        <v>9.1900280905012233E-2</v>
      </c>
      <c r="KE6" s="120">
        <v>257282</v>
      </c>
      <c r="KF6" s="123">
        <f t="shared" si="47"/>
        <v>0.15589664413995444</v>
      </c>
      <c r="KG6" s="123">
        <f t="shared" si="48"/>
        <v>5.3575157965429776E-2</v>
      </c>
      <c r="KH6" s="120">
        <v>290023</v>
      </c>
      <c r="KI6" s="123">
        <f>(KH6/KH$8)</f>
        <v>0.14362025063212658</v>
      </c>
      <c r="KJ6" s="123">
        <f t="shared" ref="KJ6:KJ11" si="67">(KH6/JM6)-1</f>
        <v>0.13788503564436461</v>
      </c>
      <c r="KK6" s="120">
        <f t="shared" si="49"/>
        <v>547305</v>
      </c>
      <c r="KL6" s="123">
        <f>(KK6/KK$8)</f>
        <v>0.14914117215224851</v>
      </c>
      <c r="KM6" s="123">
        <f t="shared" ref="KM6:KM10" si="68">(KK6/JP6)-1</f>
        <v>9.6632189757913656E-2</v>
      </c>
      <c r="KN6" s="120">
        <v>311398</v>
      </c>
      <c r="KO6" s="123">
        <f t="shared" si="50"/>
        <v>0.16118542965458268</v>
      </c>
      <c r="KP6" s="123">
        <f t="shared" si="51"/>
        <v>0.26683943093565277</v>
      </c>
      <c r="KQ6" s="120">
        <f t="shared" si="52"/>
        <v>858703</v>
      </c>
      <c r="KR6" s="123">
        <f t="shared" si="53"/>
        <v>0.15329506474448978</v>
      </c>
      <c r="KS6" s="123">
        <f t="shared" si="54"/>
        <v>0.15279942541466141</v>
      </c>
      <c r="KT6" s="120">
        <v>323934</v>
      </c>
      <c r="KU6" s="123">
        <f t="shared" si="55"/>
        <v>0.11274885505269995</v>
      </c>
      <c r="KV6" s="123">
        <f t="shared" si="56"/>
        <v>0.27096738755139826</v>
      </c>
      <c r="KW6" s="120">
        <f t="shared" si="57"/>
        <v>1182637</v>
      </c>
      <c r="KX6" s="123">
        <f t="shared" si="58"/>
        <v>0.13954924384871523</v>
      </c>
      <c r="KY6" s="123">
        <f t="shared" si="59"/>
        <v>0.18292445064150598</v>
      </c>
      <c r="KZ6" s="120">
        <v>330783</v>
      </c>
      <c r="LA6" s="123">
        <f t="shared" si="60"/>
        <v>0.21338360706498599</v>
      </c>
      <c r="LB6" s="123">
        <f t="shared" si="61"/>
        <v>0.28568263617353717</v>
      </c>
      <c r="LC6" s="120">
        <v>284466</v>
      </c>
      <c r="LD6" s="123">
        <f>(LC6/LC$8)</f>
        <v>0.52714422314300746</v>
      </c>
      <c r="LE6" s="123">
        <f t="shared" ref="LE6:LE11" si="69">(LC6/KH6)-1</f>
        <v>-1.9160549335742294E-2</v>
      </c>
      <c r="LF6" s="120">
        <f t="shared" ref="LF6:LF14" si="70">LC6+KZ6</f>
        <v>615249</v>
      </c>
      <c r="LG6" s="123">
        <f>(LF6/LF$8)</f>
        <v>0.29440343073265779</v>
      </c>
      <c r="LH6" s="123">
        <f t="shared" ref="LH6:LH11" si="71">(LF6/KK6)-1</f>
        <v>0.12414284539699061</v>
      </c>
      <c r="LI6" s="120">
        <v>150024</v>
      </c>
      <c r="LJ6" s="123">
        <f>(LI6/LI$8)</f>
        <v>9.085772321534015E-2</v>
      </c>
      <c r="LK6" s="123">
        <f t="shared" ref="LK6:LK11" si="72">(LI6/KN6)-1</f>
        <v>-0.51822426605180505</v>
      </c>
      <c r="LL6" s="120">
        <f t="shared" si="62"/>
        <v>765273</v>
      </c>
      <c r="LM6" s="123">
        <f>(LL6/LL$8)</f>
        <v>0.20456304214927881</v>
      </c>
      <c r="LN6" s="123">
        <f t="shared" ref="LN6:LN11" si="73">(LL6/KQ6)-1</f>
        <v>-0.10880362593352999</v>
      </c>
      <c r="LO6" s="120">
        <v>167961</v>
      </c>
      <c r="LP6" s="123">
        <f>(LO6/LO$8)</f>
        <v>5.7529598658427064E-2</v>
      </c>
      <c r="LQ6" s="123">
        <f t="shared" ref="LQ6:LQ11" si="74">(LO6/KT6)-1</f>
        <v>-0.48149623071366388</v>
      </c>
      <c r="LR6" s="120">
        <f t="shared" si="63"/>
        <v>933234</v>
      </c>
      <c r="LS6" s="123">
        <f>(LR6/LR$8)</f>
        <v>0.14011321251586387</v>
      </c>
      <c r="LT6" s="123">
        <f t="shared" ref="LT6:LT11" si="75">(LR6/KW6)-1</f>
        <v>-0.21088719531014166</v>
      </c>
    </row>
    <row r="7" spans="1:332" ht="16.5" customHeight="1">
      <c r="A7" s="114"/>
      <c r="B7" s="109" t="s">
        <v>359</v>
      </c>
      <c r="C7" s="109" t="s">
        <v>113</v>
      </c>
      <c r="D7" s="110">
        <f>D8+D9</f>
        <v>210204</v>
      </c>
      <c r="E7" s="111">
        <f t="shared" ref="E7:E12" si="76">D7/$D$8</f>
        <v>1.0615720259378219</v>
      </c>
      <c r="F7" s="110">
        <f>F8+F9</f>
        <v>295782</v>
      </c>
      <c r="G7" s="111">
        <f t="shared" ref="G7:G12" si="77">F7/$F$8</f>
        <v>1.0595884620344764</v>
      </c>
      <c r="H7" s="110">
        <f>H8+H9</f>
        <v>505986</v>
      </c>
      <c r="I7" s="111">
        <f t="shared" ref="I7:I12" si="78">H7/$H$8</f>
        <v>1.060411601978372</v>
      </c>
      <c r="J7" s="110">
        <f>J8+J9</f>
        <v>271867</v>
      </c>
      <c r="K7" s="111">
        <f t="shared" ref="K7:K12" si="79">J7/$J$8</f>
        <v>1.0644211531911061</v>
      </c>
      <c r="L7" s="110">
        <f>L8+L9</f>
        <v>777853</v>
      </c>
      <c r="M7" s="111">
        <f t="shared" ref="M7:M12" si="80">L7/$L$8</f>
        <v>1.061809539800129</v>
      </c>
      <c r="N7" s="110">
        <f>N8+N9</f>
        <v>424275</v>
      </c>
      <c r="O7" s="111">
        <f t="shared" ref="O7:O12" si="81">N7/$N$8</f>
        <v>1.0505470941734905</v>
      </c>
      <c r="P7" s="110">
        <f>P8+P9</f>
        <v>1202128</v>
      </c>
      <c r="Q7" s="111">
        <f t="shared" ref="Q7:Q12" si="82">P7/$P$8</f>
        <v>1.0578071405818552</v>
      </c>
      <c r="R7" s="110">
        <f>R8+R9</f>
        <v>266752</v>
      </c>
      <c r="S7" s="111">
        <f t="shared" ref="S7:S12" si="83">R7/$R$8</f>
        <v>1.0627781429908962</v>
      </c>
      <c r="T7" s="22">
        <f>R7/D7-1</f>
        <v>0.26901486175334433</v>
      </c>
      <c r="U7" s="110">
        <f>U8+U9</f>
        <v>380860</v>
      </c>
      <c r="V7" s="112">
        <f t="shared" ref="V7:V12" si="84">U7/$U$8</f>
        <v>1.0647202055301936</v>
      </c>
      <c r="W7" s="22">
        <f t="shared" ref="W7:W19" si="85">U7/F7-1</f>
        <v>0.28763751681981997</v>
      </c>
      <c r="X7" s="110">
        <f>X8+X9</f>
        <v>647612</v>
      </c>
      <c r="Y7" s="112">
        <f t="shared" ref="Y7:Y12" si="86">X7/$X$8</f>
        <v>1.0639194091052466</v>
      </c>
      <c r="Z7" s="22">
        <f t="shared" ref="Z7:Z19" si="87">X7/H7-1</f>
        <v>0.2799010249295435</v>
      </c>
      <c r="AA7" s="110">
        <f>AA8+AA9</f>
        <v>346787</v>
      </c>
      <c r="AB7" s="112">
        <f t="shared" ref="AB7:AB12" si="88">AA7/$AA$8</f>
        <v>1.0819410775513769</v>
      </c>
      <c r="AC7" s="22">
        <f t="shared" ref="AC7:AC19" si="89">AA7/J7-1</f>
        <v>0.27557592499273542</v>
      </c>
      <c r="AD7" s="110">
        <f>AD8+AD9</f>
        <v>994399</v>
      </c>
      <c r="AE7" s="112">
        <f t="shared" ref="AE7:AE12" si="90">AD7/$AD$8</f>
        <v>1.070135714954473</v>
      </c>
      <c r="AF7" s="22">
        <f t="shared" ref="AF7:AF19" si="91">AD7/L7-1</f>
        <v>0.2783893614860391</v>
      </c>
      <c r="AG7" s="110">
        <f>AG8+AG9</f>
        <v>536839</v>
      </c>
      <c r="AH7" s="112">
        <f t="shared" ref="AH7:AH12" si="92">AG7/$AG$8</f>
        <v>1.059106808528268</v>
      </c>
      <c r="AI7" s="22">
        <f t="shared" ref="AI7:AI19" si="93">AG7/N7-1</f>
        <v>0.26530905662600901</v>
      </c>
      <c r="AJ7" s="110">
        <f>AJ8+AJ9</f>
        <v>1531237</v>
      </c>
      <c r="AK7" s="112">
        <f t="shared" ref="AK7:AK12" si="94">AJ7/$AJ$8</f>
        <v>1.0662430671851988</v>
      </c>
      <c r="AL7" s="22">
        <f t="shared" ref="AL7:AL19" si="95">AJ7/P7-1</f>
        <v>0.27377201096721815</v>
      </c>
      <c r="AM7" s="110">
        <f>AM8+AM9</f>
        <v>347555</v>
      </c>
      <c r="AN7" s="113">
        <f t="shared" ref="AN7:AN12" si="96">AM7/$AM$8</f>
        <v>1.120086498889759</v>
      </c>
      <c r="AO7" s="113">
        <f t="shared" ref="AO7:AO19" si="97">AM7/R7-1</f>
        <v>0.30291431741842612</v>
      </c>
      <c r="AP7" s="110">
        <f>AP8+AP9</f>
        <v>490872</v>
      </c>
      <c r="AQ7" s="113">
        <f t="shared" ref="AQ7:AQ12" si="98">AP7/$AP$8</f>
        <v>1.1046843177189409</v>
      </c>
      <c r="AR7" s="113">
        <f t="shared" ref="AR7:AR19" si="99">AP7/U7-1</f>
        <v>0.28885154650002631</v>
      </c>
      <c r="AS7" s="110">
        <f>AS8+AS9</f>
        <v>838426</v>
      </c>
      <c r="AT7" s="113">
        <f t="shared" ref="AT7:AT12" si="100">AS7/$AS$8</f>
        <v>1.1110159968621132</v>
      </c>
      <c r="AU7" s="113">
        <f t="shared" ref="AU7:AU19" si="101">AS7/X7-1</f>
        <v>0.29464247110924435</v>
      </c>
      <c r="AV7" s="110">
        <f>AV8+AV9</f>
        <v>444012</v>
      </c>
      <c r="AW7" s="113">
        <f t="shared" ref="AW7:AW12" si="102">AV7/$AV$8</f>
        <v>1.1230631478305737</v>
      </c>
      <c r="AX7" s="113">
        <f t="shared" ref="AX7:AX19" si="103">AV7/AA7-1</f>
        <v>0.28035941370351258</v>
      </c>
      <c r="AY7" s="110">
        <f>AY8+AY9</f>
        <v>1282439</v>
      </c>
      <c r="AZ7" s="113">
        <f t="shared" ref="AZ7:AZ12" si="104">AY7/$AY$8</f>
        <v>1.1151585296076716</v>
      </c>
      <c r="BA7" s="113">
        <f t="shared" ref="BA7:BA19" si="105">AY7/AD7-1</f>
        <v>0.28966239909734415</v>
      </c>
      <c r="BB7" s="110">
        <f>BB8+BB9</f>
        <v>648500</v>
      </c>
      <c r="BC7" s="113">
        <f t="shared" ref="BC7:BC12" si="106">BB7/$BB$8</f>
        <v>1.0777402189050758</v>
      </c>
      <c r="BD7" s="113">
        <f t="shared" ref="BD7:BD19" si="107">BB7/AG7-1</f>
        <v>0.20799718351312024</v>
      </c>
      <c r="BE7" s="110">
        <f>BE8+BE9</f>
        <v>1930940</v>
      </c>
      <c r="BF7" s="113">
        <f t="shared" ref="BF7:BF12" si="108">BE7/$BE$8</f>
        <v>1.1023058374359489</v>
      </c>
      <c r="BG7" s="113">
        <f t="shared" ref="BG7:BG19" si="109">BE7/AJ7-1</f>
        <v>0.26103274672699261</v>
      </c>
      <c r="BH7" s="110">
        <f>BH8+BH9</f>
        <v>431797</v>
      </c>
      <c r="BI7" s="113">
        <f t="shared" ref="BI7:BI12" si="110">BH7/$BH$8</f>
        <v>1.1262810296752856</v>
      </c>
      <c r="BJ7" s="113">
        <f t="shared" ref="BJ7:BJ19" si="111">(BH7/AM7)-1</f>
        <v>0.24238465854325209</v>
      </c>
      <c r="BK7" s="110">
        <f>BK8+BK9</f>
        <v>566747</v>
      </c>
      <c r="BL7" s="113">
        <f t="shared" ref="BL7:BL12" si="112">BK7/$BK$8</f>
        <v>1.1107328621880426</v>
      </c>
      <c r="BM7" s="113">
        <f t="shared" ref="BM7:BM19" si="113">(BK7/AP7)-1</f>
        <v>0.15457186394823896</v>
      </c>
      <c r="BN7" s="110">
        <f>BN8+BN9</f>
        <v>998543</v>
      </c>
      <c r="BO7" s="113">
        <f t="shared" ref="BO7:BO12" si="114">BN7/$BN$8</f>
        <v>1.1174021881563825</v>
      </c>
      <c r="BP7" s="113">
        <f t="shared" ref="BP7:BP19" si="115">BN7/AS7-1</f>
        <v>0.19097332382345011</v>
      </c>
      <c r="BQ7" s="110">
        <f>BQ8+BQ9</f>
        <v>511370</v>
      </c>
      <c r="BR7" s="113">
        <f t="shared" ref="BR7:BR12" si="116">BQ7/$BQ$8</f>
        <v>1.138822449970381</v>
      </c>
      <c r="BS7" s="113">
        <f t="shared" ref="BS7:BS19" si="117">(BQ7/AV7)-1</f>
        <v>0.15170310712323087</v>
      </c>
      <c r="BT7" s="110">
        <f>BT8+BT9</f>
        <v>1509914</v>
      </c>
      <c r="BU7" s="113">
        <f t="shared" ref="BU7:BU12" si="118">BT7/$BT$8</f>
        <v>1.1245657886112981</v>
      </c>
      <c r="BV7" s="113">
        <f t="shared" ref="BV7:BV19" si="119">BT7/AY7-1</f>
        <v>0.17737685769069711</v>
      </c>
      <c r="BW7" s="110">
        <f>BW8+BW9</f>
        <v>673493</v>
      </c>
      <c r="BX7" s="113">
        <f t="shared" ref="BX7:BX12" si="120">BW7/$BW$8</f>
        <v>1.0973266336243275</v>
      </c>
      <c r="BY7" s="113">
        <f t="shared" ref="BY7:BY25" si="121">(BW7/BB7)-1</f>
        <v>3.8539707016191249E-2</v>
      </c>
      <c r="BZ7" s="110">
        <f>BZ8+BZ9</f>
        <v>2183407</v>
      </c>
      <c r="CA7" s="113">
        <f t="shared" ref="CA7:CA12" si="122">BZ7/$BZ$8</f>
        <v>1.1160204700212939</v>
      </c>
      <c r="CB7" s="113">
        <f t="shared" ref="CB7:CB25" si="123">(BZ7/BE7)-1</f>
        <v>0.13074823661014845</v>
      </c>
      <c r="CC7" s="110">
        <f>CC8+CC9</f>
        <v>419134</v>
      </c>
      <c r="CD7" s="113">
        <f t="shared" ref="CD7:CD12" si="124">CC7/$CC$8</f>
        <v>1.1557566682935843</v>
      </c>
      <c r="CE7" s="113">
        <f t="shared" ref="CE7:CE25" si="125">(CC7/BH7)-1</f>
        <v>-2.9326280636502777E-2</v>
      </c>
      <c r="CF7" s="110">
        <f>CF8+CF9</f>
        <v>613414</v>
      </c>
      <c r="CG7" s="113">
        <f t="shared" ref="CG7:CG12" si="126">CF7/$CF$8</f>
        <v>1.1057844148165241</v>
      </c>
      <c r="CH7" s="113">
        <f t="shared" ref="CH7:CH25" si="127">(CF7/BK7)-1</f>
        <v>8.2341856242732714E-2</v>
      </c>
      <c r="CI7" s="110">
        <f>CI8+CI9</f>
        <v>1032548</v>
      </c>
      <c r="CJ7" s="113">
        <f t="shared" ref="CJ7:CJ12" si="128">CI7/$CI$8</f>
        <v>1.1255401251389827</v>
      </c>
      <c r="CK7" s="113">
        <f t="shared" ref="CK7:CK25" si="129">(CI7/BN7)-1</f>
        <v>3.4054617577810919E-2</v>
      </c>
      <c r="CL7" s="110">
        <f>CL8+CL9</f>
        <v>552311</v>
      </c>
      <c r="CM7" s="113">
        <f t="shared" ref="CM7:CM12" si="130">CL7/$CL$8</f>
        <v>1.1347379450619439</v>
      </c>
      <c r="CN7" s="113">
        <f t="shared" ref="CN7:CN25" si="131">(CL7/BQ7)-1</f>
        <v>8.0061403680309784E-2</v>
      </c>
      <c r="CO7" s="110">
        <f>CO8+CO9</f>
        <v>1584860</v>
      </c>
      <c r="CP7" s="113">
        <f t="shared" ref="CP7:CP12" si="132">CO7/$CO$8</f>
        <v>1.1287284267411908</v>
      </c>
      <c r="CQ7" s="113">
        <f t="shared" ref="CQ7:CQ25" si="133">(CO7/BT7)-1</f>
        <v>4.9635939530330964E-2</v>
      </c>
      <c r="CR7" s="110">
        <f>CR8+CR9</f>
        <v>778769</v>
      </c>
      <c r="CS7" s="113">
        <f t="shared" ref="CS7:CS12" si="134">CR7/$CR$8</f>
        <v>1.0939948697633517</v>
      </c>
      <c r="CT7" s="113">
        <f t="shared" ref="CT7:CT25" si="135">(CR7/BW7)-1</f>
        <v>0.1563134286473653</v>
      </c>
      <c r="CU7" s="110">
        <f>CU8+CU9</f>
        <v>2363628</v>
      </c>
      <c r="CV7" s="113">
        <f t="shared" ref="CV7:CV12" si="136">CU7/$CU$8</f>
        <v>1.1170433579335792</v>
      </c>
      <c r="CW7" s="113">
        <f t="shared" ref="CW7:CW25" si="137">(CU7/BZ7)-1</f>
        <v>8.2541184488279074E-2</v>
      </c>
      <c r="CX7" s="110">
        <f>CX8+CX9</f>
        <v>505734</v>
      </c>
      <c r="CY7" s="113">
        <f t="shared" ref="CY7:CY12" si="138">CX7/$CX$8</f>
        <v>1.1487531970761802</v>
      </c>
      <c r="CZ7" s="113">
        <f t="shared" ref="CZ7:CZ25" si="139">CX7/CC7-1</f>
        <v>0.20661649973516827</v>
      </c>
      <c r="DA7" s="110">
        <f>DA8+DA9</f>
        <v>701979</v>
      </c>
      <c r="DB7" s="113">
        <f t="shared" ref="DB7:DB12" si="140">DA7/$DA$8</f>
        <v>1.1142718364923831</v>
      </c>
      <c r="DC7" s="113">
        <f t="shared" ref="DC7:DC25" si="141">DA7/CF7-1</f>
        <v>0.1443804673515765</v>
      </c>
      <c r="DD7" s="110">
        <f>DD8+DD9</f>
        <v>1207713</v>
      </c>
      <c r="DE7" s="113">
        <f t="shared" ref="DE7:DE12" si="142">DD7/$DD$8</f>
        <v>1.1284558998724579</v>
      </c>
      <c r="DF7" s="113">
        <f t="shared" ref="DF7:DF25" si="143">DD7/CI7-1</f>
        <v>0.16964344514734431</v>
      </c>
      <c r="DG7" s="110">
        <f>DG8+DG9</f>
        <v>643873</v>
      </c>
      <c r="DH7" s="113">
        <f t="shared" ref="DH7:DH12" si="144">DG7/$DG$8</f>
        <v>1.132104300734958</v>
      </c>
      <c r="DI7" s="113">
        <f t="shared" ref="DI7:DI25" si="145">DG7/CL7-1</f>
        <v>0.16577978711269559</v>
      </c>
      <c r="DJ7" s="110">
        <f>DJ8+DJ9</f>
        <v>1851586</v>
      </c>
      <c r="DK7" s="113">
        <f t="shared" ref="DK7:DK12" si="146">DJ7/$DJ$8</f>
        <v>1.1297219298647021</v>
      </c>
      <c r="DL7" s="113">
        <f t="shared" ref="DL7:DL25" si="147">DJ7/CO7-1</f>
        <v>0.16829625329682107</v>
      </c>
      <c r="DM7" s="110">
        <f>DM8+DM9</f>
        <v>899752</v>
      </c>
      <c r="DN7" s="113">
        <f t="shared" ref="DN7:DN12" si="148">DM7/$DM$8</f>
        <v>1.0923177966976201</v>
      </c>
      <c r="DO7" s="113">
        <f t="shared" ref="DO7:DO25" si="149">DM7/CR7-1</f>
        <v>0.15535158692757411</v>
      </c>
      <c r="DP7" s="110">
        <f>DP8+DP9</f>
        <v>2751338</v>
      </c>
      <c r="DQ7" s="113">
        <f t="shared" ref="DQ7:DQ12" si="150">DP7/$DP$8</f>
        <v>1.1172115940216423</v>
      </c>
      <c r="DR7" s="113">
        <f t="shared" ref="DR7:DR25" si="151">DP7/CU7-1</f>
        <v>0.1640317342661366</v>
      </c>
      <c r="DS7" s="110">
        <f>DS8+DS9</f>
        <v>598767</v>
      </c>
      <c r="DT7" s="113">
        <f t="shared" ref="DT7:EN7" si="152">DT8+DT9</f>
        <v>1.1565750511389647</v>
      </c>
      <c r="DU7" s="113">
        <f t="shared" si="152"/>
        <v>0.4137333770876801</v>
      </c>
      <c r="DV7" s="110">
        <f t="shared" si="152"/>
        <v>836419</v>
      </c>
      <c r="DW7" s="113">
        <f t="shared" si="152"/>
        <v>1.1157415497570209</v>
      </c>
      <c r="DX7" s="113">
        <f t="shared" si="152"/>
        <v>0.39519690293130361</v>
      </c>
      <c r="DY7" s="110">
        <f t="shared" si="152"/>
        <v>1435186</v>
      </c>
      <c r="DZ7" s="113">
        <f t="shared" si="152"/>
        <v>1.1324217270546648</v>
      </c>
      <c r="EA7" s="113">
        <f t="shared" si="152"/>
        <v>0.40493656630412334</v>
      </c>
      <c r="EB7" s="110">
        <f t="shared" si="152"/>
        <v>741922</v>
      </c>
      <c r="EC7" s="193">
        <f t="shared" si="152"/>
        <v>1.1291266154904456</v>
      </c>
      <c r="ED7" s="193">
        <f t="shared" si="152"/>
        <v>0.28459618955350185</v>
      </c>
      <c r="EE7" s="110">
        <f t="shared" si="152"/>
        <v>2177108</v>
      </c>
      <c r="EF7" s="193">
        <f t="shared" si="152"/>
        <v>1.1312966500314898</v>
      </c>
      <c r="EG7" s="193">
        <f t="shared" si="152"/>
        <v>0.36259437103963443</v>
      </c>
      <c r="EH7" s="110">
        <f t="shared" si="152"/>
        <v>1061434</v>
      </c>
      <c r="EI7" s="193">
        <f t="shared" si="152"/>
        <v>1.0918081013804029</v>
      </c>
      <c r="EJ7" s="193">
        <f t="shared" si="152"/>
        <v>0.35397755997912195</v>
      </c>
      <c r="EK7" s="110">
        <f t="shared" si="152"/>
        <v>3238543</v>
      </c>
      <c r="EL7" s="193">
        <f t="shared" si="152"/>
        <v>1.1180432207640845</v>
      </c>
      <c r="EM7" s="193">
        <f t="shared" si="152"/>
        <v>0.36075278737658212</v>
      </c>
      <c r="EN7" s="110">
        <f t="shared" si="152"/>
        <v>709276</v>
      </c>
      <c r="EO7" s="113">
        <f>(EN7/$EN$8)</f>
        <v>1.145473426152174</v>
      </c>
      <c r="EP7" s="113">
        <f>(EN7/DS7)-1</f>
        <v>0.1845609393971277</v>
      </c>
      <c r="EQ7" s="110">
        <f>EQ8+EQ9</f>
        <v>955454</v>
      </c>
      <c r="ER7" s="113">
        <f>ER8+ER9</f>
        <v>1.117269218131153</v>
      </c>
      <c r="ES7" s="113">
        <f>ES8+ES9</f>
        <v>0.29656300122354184</v>
      </c>
      <c r="ET7" s="110">
        <f>ET8+ET9</f>
        <v>1664731</v>
      </c>
      <c r="EU7" s="113">
        <f>EU8+EU9</f>
        <v>1.1291149835047967</v>
      </c>
      <c r="EV7" s="113">
        <f t="shared" si="10"/>
        <v>0.15994094145288495</v>
      </c>
      <c r="EW7" s="110">
        <f>EW8+EW9</f>
        <v>905058</v>
      </c>
      <c r="EX7" s="113">
        <f>EW7/$EW$8</f>
        <v>1.1267310708861389</v>
      </c>
      <c r="EY7" s="113">
        <f t="shared" ref="EY7:EY25" si="153">(EW7/EB7)-1</f>
        <v>0.21988295265540048</v>
      </c>
      <c r="EZ7" s="110">
        <f>EZ8+EZ9</f>
        <v>2569789</v>
      </c>
      <c r="FA7" s="113">
        <f>(EZ7/$EZ$8)</f>
        <v>1.1282737443192021</v>
      </c>
      <c r="FB7" s="113">
        <f t="shared" ref="FB7:FB25" si="154">(EZ7/EE7)-1</f>
        <v>0.18036817649836379</v>
      </c>
      <c r="FC7" s="110">
        <f>FC8+FC9</f>
        <v>1292720</v>
      </c>
      <c r="FD7" s="113">
        <f>FC7/$FC$8</f>
        <v>1.0915182567050457</v>
      </c>
      <c r="FE7" s="113">
        <f t="shared" ref="FE7:FE25" si="155">(FC7/EH7)-1</f>
        <v>0.21789955852177334</v>
      </c>
      <c r="FF7" s="110">
        <f>FF8+FF9</f>
        <v>3862508</v>
      </c>
      <c r="FG7" s="113">
        <f>(FF7/$FF$8)</f>
        <v>1.1156997770049337</v>
      </c>
      <c r="FH7" s="113">
        <f t="shared" ref="FH7:FH25" si="156">(FF7/EK7)-1</f>
        <v>0.19266843145204504</v>
      </c>
      <c r="FI7" s="110">
        <f>FI8+FI9</f>
        <v>833796</v>
      </c>
      <c r="FJ7" s="113">
        <f t="shared" ref="FJ7:FJ12" si="157">(FI7/$FI$8)</f>
        <v>1.1473241130487071</v>
      </c>
      <c r="FK7" s="113">
        <f>(FI7/EN7)-1</f>
        <v>0.17555930272559617</v>
      </c>
      <c r="FL7" s="110">
        <f>FL8+FL9</f>
        <v>1060402</v>
      </c>
      <c r="FM7" s="113">
        <f>(FL7/$FL$8)</f>
        <v>1.1195087008803815</v>
      </c>
      <c r="FN7" s="113">
        <f>(FL7/EQ7)-1</f>
        <v>0.109840976122346</v>
      </c>
      <c r="FO7" s="110">
        <f>FI7+FL7</f>
        <v>1894198</v>
      </c>
      <c r="FP7" s="113">
        <f t="shared" ref="FP7:FP12" si="158">(FO7/$FO$8)</f>
        <v>1.1315846383429693</v>
      </c>
      <c r="FQ7" s="113">
        <f t="shared" ref="FQ7:FQ25" si="159">(FO7/ET7)-1</f>
        <v>0.13784028771014656</v>
      </c>
      <c r="FR7" s="110">
        <f>FR8+FR9</f>
        <v>1021435</v>
      </c>
      <c r="FS7" s="113">
        <f t="shared" si="11"/>
        <v>1.12627051177725</v>
      </c>
      <c r="FT7" s="113">
        <f t="shared" ref="FT7:FT15" si="160">(FR7/EW7)-1</f>
        <v>0.12858512935082622</v>
      </c>
      <c r="FU7" s="110">
        <f>FO7+FR7</f>
        <v>2915633</v>
      </c>
      <c r="FV7" s="113">
        <f>(FU7/$FU$8)</f>
        <v>1.1297172406631608</v>
      </c>
      <c r="FW7" s="113">
        <f>(FU7/EZ7)-1</f>
        <v>0.13458069903793657</v>
      </c>
      <c r="FX7" s="110">
        <f>SUM(FX8:FX9)</f>
        <v>1454692</v>
      </c>
      <c r="FY7" s="113">
        <f t="shared" si="12"/>
        <v>1.0913294832379812</v>
      </c>
      <c r="FZ7" s="113">
        <f t="shared" ref="FZ7:FZ25" si="161">(FX7/FC7)-1</f>
        <v>0.12529550095921782</v>
      </c>
      <c r="GA7" s="110">
        <f>GA8+GA9</f>
        <v>4370328</v>
      </c>
      <c r="GB7" s="113">
        <f t="shared" ref="GB7:GB15" si="162">(GA7/$GA$8)</f>
        <v>1.1166431473789344</v>
      </c>
      <c r="GC7" s="113">
        <f t="shared" ref="GC7:GC14" si="163">(GA7/FF7)-1</f>
        <v>0.13147416134801526</v>
      </c>
      <c r="GD7" s="110">
        <f>GD8+GD9</f>
        <v>938900</v>
      </c>
      <c r="GE7" s="113">
        <f t="shared" si="13"/>
        <v>1.1527090934984703</v>
      </c>
      <c r="GF7" s="113">
        <f t="shared" ref="GF7:GF25" si="164">(GD7/FI7)-1</f>
        <v>0.12605481436706345</v>
      </c>
      <c r="GG7" s="110">
        <f>GG8+GG9</f>
        <v>1255227</v>
      </c>
      <c r="GH7" s="113">
        <f>(GG7/$GG$8)</f>
        <v>1.1296159640316128</v>
      </c>
      <c r="GI7" s="113">
        <f t="shared" ref="GI7:GI36" si="165">(GG7/FL7)-1</f>
        <v>0.18372749202660876</v>
      </c>
      <c r="GJ7" s="110">
        <f t="shared" ref="GJ7:GJ12" si="166">GD7+GG7</f>
        <v>2194127</v>
      </c>
      <c r="GK7" s="113">
        <f t="shared" ref="GK7:GK36" si="167">(GJ7/$GJ$8)</f>
        <v>1.1393836260213095</v>
      </c>
      <c r="GL7" s="113">
        <f>(GJ7/FO7)-1</f>
        <v>0.15834089150131092</v>
      </c>
      <c r="GM7" s="110">
        <f>GM8+GM9</f>
        <v>1204293</v>
      </c>
      <c r="GN7" s="113">
        <f t="shared" ref="GN7:GN36" si="168">(GM7/$GM$8)</f>
        <v>1.150132127962135</v>
      </c>
      <c r="GO7" s="113">
        <f t="shared" ref="GO7:GO25" si="169">(GM7/FR7)-1</f>
        <v>0.17902069147816557</v>
      </c>
      <c r="GP7" s="110">
        <f t="shared" ref="GP7:GP25" si="170">GJ7+GM7</f>
        <v>3398420</v>
      </c>
      <c r="GQ7" s="113">
        <f t="shared" ref="GQ7:GQ36" si="171">(GP7/$GP$8)</f>
        <v>1.1431694981675555</v>
      </c>
      <c r="GR7" s="113">
        <f t="shared" ref="GR7:GR25" si="172">(GP7/FU7)-1</f>
        <v>0.16558565498469791</v>
      </c>
      <c r="GS7" s="110">
        <f>GS8+GS9</f>
        <v>1818399</v>
      </c>
      <c r="GT7" s="113">
        <f t="shared" ref="GT7:GT15" si="173">(GS7/$GS$8)</f>
        <v>1.0889875296965457</v>
      </c>
      <c r="GU7" s="113">
        <f>(GS7/FX7)-1</f>
        <v>0.25002337264520591</v>
      </c>
      <c r="GV7" s="110">
        <f>GP7+GS7</f>
        <v>5216819</v>
      </c>
      <c r="GW7" s="113">
        <f t="shared" ref="GW7:GW25" si="174">(GV7/$GV$8)</f>
        <v>1.1236818842496423</v>
      </c>
      <c r="GX7" s="113">
        <f>(GV7/GA7)-1</f>
        <v>0.19369049645701653</v>
      </c>
      <c r="GY7" s="110">
        <f>SUM(GY8:GY9)</f>
        <v>1173947</v>
      </c>
      <c r="GZ7" s="113">
        <f t="shared" ref="GZ7:GZ17" si="175">GY7/$GY$8</f>
        <v>1.1612946943055411</v>
      </c>
      <c r="HA7" s="113">
        <f>GY7/GD7-1</f>
        <v>0.25034295452124833</v>
      </c>
      <c r="HB7" s="110">
        <f>HB8+HB9</f>
        <v>1536401</v>
      </c>
      <c r="HC7" s="113">
        <f t="shared" ref="HC7:HC16" si="176">(HB7/$HB$8)</f>
        <v>1.1345233365774989</v>
      </c>
      <c r="HD7" s="113">
        <f t="shared" si="14"/>
        <v>0.22400251109958602</v>
      </c>
      <c r="HE7" s="110">
        <f t="shared" ref="HE7:HE25" si="177">GY7+HB7</f>
        <v>2710348</v>
      </c>
      <c r="HF7" s="113">
        <f>(HE7/$HE$8)</f>
        <v>1.1459658934997405</v>
      </c>
      <c r="HG7" s="113">
        <f t="shared" si="15"/>
        <v>0.23527398368462715</v>
      </c>
      <c r="HH7" s="110">
        <f>HH8+HH9</f>
        <v>1420605</v>
      </c>
      <c r="HI7" s="113">
        <f t="shared" si="16"/>
        <v>1.1379724679881285</v>
      </c>
      <c r="HJ7" s="113">
        <f>(HH7/GM7)-1</f>
        <v>0.17961741868465575</v>
      </c>
      <c r="HK7" s="110">
        <f t="shared" ref="HK7:HK14" si="178">HE7+HH7</f>
        <v>4130953</v>
      </c>
      <c r="HL7" s="113">
        <f t="shared" si="17"/>
        <v>1.1432043738373416</v>
      </c>
      <c r="HM7" s="113">
        <f>(HK7/GP7)-1</f>
        <v>0.21555105019391374</v>
      </c>
      <c r="HN7" s="110">
        <f>HN8+HN9</f>
        <v>2014245</v>
      </c>
      <c r="HO7" s="113">
        <f t="shared" ref="HO7:HO18" si="179">HN7/$HN$8</f>
        <v>1.0962677006105479</v>
      </c>
      <c r="HP7" s="113">
        <f t="shared" ref="HP7:HP25" si="180">(HN7/GS7)-1</f>
        <v>0.107702434944146</v>
      </c>
      <c r="HQ7" s="110">
        <f>HQ8+HQ9</f>
        <v>6145198</v>
      </c>
      <c r="HR7" s="113">
        <f t="shared" ref="HR7:HR25" si="181">(HQ7/HQ$8)</f>
        <v>1.1273830219569345</v>
      </c>
      <c r="HS7" s="113">
        <f t="shared" ref="HS7:HS25" si="182">(HQ7/GV7)-1</f>
        <v>0.17795882893387716</v>
      </c>
      <c r="HT7" s="110">
        <f>SUM(HT8:HT9)</f>
        <v>1247369</v>
      </c>
      <c r="HU7" s="113">
        <f>HT7/HT$8</f>
        <v>1.1591054390288325</v>
      </c>
      <c r="HV7" s="113">
        <f t="shared" ref="HV7:HV25" si="183">HT7/GY7-1</f>
        <v>6.2542857556601827E-2</v>
      </c>
      <c r="HW7" s="110">
        <f>HW8+HW9</f>
        <v>1647580</v>
      </c>
      <c r="HX7" s="113">
        <f t="shared" ref="HX7:HX36" si="184">(HW7/HW$8)</f>
        <v>1.1248675485837256</v>
      </c>
      <c r="HY7" s="113">
        <f t="shared" si="18"/>
        <v>7.2363269745333358E-2</v>
      </c>
      <c r="HZ7" s="110">
        <f t="shared" ref="HZ7:HZ25" si="185">HT7+HW7</f>
        <v>2894949</v>
      </c>
      <c r="IA7" s="113">
        <f t="shared" ref="IA7:IA25" si="186">(HZ7/HZ$8)</f>
        <v>1.1393686959725067</v>
      </c>
      <c r="IB7" s="113">
        <f t="shared" si="19"/>
        <v>6.8109703993730619E-2</v>
      </c>
      <c r="IC7" s="110">
        <f>IC8+IC9</f>
        <v>1445829</v>
      </c>
      <c r="ID7" s="113">
        <f t="shared" ref="ID7:ID36" si="187">(IC7/IC$8)</f>
        <v>1.1471027865358951</v>
      </c>
      <c r="IE7" s="113">
        <f t="shared" si="20"/>
        <v>1.775581530404291E-2</v>
      </c>
      <c r="IF7" s="110">
        <f t="shared" ref="IF7:IF25" si="188">HZ7+IC7</f>
        <v>4340778</v>
      </c>
      <c r="IG7" s="113">
        <f t="shared" ref="IG7:IG25" si="189">(IF7/IF$8)</f>
        <v>1.1419331620565214</v>
      </c>
      <c r="IH7" s="113">
        <f t="shared" si="21"/>
        <v>5.0793364146239472E-2</v>
      </c>
      <c r="II7" s="110">
        <f>II8+II9</f>
        <v>2110802</v>
      </c>
      <c r="IJ7" s="113">
        <f t="shared" si="22"/>
        <v>1.0990875311897295</v>
      </c>
      <c r="IK7" s="113">
        <f t="shared" si="23"/>
        <v>4.7937068231520996E-2</v>
      </c>
      <c r="IL7" s="110">
        <f>IL8+IL9</f>
        <v>6451578</v>
      </c>
      <c r="IM7" s="113">
        <f t="shared" si="24"/>
        <v>1.1275519040742206</v>
      </c>
      <c r="IN7" s="113">
        <f t="shared" si="25"/>
        <v>4.9856815028580082E-2</v>
      </c>
      <c r="IO7" s="110">
        <f>SUM(IO8:IO9)</f>
        <v>1415324</v>
      </c>
      <c r="IP7" s="113">
        <f t="shared" si="26"/>
        <v>1.1463046415115123</v>
      </c>
      <c r="IQ7" s="113">
        <f t="shared" si="27"/>
        <v>0.13464740585985391</v>
      </c>
      <c r="IR7" s="110">
        <f>IR8+IR9</f>
        <v>1831132</v>
      </c>
      <c r="IS7" s="113">
        <f t="shared" ref="IS7:IS36" si="190">(IR7/IR$8)</f>
        <v>1.1230796783231194</v>
      </c>
      <c r="IT7" s="113">
        <f t="shared" si="28"/>
        <v>0.11140703334587698</v>
      </c>
      <c r="IU7" s="110">
        <f t="shared" ref="IU7:IU25" si="191">IO7+IR7</f>
        <v>3246456</v>
      </c>
      <c r="IV7" s="113">
        <f t="shared" ref="IV7:IV25" si="192">(IU7/IU$8)</f>
        <v>1.1330880864460375</v>
      </c>
      <c r="IW7" s="113">
        <f t="shared" si="29"/>
        <v>0.12142079186887234</v>
      </c>
      <c r="IX7" s="110">
        <f>IX8+IX9</f>
        <v>1746377</v>
      </c>
      <c r="IY7" s="113">
        <f t="shared" ref="IY7:IY36" si="193">(IX7/IX$8)</f>
        <v>1.1545698800326329</v>
      </c>
      <c r="IZ7" s="113">
        <f t="shared" si="30"/>
        <v>0.20787243858021931</v>
      </c>
      <c r="JA7" s="110">
        <f t="shared" ref="JA7:JA14" si="194">IU7+IX7</f>
        <v>4992833</v>
      </c>
      <c r="JB7" s="113">
        <f t="shared" si="31"/>
        <v>1.1405104211829085</v>
      </c>
      <c r="JC7" s="113">
        <f t="shared" si="32"/>
        <v>0.15021615940736899</v>
      </c>
      <c r="JD7" s="110">
        <f>JD8+JD9</f>
        <v>2451472</v>
      </c>
      <c r="JE7" s="113">
        <f t="shared" ref="JE7:JE36" si="195">(JD7/JD$8)</f>
        <v>1.1030964899847233</v>
      </c>
      <c r="JF7" s="113">
        <f t="shared" si="33"/>
        <v>0.16139363142540142</v>
      </c>
      <c r="JG7" s="110">
        <f t="shared" ref="JG7:JG14" si="196">JA7+JD7</f>
        <v>7444305</v>
      </c>
      <c r="JH7" s="113">
        <f t="shared" si="34"/>
        <v>1.1279125246038946</v>
      </c>
      <c r="JI7" s="113">
        <f t="shared" si="35"/>
        <v>0.15387351745572952</v>
      </c>
      <c r="JJ7" s="110">
        <f>JJ8+JJ9</f>
        <v>1628285</v>
      </c>
      <c r="JK7" s="113">
        <f t="shared" ref="JK7:JK36" si="197">(JJ7/JJ$8)</f>
        <v>1.1640426674215891</v>
      </c>
      <c r="JL7" s="113">
        <f t="shared" si="64"/>
        <v>0.15046802004346715</v>
      </c>
      <c r="JM7" s="110">
        <f>JM8+JM9</f>
        <v>2020097</v>
      </c>
      <c r="JN7" s="113">
        <f t="shared" ref="JN7:JN36" si="198">(JM7/JM$8)</f>
        <v>1.1348661905326367</v>
      </c>
      <c r="JO7" s="113">
        <f t="shared" si="65"/>
        <v>0.1031957281069853</v>
      </c>
      <c r="JP7" s="110">
        <f t="shared" si="36"/>
        <v>3648382</v>
      </c>
      <c r="JQ7" s="113">
        <f t="shared" ref="JQ7:JQ36" si="199">(JP7/JP$8)</f>
        <v>1.1477049876527674</v>
      </c>
      <c r="JR7" s="113">
        <f t="shared" si="66"/>
        <v>0.12380454255347995</v>
      </c>
      <c r="JS7" s="110">
        <f>JS8+JS9</f>
        <v>1943288</v>
      </c>
      <c r="JT7" s="113">
        <f t="shared" si="37"/>
        <v>1.1354556136540652</v>
      </c>
      <c r="JU7" s="113">
        <f t="shared" si="38"/>
        <v>0.11275400443317785</v>
      </c>
      <c r="JV7" s="110">
        <f t="shared" si="39"/>
        <v>5591670</v>
      </c>
      <c r="JW7" s="113">
        <f t="shared" si="40"/>
        <v>1.1434180770916205</v>
      </c>
      <c r="JX7" s="113">
        <f t="shared" si="41"/>
        <v>0.11993932102275395</v>
      </c>
      <c r="JY7" s="110">
        <f>SUM(JY9,JY8)</f>
        <v>2834871</v>
      </c>
      <c r="JZ7" s="113">
        <f t="shared" si="42"/>
        <v>1.0923844813461563</v>
      </c>
      <c r="KA7" s="113">
        <f t="shared" si="43"/>
        <v>0.15639542283167018</v>
      </c>
      <c r="KB7" s="110">
        <f t="shared" si="44"/>
        <v>8426541</v>
      </c>
      <c r="KC7" s="113">
        <f t="shared" si="45"/>
        <v>1.1257252586456923</v>
      </c>
      <c r="KD7" s="113">
        <f t="shared" si="46"/>
        <v>0.13194462075371716</v>
      </c>
      <c r="KE7" s="110">
        <f>KE8+KE9</f>
        <v>1892117</v>
      </c>
      <c r="KF7" s="113">
        <f t="shared" si="47"/>
        <v>1.146503411121486</v>
      </c>
      <c r="KG7" s="113">
        <f t="shared" si="48"/>
        <v>0.16203060275074699</v>
      </c>
      <c r="KH7" s="110">
        <f>KH8+KH9</f>
        <v>2292004</v>
      </c>
      <c r="KI7" s="113">
        <f t="shared" ref="KI7:KI36" si="200">(KH7/KH$8)</f>
        <v>1.1350071853950778</v>
      </c>
      <c r="KJ7" s="113">
        <f t="shared" si="67"/>
        <v>0.13460096223102158</v>
      </c>
      <c r="KK7" s="110">
        <f t="shared" si="49"/>
        <v>4184121</v>
      </c>
      <c r="KL7" s="113">
        <f t="shared" ref="KL7:KL36" si="201">(KK7/KK$8)</f>
        <v>1.1401772510151345</v>
      </c>
      <c r="KM7" s="113">
        <f>(KK7/JP7)-1</f>
        <v>0.14684290186718396</v>
      </c>
      <c r="KN7" s="110">
        <f>KN8+KN9</f>
        <v>2225755</v>
      </c>
      <c r="KO7" s="113">
        <f t="shared" si="50"/>
        <v>1.1520924218551041</v>
      </c>
      <c r="KP7" s="113">
        <f t="shared" si="51"/>
        <v>0.14535519181922596</v>
      </c>
      <c r="KQ7" s="110">
        <f t="shared" si="52"/>
        <v>6409876</v>
      </c>
      <c r="KR7" s="113">
        <f t="shared" si="53"/>
        <v>1.1442866234590436</v>
      </c>
      <c r="KS7" s="113">
        <f t="shared" si="54"/>
        <v>0.14632587402332398</v>
      </c>
      <c r="KT7" s="110">
        <f>KT8+KT9</f>
        <v>3178561</v>
      </c>
      <c r="KU7" s="113">
        <f t="shared" si="55"/>
        <v>1.1063337391726864</v>
      </c>
      <c r="KV7" s="113">
        <f t="shared" si="56"/>
        <v>0.12123655714845571</v>
      </c>
      <c r="KW7" s="110">
        <f t="shared" si="57"/>
        <v>9588437</v>
      </c>
      <c r="KX7" s="113">
        <f t="shared" si="58"/>
        <v>1.1314199818211703</v>
      </c>
      <c r="KY7" s="113">
        <f t="shared" si="59"/>
        <v>0.13788528412785261</v>
      </c>
      <c r="KZ7" s="110">
        <f>KZ8+KZ9</f>
        <v>1863761</v>
      </c>
      <c r="LA7" s="113">
        <f t="shared" si="60"/>
        <v>1.2022868312066985</v>
      </c>
      <c r="LB7" s="113">
        <f t="shared" si="61"/>
        <v>-1.498638826245946E-2</v>
      </c>
      <c r="LC7" s="110">
        <f>LC8+LC9</f>
        <v>808506</v>
      </c>
      <c r="LD7" s="113">
        <f t="shared" ref="LD7:LD36" si="202">(LC7/LC$8)</f>
        <v>1.4982432602717388</v>
      </c>
      <c r="LE7" s="113">
        <f t="shared" si="69"/>
        <v>-0.64724930672023262</v>
      </c>
      <c r="LF7" s="110">
        <f t="shared" si="70"/>
        <v>2672267</v>
      </c>
      <c r="LG7" s="113">
        <f t="shared" ref="LG7:LG25" si="203">(LF7/LF$8)</f>
        <v>1.2787092260754056</v>
      </c>
      <c r="LH7" s="113">
        <f t="shared" si="71"/>
        <v>-0.36133132861119455</v>
      </c>
      <c r="LI7" s="110">
        <f>LI8+LI9</f>
        <v>1790039</v>
      </c>
      <c r="LJ7" s="113">
        <f t="shared" ref="LJ7:LJ25" si="204">(LI7/LI$8)</f>
        <v>1.0840856663378142</v>
      </c>
      <c r="LK7" s="113">
        <f t="shared" si="72"/>
        <v>-0.19576098896778849</v>
      </c>
      <c r="LL7" s="110">
        <f t="shared" si="62"/>
        <v>4462306</v>
      </c>
      <c r="LM7" s="113">
        <f t="shared" ref="LM7:LM25" si="205">(LL7/LL$8)</f>
        <v>1.1928068680862642</v>
      </c>
      <c r="LN7" s="113">
        <f t="shared" si="73"/>
        <v>-0.30383895101870928</v>
      </c>
      <c r="LO7" s="110">
        <f>LO8+LO9</f>
        <v>3074874</v>
      </c>
      <c r="LP7" s="113">
        <f t="shared" ref="LP7:LP25" si="206">(LO7/LO$8)</f>
        <v>1.0531984636030522</v>
      </c>
      <c r="LQ7" s="113">
        <f t="shared" si="74"/>
        <v>-3.2620736238820003E-2</v>
      </c>
      <c r="LR7" s="110">
        <f t="shared" si="63"/>
        <v>7537180</v>
      </c>
      <c r="LS7" s="113">
        <f t="shared" ref="LS7:LS25" si="207">(LR7/LR$8)</f>
        <v>1.1316116891479724</v>
      </c>
      <c r="LT7" s="113">
        <f t="shared" si="75"/>
        <v>-0.21393027873051673</v>
      </c>
    </row>
    <row r="8" spans="1:332" ht="16.5" customHeight="1">
      <c r="A8" s="114"/>
      <c r="B8" s="115" t="s">
        <v>108</v>
      </c>
      <c r="C8" s="116" t="s">
        <v>109</v>
      </c>
      <c r="D8" s="117">
        <v>198012</v>
      </c>
      <c r="E8" s="118">
        <f t="shared" si="76"/>
        <v>1</v>
      </c>
      <c r="F8" s="117">
        <v>279148</v>
      </c>
      <c r="G8" s="118">
        <f t="shared" si="77"/>
        <v>1</v>
      </c>
      <c r="H8" s="117">
        <f>D8+F8</f>
        <v>477160</v>
      </c>
      <c r="I8" s="118">
        <f t="shared" si="78"/>
        <v>1</v>
      </c>
      <c r="J8" s="117">
        <v>255413</v>
      </c>
      <c r="K8" s="118">
        <f t="shared" si="79"/>
        <v>1</v>
      </c>
      <c r="L8" s="117">
        <f>H8+J8</f>
        <v>732573</v>
      </c>
      <c r="M8" s="118">
        <f t="shared" si="80"/>
        <v>1</v>
      </c>
      <c r="N8" s="117">
        <v>403861</v>
      </c>
      <c r="O8" s="118">
        <f t="shared" si="81"/>
        <v>1</v>
      </c>
      <c r="P8" s="117">
        <f>L8+N8</f>
        <v>1136434</v>
      </c>
      <c r="Q8" s="118">
        <f t="shared" si="82"/>
        <v>1</v>
      </c>
      <c r="R8" s="25">
        <v>250995</v>
      </c>
      <c r="S8" s="118">
        <f t="shared" si="83"/>
        <v>1</v>
      </c>
      <c r="T8" s="26">
        <f t="shared" ref="T8:T19" si="208">R8/D8-1</f>
        <v>0.26757469244288234</v>
      </c>
      <c r="U8" s="117">
        <v>357709</v>
      </c>
      <c r="V8" s="119">
        <f t="shared" si="84"/>
        <v>1</v>
      </c>
      <c r="W8" s="26">
        <f t="shared" si="85"/>
        <v>0.28143135541003339</v>
      </c>
      <c r="X8" s="117">
        <f>R8+U8</f>
        <v>608704</v>
      </c>
      <c r="Y8" s="119">
        <f t="shared" si="86"/>
        <v>1</v>
      </c>
      <c r="Z8" s="26">
        <f t="shared" si="87"/>
        <v>0.27568111325341604</v>
      </c>
      <c r="AA8" s="117">
        <v>320523</v>
      </c>
      <c r="AB8" s="119">
        <f t="shared" si="88"/>
        <v>1</v>
      </c>
      <c r="AC8" s="26">
        <f t="shared" si="89"/>
        <v>0.25492046215345332</v>
      </c>
      <c r="AD8" s="117">
        <f>X8+AA8</f>
        <v>929227</v>
      </c>
      <c r="AE8" s="119">
        <f t="shared" si="90"/>
        <v>1</v>
      </c>
      <c r="AF8" s="26">
        <f t="shared" si="91"/>
        <v>0.26844287190491589</v>
      </c>
      <c r="AG8" s="117">
        <v>506879</v>
      </c>
      <c r="AH8" s="119">
        <f t="shared" si="92"/>
        <v>1</v>
      </c>
      <c r="AI8" s="26">
        <f t="shared" si="93"/>
        <v>0.25508281314610715</v>
      </c>
      <c r="AJ8" s="117">
        <f>AD8+AG8-1</f>
        <v>1436105</v>
      </c>
      <c r="AK8" s="119">
        <f t="shared" si="94"/>
        <v>1</v>
      </c>
      <c r="AL8" s="26">
        <f t="shared" si="95"/>
        <v>0.26369415205810465</v>
      </c>
      <c r="AM8" s="120">
        <v>310293</v>
      </c>
      <c r="AN8" s="119">
        <f t="shared" si="96"/>
        <v>1</v>
      </c>
      <c r="AO8" s="119">
        <f t="shared" si="97"/>
        <v>0.23625171816171631</v>
      </c>
      <c r="AP8" s="120">
        <v>444355</v>
      </c>
      <c r="AQ8" s="119">
        <f t="shared" si="98"/>
        <v>1</v>
      </c>
      <c r="AR8" s="119">
        <f t="shared" si="99"/>
        <v>0.24222482520708177</v>
      </c>
      <c r="AS8" s="120">
        <f>AM8+AP8</f>
        <v>754648</v>
      </c>
      <c r="AT8" s="119">
        <f t="shared" si="100"/>
        <v>1</v>
      </c>
      <c r="AU8" s="119">
        <f t="shared" si="101"/>
        <v>0.23976185469456412</v>
      </c>
      <c r="AV8" s="120">
        <v>395358</v>
      </c>
      <c r="AW8" s="119">
        <f t="shared" si="102"/>
        <v>1</v>
      </c>
      <c r="AX8" s="119">
        <f t="shared" si="103"/>
        <v>0.23347778474555647</v>
      </c>
      <c r="AY8" s="120">
        <f>AV8+AS8</f>
        <v>1150006</v>
      </c>
      <c r="AZ8" s="119">
        <f t="shared" si="104"/>
        <v>1</v>
      </c>
      <c r="BA8" s="119">
        <f t="shared" si="105"/>
        <v>0.23759425845353177</v>
      </c>
      <c r="BB8" s="120">
        <v>601722</v>
      </c>
      <c r="BC8" s="119">
        <f t="shared" si="106"/>
        <v>1</v>
      </c>
      <c r="BD8" s="26">
        <f t="shared" si="107"/>
        <v>0.18711171699754781</v>
      </c>
      <c r="BE8" s="120">
        <f>BB8+AY8</f>
        <v>1751728</v>
      </c>
      <c r="BF8" s="119">
        <f t="shared" si="108"/>
        <v>1</v>
      </c>
      <c r="BG8" s="26">
        <f t="shared" si="109"/>
        <v>0.21977710543449125</v>
      </c>
      <c r="BH8" s="120">
        <v>383383</v>
      </c>
      <c r="BI8" s="119">
        <f t="shared" si="110"/>
        <v>1</v>
      </c>
      <c r="BJ8" s="119">
        <f t="shared" si="111"/>
        <v>0.23555155933263072</v>
      </c>
      <c r="BK8" s="120">
        <v>510246</v>
      </c>
      <c r="BL8" s="119">
        <f t="shared" si="112"/>
        <v>1</v>
      </c>
      <c r="BM8" s="119">
        <f t="shared" si="113"/>
        <v>0.1482845922741951</v>
      </c>
      <c r="BN8" s="120">
        <f>BK8+BH8</f>
        <v>893629</v>
      </c>
      <c r="BO8" s="119">
        <f t="shared" si="114"/>
        <v>1</v>
      </c>
      <c r="BP8" s="119">
        <f t="shared" si="115"/>
        <v>0.18416665783252584</v>
      </c>
      <c r="BQ8" s="120">
        <v>449034</v>
      </c>
      <c r="BR8" s="119">
        <f t="shared" si="116"/>
        <v>1</v>
      </c>
      <c r="BS8" s="119">
        <f t="shared" si="117"/>
        <v>0.13576555931586065</v>
      </c>
      <c r="BT8" s="120">
        <f>BN8+BQ8+1</f>
        <v>1342664</v>
      </c>
      <c r="BU8" s="119">
        <f t="shared" si="118"/>
        <v>1</v>
      </c>
      <c r="BV8" s="119">
        <f t="shared" si="119"/>
        <v>0.16752782159397439</v>
      </c>
      <c r="BW8" s="120">
        <v>613758</v>
      </c>
      <c r="BX8" s="119">
        <f t="shared" si="120"/>
        <v>1</v>
      </c>
      <c r="BY8" s="119">
        <f t="shared" si="121"/>
        <v>2.0002592559354548E-2</v>
      </c>
      <c r="BZ8" s="120">
        <f>BT8+BW8</f>
        <v>1956422</v>
      </c>
      <c r="CA8" s="119">
        <f t="shared" si="122"/>
        <v>1</v>
      </c>
      <c r="CB8" s="119">
        <f t="shared" si="123"/>
        <v>0.11685261638793243</v>
      </c>
      <c r="CC8" s="120">
        <v>362649</v>
      </c>
      <c r="CD8" s="119">
        <f t="shared" si="124"/>
        <v>1</v>
      </c>
      <c r="CE8" s="119">
        <f t="shared" si="125"/>
        <v>-5.4081688546440465E-2</v>
      </c>
      <c r="CF8" s="120">
        <v>554732</v>
      </c>
      <c r="CG8" s="119">
        <f t="shared" si="126"/>
        <v>1</v>
      </c>
      <c r="CH8" s="119">
        <f t="shared" si="127"/>
        <v>8.7185396847794916E-2</v>
      </c>
      <c r="CI8" s="120">
        <f>CF8+CC8-1</f>
        <v>917380</v>
      </c>
      <c r="CJ8" s="119">
        <f t="shared" si="128"/>
        <v>1</v>
      </c>
      <c r="CK8" s="119">
        <f t="shared" si="129"/>
        <v>2.6578143726311509E-2</v>
      </c>
      <c r="CL8" s="120">
        <v>486730</v>
      </c>
      <c r="CM8" s="119">
        <f t="shared" si="130"/>
        <v>1</v>
      </c>
      <c r="CN8" s="119">
        <f t="shared" si="131"/>
        <v>8.394909962274566E-2</v>
      </c>
      <c r="CO8" s="121">
        <f>CI8+CL8+1</f>
        <v>1404111</v>
      </c>
      <c r="CP8" s="119">
        <f t="shared" si="132"/>
        <v>1</v>
      </c>
      <c r="CQ8" s="119">
        <f t="shared" si="133"/>
        <v>4.5764986623608062E-2</v>
      </c>
      <c r="CR8" s="122">
        <v>711858</v>
      </c>
      <c r="CS8" s="119">
        <f t="shared" si="134"/>
        <v>1</v>
      </c>
      <c r="CT8" s="119">
        <f t="shared" si="135"/>
        <v>0.15983498382098471</v>
      </c>
      <c r="CU8" s="122">
        <f>CO8+CR8-1</f>
        <v>2115968</v>
      </c>
      <c r="CV8" s="119">
        <f t="shared" si="136"/>
        <v>1</v>
      </c>
      <c r="CW8" s="119">
        <f t="shared" si="137"/>
        <v>8.1549890565532301E-2</v>
      </c>
      <c r="CX8" s="120">
        <v>440246</v>
      </c>
      <c r="CY8" s="119">
        <f t="shared" si="138"/>
        <v>1</v>
      </c>
      <c r="CZ8" s="119">
        <f t="shared" si="139"/>
        <v>0.21397273948087547</v>
      </c>
      <c r="DA8" s="120">
        <v>629989</v>
      </c>
      <c r="DB8" s="119">
        <f t="shared" si="140"/>
        <v>1</v>
      </c>
      <c r="DC8" s="119">
        <f t="shared" si="141"/>
        <v>0.13566370788056203</v>
      </c>
      <c r="DD8" s="120">
        <f>SUM(CX8,DA8)</f>
        <v>1070235</v>
      </c>
      <c r="DE8" s="119">
        <f t="shared" si="142"/>
        <v>1</v>
      </c>
      <c r="DF8" s="119">
        <f t="shared" si="143"/>
        <v>0.16662124746560858</v>
      </c>
      <c r="DG8" s="120">
        <v>568740</v>
      </c>
      <c r="DH8" s="119">
        <f t="shared" si="144"/>
        <v>1</v>
      </c>
      <c r="DI8" s="119">
        <f t="shared" si="145"/>
        <v>0.16849177161876194</v>
      </c>
      <c r="DJ8" s="120">
        <f>SUM(DD8,DG8)</f>
        <v>1638975</v>
      </c>
      <c r="DK8" s="119">
        <f t="shared" si="146"/>
        <v>1</v>
      </c>
      <c r="DL8" s="119">
        <f t="shared" si="147"/>
        <v>0.16726882703717871</v>
      </c>
      <c r="DM8" s="120">
        <v>823709</v>
      </c>
      <c r="DN8" s="119">
        <f t="shared" si="148"/>
        <v>1</v>
      </c>
      <c r="DO8" s="119">
        <f t="shared" si="149"/>
        <v>0.15712543793846523</v>
      </c>
      <c r="DP8" s="120">
        <v>2462683</v>
      </c>
      <c r="DQ8" s="119">
        <f t="shared" si="150"/>
        <v>1</v>
      </c>
      <c r="DR8" s="119">
        <f t="shared" si="151"/>
        <v>0.16385644773455921</v>
      </c>
      <c r="DS8" s="120">
        <v>517707</v>
      </c>
      <c r="DT8" s="123">
        <f>DS8/$DS$8</f>
        <v>1</v>
      </c>
      <c r="DU8" s="123">
        <f t="shared" ref="DU8:DU25" si="209">(DS8/CX8)-1</f>
        <v>0.17594935558755798</v>
      </c>
      <c r="DV8" s="120">
        <v>749653</v>
      </c>
      <c r="DW8" s="123">
        <f>(DV8/$DV$8)</f>
        <v>1</v>
      </c>
      <c r="DX8" s="123">
        <f t="shared" ref="DX8:DX25" si="210">(DV8/DA8)-1</f>
        <v>0.18994617366334965</v>
      </c>
      <c r="DY8" s="120">
        <f>(DS8+DV8)</f>
        <v>1267360</v>
      </c>
      <c r="DZ8" s="123">
        <f>(DY8/$DY$8)</f>
        <v>1</v>
      </c>
      <c r="EA8" s="123">
        <f t="shared" ref="EA8:EA25" si="211">(DY8/DD8)-1</f>
        <v>0.18418851934388236</v>
      </c>
      <c r="EB8" s="120">
        <v>657076</v>
      </c>
      <c r="EC8" s="123">
        <f>(EB8/$EB$8)</f>
        <v>1</v>
      </c>
      <c r="ED8" s="123">
        <f t="shared" ref="ED8:ED25" si="212">(EB8/DG8)-1</f>
        <v>0.15531877483560153</v>
      </c>
      <c r="EE8" s="120">
        <f>(DY8+EB8)</f>
        <v>1924436</v>
      </c>
      <c r="EF8" s="123">
        <f>(EE8/$EE$8)</f>
        <v>1</v>
      </c>
      <c r="EG8" s="123">
        <f t="shared" ref="EG8:EG25" si="213">(EE8/DJ8)-1</f>
        <v>0.17417044189203623</v>
      </c>
      <c r="EH8" s="120">
        <v>972180</v>
      </c>
      <c r="EI8" s="123">
        <f>(EH8/$EH$8)</f>
        <v>1</v>
      </c>
      <c r="EJ8" s="123">
        <f t="shared" ref="EJ8:EJ40" si="214">(EH8/DM8)-1</f>
        <v>0.18024690758508166</v>
      </c>
      <c r="EK8" s="120">
        <v>2896617</v>
      </c>
      <c r="EL8" s="123">
        <f t="shared" ref="EL8:EL40" si="215">(EK8/$EK$8)</f>
        <v>1</v>
      </c>
      <c r="EM8" s="123">
        <f>(EK8/DP8)-1</f>
        <v>0.17620375825877721</v>
      </c>
      <c r="EN8" s="120">
        <v>619199</v>
      </c>
      <c r="EO8" s="123">
        <f t="shared" ref="EO8:EO36" si="216">(EN8/$EN$8)</f>
        <v>1</v>
      </c>
      <c r="EP8" s="123">
        <f t="shared" ref="EP8:EP36" si="217">(EN8/DS8)-1</f>
        <v>0.19604139020720224</v>
      </c>
      <c r="EQ8" s="120">
        <v>855169</v>
      </c>
      <c r="ER8" s="123">
        <f>(EQ8/$EQ$8)</f>
        <v>1</v>
      </c>
      <c r="ES8" s="123">
        <f t="shared" ref="ES8:ES14" si="218">(EQ8/DV8)-1</f>
        <v>0.14075312177767585</v>
      </c>
      <c r="ET8" s="120">
        <f>(EN8+EQ8)</f>
        <v>1474368</v>
      </c>
      <c r="EU8" s="123">
        <f>(ET8/$ET$8)</f>
        <v>1</v>
      </c>
      <c r="EV8" s="123">
        <f t="shared" si="10"/>
        <v>0.16333796237848763</v>
      </c>
      <c r="EW8" s="120">
        <v>803260</v>
      </c>
      <c r="EX8" s="123">
        <f>EW8/$EW$8</f>
        <v>1</v>
      </c>
      <c r="EY8" s="123">
        <f t="shared" si="153"/>
        <v>0.22247654761397473</v>
      </c>
      <c r="EZ8" s="120">
        <f>(ET8+EW8)+1</f>
        <v>2277629</v>
      </c>
      <c r="FA8" s="123">
        <f>(EZ8/$EZ$8)</f>
        <v>1</v>
      </c>
      <c r="FB8" s="123">
        <f t="shared" si="154"/>
        <v>0.18353065521534617</v>
      </c>
      <c r="FC8" s="120">
        <v>1184332</v>
      </c>
      <c r="FD8" s="123">
        <f t="shared" ref="FD8:FD36" si="219">FC8/$FC$8</f>
        <v>1</v>
      </c>
      <c r="FE8" s="123">
        <f t="shared" si="155"/>
        <v>0.2182229628258141</v>
      </c>
      <c r="FF8" s="120">
        <f>(EZ8+FC8)-1</f>
        <v>3461960</v>
      </c>
      <c r="FG8" s="123">
        <f t="shared" ref="FG8:FG36" si="220">(FF8/$FF$8)</f>
        <v>1</v>
      </c>
      <c r="FH8" s="123">
        <f t="shared" si="156"/>
        <v>0.19517354210100946</v>
      </c>
      <c r="FI8" s="120">
        <v>726731</v>
      </c>
      <c r="FJ8" s="123">
        <f t="shared" si="157"/>
        <v>1</v>
      </c>
      <c r="FK8" s="123">
        <f t="shared" ref="FK8:FK14" si="221">(FI8/EN8)-1</f>
        <v>0.17366307116129054</v>
      </c>
      <c r="FL8" s="120">
        <v>947203</v>
      </c>
      <c r="FM8" s="123">
        <f t="shared" ref="FM8:FM36" si="222">(FL8/$FL$8)</f>
        <v>1</v>
      </c>
      <c r="FN8" s="123">
        <f t="shared" ref="FN8:FN14" si="223">(FL8/EQ8)-1</f>
        <v>0.10762083284122781</v>
      </c>
      <c r="FO8" s="120">
        <f>FI8+FL8</f>
        <v>1673934</v>
      </c>
      <c r="FP8" s="123">
        <f t="shared" si="158"/>
        <v>1</v>
      </c>
      <c r="FQ8" s="123">
        <f>(FO8/ET8)-1</f>
        <v>0.13535698007553076</v>
      </c>
      <c r="FR8" s="120">
        <v>906918</v>
      </c>
      <c r="FS8" s="123">
        <f t="shared" si="11"/>
        <v>1</v>
      </c>
      <c r="FT8" s="123">
        <f t="shared" si="160"/>
        <v>0.12904663496252766</v>
      </c>
      <c r="FU8" s="120">
        <v>2580852</v>
      </c>
      <c r="FV8" s="123">
        <f>(FU8/$FU$8)</f>
        <v>1</v>
      </c>
      <c r="FW8" s="123">
        <f t="shared" ref="FW8:FW25" si="224">(FU8/EZ8)-1</f>
        <v>0.13313098840943804</v>
      </c>
      <c r="FX8" s="120">
        <v>1332954</v>
      </c>
      <c r="FY8" s="123">
        <f t="shared" si="12"/>
        <v>1</v>
      </c>
      <c r="FZ8" s="123">
        <f t="shared" si="161"/>
        <v>0.12549014972153083</v>
      </c>
      <c r="GA8" s="120">
        <v>3913809</v>
      </c>
      <c r="GB8" s="123">
        <f t="shared" si="162"/>
        <v>1</v>
      </c>
      <c r="GC8" s="123">
        <f t="shared" si="163"/>
        <v>0.13051826133173106</v>
      </c>
      <c r="GD8" s="120">
        <v>814516</v>
      </c>
      <c r="GE8" s="123">
        <f t="shared" si="13"/>
        <v>1</v>
      </c>
      <c r="GF8" s="123">
        <f t="shared" si="164"/>
        <v>0.12079435169271702</v>
      </c>
      <c r="GG8" s="120">
        <v>1111198</v>
      </c>
      <c r="GH8" s="123">
        <f t="shared" ref="GH8:GH36" si="225">(GG8/$GG$8)</f>
        <v>1</v>
      </c>
      <c r="GI8" s="123">
        <f t="shared" si="165"/>
        <v>0.17313606481398391</v>
      </c>
      <c r="GJ8" s="120">
        <f t="shared" si="166"/>
        <v>1925714</v>
      </c>
      <c r="GK8" s="123">
        <f t="shared" si="167"/>
        <v>1</v>
      </c>
      <c r="GL8" s="123">
        <f t="shared" ref="GL8:GL25" si="226">(GJ8/FO8)-1</f>
        <v>0.15041214289213323</v>
      </c>
      <c r="GM8" s="120">
        <v>1047091</v>
      </c>
      <c r="GN8" s="123">
        <f t="shared" si="168"/>
        <v>1</v>
      </c>
      <c r="GO8" s="123">
        <f t="shared" si="169"/>
        <v>0.15455972866345147</v>
      </c>
      <c r="GP8" s="120">
        <f>GJ8+GM8</f>
        <v>2972805</v>
      </c>
      <c r="GQ8" s="123">
        <f t="shared" si="171"/>
        <v>1</v>
      </c>
      <c r="GR8" s="123">
        <f t="shared" si="172"/>
        <v>0.1518696151503458</v>
      </c>
      <c r="GS8" s="120">
        <v>1669807</v>
      </c>
      <c r="GT8" s="123">
        <f t="shared" si="173"/>
        <v>1</v>
      </c>
      <c r="GU8" s="123">
        <f t="shared" ref="GU8:GU25" si="227">(GS8/FX8)-1</f>
        <v>0.25271164646341893</v>
      </c>
      <c r="GV8" s="120">
        <v>4642612</v>
      </c>
      <c r="GW8" s="123">
        <f t="shared" si="174"/>
        <v>1</v>
      </c>
      <c r="GX8" s="123">
        <f t="shared" ref="GX8:GX27" si="228">(GV8/GA8)-1</f>
        <v>0.18621322604143442</v>
      </c>
      <c r="GY8" s="120">
        <v>1010895</v>
      </c>
      <c r="GZ8" s="123">
        <f t="shared" si="175"/>
        <v>1</v>
      </c>
      <c r="HA8" s="123">
        <f t="shared" ref="HA8:HA40" si="229">GY8/GD8-1</f>
        <v>0.24109900849093213</v>
      </c>
      <c r="HB8" s="120">
        <v>1354226</v>
      </c>
      <c r="HC8" s="123">
        <f t="shared" si="176"/>
        <v>1</v>
      </c>
      <c r="HD8" s="123">
        <f t="shared" si="14"/>
        <v>0.21870809702681249</v>
      </c>
      <c r="HE8" s="120">
        <f t="shared" si="177"/>
        <v>2365121</v>
      </c>
      <c r="HF8" s="123">
        <f>(HE8/$HE$8)</f>
        <v>1</v>
      </c>
      <c r="HG8" s="123">
        <f t="shared" si="15"/>
        <v>0.22817874305322605</v>
      </c>
      <c r="HH8" s="120">
        <v>1248365</v>
      </c>
      <c r="HI8" s="123">
        <f t="shared" si="16"/>
        <v>1</v>
      </c>
      <c r="HJ8" s="123">
        <f>(HH8/GM8)-1</f>
        <v>0.19222207047907003</v>
      </c>
      <c r="HK8" s="120">
        <f t="shared" si="178"/>
        <v>3613486</v>
      </c>
      <c r="HL8" s="123">
        <f t="shared" si="17"/>
        <v>1</v>
      </c>
      <c r="HM8" s="123">
        <f t="shared" ref="HM8:HM36" si="230">(HK8/GP8)-1</f>
        <v>0.2155139674482518</v>
      </c>
      <c r="HN8" s="120">
        <v>1837366</v>
      </c>
      <c r="HO8" s="123">
        <f t="shared" si="179"/>
        <v>1</v>
      </c>
      <c r="HP8" s="123">
        <f t="shared" si="180"/>
        <v>0.10034632744981908</v>
      </c>
      <c r="HQ8" s="120">
        <f t="shared" ref="HQ8:HQ12" si="231">HK8+HN8</f>
        <v>5450852</v>
      </c>
      <c r="HR8" s="123">
        <f t="shared" si="181"/>
        <v>1</v>
      </c>
      <c r="HS8" s="123">
        <f t="shared" si="182"/>
        <v>0.17409165357777034</v>
      </c>
      <c r="HT8" s="120">
        <v>1076148</v>
      </c>
      <c r="HU8" s="123">
        <f>HT8/HT$8</f>
        <v>1</v>
      </c>
      <c r="HV8" s="123">
        <f t="shared" si="183"/>
        <v>6.4549730684195783E-2</v>
      </c>
      <c r="HW8" s="120">
        <v>1464688</v>
      </c>
      <c r="HX8" s="123">
        <f t="shared" si="184"/>
        <v>1</v>
      </c>
      <c r="HY8" s="123">
        <f t="shared" si="18"/>
        <v>8.1568364512274893E-2</v>
      </c>
      <c r="HZ8" s="120">
        <f t="shared" si="185"/>
        <v>2540836</v>
      </c>
      <c r="IA8" s="123">
        <f t="shared" si="186"/>
        <v>1</v>
      </c>
      <c r="IB8" s="123">
        <f t="shared" si="19"/>
        <v>7.4294296148061711E-2</v>
      </c>
      <c r="IC8" s="120">
        <v>1260418</v>
      </c>
      <c r="ID8" s="123">
        <f t="shared" si="187"/>
        <v>1</v>
      </c>
      <c r="IE8" s="123">
        <f t="shared" si="20"/>
        <v>9.6550287776411281E-3</v>
      </c>
      <c r="IF8" s="120">
        <f t="shared" si="188"/>
        <v>3801254</v>
      </c>
      <c r="IG8" s="123">
        <f t="shared" si="189"/>
        <v>1</v>
      </c>
      <c r="IH8" s="123">
        <f t="shared" si="21"/>
        <v>5.1963118163457667E-2</v>
      </c>
      <c r="II8" s="120">
        <v>1920504</v>
      </c>
      <c r="IJ8" s="123">
        <f t="shared" si="22"/>
        <v>1</v>
      </c>
      <c r="IK8" s="123">
        <f t="shared" si="23"/>
        <v>4.5248469820384107E-2</v>
      </c>
      <c r="IL8" s="120">
        <v>5721757</v>
      </c>
      <c r="IM8" s="123">
        <f t="shared" si="24"/>
        <v>1</v>
      </c>
      <c r="IN8" s="123">
        <f t="shared" si="25"/>
        <v>4.9699569902099672E-2</v>
      </c>
      <c r="IO8" s="120">
        <v>1234684</v>
      </c>
      <c r="IP8" s="123">
        <f t="shared" si="26"/>
        <v>1</v>
      </c>
      <c r="IQ8" s="123">
        <f t="shared" si="27"/>
        <v>0.14731802688849482</v>
      </c>
      <c r="IR8" s="120">
        <v>1630456</v>
      </c>
      <c r="IS8" s="123">
        <f t="shared" si="190"/>
        <v>1</v>
      </c>
      <c r="IT8" s="123">
        <f t="shared" si="28"/>
        <v>0.11317632151011003</v>
      </c>
      <c r="IU8" s="120">
        <f t="shared" si="191"/>
        <v>2865140</v>
      </c>
      <c r="IV8" s="123">
        <f t="shared" si="192"/>
        <v>1</v>
      </c>
      <c r="IW8" s="123">
        <f t="shared" si="29"/>
        <v>0.12763673058788516</v>
      </c>
      <c r="IX8" s="120">
        <v>1512578</v>
      </c>
      <c r="IY8" s="123">
        <f t="shared" si="193"/>
        <v>1</v>
      </c>
      <c r="IZ8" s="123">
        <f t="shared" si="30"/>
        <v>0.20006061481191151</v>
      </c>
      <c r="JA8" s="120">
        <f t="shared" si="194"/>
        <v>4377718</v>
      </c>
      <c r="JB8" s="123">
        <f t="shared" si="31"/>
        <v>1</v>
      </c>
      <c r="JC8" s="123">
        <f t="shared" si="32"/>
        <v>0.1516510077990052</v>
      </c>
      <c r="JD8" s="120">
        <v>2222355</v>
      </c>
      <c r="JE8" s="123">
        <f t="shared" si="195"/>
        <v>1</v>
      </c>
      <c r="JF8" s="123">
        <f t="shared" si="33"/>
        <v>0.15717280463878236</v>
      </c>
      <c r="JG8" s="120">
        <f t="shared" si="196"/>
        <v>6600073</v>
      </c>
      <c r="JH8" s="123">
        <f t="shared" si="34"/>
        <v>1</v>
      </c>
      <c r="JI8" s="123">
        <f t="shared" si="35"/>
        <v>0.15350459657758964</v>
      </c>
      <c r="JJ8" s="120">
        <v>1398819</v>
      </c>
      <c r="JK8" s="123">
        <f t="shared" si="197"/>
        <v>1</v>
      </c>
      <c r="JL8" s="123">
        <f t="shared" si="64"/>
        <v>0.13293684861875588</v>
      </c>
      <c r="JM8" s="120">
        <v>1780031</v>
      </c>
      <c r="JN8" s="123">
        <f t="shared" si="198"/>
        <v>1</v>
      </c>
      <c r="JO8" s="123">
        <f t="shared" si="65"/>
        <v>9.1738139514344397E-2</v>
      </c>
      <c r="JP8" s="120">
        <f t="shared" si="36"/>
        <v>3178850</v>
      </c>
      <c r="JQ8" s="123">
        <f t="shared" si="199"/>
        <v>1</v>
      </c>
      <c r="JR8" s="123">
        <f t="shared" si="66"/>
        <v>0.1094920318029835</v>
      </c>
      <c r="JS8" s="120">
        <v>1711461</v>
      </c>
      <c r="JT8" s="123">
        <f t="shared" si="37"/>
        <v>1</v>
      </c>
      <c r="JU8" s="123">
        <f t="shared" si="38"/>
        <v>0.13148611179059855</v>
      </c>
      <c r="JV8" s="120">
        <f t="shared" si="39"/>
        <v>4890311</v>
      </c>
      <c r="JW8" s="123">
        <f t="shared" si="40"/>
        <v>1</v>
      </c>
      <c r="JX8" s="123">
        <f t="shared" si="41"/>
        <v>0.11709137043546436</v>
      </c>
      <c r="JY8" s="120">
        <v>2595122</v>
      </c>
      <c r="JZ8" s="123">
        <f t="shared" si="42"/>
        <v>1</v>
      </c>
      <c r="KA8" s="123">
        <f t="shared" si="43"/>
        <v>0.16773512782611233</v>
      </c>
      <c r="KB8" s="120">
        <f t="shared" si="44"/>
        <v>7485433</v>
      </c>
      <c r="KC8" s="123">
        <f t="shared" si="45"/>
        <v>1</v>
      </c>
      <c r="KD8" s="123">
        <f t="shared" si="46"/>
        <v>0.13414397083183771</v>
      </c>
      <c r="KE8" s="120">
        <v>1650337</v>
      </c>
      <c r="KF8" s="123">
        <f t="shared" si="47"/>
        <v>1</v>
      </c>
      <c r="KG8" s="123">
        <f t="shared" si="48"/>
        <v>0.17980739466650086</v>
      </c>
      <c r="KH8" s="120">
        <v>2019374</v>
      </c>
      <c r="KI8" s="123">
        <f t="shared" si="200"/>
        <v>1</v>
      </c>
      <c r="KJ8" s="123">
        <f t="shared" si="67"/>
        <v>0.13446001783115014</v>
      </c>
      <c r="KK8" s="120">
        <f t="shared" si="49"/>
        <v>3669711</v>
      </c>
      <c r="KL8" s="123">
        <f t="shared" si="201"/>
        <v>1</v>
      </c>
      <c r="KM8" s="123">
        <f t="shared" si="68"/>
        <v>0.15441464680623507</v>
      </c>
      <c r="KN8" s="120">
        <v>1931924</v>
      </c>
      <c r="KO8" s="123">
        <f t="shared" si="50"/>
        <v>1</v>
      </c>
      <c r="KP8" s="123">
        <f t="shared" si="51"/>
        <v>0.12881567269134386</v>
      </c>
      <c r="KQ8" s="120">
        <f t="shared" si="52"/>
        <v>5601635</v>
      </c>
      <c r="KR8" s="123">
        <f t="shared" si="53"/>
        <v>1</v>
      </c>
      <c r="KS8" s="123">
        <f t="shared" si="54"/>
        <v>0.14545577980623325</v>
      </c>
      <c r="KT8" s="120">
        <v>2873058</v>
      </c>
      <c r="KU8" s="123">
        <f t="shared" si="55"/>
        <v>1</v>
      </c>
      <c r="KV8" s="123">
        <f t="shared" si="56"/>
        <v>0.10709939648309397</v>
      </c>
      <c r="KW8" s="120">
        <f t="shared" si="57"/>
        <v>8474693</v>
      </c>
      <c r="KX8" s="123">
        <f t="shared" si="58"/>
        <v>1</v>
      </c>
      <c r="KY8" s="123">
        <f t="shared" si="59"/>
        <v>0.13215801944924221</v>
      </c>
      <c r="KZ8" s="120">
        <v>1550180</v>
      </c>
      <c r="LA8" s="123">
        <f t="shared" si="60"/>
        <v>1</v>
      </c>
      <c r="LB8" s="123">
        <f t="shared" si="61"/>
        <v>-6.0688816890126063E-2</v>
      </c>
      <c r="LC8" s="120">
        <v>539636</v>
      </c>
      <c r="LD8" s="123">
        <f t="shared" si="202"/>
        <v>1</v>
      </c>
      <c r="LE8" s="123">
        <f t="shared" si="69"/>
        <v>-0.73277065070660519</v>
      </c>
      <c r="LF8" s="120">
        <f t="shared" si="70"/>
        <v>2089816</v>
      </c>
      <c r="LG8" s="123">
        <f t="shared" si="203"/>
        <v>1</v>
      </c>
      <c r="LH8" s="123">
        <f t="shared" si="71"/>
        <v>-0.43052300303756885</v>
      </c>
      <c r="LI8" s="120">
        <v>1651197</v>
      </c>
      <c r="LJ8" s="123">
        <f t="shared" si="204"/>
        <v>1</v>
      </c>
      <c r="LK8" s="123">
        <f t="shared" si="72"/>
        <v>-0.14530954633826176</v>
      </c>
      <c r="LL8" s="120">
        <f t="shared" si="62"/>
        <v>3741013</v>
      </c>
      <c r="LM8" s="123">
        <f t="shared" si="205"/>
        <v>1</v>
      </c>
      <c r="LN8" s="123">
        <f t="shared" si="73"/>
        <v>-0.33215695060460027</v>
      </c>
      <c r="LO8" s="120">
        <v>2919558</v>
      </c>
      <c r="LP8" s="123">
        <f t="shared" si="206"/>
        <v>1</v>
      </c>
      <c r="LQ8" s="123">
        <f t="shared" si="74"/>
        <v>1.6184845554806149E-2</v>
      </c>
      <c r="LR8" s="120">
        <f t="shared" si="63"/>
        <v>6660571</v>
      </c>
      <c r="LS8" s="123">
        <f t="shared" si="207"/>
        <v>1</v>
      </c>
      <c r="LT8" s="123">
        <f t="shared" si="75"/>
        <v>-0.21406344749007422</v>
      </c>
    </row>
    <row r="9" spans="1:332" ht="16.5" customHeight="1">
      <c r="A9" s="114"/>
      <c r="B9" s="115" t="s">
        <v>204</v>
      </c>
      <c r="C9" s="116" t="s">
        <v>164</v>
      </c>
      <c r="D9" s="117">
        <v>12192</v>
      </c>
      <c r="E9" s="118">
        <f t="shared" si="76"/>
        <v>6.1572025937821948E-2</v>
      </c>
      <c r="F9" s="117">
        <v>16634</v>
      </c>
      <c r="G9" s="118">
        <f t="shared" si="77"/>
        <v>5.9588462034476333E-2</v>
      </c>
      <c r="H9" s="117">
        <f>D9+F9</f>
        <v>28826</v>
      </c>
      <c r="I9" s="118">
        <f t="shared" si="78"/>
        <v>6.0411601978372031E-2</v>
      </c>
      <c r="J9" s="117">
        <v>16454</v>
      </c>
      <c r="K9" s="118">
        <f t="shared" si="79"/>
        <v>6.4421153191106167E-2</v>
      </c>
      <c r="L9" s="117">
        <f>H9+J9</f>
        <v>45280</v>
      </c>
      <c r="M9" s="118">
        <f t="shared" si="80"/>
        <v>6.1809539800129133E-2</v>
      </c>
      <c r="N9" s="117">
        <v>20414</v>
      </c>
      <c r="O9" s="118">
        <f t="shared" si="81"/>
        <v>5.0547094173490383E-2</v>
      </c>
      <c r="P9" s="117">
        <f>L9+N9</f>
        <v>65694</v>
      </c>
      <c r="Q9" s="118">
        <f t="shared" si="82"/>
        <v>5.7807140581855168E-2</v>
      </c>
      <c r="R9" s="117">
        <v>15757</v>
      </c>
      <c r="S9" s="118">
        <f t="shared" si="83"/>
        <v>6.2778142990896235E-2</v>
      </c>
      <c r="T9" s="26">
        <f t="shared" si="208"/>
        <v>0.29240485564304453</v>
      </c>
      <c r="U9" s="117">
        <v>23151</v>
      </c>
      <c r="V9" s="119">
        <f t="shared" si="84"/>
        <v>6.4720205530193531E-2</v>
      </c>
      <c r="W9" s="26">
        <f t="shared" si="85"/>
        <v>0.39178790429241306</v>
      </c>
      <c r="X9" s="117">
        <f>R9+U9</f>
        <v>38908</v>
      </c>
      <c r="Y9" s="119">
        <f t="shared" si="86"/>
        <v>6.3919409105246558E-2</v>
      </c>
      <c r="Z9" s="26">
        <f t="shared" si="87"/>
        <v>0.34975369458128069</v>
      </c>
      <c r="AA9" s="117">
        <v>26264</v>
      </c>
      <c r="AB9" s="119">
        <f t="shared" si="88"/>
        <v>8.1941077551376973E-2</v>
      </c>
      <c r="AC9" s="26">
        <f t="shared" si="89"/>
        <v>0.59620760909201409</v>
      </c>
      <c r="AD9" s="117">
        <f>X9+AA9</f>
        <v>65172</v>
      </c>
      <c r="AE9" s="119">
        <f t="shared" si="90"/>
        <v>7.0135714954472905E-2</v>
      </c>
      <c r="AF9" s="26">
        <f t="shared" si="91"/>
        <v>0.43931095406360421</v>
      </c>
      <c r="AG9" s="117">
        <v>29960</v>
      </c>
      <c r="AH9" s="119">
        <f t="shared" si="92"/>
        <v>5.9106808528268086E-2</v>
      </c>
      <c r="AI9" s="26">
        <f t="shared" si="93"/>
        <v>0.46762026060546691</v>
      </c>
      <c r="AJ9" s="117">
        <f>AD9+AG9</f>
        <v>95132</v>
      </c>
      <c r="AK9" s="119">
        <f t="shared" si="94"/>
        <v>6.6243067185198859E-2</v>
      </c>
      <c r="AL9" s="26">
        <f t="shared" si="95"/>
        <v>0.44810789417602814</v>
      </c>
      <c r="AM9" s="120">
        <v>37262</v>
      </c>
      <c r="AN9" s="119">
        <f t="shared" si="96"/>
        <v>0.12008649888975903</v>
      </c>
      <c r="AO9" s="119">
        <f t="shared" si="97"/>
        <v>1.3647902519515136</v>
      </c>
      <c r="AP9" s="120">
        <v>46517</v>
      </c>
      <c r="AQ9" s="119">
        <f t="shared" si="98"/>
        <v>0.10468431771894093</v>
      </c>
      <c r="AR9" s="119">
        <f t="shared" si="99"/>
        <v>1.009286855859358</v>
      </c>
      <c r="AS9" s="120">
        <f>AM9+AP9-1</f>
        <v>83778</v>
      </c>
      <c r="AT9" s="119">
        <f t="shared" si="100"/>
        <v>0.11101599686211319</v>
      </c>
      <c r="AU9" s="119">
        <f t="shared" si="101"/>
        <v>1.1532332682224737</v>
      </c>
      <c r="AV9" s="120">
        <v>48654</v>
      </c>
      <c r="AW9" s="119">
        <f t="shared" si="102"/>
        <v>0.12306314783057382</v>
      </c>
      <c r="AX9" s="119">
        <f t="shared" si="103"/>
        <v>0.85249771550411202</v>
      </c>
      <c r="AY9" s="120">
        <f>AV9+AS9+1</f>
        <v>132433</v>
      </c>
      <c r="AZ9" s="119">
        <f t="shared" si="104"/>
        <v>0.11515852960767162</v>
      </c>
      <c r="BA9" s="119">
        <f t="shared" si="105"/>
        <v>1.0320536426686306</v>
      </c>
      <c r="BB9" s="120">
        <v>46778</v>
      </c>
      <c r="BC9" s="119">
        <f t="shared" si="106"/>
        <v>7.7740218905075764E-2</v>
      </c>
      <c r="BD9" s="26">
        <f t="shared" si="107"/>
        <v>0.56134846461949262</v>
      </c>
      <c r="BE9" s="120">
        <f>BB9+AY9+1</f>
        <v>179212</v>
      </c>
      <c r="BF9" s="119">
        <f t="shared" si="108"/>
        <v>0.10230583743594895</v>
      </c>
      <c r="BG9" s="26">
        <f t="shared" si="109"/>
        <v>0.88382458058276914</v>
      </c>
      <c r="BH9" s="120">
        <v>48414</v>
      </c>
      <c r="BI9" s="119">
        <f t="shared" si="110"/>
        <v>0.12628102967528554</v>
      </c>
      <c r="BJ9" s="119">
        <f t="shared" si="111"/>
        <v>0.29928613600987597</v>
      </c>
      <c r="BK9" s="120">
        <v>56501</v>
      </c>
      <c r="BL9" s="119">
        <f t="shared" si="112"/>
        <v>0.11073286218804262</v>
      </c>
      <c r="BM9" s="119">
        <f t="shared" si="113"/>
        <v>0.21463121009523389</v>
      </c>
      <c r="BN9" s="120">
        <f>BK9+BH9-1</f>
        <v>104914</v>
      </c>
      <c r="BO9" s="119">
        <f t="shared" si="114"/>
        <v>0.11740218815638256</v>
      </c>
      <c r="BP9" s="119">
        <f t="shared" si="115"/>
        <v>0.25228580295542979</v>
      </c>
      <c r="BQ9" s="120">
        <v>62336</v>
      </c>
      <c r="BR9" s="119">
        <f t="shared" si="116"/>
        <v>0.13882244997038087</v>
      </c>
      <c r="BS9" s="119">
        <f t="shared" si="117"/>
        <v>0.28121017799153214</v>
      </c>
      <c r="BT9" s="120">
        <f>BN9+BQ9</f>
        <v>167250</v>
      </c>
      <c r="BU9" s="119">
        <f t="shared" si="118"/>
        <v>0.12456578861129813</v>
      </c>
      <c r="BV9" s="119">
        <f t="shared" si="119"/>
        <v>0.26290275082494552</v>
      </c>
      <c r="BW9" s="120">
        <v>59735</v>
      </c>
      <c r="BX9" s="119">
        <f t="shared" si="120"/>
        <v>9.7326633624327502E-2</v>
      </c>
      <c r="BY9" s="119">
        <f t="shared" si="121"/>
        <v>0.27698918294924968</v>
      </c>
      <c r="BZ9" s="120">
        <f>BT9+BW9</f>
        <v>226985</v>
      </c>
      <c r="CA9" s="119">
        <f t="shared" si="122"/>
        <v>0.11602047002129398</v>
      </c>
      <c r="CB9" s="119">
        <f t="shared" si="123"/>
        <v>0.26657255094524923</v>
      </c>
      <c r="CC9" s="120">
        <v>56485</v>
      </c>
      <c r="CD9" s="119">
        <f t="shared" si="124"/>
        <v>0.15575666829358414</v>
      </c>
      <c r="CE9" s="119">
        <f t="shared" si="125"/>
        <v>0.16670797703143725</v>
      </c>
      <c r="CF9" s="120">
        <v>58682</v>
      </c>
      <c r="CG9" s="119">
        <f t="shared" si="126"/>
        <v>0.10578441481652401</v>
      </c>
      <c r="CH9" s="119">
        <f t="shared" si="127"/>
        <v>3.8601086706429921E-2</v>
      </c>
      <c r="CI9" s="120">
        <f>CF9+CC9+1</f>
        <v>115168</v>
      </c>
      <c r="CJ9" s="119">
        <f t="shared" si="128"/>
        <v>0.12554012513898274</v>
      </c>
      <c r="CK9" s="119">
        <f t="shared" si="129"/>
        <v>9.7737194273404882E-2</v>
      </c>
      <c r="CL9" s="120">
        <v>65581</v>
      </c>
      <c r="CM9" s="119">
        <f t="shared" si="130"/>
        <v>0.134737945061944</v>
      </c>
      <c r="CN9" s="119">
        <f t="shared" si="131"/>
        <v>5.2056596509240327E-2</v>
      </c>
      <c r="CO9" s="121">
        <f>CI9+CL9</f>
        <v>180749</v>
      </c>
      <c r="CP9" s="119">
        <f t="shared" si="132"/>
        <v>0.1287284267411907</v>
      </c>
      <c r="CQ9" s="119">
        <f t="shared" si="133"/>
        <v>8.0711509715994056E-2</v>
      </c>
      <c r="CR9" s="122">
        <v>66911</v>
      </c>
      <c r="CS9" s="119">
        <f t="shared" si="134"/>
        <v>9.3994869763351682E-2</v>
      </c>
      <c r="CT9" s="119">
        <f t="shared" si="135"/>
        <v>0.12013057671381944</v>
      </c>
      <c r="CU9" s="122">
        <f>CO9+CR9</f>
        <v>247660</v>
      </c>
      <c r="CV9" s="119">
        <f t="shared" si="136"/>
        <v>0.11704335793357934</v>
      </c>
      <c r="CW9" s="119">
        <f t="shared" si="137"/>
        <v>9.1085314007533613E-2</v>
      </c>
      <c r="CX9" s="120">
        <v>65488</v>
      </c>
      <c r="CY9" s="119">
        <f t="shared" si="138"/>
        <v>0.14875319707618015</v>
      </c>
      <c r="CZ9" s="119">
        <f t="shared" si="139"/>
        <v>0.15938744799504301</v>
      </c>
      <c r="DA9" s="120">
        <v>71990</v>
      </c>
      <c r="DB9" s="119">
        <f t="shared" si="140"/>
        <v>0.11427183649238321</v>
      </c>
      <c r="DC9" s="119">
        <f t="shared" si="141"/>
        <v>0.22678163661770223</v>
      </c>
      <c r="DD9" s="120">
        <f>SUM(CX9,DA9)</f>
        <v>137478</v>
      </c>
      <c r="DE9" s="119">
        <f t="shared" si="142"/>
        <v>0.12845589987245792</v>
      </c>
      <c r="DF9" s="119">
        <f t="shared" si="143"/>
        <v>0.19371700472353437</v>
      </c>
      <c r="DG9" s="120">
        <v>75133</v>
      </c>
      <c r="DH9" s="119">
        <f t="shared" si="144"/>
        <v>0.13210430073495796</v>
      </c>
      <c r="DI9" s="119">
        <f t="shared" si="145"/>
        <v>0.14565194187340835</v>
      </c>
      <c r="DJ9" s="120">
        <f>SUM(DD9,DG9)</f>
        <v>212611</v>
      </c>
      <c r="DK9" s="119">
        <f t="shared" si="146"/>
        <v>0.12972192986470202</v>
      </c>
      <c r="DL9" s="119">
        <f t="shared" si="147"/>
        <v>0.17627760042932472</v>
      </c>
      <c r="DM9" s="120">
        <v>76043</v>
      </c>
      <c r="DN9" s="119">
        <f t="shared" si="148"/>
        <v>9.231779669762015E-2</v>
      </c>
      <c r="DO9" s="119">
        <f t="shared" si="149"/>
        <v>0.13647980152740202</v>
      </c>
      <c r="DP9" s="120">
        <v>288655</v>
      </c>
      <c r="DQ9" s="119">
        <f t="shared" si="150"/>
        <v>0.11721159402164225</v>
      </c>
      <c r="DR9" s="119">
        <f t="shared" si="151"/>
        <v>0.16552935476055874</v>
      </c>
      <c r="DS9" s="120">
        <v>81060</v>
      </c>
      <c r="DT9" s="123">
        <f>DS9/$DS$8</f>
        <v>0.15657505113896469</v>
      </c>
      <c r="DU9" s="123">
        <f t="shared" si="209"/>
        <v>0.23778402150012212</v>
      </c>
      <c r="DV9" s="120">
        <v>86766</v>
      </c>
      <c r="DW9" s="123">
        <f>(DV9/$DV$8)</f>
        <v>0.11574154975702092</v>
      </c>
      <c r="DX9" s="123">
        <f t="shared" si="210"/>
        <v>0.20525072926795396</v>
      </c>
      <c r="DY9" s="120">
        <f>(DS9+DV9)</f>
        <v>167826</v>
      </c>
      <c r="DZ9" s="123">
        <f>(DY9/$DY$8)</f>
        <v>0.13242172705466482</v>
      </c>
      <c r="EA9" s="123">
        <f t="shared" si="211"/>
        <v>0.22074804696024097</v>
      </c>
      <c r="EB9" s="120">
        <v>84846</v>
      </c>
      <c r="EC9" s="123">
        <f>(EB9/$EB$8)</f>
        <v>0.12912661549044555</v>
      </c>
      <c r="ED9" s="123">
        <f t="shared" si="212"/>
        <v>0.12927741471790033</v>
      </c>
      <c r="EE9" s="120">
        <f>(DY9+EB9)</f>
        <v>252672</v>
      </c>
      <c r="EF9" s="123">
        <f>(EE9/$EE$8)</f>
        <v>0.13129665003148974</v>
      </c>
      <c r="EG9" s="123">
        <f t="shared" si="213"/>
        <v>0.1884239291475982</v>
      </c>
      <c r="EH9" s="120">
        <v>89254</v>
      </c>
      <c r="EI9" s="123">
        <f>(EH9/$EH$8)</f>
        <v>9.180810138040281E-2</v>
      </c>
      <c r="EJ9" s="123">
        <f t="shared" si="214"/>
        <v>0.17373065239404029</v>
      </c>
      <c r="EK9" s="120">
        <v>341926</v>
      </c>
      <c r="EL9" s="123">
        <f t="shared" si="215"/>
        <v>0.11804322076408445</v>
      </c>
      <c r="EM9" s="123">
        <f t="shared" ref="EM9:EM36" si="232">(EK9/DP9)-1</f>
        <v>0.18454902911780491</v>
      </c>
      <c r="EN9" s="120">
        <v>90077</v>
      </c>
      <c r="EO9" s="123">
        <f t="shared" si="216"/>
        <v>0.14547342615217401</v>
      </c>
      <c r="EP9" s="123">
        <f t="shared" si="217"/>
        <v>0.11123858869972869</v>
      </c>
      <c r="EQ9" s="120">
        <v>100285</v>
      </c>
      <c r="ER9" s="123">
        <f t="shared" ref="ER9:ER40" si="233">(EQ9/$EQ$8)</f>
        <v>0.11726921813115303</v>
      </c>
      <c r="ES9" s="123">
        <f t="shared" si="218"/>
        <v>0.155809879445866</v>
      </c>
      <c r="ET9" s="120">
        <f>(EN9+EQ9)+1</f>
        <v>190363</v>
      </c>
      <c r="EU9" s="123">
        <f t="shared" ref="EU9:EU40" si="234">(ET9/$ET$8)</f>
        <v>0.12911498350479664</v>
      </c>
      <c r="EV9" s="123">
        <f t="shared" si="10"/>
        <v>0.13428789341341618</v>
      </c>
      <c r="EW9" s="120">
        <v>101798</v>
      </c>
      <c r="EX9" s="123">
        <f t="shared" ref="EX9:EX36" si="235">EW9/$EW$8</f>
        <v>0.126731070886139</v>
      </c>
      <c r="EY9" s="123">
        <f t="shared" si="153"/>
        <v>0.19979727977747919</v>
      </c>
      <c r="EZ9" s="120">
        <f>(ET9+EW9)-1</f>
        <v>292160</v>
      </c>
      <c r="FA9" s="123">
        <f t="shared" ref="FA9:FA36" si="236">(EZ9/$EZ$8)</f>
        <v>0.1282737443192021</v>
      </c>
      <c r="FB9" s="123">
        <f t="shared" si="154"/>
        <v>0.15628166160081047</v>
      </c>
      <c r="FC9" s="120">
        <v>108388</v>
      </c>
      <c r="FD9" s="123">
        <f t="shared" si="219"/>
        <v>9.1518256705045542E-2</v>
      </c>
      <c r="FE9" s="123">
        <f t="shared" si="155"/>
        <v>0.2143769466914649</v>
      </c>
      <c r="FF9" s="120">
        <f>(EZ9+FC9)</f>
        <v>400548</v>
      </c>
      <c r="FG9" s="123">
        <f t="shared" si="220"/>
        <v>0.11569977700493363</v>
      </c>
      <c r="FH9" s="123">
        <f t="shared" si="156"/>
        <v>0.17144645332615838</v>
      </c>
      <c r="FI9" s="120">
        <v>107065</v>
      </c>
      <c r="FJ9" s="123">
        <f t="shared" si="157"/>
        <v>0.14732411304870716</v>
      </c>
      <c r="FK9" s="123">
        <f>(FI9/EN9)-1</f>
        <v>0.1885942027376577</v>
      </c>
      <c r="FL9" s="120">
        <v>113199</v>
      </c>
      <c r="FM9" s="123">
        <f t="shared" si="222"/>
        <v>0.1195087008803815</v>
      </c>
      <c r="FN9" s="123">
        <f t="shared" si="223"/>
        <v>0.12877299695866773</v>
      </c>
      <c r="FO9" s="120">
        <f t="shared" ref="FO9:FO35" si="237">FI9+FL9</f>
        <v>220264</v>
      </c>
      <c r="FP9" s="123">
        <f t="shared" si="158"/>
        <v>0.13158463834296932</v>
      </c>
      <c r="FQ9" s="123">
        <f t="shared" si="159"/>
        <v>0.15707359098144069</v>
      </c>
      <c r="FR9" s="120">
        <v>114517</v>
      </c>
      <c r="FS9" s="123">
        <f t="shared" si="11"/>
        <v>0.12627051177724999</v>
      </c>
      <c r="FT9" s="123">
        <f t="shared" si="160"/>
        <v>0.12494351558969718</v>
      </c>
      <c r="FU9" s="120">
        <v>334781</v>
      </c>
      <c r="FV9" s="123">
        <f t="shared" ref="FV9:FV20" si="238">(FU9/$FU$8)</f>
        <v>0.12971724066316084</v>
      </c>
      <c r="FW9" s="123">
        <f t="shared" si="224"/>
        <v>0.14588239320920038</v>
      </c>
      <c r="FX9" s="120">
        <v>121738</v>
      </c>
      <c r="FY9" s="123">
        <f t="shared" si="12"/>
        <v>9.1329483237981207E-2</v>
      </c>
      <c r="FZ9" s="123">
        <f t="shared" si="161"/>
        <v>0.12316861645200583</v>
      </c>
      <c r="GA9" s="120">
        <v>456519</v>
      </c>
      <c r="GB9" s="123">
        <f t="shared" si="162"/>
        <v>0.11664314737893443</v>
      </c>
      <c r="GC9" s="123">
        <f t="shared" si="163"/>
        <v>0.13973606159561403</v>
      </c>
      <c r="GD9" s="120">
        <v>124384</v>
      </c>
      <c r="GE9" s="123">
        <f t="shared" si="13"/>
        <v>0.15270909349847026</v>
      </c>
      <c r="GF9" s="123">
        <f t="shared" si="164"/>
        <v>0.16176154672395282</v>
      </c>
      <c r="GG9" s="120">
        <v>144029</v>
      </c>
      <c r="GH9" s="123">
        <f t="shared" si="225"/>
        <v>0.12961596403161274</v>
      </c>
      <c r="GI9" s="123">
        <f t="shared" si="165"/>
        <v>0.27235222925997582</v>
      </c>
      <c r="GJ9" s="120">
        <f t="shared" si="166"/>
        <v>268413</v>
      </c>
      <c r="GK9" s="123">
        <f t="shared" si="167"/>
        <v>0.13938362602130949</v>
      </c>
      <c r="GL9" s="123">
        <f t="shared" si="226"/>
        <v>0.21859677477935557</v>
      </c>
      <c r="GM9" s="120">
        <v>157202</v>
      </c>
      <c r="GN9" s="123">
        <f t="shared" si="168"/>
        <v>0.1501321279621351</v>
      </c>
      <c r="GO9" s="123">
        <f t="shared" si="169"/>
        <v>0.37273941860160509</v>
      </c>
      <c r="GP9" s="120">
        <f t="shared" si="170"/>
        <v>425615</v>
      </c>
      <c r="GQ9" s="123">
        <f t="shared" si="171"/>
        <v>0.14316949816755556</v>
      </c>
      <c r="GR9" s="123">
        <f t="shared" si="172"/>
        <v>0.27132364142528997</v>
      </c>
      <c r="GS9" s="120">
        <v>148592</v>
      </c>
      <c r="GT9" s="123">
        <f t="shared" si="173"/>
        <v>8.8987529696545775E-2</v>
      </c>
      <c r="GU9" s="123">
        <f t="shared" si="227"/>
        <v>0.22058847689299976</v>
      </c>
      <c r="GV9" s="120">
        <f t="shared" ref="GV9:GV25" si="239">GP9+GS9</f>
        <v>574207</v>
      </c>
      <c r="GW9" s="123">
        <f t="shared" si="174"/>
        <v>0.12368188424964223</v>
      </c>
      <c r="GX9" s="123">
        <f t="shared" si="228"/>
        <v>0.25779430867061404</v>
      </c>
      <c r="GY9" s="120">
        <v>163052</v>
      </c>
      <c r="GZ9" s="123">
        <f t="shared" si="175"/>
        <v>0.16129469430554114</v>
      </c>
      <c r="HA9" s="123">
        <f t="shared" si="229"/>
        <v>0.31087599691278611</v>
      </c>
      <c r="HB9" s="120">
        <v>182175</v>
      </c>
      <c r="HC9" s="123">
        <f t="shared" si="176"/>
        <v>0.13452333657749888</v>
      </c>
      <c r="HD9" s="123">
        <f t="shared" si="14"/>
        <v>0.26484944004332456</v>
      </c>
      <c r="HE9" s="120">
        <f t="shared" si="177"/>
        <v>345227</v>
      </c>
      <c r="HF9" s="123">
        <f t="shared" ref="HF9:HF40" si="240">(HE9/$HE$8)</f>
        <v>0.1459658934997406</v>
      </c>
      <c r="HG9" s="123">
        <f t="shared" si="15"/>
        <v>0.28617838927324679</v>
      </c>
      <c r="HH9" s="120">
        <v>172240</v>
      </c>
      <c r="HI9" s="123">
        <f t="shared" si="16"/>
        <v>0.13797246798812848</v>
      </c>
      <c r="HJ9" s="123">
        <f t="shared" ref="HJ9:HJ36" si="241">(HH9/GM9)-1</f>
        <v>9.5660360555209323E-2</v>
      </c>
      <c r="HK9" s="120">
        <f t="shared" si="178"/>
        <v>517467</v>
      </c>
      <c r="HL9" s="123">
        <f t="shared" si="17"/>
        <v>0.14320437383734155</v>
      </c>
      <c r="HM9" s="123">
        <f t="shared" si="230"/>
        <v>0.21581006308518269</v>
      </c>
      <c r="HN9" s="120">
        <v>176879</v>
      </c>
      <c r="HO9" s="123">
        <f t="shared" si="179"/>
        <v>9.6267700610547929E-2</v>
      </c>
      <c r="HP9" s="123">
        <f t="shared" si="180"/>
        <v>0.19036691073543666</v>
      </c>
      <c r="HQ9" s="120">
        <f t="shared" si="231"/>
        <v>694346</v>
      </c>
      <c r="HR9" s="123">
        <f t="shared" si="181"/>
        <v>0.12738302195693443</v>
      </c>
      <c r="HS9" s="123">
        <f t="shared" si="182"/>
        <v>0.2092259411675581</v>
      </c>
      <c r="HT9" s="120">
        <v>171221</v>
      </c>
      <c r="HU9" s="123">
        <f t="shared" ref="HU9:HU25" si="242">HT9/HT$8</f>
        <v>0.15910543902883245</v>
      </c>
      <c r="HV9" s="123">
        <f t="shared" si="183"/>
        <v>5.01005814096116E-2</v>
      </c>
      <c r="HW9" s="120">
        <v>182892</v>
      </c>
      <c r="HX9" s="123">
        <f t="shared" si="184"/>
        <v>0.12486754858372569</v>
      </c>
      <c r="HY9" s="123">
        <f t="shared" si="18"/>
        <v>3.9357760395224428E-3</v>
      </c>
      <c r="HZ9" s="120">
        <f t="shared" si="185"/>
        <v>354113</v>
      </c>
      <c r="IA9" s="123">
        <f t="shared" si="186"/>
        <v>0.13936869597250667</v>
      </c>
      <c r="IB9" s="123">
        <f t="shared" si="19"/>
        <v>2.5739585837724066E-2</v>
      </c>
      <c r="IC9" s="120">
        <v>185411</v>
      </c>
      <c r="ID9" s="123">
        <f t="shared" si="187"/>
        <v>0.14710278653589523</v>
      </c>
      <c r="IE9" s="123">
        <f t="shared" si="20"/>
        <v>7.6468880631676672E-2</v>
      </c>
      <c r="IF9" s="120">
        <f t="shared" si="188"/>
        <v>539524</v>
      </c>
      <c r="IG9" s="123">
        <f t="shared" si="189"/>
        <v>0.14193316205652134</v>
      </c>
      <c r="IH9" s="123">
        <f t="shared" si="21"/>
        <v>4.2624940334359485E-2</v>
      </c>
      <c r="II9" s="120">
        <v>190298</v>
      </c>
      <c r="IJ9" s="123">
        <f t="shared" si="22"/>
        <v>9.9087531189729364E-2</v>
      </c>
      <c r="IK9" s="123">
        <f t="shared" si="23"/>
        <v>7.5865422124729243E-2</v>
      </c>
      <c r="IL9" s="120">
        <v>729821</v>
      </c>
      <c r="IM9" s="123">
        <f t="shared" si="24"/>
        <v>0.12755190407422057</v>
      </c>
      <c r="IN9" s="123">
        <f t="shared" si="25"/>
        <v>5.1091242694564443E-2</v>
      </c>
      <c r="IO9" s="120">
        <v>180640</v>
      </c>
      <c r="IP9" s="123">
        <f t="shared" si="26"/>
        <v>0.14630464151151226</v>
      </c>
      <c r="IQ9" s="123">
        <f t="shared" si="27"/>
        <v>5.5010775547391866E-2</v>
      </c>
      <c r="IR9" s="120">
        <v>200676</v>
      </c>
      <c r="IS9" s="123">
        <f t="shared" si="190"/>
        <v>0.12307967832311942</v>
      </c>
      <c r="IT9" s="123">
        <f t="shared" si="28"/>
        <v>9.7237714060757208E-2</v>
      </c>
      <c r="IU9" s="120">
        <f t="shared" si="191"/>
        <v>381316</v>
      </c>
      <c r="IV9" s="123">
        <f t="shared" si="192"/>
        <v>0.13308808644603753</v>
      </c>
      <c r="IW9" s="123">
        <f t="shared" si="29"/>
        <v>7.6820111094481058E-2</v>
      </c>
      <c r="IX9" s="120">
        <v>233799</v>
      </c>
      <c r="IY9" s="123">
        <f t="shared" si="193"/>
        <v>0.15456988003263303</v>
      </c>
      <c r="IZ9" s="123">
        <f t="shared" si="30"/>
        <v>0.26097696468925791</v>
      </c>
      <c r="JA9" s="120">
        <f t="shared" si="194"/>
        <v>615115</v>
      </c>
      <c r="JB9" s="123">
        <f t="shared" si="31"/>
        <v>0.14051042118290855</v>
      </c>
      <c r="JC9" s="123">
        <f t="shared" si="32"/>
        <v>0.14010683491373888</v>
      </c>
      <c r="JD9" s="120">
        <v>229117</v>
      </c>
      <c r="JE9" s="123">
        <f t="shared" si="195"/>
        <v>0.10309648998472341</v>
      </c>
      <c r="JF9" s="123">
        <f t="shared" si="33"/>
        <v>0.20399058319057484</v>
      </c>
      <c r="JG9" s="120">
        <f t="shared" si="196"/>
        <v>844232</v>
      </c>
      <c r="JH9" s="123">
        <f t="shared" si="34"/>
        <v>0.12791252460389455</v>
      </c>
      <c r="JI9" s="123">
        <f t="shared" si="35"/>
        <v>0.15676583710252245</v>
      </c>
      <c r="JJ9" s="120">
        <v>229466</v>
      </c>
      <c r="JK9" s="123">
        <f t="shared" si="197"/>
        <v>0.16404266742158921</v>
      </c>
      <c r="JL9" s="123">
        <f t="shared" si="64"/>
        <v>0.27029450841452607</v>
      </c>
      <c r="JM9" s="120">
        <v>240066</v>
      </c>
      <c r="JN9" s="123">
        <f t="shared" si="198"/>
        <v>0.13486619053263679</v>
      </c>
      <c r="JO9" s="123">
        <f t="shared" si="65"/>
        <v>0.19628655145607854</v>
      </c>
      <c r="JP9" s="120">
        <f t="shared" si="36"/>
        <v>469532</v>
      </c>
      <c r="JQ9" s="123">
        <f t="shared" si="199"/>
        <v>0.14770498765276752</v>
      </c>
      <c r="JR9" s="123">
        <f t="shared" si="66"/>
        <v>0.23134618007112207</v>
      </c>
      <c r="JS9" s="120">
        <v>231827</v>
      </c>
      <c r="JT9" s="123">
        <f t="shared" si="37"/>
        <v>0.13545561365406517</v>
      </c>
      <c r="JU9" s="123">
        <f t="shared" si="38"/>
        <v>-8.4345955286379004E-3</v>
      </c>
      <c r="JV9" s="120">
        <f t="shared" si="39"/>
        <v>701359</v>
      </c>
      <c r="JW9" s="123">
        <f t="shared" si="40"/>
        <v>0.14341807709162055</v>
      </c>
      <c r="JX9" s="123">
        <f t="shared" si="41"/>
        <v>0.14020792859871722</v>
      </c>
      <c r="JY9" s="120">
        <v>239749</v>
      </c>
      <c r="JZ9" s="123">
        <f t="shared" si="42"/>
        <v>9.2384481346156372E-2</v>
      </c>
      <c r="KA9" s="123">
        <f t="shared" si="43"/>
        <v>4.6404238882317816E-2</v>
      </c>
      <c r="KB9" s="120">
        <f t="shared" si="44"/>
        <v>941108</v>
      </c>
      <c r="KC9" s="123">
        <f t="shared" si="45"/>
        <v>0.12572525864569223</v>
      </c>
      <c r="KD9" s="123">
        <f t="shared" si="46"/>
        <v>0.11475044774422205</v>
      </c>
      <c r="KE9" s="120">
        <v>241780</v>
      </c>
      <c r="KF9" s="123">
        <f t="shared" si="47"/>
        <v>0.1465034111214861</v>
      </c>
      <c r="KG9" s="123">
        <f t="shared" si="48"/>
        <v>5.3663723601753643E-2</v>
      </c>
      <c r="KH9" s="120">
        <v>272630</v>
      </c>
      <c r="KI9" s="123">
        <f t="shared" si="200"/>
        <v>0.13500718539507789</v>
      </c>
      <c r="KJ9" s="123">
        <f t="shared" si="67"/>
        <v>0.13564603067489767</v>
      </c>
      <c r="KK9" s="120">
        <f t="shared" si="49"/>
        <v>514410</v>
      </c>
      <c r="KL9" s="123">
        <f t="shared" si="201"/>
        <v>0.14017725101513442</v>
      </c>
      <c r="KM9" s="123">
        <f t="shared" si="68"/>
        <v>9.5580279938321633E-2</v>
      </c>
      <c r="KN9" s="120">
        <v>293831</v>
      </c>
      <c r="KO9" s="123">
        <f t="shared" si="50"/>
        <v>0.15209242185510402</v>
      </c>
      <c r="KP9" s="123">
        <f t="shared" si="51"/>
        <v>0.267458061399233</v>
      </c>
      <c r="KQ9" s="120">
        <f t="shared" si="52"/>
        <v>808241</v>
      </c>
      <c r="KR9" s="123">
        <f t="shared" si="53"/>
        <v>0.14428662345904367</v>
      </c>
      <c r="KS9" s="123">
        <f t="shared" si="54"/>
        <v>0.15239271186368186</v>
      </c>
      <c r="KT9" s="120">
        <v>305503</v>
      </c>
      <c r="KU9" s="123">
        <f t="shared" si="55"/>
        <v>0.10633373917268639</v>
      </c>
      <c r="KV9" s="123">
        <f t="shared" si="56"/>
        <v>0.27426183216614053</v>
      </c>
      <c r="KW9" s="120">
        <f t="shared" si="57"/>
        <v>1113744</v>
      </c>
      <c r="KX9" s="123">
        <f t="shared" si="58"/>
        <v>0.1314199818211704</v>
      </c>
      <c r="KY9" s="123">
        <f t="shared" si="59"/>
        <v>0.18343909519417534</v>
      </c>
      <c r="KZ9" s="120">
        <v>313581</v>
      </c>
      <c r="LA9" s="123">
        <f t="shared" si="60"/>
        <v>0.20228683120669858</v>
      </c>
      <c r="LB9" s="123">
        <f t="shared" si="61"/>
        <v>0.29696831830589798</v>
      </c>
      <c r="LC9" s="120">
        <v>268870</v>
      </c>
      <c r="LD9" s="123">
        <f t="shared" si="202"/>
        <v>0.49824326027173871</v>
      </c>
      <c r="LE9" s="123">
        <f t="shared" si="69"/>
        <v>-1.3791585665554051E-2</v>
      </c>
      <c r="LF9" s="120">
        <f t="shared" si="70"/>
        <v>582451</v>
      </c>
      <c r="LG9" s="123">
        <f t="shared" si="203"/>
        <v>0.27870922607540566</v>
      </c>
      <c r="LH9" s="123">
        <f t="shared" si="71"/>
        <v>0.13226997919947125</v>
      </c>
      <c r="LI9" s="120">
        <v>138842</v>
      </c>
      <c r="LJ9" s="123">
        <f t="shared" si="204"/>
        <v>8.4085666337814322E-2</v>
      </c>
      <c r="LK9" s="123">
        <f t="shared" si="72"/>
        <v>-0.52747667877113036</v>
      </c>
      <c r="LL9" s="120">
        <f t="shared" si="62"/>
        <v>721293</v>
      </c>
      <c r="LM9" s="123">
        <f t="shared" si="205"/>
        <v>0.19280686808626435</v>
      </c>
      <c r="LN9" s="123">
        <f t="shared" si="73"/>
        <v>-0.10757682423930481</v>
      </c>
      <c r="LO9" s="120">
        <v>155316</v>
      </c>
      <c r="LP9" s="123">
        <f t="shared" si="206"/>
        <v>5.3198463603052241E-2</v>
      </c>
      <c r="LQ9" s="123">
        <f t="shared" si="74"/>
        <v>-0.49160564708038879</v>
      </c>
      <c r="LR9" s="120">
        <f t="shared" si="63"/>
        <v>876609</v>
      </c>
      <c r="LS9" s="123">
        <f t="shared" si="207"/>
        <v>0.13161168914797244</v>
      </c>
      <c r="LT9" s="123">
        <f t="shared" si="75"/>
        <v>-0.21291697194328318</v>
      </c>
    </row>
    <row r="10" spans="1:332" ht="16.5" customHeight="1">
      <c r="A10" s="114"/>
      <c r="B10" s="109" t="s">
        <v>151</v>
      </c>
      <c r="C10" s="109" t="s">
        <v>145</v>
      </c>
      <c r="D10" s="110">
        <f>SUM(D11:D12)</f>
        <v>-99565</v>
      </c>
      <c r="E10" s="111">
        <f t="shared" si="76"/>
        <v>-0.50282306122861242</v>
      </c>
      <c r="F10" s="110">
        <f>SUM(F11:F12)</f>
        <v>-142704</v>
      </c>
      <c r="G10" s="111">
        <f t="shared" si="77"/>
        <v>-0.51121269004255809</v>
      </c>
      <c r="H10" s="110">
        <f>SUM(H11:H12)</f>
        <v>-242269</v>
      </c>
      <c r="I10" s="111">
        <f t="shared" si="78"/>
        <v>-0.50773115935954394</v>
      </c>
      <c r="J10" s="110">
        <f>SUM(J11:J12)</f>
        <v>-139259</v>
      </c>
      <c r="K10" s="111">
        <f t="shared" si="79"/>
        <v>-0.54523066562782629</v>
      </c>
      <c r="L10" s="110">
        <f>SUM(L11:L12)</f>
        <v>-381528</v>
      </c>
      <c r="M10" s="111">
        <f t="shared" si="80"/>
        <v>-0.52080543508974531</v>
      </c>
      <c r="N10" s="110">
        <f>SUM(N11:N12)</f>
        <v>-212094</v>
      </c>
      <c r="O10" s="111">
        <f t="shared" si="81"/>
        <v>-0.52516583676066764</v>
      </c>
      <c r="P10" s="110">
        <f>SUM(P11:P12)</f>
        <v>-593622</v>
      </c>
      <c r="Q10" s="111">
        <f t="shared" si="82"/>
        <v>-0.52235501577742305</v>
      </c>
      <c r="R10" s="110">
        <f>SUM(R11:R12)</f>
        <v>-124610</v>
      </c>
      <c r="S10" s="111">
        <f t="shared" si="83"/>
        <v>-0.49646407298950179</v>
      </c>
      <c r="T10" s="22">
        <f t="shared" si="208"/>
        <v>0.25154421734545274</v>
      </c>
      <c r="U10" s="110">
        <f>SUM(U11:U12)</f>
        <v>-188701</v>
      </c>
      <c r="V10" s="112">
        <f t="shared" si="84"/>
        <v>-0.52752656488933747</v>
      </c>
      <c r="W10" s="22">
        <f t="shared" si="85"/>
        <v>0.32232453189819488</v>
      </c>
      <c r="X10" s="110">
        <f>SUM(X11:X12)</f>
        <v>-313311</v>
      </c>
      <c r="Y10" s="112">
        <f t="shared" si="86"/>
        <v>-0.51471815529387022</v>
      </c>
      <c r="Z10" s="22">
        <f t="shared" si="87"/>
        <v>0.29323603102336659</v>
      </c>
      <c r="AA10" s="110">
        <f>SUM(AA11:AA12)</f>
        <v>-173772</v>
      </c>
      <c r="AB10" s="112">
        <f t="shared" si="88"/>
        <v>-0.54215142127086047</v>
      </c>
      <c r="AC10" s="22">
        <f t="shared" si="89"/>
        <v>0.24783317415750505</v>
      </c>
      <c r="AD10" s="110">
        <f>SUM(AD11:AD12)</f>
        <v>-487083</v>
      </c>
      <c r="AE10" s="112">
        <f t="shared" si="90"/>
        <v>-0.52418085139583759</v>
      </c>
      <c r="AF10" s="22">
        <f t="shared" si="91"/>
        <v>0.27666383594388888</v>
      </c>
      <c r="AG10" s="110">
        <f>SUM(AG11:AG12)</f>
        <v>-264700</v>
      </c>
      <c r="AH10" s="112">
        <f t="shared" si="92"/>
        <v>-0.5222153610625021</v>
      </c>
      <c r="AI10" s="22">
        <f t="shared" si="93"/>
        <v>0.24803153318811466</v>
      </c>
      <c r="AJ10" s="110">
        <f>SUM(AJ11:AJ12)</f>
        <v>-751783</v>
      </c>
      <c r="AK10" s="112">
        <f t="shared" si="94"/>
        <v>-0.52348748872819184</v>
      </c>
      <c r="AL10" s="22">
        <f t="shared" si="95"/>
        <v>0.26643385858340829</v>
      </c>
      <c r="AM10" s="110">
        <f>SUM(AM11:AM12)</f>
        <v>-157849</v>
      </c>
      <c r="AN10" s="112">
        <f t="shared" si="96"/>
        <v>-0.50870951004373288</v>
      </c>
      <c r="AO10" s="112">
        <f t="shared" si="97"/>
        <v>0.26674424203514957</v>
      </c>
      <c r="AP10" s="110">
        <f>SUM(AP11:AP12)</f>
        <v>-232147</v>
      </c>
      <c r="AQ10" s="112">
        <f t="shared" si="98"/>
        <v>-0.52243589022290737</v>
      </c>
      <c r="AR10" s="112">
        <f t="shared" si="99"/>
        <v>0.23023725364465486</v>
      </c>
      <c r="AS10" s="110">
        <f>SUM(AS11:AS12)</f>
        <v>-389998</v>
      </c>
      <c r="AT10" s="112">
        <f t="shared" si="100"/>
        <v>-0.51679458502507125</v>
      </c>
      <c r="AU10" s="112">
        <f t="shared" si="101"/>
        <v>0.24476319056783824</v>
      </c>
      <c r="AV10" s="110">
        <f>SUM(AV11:AV12)</f>
        <v>-205376</v>
      </c>
      <c r="AW10" s="112">
        <f t="shared" si="102"/>
        <v>-0.51946843114341934</v>
      </c>
      <c r="AX10" s="112">
        <f t="shared" si="103"/>
        <v>0.18187049697304514</v>
      </c>
      <c r="AY10" s="110">
        <f>SUM(AY11:AY12)</f>
        <v>-595372</v>
      </c>
      <c r="AZ10" s="112">
        <f t="shared" si="104"/>
        <v>-0.51771208150218351</v>
      </c>
      <c r="BA10" s="112">
        <f t="shared" si="105"/>
        <v>0.22232145240133616</v>
      </c>
      <c r="BB10" s="110">
        <f>SUM(BB11:BB12)</f>
        <v>-311340</v>
      </c>
      <c r="BC10" s="112">
        <f t="shared" si="106"/>
        <v>-0.51741501889576913</v>
      </c>
      <c r="BD10" s="112">
        <f t="shared" si="107"/>
        <v>0.17619947109935774</v>
      </c>
      <c r="BE10" s="110">
        <f>SUM(BE11:BE12)</f>
        <v>-906712</v>
      </c>
      <c r="BF10" s="112">
        <f t="shared" si="108"/>
        <v>-0.51761003991487264</v>
      </c>
      <c r="BG10" s="112">
        <f t="shared" si="109"/>
        <v>0.2060820742155649</v>
      </c>
      <c r="BH10" s="110">
        <f>SUM(BH11:BH12)</f>
        <v>-191412</v>
      </c>
      <c r="BI10" s="112">
        <f t="shared" si="110"/>
        <v>-0.49927096402292226</v>
      </c>
      <c r="BJ10" s="112">
        <f t="shared" si="111"/>
        <v>0.21262725769564583</v>
      </c>
      <c r="BK10" s="110">
        <f>SUM(BK11:BK12)</f>
        <v>-261493</v>
      </c>
      <c r="BL10" s="112">
        <f t="shared" si="112"/>
        <v>-0.51248417430023951</v>
      </c>
      <c r="BM10" s="112">
        <f t="shared" si="113"/>
        <v>0.12641128250634304</v>
      </c>
      <c r="BN10" s="110">
        <f>SUM(BN11:BN12)</f>
        <v>-452907</v>
      </c>
      <c r="BO10" s="112">
        <f t="shared" si="114"/>
        <v>-0.50681770622931888</v>
      </c>
      <c r="BP10" s="112">
        <f t="shared" si="115"/>
        <v>0.16130595541515591</v>
      </c>
      <c r="BQ10" s="110">
        <f>SUM(BQ11:BQ12)</f>
        <v>-237809</v>
      </c>
      <c r="BR10" s="112">
        <f t="shared" si="116"/>
        <v>-0.52960132194889475</v>
      </c>
      <c r="BS10" s="112">
        <f t="shared" si="117"/>
        <v>0.15792010751012775</v>
      </c>
      <c r="BT10" s="110">
        <f>SUM(BT11:BT12)</f>
        <v>-690716</v>
      </c>
      <c r="BU10" s="112">
        <f t="shared" si="118"/>
        <v>-0.51443697008335665</v>
      </c>
      <c r="BV10" s="112">
        <f t="shared" si="119"/>
        <v>0.16014189447941796</v>
      </c>
      <c r="BW10" s="110">
        <f>SUM(BW11:BW12)</f>
        <v>-331822</v>
      </c>
      <c r="BX10" s="112">
        <f t="shared" si="120"/>
        <v>-0.5406397961411501</v>
      </c>
      <c r="BY10" s="112">
        <f t="shared" si="121"/>
        <v>6.5786599858675299E-2</v>
      </c>
      <c r="BZ10" s="110">
        <f>SUM(BZ11:BZ12)</f>
        <v>-1022536</v>
      </c>
      <c r="CA10" s="112">
        <f t="shared" si="122"/>
        <v>-0.52265615496043283</v>
      </c>
      <c r="CB10" s="112">
        <f t="shared" si="123"/>
        <v>0.12774067178993986</v>
      </c>
      <c r="CC10" s="110">
        <f>SUM(CC11:CC12)</f>
        <v>-187017.72030465715</v>
      </c>
      <c r="CD10" s="112">
        <f t="shared" si="124"/>
        <v>-0.51569898250004043</v>
      </c>
      <c r="CE10" s="112">
        <f t="shared" si="125"/>
        <v>-2.2957179776308956E-2</v>
      </c>
      <c r="CF10" s="110">
        <f>SUM(CF11:CF12)</f>
        <v>-287563.05903341208</v>
      </c>
      <c r="CG10" s="112">
        <f t="shared" si="126"/>
        <v>-0.5183819556712288</v>
      </c>
      <c r="CH10" s="112">
        <f t="shared" si="127"/>
        <v>9.9696967159396577E-2</v>
      </c>
      <c r="CI10" s="110">
        <f>SUM(CI11:CI12)</f>
        <v>-474578.77933806926</v>
      </c>
      <c r="CJ10" s="112">
        <f t="shared" si="128"/>
        <v>-0.51731973591975977</v>
      </c>
      <c r="CK10" s="112">
        <f t="shared" si="129"/>
        <v>4.7850396081467572E-2</v>
      </c>
      <c r="CL10" s="110">
        <f>SUM(CL11:CL12)</f>
        <v>-256866.35944959146</v>
      </c>
      <c r="CM10" s="112">
        <f t="shared" si="130"/>
        <v>-0.52773890955887548</v>
      </c>
      <c r="CN10" s="112">
        <f t="shared" si="131"/>
        <v>8.0137250691064921E-2</v>
      </c>
      <c r="CO10" s="110">
        <f>SUM(CO11:CO12)</f>
        <v>-731445.13878766075</v>
      </c>
      <c r="CP10" s="112">
        <f t="shared" si="132"/>
        <v>-0.52093113634724086</v>
      </c>
      <c r="CQ10" s="112">
        <f t="shared" si="133"/>
        <v>5.8966548896595361E-2</v>
      </c>
      <c r="CR10" s="110">
        <f>SUM(CR11:CR12)</f>
        <v>-353463.76353854465</v>
      </c>
      <c r="CS10" s="112">
        <f t="shared" si="134"/>
        <v>-0.49653689856480454</v>
      </c>
      <c r="CT10" s="112">
        <f t="shared" si="135"/>
        <v>6.5221002641610903E-2</v>
      </c>
      <c r="CU10" s="110">
        <f>SUM(CU11:CU12)</f>
        <v>-1084911</v>
      </c>
      <c r="CV10" s="112">
        <f t="shared" si="136"/>
        <v>-0.51272561777871872</v>
      </c>
      <c r="CW10" s="112">
        <f t="shared" si="137"/>
        <v>6.100029730004608E-2</v>
      </c>
      <c r="CX10" s="110">
        <f>SUM(CX11:CX12)</f>
        <v>-212790</v>
      </c>
      <c r="CY10" s="112">
        <f t="shared" si="138"/>
        <v>-0.48334340346079235</v>
      </c>
      <c r="CZ10" s="112">
        <f t="shared" si="139"/>
        <v>0.13780661882392264</v>
      </c>
      <c r="DA10" s="110">
        <f>SUM(DA11:DA12)</f>
        <v>-296956</v>
      </c>
      <c r="DB10" s="112">
        <f t="shared" si="140"/>
        <v>-0.47136696037549863</v>
      </c>
      <c r="DC10" s="112">
        <f t="shared" si="141"/>
        <v>3.2663934645014825E-2</v>
      </c>
      <c r="DD10" s="110">
        <f>SUM(DD11:DD12)</f>
        <v>-509746</v>
      </c>
      <c r="DE10" s="112">
        <f t="shared" si="142"/>
        <v>-0.47629352431942518</v>
      </c>
      <c r="DF10" s="112">
        <f t="shared" si="143"/>
        <v>7.4101966191958857E-2</v>
      </c>
      <c r="DG10" s="110">
        <f>SUM(DG11:DG12)</f>
        <v>-289980</v>
      </c>
      <c r="DH10" s="112">
        <f t="shared" si="144"/>
        <v>-0.50986390969511552</v>
      </c>
      <c r="DI10" s="112">
        <f t="shared" si="145"/>
        <v>0.12891388588744679</v>
      </c>
      <c r="DJ10" s="110">
        <f>SUM(DJ11:DJ12)</f>
        <v>-799726</v>
      </c>
      <c r="DK10" s="112">
        <f t="shared" si="146"/>
        <v>-0.48794276910874174</v>
      </c>
      <c r="DL10" s="112">
        <f t="shared" si="147"/>
        <v>9.3350625483015648E-2</v>
      </c>
      <c r="DM10" s="110">
        <f>SUM(DM11:DM12)</f>
        <v>-409732</v>
      </c>
      <c r="DN10" s="112">
        <f t="shared" si="148"/>
        <v>-0.49742324048905623</v>
      </c>
      <c r="DO10" s="112">
        <f t="shared" si="149"/>
        <v>0.15919096174994296</v>
      </c>
      <c r="DP10" s="110">
        <f>SUM(DP11:DP12)</f>
        <v>-1209458</v>
      </c>
      <c r="DQ10" s="112">
        <f t="shared" si="150"/>
        <v>-0.49111395985597822</v>
      </c>
      <c r="DR10" s="112">
        <f t="shared" si="151"/>
        <v>0.11479927846616</v>
      </c>
      <c r="DS10" s="110">
        <f>SUM(DS11:DS12)</f>
        <v>-249547</v>
      </c>
      <c r="DT10" s="113">
        <f>DS10/$DS$8</f>
        <v>-0.48202361567450314</v>
      </c>
      <c r="DU10" s="113">
        <f>(DS10/CX10)-1</f>
        <v>0.17273838056299629</v>
      </c>
      <c r="DV10" s="110">
        <f t="shared" ref="DV10:EN10" si="243">SUM(DV11:DV12)</f>
        <v>-351223</v>
      </c>
      <c r="DW10" s="113">
        <f>(DV10/$DV$8)</f>
        <v>-0.46851409918989184</v>
      </c>
      <c r="DX10" s="113">
        <f>(DV10/DA10)-1</f>
        <v>0.18274424493864405</v>
      </c>
      <c r="DY10" s="110">
        <f t="shared" si="243"/>
        <v>-600770</v>
      </c>
      <c r="DZ10" s="113">
        <f>(DY10/$DY$8)</f>
        <v>-0.47403263476833735</v>
      </c>
      <c r="EA10" s="113">
        <f>(DY10/DD10)-1</f>
        <v>0.17856736492292247</v>
      </c>
      <c r="EB10" s="110">
        <f t="shared" si="243"/>
        <v>-332789</v>
      </c>
      <c r="EC10" s="193">
        <f t="shared" si="243"/>
        <v>-0.50646957125203174</v>
      </c>
      <c r="ED10" s="193">
        <f t="shared" si="243"/>
        <v>-0.13765692664438856</v>
      </c>
      <c r="EE10" s="110">
        <f t="shared" si="243"/>
        <v>-933559</v>
      </c>
      <c r="EF10" s="193">
        <f t="shared" si="243"/>
        <v>-0.48510784458407552</v>
      </c>
      <c r="EG10" s="193">
        <f t="shared" si="243"/>
        <v>1.0006982573394385E-2</v>
      </c>
      <c r="EH10" s="110">
        <f t="shared" si="243"/>
        <v>-462569</v>
      </c>
      <c r="EI10" s="193">
        <f t="shared" si="243"/>
        <v>-0.47580592071427102</v>
      </c>
      <c r="EJ10" s="193">
        <f t="shared" si="243"/>
        <v>-0.2813922336171214</v>
      </c>
      <c r="EK10" s="110">
        <f t="shared" si="243"/>
        <v>-1396129</v>
      </c>
      <c r="EL10" s="193">
        <f t="shared" si="243"/>
        <v>-0.48198605476664674</v>
      </c>
      <c r="EM10" s="193">
        <f t="shared" si="243"/>
        <v>-6.6015444288831104E-2</v>
      </c>
      <c r="EN10" s="110">
        <f t="shared" si="243"/>
        <v>-294842</v>
      </c>
      <c r="EO10" s="113">
        <f t="shared" si="216"/>
        <v>-0.47616678967504794</v>
      </c>
      <c r="EP10" s="113">
        <f t="shared" si="217"/>
        <v>0.18150889411613846</v>
      </c>
      <c r="EQ10" s="110">
        <f>SUM(EQ11:EQ12)</f>
        <v>-393264</v>
      </c>
      <c r="ER10" s="113">
        <f t="shared" si="233"/>
        <v>-0.45986699704970596</v>
      </c>
      <c r="ES10" s="113">
        <f t="shared" si="218"/>
        <v>0.11969888076805901</v>
      </c>
      <c r="ET10" s="110">
        <f>SUM(ET11:ET12)</f>
        <v>-688106</v>
      </c>
      <c r="EU10" s="113">
        <f t="shared" si="234"/>
        <v>-0.46671251682076659</v>
      </c>
      <c r="EV10" s="113">
        <f t="shared" si="10"/>
        <v>0.14537343742197506</v>
      </c>
      <c r="EW10" s="110">
        <f>SUM(EW11:EW12)</f>
        <v>-394603</v>
      </c>
      <c r="EX10" s="113">
        <f t="shared" si="235"/>
        <v>-0.49125189851355727</v>
      </c>
      <c r="EY10" s="113">
        <f t="shared" si="153"/>
        <v>0.18574532211100725</v>
      </c>
      <c r="EZ10" s="110">
        <f>SUM(EZ11:EZ12)</f>
        <v>-1082709</v>
      </c>
      <c r="FA10" s="113">
        <f t="shared" si="236"/>
        <v>-0.47536670809864118</v>
      </c>
      <c r="FB10" s="113">
        <f t="shared" si="154"/>
        <v>0.15976494254781959</v>
      </c>
      <c r="FC10" s="110">
        <f>SUM(FC11:FC12)</f>
        <v>-551537</v>
      </c>
      <c r="FD10" s="113">
        <f t="shared" si="219"/>
        <v>-0.46569458563983746</v>
      </c>
      <c r="FE10" s="113">
        <f t="shared" si="155"/>
        <v>0.19233454900782365</v>
      </c>
      <c r="FF10" s="110">
        <f>SUM(FF11:FF12)</f>
        <v>-1634246</v>
      </c>
      <c r="FG10" s="113">
        <f t="shared" si="220"/>
        <v>-0.47205802493385252</v>
      </c>
      <c r="FH10" s="113">
        <f t="shared" si="156"/>
        <v>0.17055515643611718</v>
      </c>
      <c r="FI10" s="110">
        <f>SUM(FI11:FI12)</f>
        <v>-357946</v>
      </c>
      <c r="FJ10" s="113">
        <f t="shared" si="157"/>
        <v>-0.4925426326935276</v>
      </c>
      <c r="FK10" s="113">
        <f t="shared" si="221"/>
        <v>0.21402649554676745</v>
      </c>
      <c r="FL10" s="110">
        <f>SUM(FL11:FL12)</f>
        <v>-444292</v>
      </c>
      <c r="FM10" s="113">
        <f t="shared" si="222"/>
        <v>-0.46905679141641232</v>
      </c>
      <c r="FN10" s="113">
        <f t="shared" si="223"/>
        <v>0.12975507547093046</v>
      </c>
      <c r="FO10" s="110">
        <f t="shared" si="237"/>
        <v>-802238</v>
      </c>
      <c r="FP10" s="113">
        <f t="shared" si="158"/>
        <v>-0.47925306493565456</v>
      </c>
      <c r="FQ10" s="113">
        <f t="shared" si="159"/>
        <v>0.16586398025885551</v>
      </c>
      <c r="FR10" s="110">
        <f>SUM(FR11:FR12)</f>
        <v>-457550</v>
      </c>
      <c r="FS10" s="123">
        <f t="shared" ref="FS10:FS29" si="244">(FR10/$FR$8)</f>
        <v>-0.50451088190994109</v>
      </c>
      <c r="FT10" s="113">
        <f t="shared" si="160"/>
        <v>0.15951982118737051</v>
      </c>
      <c r="FU10" s="110">
        <f>FO10+FR10</f>
        <v>-1259788</v>
      </c>
      <c r="FV10" s="123">
        <f t="shared" si="238"/>
        <v>-0.48812872648257244</v>
      </c>
      <c r="FW10" s="113">
        <f t="shared" si="224"/>
        <v>0.16355179461886804</v>
      </c>
      <c r="FX10" s="110">
        <f>SUM(FX11:FX12)</f>
        <v>-607795</v>
      </c>
      <c r="FY10" s="123">
        <f t="shared" si="12"/>
        <v>-0.45597597516493443</v>
      </c>
      <c r="FZ10" s="113">
        <f t="shared" si="161"/>
        <v>0.10200222287897276</v>
      </c>
      <c r="GA10" s="110">
        <f>SUM(GA11:GA12)</f>
        <v>-1867584</v>
      </c>
      <c r="GB10" s="123">
        <f t="shared" si="162"/>
        <v>-0.47717811472148997</v>
      </c>
      <c r="GC10" s="113">
        <f t="shared" si="163"/>
        <v>0.14278021791088968</v>
      </c>
      <c r="GD10" s="110">
        <f>SUM(GD11:GD12)</f>
        <v>-396542</v>
      </c>
      <c r="GE10" s="123">
        <f t="shared" si="13"/>
        <v>-0.48684372068811416</v>
      </c>
      <c r="GF10" s="113">
        <f t="shared" si="164"/>
        <v>0.10782632017119909</v>
      </c>
      <c r="GG10" s="110">
        <f>SUM(GG11:GG12)</f>
        <v>-512788</v>
      </c>
      <c r="GH10" s="123">
        <f t="shared" si="225"/>
        <v>-0.46147311280257886</v>
      </c>
      <c r="GI10" s="113">
        <f t="shared" si="165"/>
        <v>0.15416887992581452</v>
      </c>
      <c r="GJ10" s="110">
        <f t="shared" si="166"/>
        <v>-909330</v>
      </c>
      <c r="GK10" s="123">
        <f t="shared" si="167"/>
        <v>-0.47220407599467001</v>
      </c>
      <c r="GL10" s="113">
        <f t="shared" si="226"/>
        <v>0.13349155736826224</v>
      </c>
      <c r="GM10" s="110">
        <f>SUM(GM11:GM12)</f>
        <v>-507600</v>
      </c>
      <c r="GN10" s="123">
        <f t="shared" si="168"/>
        <v>-0.48477161965865428</v>
      </c>
      <c r="GO10" s="113">
        <f t="shared" si="169"/>
        <v>0.10938695224565631</v>
      </c>
      <c r="GP10" s="110">
        <f t="shared" si="170"/>
        <v>-1416930</v>
      </c>
      <c r="GQ10" s="123">
        <f t="shared" si="171"/>
        <v>-0.47663065690484241</v>
      </c>
      <c r="GR10" s="113">
        <f t="shared" si="172"/>
        <v>0.12473686048763755</v>
      </c>
      <c r="GS10" s="110">
        <f>SUM(GS11:GS12)</f>
        <v>-748983</v>
      </c>
      <c r="GT10" s="123">
        <f t="shared" si="173"/>
        <v>-0.44854465216638811</v>
      </c>
      <c r="GU10" s="113">
        <f t="shared" si="227"/>
        <v>0.23229542855732599</v>
      </c>
      <c r="GV10" s="110">
        <f t="shared" si="239"/>
        <v>-2165913</v>
      </c>
      <c r="GW10" s="123">
        <f t="shared" si="174"/>
        <v>-0.46652897119121733</v>
      </c>
      <c r="GX10" s="113">
        <f t="shared" si="228"/>
        <v>0.15974060604502927</v>
      </c>
      <c r="GY10" s="110">
        <f>SUM(GY11:GY12)</f>
        <v>-472175</v>
      </c>
      <c r="GZ10" s="123">
        <f t="shared" si="175"/>
        <v>-0.46708609697347397</v>
      </c>
      <c r="HA10" s="113">
        <f t="shared" si="229"/>
        <v>0.19073137271713958</v>
      </c>
      <c r="HB10" s="110">
        <f>SUM(HB11:HB12)</f>
        <v>-618617</v>
      </c>
      <c r="HC10" s="113">
        <f t="shared" si="176"/>
        <v>-0.45680484645841979</v>
      </c>
      <c r="HD10" s="113">
        <f t="shared" si="14"/>
        <v>0.20637963446882535</v>
      </c>
      <c r="HE10" s="110">
        <f t="shared" si="177"/>
        <v>-1090792</v>
      </c>
      <c r="HF10" s="123">
        <f t="shared" si="240"/>
        <v>-0.4611992367409532</v>
      </c>
      <c r="HG10" s="113">
        <f t="shared" si="15"/>
        <v>0.19955571684646944</v>
      </c>
      <c r="HH10" s="110">
        <f>SUM(HH11:HH12)</f>
        <v>-596697</v>
      </c>
      <c r="HI10" s="113">
        <f t="shared" si="16"/>
        <v>-0.47798280150436773</v>
      </c>
      <c r="HJ10" s="113">
        <f t="shared" si="241"/>
        <v>0.1755260047281324</v>
      </c>
      <c r="HK10" s="110">
        <f t="shared" si="178"/>
        <v>-1687489</v>
      </c>
      <c r="HL10" s="113">
        <f t="shared" si="17"/>
        <v>-0.46699751984648619</v>
      </c>
      <c r="HM10" s="113">
        <f t="shared" si="230"/>
        <v>0.19094732979046247</v>
      </c>
      <c r="HN10" s="110">
        <f>SUM(HN11:HN12)</f>
        <v>-823863</v>
      </c>
      <c r="HO10" s="113">
        <f t="shared" si="179"/>
        <v>-0.44839351549990586</v>
      </c>
      <c r="HP10" s="113">
        <f t="shared" si="180"/>
        <v>9.9975566868673926E-2</v>
      </c>
      <c r="HQ10" s="110">
        <f>SUM(HQ11:HQ12)</f>
        <v>-2511352</v>
      </c>
      <c r="HR10" s="113">
        <f t="shared" si="181"/>
        <v>-0.46072650660850817</v>
      </c>
      <c r="HS10" s="113">
        <f t="shared" si="182"/>
        <v>0.1594888622026831</v>
      </c>
      <c r="HT10" s="110">
        <f>SUM(HT11:HT12)</f>
        <v>-488424</v>
      </c>
      <c r="HU10" s="123">
        <f t="shared" si="242"/>
        <v>-0.45386322327412215</v>
      </c>
      <c r="HV10" s="113">
        <f t="shared" si="183"/>
        <v>3.4413088367660327E-2</v>
      </c>
      <c r="HW10" s="110">
        <f>SUM(HW11:HW12)</f>
        <v>-637075</v>
      </c>
      <c r="HX10" s="113">
        <f t="shared" si="184"/>
        <v>-0.43495611352042207</v>
      </c>
      <c r="HY10" s="113">
        <f t="shared" si="18"/>
        <v>2.9837524671969984E-2</v>
      </c>
      <c r="HZ10" s="110">
        <f t="shared" si="185"/>
        <v>-1125499</v>
      </c>
      <c r="IA10" s="123">
        <f t="shared" si="186"/>
        <v>-0.44296404805347533</v>
      </c>
      <c r="IB10" s="113">
        <f t="shared" si="19"/>
        <v>3.1818165149726019E-2</v>
      </c>
      <c r="IC10" s="110">
        <f>SUM(IC11:IC12)</f>
        <v>-594216</v>
      </c>
      <c r="ID10" s="113">
        <f t="shared" si="187"/>
        <v>-0.47144360045635653</v>
      </c>
      <c r="IE10" s="113">
        <f t="shared" si="20"/>
        <v>-4.1578891799355366E-3</v>
      </c>
      <c r="IF10" s="110">
        <f t="shared" si="188"/>
        <v>-1719715</v>
      </c>
      <c r="IG10" s="123">
        <f t="shared" si="189"/>
        <v>-0.45240728454346907</v>
      </c>
      <c r="IH10" s="113">
        <f t="shared" si="21"/>
        <v>1.9097013373124305E-2</v>
      </c>
      <c r="II10" s="110">
        <f>SUM(II11:II12)</f>
        <v>-855368</v>
      </c>
      <c r="IJ10" s="113">
        <f t="shared" si="22"/>
        <v>-0.44538725251288203</v>
      </c>
      <c r="IK10" s="113">
        <f t="shared" si="23"/>
        <v>3.8240581261690387E-2</v>
      </c>
      <c r="IL10" s="110">
        <f>IL11+IL12</f>
        <v>-2575083</v>
      </c>
      <c r="IM10" s="123">
        <f t="shared" si="24"/>
        <v>-0.45005109444529012</v>
      </c>
      <c r="IN10" s="113">
        <f t="shared" si="25"/>
        <v>2.537716735845863E-2</v>
      </c>
      <c r="IO10" s="110">
        <f>SUM(IO11:IO12)</f>
        <v>-569556</v>
      </c>
      <c r="IP10" s="123">
        <f t="shared" si="26"/>
        <v>-0.46129697963203542</v>
      </c>
      <c r="IQ10" s="113">
        <f t="shared" si="27"/>
        <v>0.16610977347550482</v>
      </c>
      <c r="IR10" s="110">
        <f>SUM(IR11:IR12)</f>
        <v>-712039</v>
      </c>
      <c r="IS10" s="113">
        <f t="shared" si="190"/>
        <v>-0.43671157026009899</v>
      </c>
      <c r="IT10" s="113">
        <f t="shared" si="28"/>
        <v>0.1176690342581328</v>
      </c>
      <c r="IU10" s="110">
        <f t="shared" si="191"/>
        <v>-1281595</v>
      </c>
      <c r="IV10" s="123">
        <f t="shared" si="192"/>
        <v>-0.44730623983470269</v>
      </c>
      <c r="IW10" s="113">
        <f t="shared" si="29"/>
        <v>0.13869048306573362</v>
      </c>
      <c r="IX10" s="110">
        <f>SUM(IX11:IX12)</f>
        <v>-702553</v>
      </c>
      <c r="IY10" s="113">
        <f t="shared" si="193"/>
        <v>-0.46447389820558016</v>
      </c>
      <c r="IZ10" s="113">
        <f t="shared" si="30"/>
        <v>0.18231922398589062</v>
      </c>
      <c r="JA10" s="110">
        <f t="shared" si="194"/>
        <v>-1984148</v>
      </c>
      <c r="JB10" s="123">
        <f t="shared" si="31"/>
        <v>-0.45323796553364104</v>
      </c>
      <c r="JC10" s="113">
        <f t="shared" si="32"/>
        <v>0.15376559488054697</v>
      </c>
      <c r="JD10" s="110">
        <f>SUM(JD11:JD12)</f>
        <v>-960765</v>
      </c>
      <c r="JE10" s="113">
        <f t="shared" si="195"/>
        <v>-0.43231841897446627</v>
      </c>
      <c r="JF10" s="113">
        <f t="shared" si="33"/>
        <v>0.12321831071538791</v>
      </c>
      <c r="JG10" s="110">
        <f t="shared" si="196"/>
        <v>-2944913</v>
      </c>
      <c r="JH10" s="123">
        <f t="shared" si="34"/>
        <v>-0.44619400421783212</v>
      </c>
      <c r="JI10" s="113">
        <f t="shared" si="35"/>
        <v>0.14361867170883413</v>
      </c>
      <c r="JJ10" s="110">
        <f>SUM(JJ11:JJ12)</f>
        <v>-619422</v>
      </c>
      <c r="JK10" s="113">
        <f t="shared" si="197"/>
        <v>-0.442817834187268</v>
      </c>
      <c r="JL10" s="113">
        <f t="shared" si="64"/>
        <v>8.7552409245096108E-2</v>
      </c>
      <c r="JM10" s="110">
        <f>SUM(JM11:JM12)</f>
        <v>-765024</v>
      </c>
      <c r="JN10" s="113">
        <f t="shared" si="198"/>
        <v>-0.42978127909008329</v>
      </c>
      <c r="JO10" s="113">
        <f t="shared" si="65"/>
        <v>7.4413058835260504E-2</v>
      </c>
      <c r="JP10" s="110">
        <f t="shared" si="36"/>
        <v>-1384446</v>
      </c>
      <c r="JQ10" s="113">
        <f t="shared" si="199"/>
        <v>-0.4355178759614326</v>
      </c>
      <c r="JR10" s="113">
        <f t="shared" si="66"/>
        <v>8.0252341808449534E-2</v>
      </c>
      <c r="JS10" s="110">
        <f>SUM(JS11:JS12)</f>
        <v>-789181</v>
      </c>
      <c r="JT10" s="113">
        <f t="shared" si="37"/>
        <v>-0.46111538621096243</v>
      </c>
      <c r="JU10" s="113">
        <f t="shared" si="38"/>
        <v>0.12330457630954528</v>
      </c>
      <c r="JV10" s="110">
        <f t="shared" si="39"/>
        <v>-2173627</v>
      </c>
      <c r="JW10" s="113">
        <f t="shared" si="40"/>
        <v>-0.44447623065281533</v>
      </c>
      <c r="JX10" s="113">
        <f t="shared" si="41"/>
        <v>9.549640450208341E-2</v>
      </c>
      <c r="JY10" s="110">
        <f>SUM(JY12,JY11)</f>
        <v>-1110890</v>
      </c>
      <c r="JZ10" s="113">
        <f t="shared" si="42"/>
        <v>-0.42806850699119348</v>
      </c>
      <c r="KA10" s="113">
        <f t="shared" si="43"/>
        <v>0.15625569207870815</v>
      </c>
      <c r="KB10" s="110">
        <f t="shared" si="44"/>
        <v>-3284517</v>
      </c>
      <c r="KC10" s="113">
        <f t="shared" si="45"/>
        <v>-0.43878784300119977</v>
      </c>
      <c r="KD10" s="113">
        <f t="shared" si="46"/>
        <v>0.11531885661817509</v>
      </c>
      <c r="KE10" s="110">
        <f>SUM(KE11:KE12)</f>
        <v>-744031</v>
      </c>
      <c r="KF10" s="113">
        <f t="shared" si="47"/>
        <v>-0.45083579899135751</v>
      </c>
      <c r="KG10" s="113">
        <f t="shared" si="48"/>
        <v>0.20116980023312059</v>
      </c>
      <c r="KH10" s="110">
        <f>SUM(KH11:KH12)</f>
        <v>-885492</v>
      </c>
      <c r="KI10" s="113">
        <f t="shared" si="200"/>
        <v>-0.438498267284812</v>
      </c>
      <c r="KJ10" s="113">
        <f t="shared" si="67"/>
        <v>0.15746956958213065</v>
      </c>
      <c r="KK10" s="110">
        <f t="shared" si="49"/>
        <v>-1629523</v>
      </c>
      <c r="KL10" s="113">
        <f t="shared" si="201"/>
        <v>-0.44404668378518092</v>
      </c>
      <c r="KM10" s="113">
        <f t="shared" si="68"/>
        <v>0.17702171121156041</v>
      </c>
      <c r="KN10" s="110">
        <f>SUM(KN11:KN12)</f>
        <v>-889197</v>
      </c>
      <c r="KO10" s="113">
        <f t="shared" si="50"/>
        <v>-0.46026500007246662</v>
      </c>
      <c r="KP10" s="113">
        <f t="shared" si="51"/>
        <v>0.12673391782113352</v>
      </c>
      <c r="KQ10" s="110">
        <f t="shared" si="52"/>
        <v>-2518720</v>
      </c>
      <c r="KR10" s="113">
        <f t="shared" si="53"/>
        <v>-0.44964014970629113</v>
      </c>
      <c r="KS10" s="113">
        <f t="shared" si="54"/>
        <v>0.15876367012371495</v>
      </c>
      <c r="KT10" s="110">
        <f>SUM(KT11:KT12)</f>
        <v>-1211801</v>
      </c>
      <c r="KU10" s="113">
        <f t="shared" si="55"/>
        <v>-0.421780903831388</v>
      </c>
      <c r="KV10" s="113">
        <f t="shared" si="56"/>
        <v>9.0837976757374816E-2</v>
      </c>
      <c r="KW10" s="110">
        <f t="shared" si="57"/>
        <v>-3730521</v>
      </c>
      <c r="KX10" s="113">
        <f t="shared" si="58"/>
        <v>-0.44019541474835727</v>
      </c>
      <c r="KY10" s="113">
        <f t="shared" si="59"/>
        <v>0.13578982845879617</v>
      </c>
      <c r="KZ10" s="110">
        <f>SUM(KZ11:KZ12)</f>
        <v>-696674</v>
      </c>
      <c r="LA10" s="113">
        <f t="shared" si="60"/>
        <v>-0.44941490665600126</v>
      </c>
      <c r="LB10" s="113">
        <f t="shared" si="61"/>
        <v>-6.3649229669193841E-2</v>
      </c>
      <c r="LC10" s="110">
        <f>SUM(LC11:LC12)</f>
        <v>-304643</v>
      </c>
      <c r="LD10" s="113">
        <f t="shared" si="202"/>
        <v>-0.56453424159989329</v>
      </c>
      <c r="LE10" s="113">
        <f t="shared" si="69"/>
        <v>-0.65596188333717298</v>
      </c>
      <c r="LF10" s="110">
        <f t="shared" si="70"/>
        <v>-1001317</v>
      </c>
      <c r="LG10" s="113">
        <f t="shared" si="203"/>
        <v>-0.47914122583040802</v>
      </c>
      <c r="LH10" s="113">
        <f t="shared" si="71"/>
        <v>-0.38551527041962586</v>
      </c>
      <c r="LI10" s="110">
        <f>SUM(LI11:LI12)</f>
        <v>-869361</v>
      </c>
      <c r="LJ10" s="113">
        <f t="shared" si="204"/>
        <v>-0.52650350018804537</v>
      </c>
      <c r="LK10" s="113">
        <f t="shared" si="72"/>
        <v>-2.2307767570066028E-2</v>
      </c>
      <c r="LL10" s="110">
        <f t="shared" si="62"/>
        <v>-1870678</v>
      </c>
      <c r="LM10" s="113">
        <f t="shared" si="205"/>
        <v>-0.50004584319808565</v>
      </c>
      <c r="LN10" s="113">
        <f t="shared" si="73"/>
        <v>-0.25729021090077497</v>
      </c>
      <c r="LO10" s="110">
        <f>SUM(LO11:LO12)</f>
        <v>-1352892</v>
      </c>
      <c r="LP10" s="113">
        <f t="shared" si="206"/>
        <v>-0.46338932126027294</v>
      </c>
      <c r="LQ10" s="113">
        <f t="shared" si="74"/>
        <v>0.11643083311533831</v>
      </c>
      <c r="LR10" s="110">
        <f t="shared" si="63"/>
        <v>-3223570</v>
      </c>
      <c r="LS10" s="113">
        <f t="shared" si="207"/>
        <v>-0.48397802530743989</v>
      </c>
      <c r="LT10" s="113">
        <f t="shared" si="75"/>
        <v>-0.13589281497142092</v>
      </c>
    </row>
    <row r="11" spans="1:332" ht="16.5" customHeight="1">
      <c r="A11" s="103"/>
      <c r="B11" s="115" t="s">
        <v>161</v>
      </c>
      <c r="C11" s="116" t="s">
        <v>154</v>
      </c>
      <c r="D11" s="121">
        <v>-97245</v>
      </c>
      <c r="E11" s="118">
        <f t="shared" si="76"/>
        <v>-0.49110659960002423</v>
      </c>
      <c r="F11" s="121">
        <v>-144161</v>
      </c>
      <c r="G11" s="118">
        <f t="shared" si="77"/>
        <v>-0.5164321435224325</v>
      </c>
      <c r="H11" s="117">
        <f>SUM(D11,F11)</f>
        <v>-241406</v>
      </c>
      <c r="I11" s="118">
        <f t="shared" si="78"/>
        <v>-0.50592254170508844</v>
      </c>
      <c r="J11" s="121">
        <v>-133558</v>
      </c>
      <c r="K11" s="118">
        <f t="shared" si="79"/>
        <v>-0.52290995368285875</v>
      </c>
      <c r="L11" s="117">
        <f>SUM(H11,J11)</f>
        <v>-374964</v>
      </c>
      <c r="M11" s="118">
        <f t="shared" si="80"/>
        <v>-0.51184523590140507</v>
      </c>
      <c r="N11" s="121">
        <v>-211853</v>
      </c>
      <c r="O11" s="118">
        <f t="shared" si="81"/>
        <v>-0.52456909679320363</v>
      </c>
      <c r="P11" s="117">
        <f>SUM(L11,N11)</f>
        <v>-586817</v>
      </c>
      <c r="Q11" s="118">
        <f t="shared" si="82"/>
        <v>-0.5163669865561924</v>
      </c>
      <c r="R11" s="121">
        <v>-123931</v>
      </c>
      <c r="S11" s="118">
        <f t="shared" si="83"/>
        <v>-0.49375883981752622</v>
      </c>
      <c r="T11" s="26">
        <f t="shared" si="208"/>
        <v>0.27442027867756691</v>
      </c>
      <c r="U11" s="121">
        <v>-181548</v>
      </c>
      <c r="V11" s="119">
        <f t="shared" si="84"/>
        <v>-0.50752986366012598</v>
      </c>
      <c r="W11" s="26">
        <f t="shared" si="85"/>
        <v>0.25934198569654754</v>
      </c>
      <c r="X11" s="117">
        <f>R11+U11</f>
        <v>-305479</v>
      </c>
      <c r="Y11" s="119">
        <f t="shared" si="86"/>
        <v>-0.50185147460834822</v>
      </c>
      <c r="Z11" s="26">
        <f t="shared" si="87"/>
        <v>0.26541593829482291</v>
      </c>
      <c r="AA11" s="121">
        <v>-167080</v>
      </c>
      <c r="AB11" s="119">
        <f t="shared" si="88"/>
        <v>-0.52127304436811084</v>
      </c>
      <c r="AC11" s="26">
        <f t="shared" si="89"/>
        <v>0.25099207834798354</v>
      </c>
      <c r="AD11" s="117">
        <f>X11+AA11</f>
        <v>-472559</v>
      </c>
      <c r="AE11" s="119">
        <f t="shared" si="90"/>
        <v>-0.50855065554487766</v>
      </c>
      <c r="AF11" s="26">
        <f t="shared" si="91"/>
        <v>0.26027832005205842</v>
      </c>
      <c r="AG11" s="121">
        <v>-261808</v>
      </c>
      <c r="AH11" s="119">
        <f t="shared" si="92"/>
        <v>-0.51650985738213662</v>
      </c>
      <c r="AI11" s="26">
        <f t="shared" si="93"/>
        <v>0.23580029548790904</v>
      </c>
      <c r="AJ11" s="117">
        <f>AD11+AG11</f>
        <v>-734367</v>
      </c>
      <c r="AK11" s="119">
        <f t="shared" si="94"/>
        <v>-0.51136024176505201</v>
      </c>
      <c r="AL11" s="26">
        <f t="shared" si="95"/>
        <v>0.25144124999786976</v>
      </c>
      <c r="AM11" s="120">
        <v>-154823</v>
      </c>
      <c r="AN11" s="119">
        <f t="shared" si="96"/>
        <v>-0.49895743700309064</v>
      </c>
      <c r="AO11" s="119">
        <f t="shared" si="97"/>
        <v>0.24926773769274835</v>
      </c>
      <c r="AP11" s="120">
        <v>-229283</v>
      </c>
      <c r="AQ11" s="119">
        <f t="shared" si="98"/>
        <v>-0.51599059310686279</v>
      </c>
      <c r="AR11" s="119">
        <f t="shared" si="99"/>
        <v>0.26293321876308196</v>
      </c>
      <c r="AS11" s="120">
        <f>AM11+AP11-1</f>
        <v>-384107</v>
      </c>
      <c r="AT11" s="119">
        <f t="shared" si="100"/>
        <v>-0.50898829653030286</v>
      </c>
      <c r="AU11" s="119">
        <f t="shared" si="101"/>
        <v>0.25739248851803231</v>
      </c>
      <c r="AV11" s="120">
        <v>-201887</v>
      </c>
      <c r="AW11" s="119">
        <f t="shared" si="102"/>
        <v>-0.51064351802669983</v>
      </c>
      <c r="AX11" s="119">
        <f t="shared" si="103"/>
        <v>0.20832535312425193</v>
      </c>
      <c r="AY11" s="120">
        <f>AV11+AS11+1</f>
        <v>-585993</v>
      </c>
      <c r="AZ11" s="119">
        <f t="shared" si="104"/>
        <v>-0.50955647187927711</v>
      </c>
      <c r="BA11" s="119">
        <f t="shared" si="105"/>
        <v>0.24004198417552103</v>
      </c>
      <c r="BB11" s="120">
        <v>-306237</v>
      </c>
      <c r="BC11" s="119">
        <f t="shared" si="106"/>
        <v>-0.50893435839141665</v>
      </c>
      <c r="BD11" s="26">
        <f t="shared" si="107"/>
        <v>0.16970069669376042</v>
      </c>
      <c r="BE11" s="120">
        <v>-892230</v>
      </c>
      <c r="BF11" s="119">
        <f t="shared" si="108"/>
        <v>-0.50934277467734712</v>
      </c>
      <c r="BG11" s="26">
        <f t="shared" si="109"/>
        <v>0.21496472472210759</v>
      </c>
      <c r="BH11" s="120">
        <v>-187638</v>
      </c>
      <c r="BI11" s="119">
        <f t="shared" si="110"/>
        <v>-0.48942702206409777</v>
      </c>
      <c r="BJ11" s="119">
        <f t="shared" si="111"/>
        <v>0.211951712600841</v>
      </c>
      <c r="BK11" s="120">
        <v>-257102</v>
      </c>
      <c r="BL11" s="119">
        <f t="shared" si="112"/>
        <v>-0.50387852134068667</v>
      </c>
      <c r="BM11" s="119">
        <f t="shared" si="113"/>
        <v>0.12133040827274599</v>
      </c>
      <c r="BN11" s="120">
        <f>BK11+BH11-1</f>
        <v>-444741</v>
      </c>
      <c r="BO11" s="119">
        <f t="shared" si="114"/>
        <v>-0.49767968586516326</v>
      </c>
      <c r="BP11" s="119">
        <f t="shared" si="115"/>
        <v>0.15785705545590156</v>
      </c>
      <c r="BQ11" s="120">
        <v>-230654</v>
      </c>
      <c r="BR11" s="119">
        <f t="shared" si="116"/>
        <v>-0.51366711652124342</v>
      </c>
      <c r="BS11" s="119">
        <f t="shared" si="117"/>
        <v>0.14249060117788659</v>
      </c>
      <c r="BT11" s="120">
        <f>BN11+BQ11</f>
        <v>-675395</v>
      </c>
      <c r="BU11" s="119">
        <f t="shared" si="118"/>
        <v>-0.50302607353738538</v>
      </c>
      <c r="BV11" s="119">
        <f t="shared" si="119"/>
        <v>0.15256496238009665</v>
      </c>
      <c r="BW11" s="120">
        <v>-321040</v>
      </c>
      <c r="BX11" s="119">
        <f t="shared" si="120"/>
        <v>-0.52307261168082531</v>
      </c>
      <c r="BY11" s="119">
        <f t="shared" si="121"/>
        <v>4.8338378445452301E-2</v>
      </c>
      <c r="BZ11" s="120">
        <v>-996434</v>
      </c>
      <c r="CA11" s="119">
        <f t="shared" si="122"/>
        <v>-0.50931445260787289</v>
      </c>
      <c r="CB11" s="119">
        <f t="shared" si="123"/>
        <v>0.1167905136567926</v>
      </c>
      <c r="CC11" s="120">
        <v>-180649.72030465715</v>
      </c>
      <c r="CD11" s="119">
        <f t="shared" si="124"/>
        <v>-0.49813930358185782</v>
      </c>
      <c r="CE11" s="119">
        <f t="shared" si="125"/>
        <v>-3.7243413889206045E-2</v>
      </c>
      <c r="CF11" s="120">
        <v>-279624.05903341208</v>
      </c>
      <c r="CG11" s="119">
        <f t="shared" si="126"/>
        <v>-0.50407054042927413</v>
      </c>
      <c r="CH11" s="119">
        <f t="shared" si="127"/>
        <v>8.7599703749531521E-2</v>
      </c>
      <c r="CI11" s="120">
        <f>CF11+CC11+1</f>
        <v>-460272.77933806926</v>
      </c>
      <c r="CJ11" s="119">
        <f t="shared" si="128"/>
        <v>-0.50172532575167239</v>
      </c>
      <c r="CK11" s="119">
        <f t="shared" si="129"/>
        <v>3.4923201004785298E-2</v>
      </c>
      <c r="CL11" s="120">
        <v>-248591.35944959146</v>
      </c>
      <c r="CM11" s="119">
        <f t="shared" si="130"/>
        <v>-0.51073769738785668</v>
      </c>
      <c r="CN11" s="119">
        <f t="shared" si="131"/>
        <v>7.7767389464702408E-2</v>
      </c>
      <c r="CO11" s="121">
        <f>CI11+CL11</f>
        <v>-708864.13878766075</v>
      </c>
      <c r="CP11" s="119">
        <f t="shared" si="132"/>
        <v>-0.50484907445897131</v>
      </c>
      <c r="CQ11" s="119">
        <f t="shared" si="133"/>
        <v>4.9554910515566153E-2</v>
      </c>
      <c r="CR11" s="121">
        <v>-346882.76353854465</v>
      </c>
      <c r="CS11" s="119">
        <f t="shared" si="134"/>
        <v>-0.48729207726617479</v>
      </c>
      <c r="CT11" s="119">
        <f t="shared" si="135"/>
        <v>8.0497020740545322E-2</v>
      </c>
      <c r="CU11" s="122">
        <v>-1055748</v>
      </c>
      <c r="CV11" s="119">
        <f t="shared" si="136"/>
        <v>-0.49894327324420784</v>
      </c>
      <c r="CW11" s="119">
        <f t="shared" si="137"/>
        <v>5.9526270681249382E-2</v>
      </c>
      <c r="CX11" s="120">
        <v>-206779</v>
      </c>
      <c r="CY11" s="119">
        <f t="shared" si="138"/>
        <v>-0.4696896735007246</v>
      </c>
      <c r="CZ11" s="119">
        <f t="shared" si="139"/>
        <v>0.14464057653273454</v>
      </c>
      <c r="DA11" s="120">
        <v>-290145</v>
      </c>
      <c r="DB11" s="119">
        <f t="shared" si="140"/>
        <v>-0.46055566049565944</v>
      </c>
      <c r="DC11" s="119">
        <f t="shared" si="141"/>
        <v>3.7625306645487022E-2</v>
      </c>
      <c r="DD11" s="120">
        <f>SUM(CX11,DA11)</f>
        <v>-496924</v>
      </c>
      <c r="DE11" s="119">
        <f t="shared" si="142"/>
        <v>-0.46431297799081511</v>
      </c>
      <c r="DF11" s="119">
        <f t="shared" si="143"/>
        <v>7.9629346568441006E-2</v>
      </c>
      <c r="DG11" s="120">
        <v>-282458</v>
      </c>
      <c r="DH11" s="119">
        <f t="shared" si="144"/>
        <v>-0.49663818264936527</v>
      </c>
      <c r="DI11" s="119">
        <f t="shared" si="145"/>
        <v>0.13623418217508854</v>
      </c>
      <c r="DJ11" s="120">
        <f>SUM(DD11,DG11)</f>
        <v>-779382</v>
      </c>
      <c r="DK11" s="119">
        <f t="shared" si="146"/>
        <v>-0.47553013316249487</v>
      </c>
      <c r="DL11" s="119">
        <f t="shared" si="147"/>
        <v>9.9480079967005919E-2</v>
      </c>
      <c r="DM11" s="120">
        <v>-402984</v>
      </c>
      <c r="DN11" s="119">
        <f t="shared" si="148"/>
        <v>-0.48923102697676002</v>
      </c>
      <c r="DO11" s="119">
        <f t="shared" si="149"/>
        <v>0.16172967457122311</v>
      </c>
      <c r="DP11" s="120">
        <f>SUM(DJ11,DM11)</f>
        <v>-1182366</v>
      </c>
      <c r="DQ11" s="119">
        <f t="shared" si="150"/>
        <v>-0.48011294998178816</v>
      </c>
      <c r="DR11" s="119">
        <f t="shared" si="151"/>
        <v>0.11993202923424917</v>
      </c>
      <c r="DS11" s="120">
        <v>-243393</v>
      </c>
      <c r="DT11" s="123">
        <f>DS11/$DS$8</f>
        <v>-0.47013658304794026</v>
      </c>
      <c r="DU11" s="123">
        <f t="shared" si="209"/>
        <v>0.17706827095594813</v>
      </c>
      <c r="DV11" s="120">
        <v>-345698</v>
      </c>
      <c r="DW11" s="123">
        <f>(DV11/$DV$8)</f>
        <v>-0.46114402263447224</v>
      </c>
      <c r="DX11" s="123">
        <f t="shared" si="210"/>
        <v>0.19146633579761851</v>
      </c>
      <c r="DY11" s="120">
        <f>(DS11+DV11)</f>
        <v>-589091</v>
      </c>
      <c r="DZ11" s="123">
        <f>(DY11/$DY$8)</f>
        <v>-0.46481741573033708</v>
      </c>
      <c r="EA11" s="123">
        <f t="shared" si="211"/>
        <v>0.18547504246122148</v>
      </c>
      <c r="EB11" s="120">
        <v>-327502</v>
      </c>
      <c r="EC11" s="123">
        <f>(EB11/$EB$8)</f>
        <v>-0.49842331785059873</v>
      </c>
      <c r="ED11" s="123">
        <f t="shared" si="212"/>
        <v>0.15947149664728921</v>
      </c>
      <c r="EE11" s="120">
        <f>(DY11+EB11)</f>
        <v>-916593</v>
      </c>
      <c r="EF11" s="123">
        <f>(EE11/$EE$8)</f>
        <v>-0.47629175509084221</v>
      </c>
      <c r="EG11" s="123">
        <f t="shared" si="213"/>
        <v>0.17605102504291859</v>
      </c>
      <c r="EH11" s="120">
        <v>-458652</v>
      </c>
      <c r="EI11" s="123">
        <f>(EH11/$EH$8)</f>
        <v>-0.47177683145096588</v>
      </c>
      <c r="EJ11" s="123">
        <f t="shared" si="214"/>
        <v>0.13813947948305638</v>
      </c>
      <c r="EK11" s="120">
        <v>-1375245</v>
      </c>
      <c r="EL11" s="123">
        <f t="shared" si="215"/>
        <v>-0.4747762648634597</v>
      </c>
      <c r="EM11" s="123">
        <f t="shared" si="232"/>
        <v>0.16312969080639994</v>
      </c>
      <c r="EN11" s="120">
        <v>-290630</v>
      </c>
      <c r="EO11" s="123">
        <f t="shared" si="216"/>
        <v>-0.46936445310796693</v>
      </c>
      <c r="EP11" s="123">
        <f t="shared" si="217"/>
        <v>0.19407706877354736</v>
      </c>
      <c r="EQ11" s="120">
        <v>-387880</v>
      </c>
      <c r="ER11" s="123">
        <f t="shared" si="233"/>
        <v>-0.45357116546553955</v>
      </c>
      <c r="ES11" s="123">
        <f t="shared" si="218"/>
        <v>0.12201979762683046</v>
      </c>
      <c r="ET11" s="120">
        <f>(EN11+EQ11)</f>
        <v>-678510</v>
      </c>
      <c r="EU11" s="123">
        <f t="shared" si="234"/>
        <v>-0.46020396536007291</v>
      </c>
      <c r="EV11" s="123">
        <f t="shared" si="10"/>
        <v>0.15179148892106653</v>
      </c>
      <c r="EW11" s="120">
        <v>-390194</v>
      </c>
      <c r="EX11" s="123">
        <f t="shared" si="235"/>
        <v>-0.48576301571097774</v>
      </c>
      <c r="EY11" s="123">
        <f t="shared" si="153"/>
        <v>0.19142478519215156</v>
      </c>
      <c r="EZ11" s="120">
        <f>(ET11+EW11)</f>
        <v>-1068704</v>
      </c>
      <c r="FA11" s="123">
        <f t="shared" si="236"/>
        <v>-0.46921776988262792</v>
      </c>
      <c r="FB11" s="123">
        <f t="shared" si="154"/>
        <v>0.16595260928241862</v>
      </c>
      <c r="FC11" s="120">
        <v>-547708</v>
      </c>
      <c r="FD11" s="123">
        <f t="shared" si="219"/>
        <v>-0.46246153950074809</v>
      </c>
      <c r="FE11" s="123">
        <f t="shared" si="155"/>
        <v>0.19416899959010325</v>
      </c>
      <c r="FF11" s="120">
        <f>(EZ11+FC11)</f>
        <v>-1616412</v>
      </c>
      <c r="FG11" s="123">
        <f t="shared" si="220"/>
        <v>-0.4669066078175369</v>
      </c>
      <c r="FH11" s="123">
        <f t="shared" si="156"/>
        <v>0.1753629353315227</v>
      </c>
      <c r="FI11" s="120">
        <v>-354819</v>
      </c>
      <c r="FJ11" s="123">
        <f t="shared" si="157"/>
        <v>-0.48823980262297878</v>
      </c>
      <c r="FK11" s="123">
        <f t="shared" si="221"/>
        <v>0.22086157657502659</v>
      </c>
      <c r="FL11" s="120">
        <v>-440050</v>
      </c>
      <c r="FM11" s="123">
        <f t="shared" si="222"/>
        <v>-0.4645783427628502</v>
      </c>
      <c r="FN11" s="123">
        <f t="shared" si="223"/>
        <v>0.13450036093637197</v>
      </c>
      <c r="FO11" s="120">
        <f t="shared" si="237"/>
        <v>-794869</v>
      </c>
      <c r="FP11" s="123">
        <f t="shared" si="158"/>
        <v>-0.47485086030870988</v>
      </c>
      <c r="FQ11" s="123">
        <f t="shared" si="159"/>
        <v>0.17149194558665304</v>
      </c>
      <c r="FR11" s="120">
        <v>-452488</v>
      </c>
      <c r="FS11" s="123">
        <f t="shared" si="244"/>
        <v>-0.49892934091064461</v>
      </c>
      <c r="FT11" s="123">
        <f t="shared" si="160"/>
        <v>0.15964879008903266</v>
      </c>
      <c r="FU11" s="120">
        <v>-1247357</v>
      </c>
      <c r="FV11" s="123">
        <f t="shared" si="238"/>
        <v>-0.48331210003518216</v>
      </c>
      <c r="FW11" s="123">
        <f t="shared" si="224"/>
        <v>0.16716789681707933</v>
      </c>
      <c r="FX11" s="120">
        <v>-603450</v>
      </c>
      <c r="FY11" s="123">
        <f t="shared" si="12"/>
        <v>-0.45271629778672035</v>
      </c>
      <c r="FZ11" s="123">
        <f t="shared" si="161"/>
        <v>0.10177320762157938</v>
      </c>
      <c r="GA11" s="120">
        <v>-1850807</v>
      </c>
      <c r="GB11" s="123">
        <f t="shared" si="162"/>
        <v>-0.47289149777109718</v>
      </c>
      <c r="GC11" s="123">
        <f t="shared" si="163"/>
        <v>0.1450094406624054</v>
      </c>
      <c r="GD11" s="120">
        <v>-392224</v>
      </c>
      <c r="GE11" s="123">
        <f t="shared" si="13"/>
        <v>-0.48154241291760996</v>
      </c>
      <c r="GF11" s="123">
        <f t="shared" si="164"/>
        <v>0.10541994650793796</v>
      </c>
      <c r="GG11" s="120">
        <v>-509222</v>
      </c>
      <c r="GH11" s="123">
        <f t="shared" si="225"/>
        <v>-0.45826396375803413</v>
      </c>
      <c r="GI11" s="123">
        <f t="shared" si="165"/>
        <v>0.15719122826951493</v>
      </c>
      <c r="GJ11" s="120">
        <f t="shared" si="166"/>
        <v>-901446</v>
      </c>
      <c r="GK11" s="123">
        <f t="shared" si="167"/>
        <v>-0.46811001010534276</v>
      </c>
      <c r="GL11" s="123">
        <f t="shared" si="226"/>
        <v>0.13408121338233103</v>
      </c>
      <c r="GM11" s="120">
        <v>-501369</v>
      </c>
      <c r="GN11" s="123">
        <f t="shared" si="168"/>
        <v>-0.47882084747170972</v>
      </c>
      <c r="GO11" s="123">
        <f t="shared" si="169"/>
        <v>0.10802717420130481</v>
      </c>
      <c r="GP11" s="120">
        <f>GJ11+GM11</f>
        <v>-1402815</v>
      </c>
      <c r="GQ11" s="123">
        <f t="shared" si="171"/>
        <v>-0.47188261591325364</v>
      </c>
      <c r="GR11" s="123">
        <f t="shared" si="172"/>
        <v>0.12462991749755692</v>
      </c>
      <c r="GS11" s="120">
        <v>-740326</v>
      </c>
      <c r="GT11" s="123">
        <f t="shared" si="173"/>
        <v>-0.44336022067220943</v>
      </c>
      <c r="GU11" s="123">
        <f t="shared" si="227"/>
        <v>0.22682243765017818</v>
      </c>
      <c r="GV11" s="120">
        <f t="shared" si="239"/>
        <v>-2143141</v>
      </c>
      <c r="GW11" s="123">
        <f t="shared" si="174"/>
        <v>-0.46162397374581376</v>
      </c>
      <c r="GX11" s="123">
        <f t="shared" si="228"/>
        <v>0.15794947825462091</v>
      </c>
      <c r="GY11" s="120">
        <v>-460582</v>
      </c>
      <c r="GZ11" s="123">
        <f t="shared" si="175"/>
        <v>-0.45561804143852724</v>
      </c>
      <c r="HA11" s="123">
        <f t="shared" si="229"/>
        <v>0.17428306273965899</v>
      </c>
      <c r="HB11" s="120">
        <v>-604983</v>
      </c>
      <c r="HC11" s="123">
        <f t="shared" si="176"/>
        <v>-0.44673710296508856</v>
      </c>
      <c r="HD11" s="123">
        <f t="shared" si="14"/>
        <v>0.18805354049903578</v>
      </c>
      <c r="HE11" s="120">
        <f t="shared" si="177"/>
        <v>-1065565</v>
      </c>
      <c r="HF11" s="123">
        <f t="shared" si="240"/>
        <v>-0.45053297484568444</v>
      </c>
      <c r="HG11" s="123">
        <f t="shared" ref="HG11:HG25" si="245">(HE11/GJ11)-1</f>
        <v>0.18206193160766149</v>
      </c>
      <c r="HH11" s="120">
        <v>-586005</v>
      </c>
      <c r="HI11" s="123">
        <f t="shared" ref="HI11:HI17" si="246">(HH11/$HH$8)</f>
        <v>-0.46941799874235501</v>
      </c>
      <c r="HJ11" s="123">
        <f t="shared" si="241"/>
        <v>0.16880979877096514</v>
      </c>
      <c r="HK11" s="120">
        <f t="shared" si="178"/>
        <v>-1651570</v>
      </c>
      <c r="HL11" s="123">
        <f t="shared" si="17"/>
        <v>-0.45705725717492746</v>
      </c>
      <c r="HM11" s="123">
        <f t="shared" si="230"/>
        <v>0.17732559175657525</v>
      </c>
      <c r="HN11" s="120">
        <v>-814610</v>
      </c>
      <c r="HO11" s="123">
        <f t="shared" si="179"/>
        <v>-0.44335750198926072</v>
      </c>
      <c r="HP11" s="123">
        <f t="shared" si="180"/>
        <v>0.10033958013091526</v>
      </c>
      <c r="HQ11" s="120">
        <f t="shared" si="231"/>
        <v>-2466180</v>
      </c>
      <c r="HR11" s="123">
        <f t="shared" si="181"/>
        <v>-0.45243936177316868</v>
      </c>
      <c r="HS11" s="123">
        <f t="shared" si="182"/>
        <v>0.15073156642516761</v>
      </c>
      <c r="HT11" s="120">
        <v>-477582</v>
      </c>
      <c r="HU11" s="123">
        <f t="shared" si="242"/>
        <v>-0.44378840085192744</v>
      </c>
      <c r="HV11" s="123">
        <f t="shared" si="183"/>
        <v>3.6909822789427338E-2</v>
      </c>
      <c r="HW11" s="120">
        <v>-626777</v>
      </c>
      <c r="HX11" s="123">
        <f t="shared" si="184"/>
        <v>-0.42792526462973685</v>
      </c>
      <c r="HY11" s="123">
        <f t="shared" si="18"/>
        <v>3.6024152744787763E-2</v>
      </c>
      <c r="HZ11" s="120">
        <f t="shared" si="185"/>
        <v>-1104359</v>
      </c>
      <c r="IA11" s="123">
        <f t="shared" si="186"/>
        <v>-0.43464395183317617</v>
      </c>
      <c r="IB11" s="123">
        <f>(HZ11/HE11)-1</f>
        <v>3.6406976580499517E-2</v>
      </c>
      <c r="IC11" s="120">
        <v>-583810</v>
      </c>
      <c r="ID11" s="123">
        <f t="shared" si="187"/>
        <v>-0.46318760918996715</v>
      </c>
      <c r="IE11" s="123">
        <f t="shared" si="20"/>
        <v>-3.7457018284826615E-3</v>
      </c>
      <c r="IF11" s="120">
        <f t="shared" si="188"/>
        <v>-1688169</v>
      </c>
      <c r="IG11" s="123">
        <f t="shared" si="189"/>
        <v>-0.44410844421340956</v>
      </c>
      <c r="IH11" s="123">
        <f>(IF11/HK11)-1</f>
        <v>2.2160126425159188E-2</v>
      </c>
      <c r="II11" s="120">
        <v>-848461</v>
      </c>
      <c r="IJ11" s="123">
        <f t="shared" si="22"/>
        <v>-0.44179080074813692</v>
      </c>
      <c r="IK11" s="123">
        <f t="shared" si="23"/>
        <v>4.1554854470237323E-2</v>
      </c>
      <c r="IL11" s="120">
        <f t="shared" ref="IL11:IL28" si="247">IF11+II11</f>
        <v>-2536630</v>
      </c>
      <c r="IM11" s="123">
        <f t="shared" si="24"/>
        <v>-0.44333060631550764</v>
      </c>
      <c r="IN11" s="123">
        <f t="shared" si="25"/>
        <v>2.8566446893576236E-2</v>
      </c>
      <c r="IO11" s="120">
        <v>-563126</v>
      </c>
      <c r="IP11" s="123">
        <f t="shared" si="26"/>
        <v>-0.45608916937451199</v>
      </c>
      <c r="IQ11" s="123">
        <f t="shared" si="27"/>
        <v>0.17911897852096614</v>
      </c>
      <c r="IR11" s="120">
        <v>-706711</v>
      </c>
      <c r="IS11" s="123">
        <f t="shared" si="190"/>
        <v>-0.43344377278503682</v>
      </c>
      <c r="IT11" s="123">
        <f t="shared" si="28"/>
        <v>0.12753180158174282</v>
      </c>
      <c r="IU11" s="120">
        <f t="shared" si="191"/>
        <v>-1269837</v>
      </c>
      <c r="IV11" s="123">
        <f t="shared" si="192"/>
        <v>-0.44320242640848267</v>
      </c>
      <c r="IW11" s="123">
        <f>(IU11/HZ11)-1</f>
        <v>0.14984076735916485</v>
      </c>
      <c r="IX11" s="120">
        <v>-696818</v>
      </c>
      <c r="IY11" s="123">
        <f t="shared" si="193"/>
        <v>-0.46068235819904824</v>
      </c>
      <c r="IZ11" s="123">
        <f t="shared" si="30"/>
        <v>0.19356982579948956</v>
      </c>
      <c r="JA11" s="120">
        <f t="shared" si="194"/>
        <v>-1966655</v>
      </c>
      <c r="JB11" s="123">
        <f t="shared" si="31"/>
        <v>-0.44924204802593498</v>
      </c>
      <c r="JC11" s="123">
        <f t="shared" si="32"/>
        <v>0.16496334194029161</v>
      </c>
      <c r="JD11" s="120">
        <v>-956227</v>
      </c>
      <c r="JE11" s="123">
        <f t="shared" si="195"/>
        <v>-0.43027644098265128</v>
      </c>
      <c r="JF11" s="123">
        <f t="shared" si="33"/>
        <v>0.12701349855797739</v>
      </c>
      <c r="JG11" s="120">
        <f t="shared" si="196"/>
        <v>-2922882</v>
      </c>
      <c r="JH11" s="123">
        <f t="shared" si="34"/>
        <v>-0.44285601083503168</v>
      </c>
      <c r="JI11" s="123">
        <f t="shared" si="35"/>
        <v>0.15226974371508661</v>
      </c>
      <c r="JJ11" s="120">
        <v>-612639</v>
      </c>
      <c r="JK11" s="123">
        <f t="shared" si="197"/>
        <v>-0.43796874363302185</v>
      </c>
      <c r="JL11" s="123">
        <f t="shared" si="64"/>
        <v>8.7925260066130884E-2</v>
      </c>
      <c r="JM11" s="120">
        <v>-757798</v>
      </c>
      <c r="JN11" s="123">
        <f t="shared" si="198"/>
        <v>-0.42572179922709213</v>
      </c>
      <c r="JO11" s="123">
        <f t="shared" si="65"/>
        <v>7.2288389454812529E-2</v>
      </c>
      <c r="JP11" s="120">
        <f t="shared" si="36"/>
        <v>-1370437</v>
      </c>
      <c r="JQ11" s="123">
        <f t="shared" si="199"/>
        <v>-0.43111093634490461</v>
      </c>
      <c r="JR11" s="123">
        <f t="shared" si="66"/>
        <v>7.9222766386551902E-2</v>
      </c>
      <c r="JS11" s="120">
        <v>-782320</v>
      </c>
      <c r="JT11" s="123">
        <f t="shared" si="37"/>
        <v>-0.45710653061916107</v>
      </c>
      <c r="JU11" s="123">
        <f t="shared" si="38"/>
        <v>0.12270348928988639</v>
      </c>
      <c r="JV11" s="120">
        <f t="shared" si="39"/>
        <v>-2152757</v>
      </c>
      <c r="JW11" s="123">
        <f t="shared" si="40"/>
        <v>-0.44020860840956738</v>
      </c>
      <c r="JX11" s="123">
        <f t="shared" si="41"/>
        <v>9.4628696949897062E-2</v>
      </c>
      <c r="JY11" s="120">
        <v>-1104641</v>
      </c>
      <c r="JZ11" s="123">
        <f t="shared" si="42"/>
        <v>-0.425660527713148</v>
      </c>
      <c r="KA11" s="123">
        <f t="shared" si="43"/>
        <v>0.15520791611196927</v>
      </c>
      <c r="KB11" s="120">
        <f t="shared" si="44"/>
        <v>-3257398</v>
      </c>
      <c r="KC11" s="123">
        <f t="shared" si="45"/>
        <v>-0.4351649396901956</v>
      </c>
      <c r="KD11" s="123">
        <f t="shared" si="46"/>
        <v>0.11444731603944325</v>
      </c>
      <c r="KE11" s="120">
        <v>-738430</v>
      </c>
      <c r="KF11" s="123">
        <f t="shared" si="47"/>
        <v>-0.44744194670543047</v>
      </c>
      <c r="KG11" s="123">
        <f t="shared" si="48"/>
        <v>0.20532646468801374</v>
      </c>
      <c r="KH11" s="547">
        <v>-879737</v>
      </c>
      <c r="KI11" s="123">
        <f t="shared" si="200"/>
        <v>-0.43564837419913299</v>
      </c>
      <c r="KJ11" s="123">
        <f t="shared" si="67"/>
        <v>0.16091227477507197</v>
      </c>
      <c r="KK11" s="120">
        <f t="shared" si="49"/>
        <v>-1618167</v>
      </c>
      <c r="KL11" s="123">
        <f t="shared" si="201"/>
        <v>-0.44095216217298855</v>
      </c>
      <c r="KM11" s="123">
        <f t="shared" ref="KM11:KM19" si="248">(KK11/JP11)-1</f>
        <v>0.18076715675364863</v>
      </c>
      <c r="KN11" s="547">
        <v>-882033</v>
      </c>
      <c r="KO11" s="123">
        <f t="shared" si="50"/>
        <v>-0.45655677966628089</v>
      </c>
      <c r="KP11" s="123">
        <f t="shared" si="51"/>
        <v>0.12745807342264026</v>
      </c>
      <c r="KQ11" s="120">
        <f t="shared" si="52"/>
        <v>-2500200</v>
      </c>
      <c r="KR11" s="123">
        <f t="shared" si="53"/>
        <v>-0.44633397213492132</v>
      </c>
      <c r="KS11" s="123">
        <f t="shared" si="54"/>
        <v>0.16139443513596752</v>
      </c>
      <c r="KT11" s="120">
        <v>-1207106</v>
      </c>
      <c r="KU11" s="123">
        <f t="shared" si="55"/>
        <v>-0.42014675652214467</v>
      </c>
      <c r="KV11" s="123">
        <f t="shared" si="56"/>
        <v>9.275864285319857E-2</v>
      </c>
      <c r="KW11" s="120">
        <f t="shared" si="57"/>
        <v>-3707306</v>
      </c>
      <c r="KX11" s="123">
        <f t="shared" si="58"/>
        <v>-0.43745608247991991</v>
      </c>
      <c r="KY11" s="123">
        <f t="shared" si="59"/>
        <v>0.13811882981447154</v>
      </c>
      <c r="KZ11" s="120">
        <v>-691240</v>
      </c>
      <c r="LA11" s="123">
        <f t="shared" si="60"/>
        <v>-0.4459095072830252</v>
      </c>
      <c r="LB11" s="123">
        <f t="shared" si="61"/>
        <v>-6.3905854312527932E-2</v>
      </c>
      <c r="LC11" s="120">
        <v>-297841</v>
      </c>
      <c r="LD11" s="123">
        <f t="shared" si="202"/>
        <v>-0.55192944873952077</v>
      </c>
      <c r="LE11" s="123">
        <f t="shared" si="69"/>
        <v>-0.66144313584628134</v>
      </c>
      <c r="LF11" s="120">
        <f t="shared" si="70"/>
        <v>-989081</v>
      </c>
      <c r="LG11" s="123">
        <f t="shared" si="203"/>
        <v>-0.47328616490638409</v>
      </c>
      <c r="LH11" s="123">
        <f t="shared" si="71"/>
        <v>-0.388764571271074</v>
      </c>
      <c r="LI11" s="120">
        <v>-862993</v>
      </c>
      <c r="LJ11" s="123">
        <f t="shared" si="204"/>
        <v>-0.52264690403386149</v>
      </c>
      <c r="LK11" s="123">
        <f t="shared" si="72"/>
        <v>-2.1586493929365402E-2</v>
      </c>
      <c r="LL11" s="120">
        <f t="shared" si="62"/>
        <v>-1852074</v>
      </c>
      <c r="LM11" s="123">
        <f t="shared" si="205"/>
        <v>-0.49507285860808287</v>
      </c>
      <c r="LN11" s="123">
        <f t="shared" si="73"/>
        <v>-0.25922966162706984</v>
      </c>
      <c r="LO11" s="120">
        <v>-1349235</v>
      </c>
      <c r="LP11" s="123">
        <f t="shared" si="206"/>
        <v>-0.46213673439609693</v>
      </c>
      <c r="LQ11" s="123">
        <f t="shared" si="74"/>
        <v>0.11774359501153997</v>
      </c>
      <c r="LR11" s="120">
        <f t="shared" si="63"/>
        <v>-3201309</v>
      </c>
      <c r="LS11" s="123">
        <f t="shared" si="207"/>
        <v>-0.48063581936143313</v>
      </c>
      <c r="LT11" s="123">
        <f t="shared" si="75"/>
        <v>-0.13648644055818426</v>
      </c>
    </row>
    <row r="12" spans="1:332" ht="16.5" customHeight="1">
      <c r="A12" s="103"/>
      <c r="B12" s="115" t="s">
        <v>162</v>
      </c>
      <c r="C12" s="116" t="s">
        <v>155</v>
      </c>
      <c r="D12" s="121">
        <v>-2320</v>
      </c>
      <c r="E12" s="118">
        <f t="shared" si="76"/>
        <v>-1.1716461628588167E-2</v>
      </c>
      <c r="F12" s="121">
        <v>1457</v>
      </c>
      <c r="G12" s="118">
        <f t="shared" si="77"/>
        <v>5.219453479874475E-3</v>
      </c>
      <c r="H12" s="117">
        <f>SUM(D12,F12)</f>
        <v>-863</v>
      </c>
      <c r="I12" s="118">
        <f t="shared" si="78"/>
        <v>-1.8086176544555286E-3</v>
      </c>
      <c r="J12" s="121">
        <v>-5701</v>
      </c>
      <c r="K12" s="118">
        <f t="shared" si="79"/>
        <v>-2.2320711944967563E-2</v>
      </c>
      <c r="L12" s="117">
        <f>SUM(H12,J12)</f>
        <v>-6564</v>
      </c>
      <c r="M12" s="118">
        <f t="shared" si="80"/>
        <v>-8.9601991883402742E-3</v>
      </c>
      <c r="N12" s="121">
        <v>-241</v>
      </c>
      <c r="O12" s="118">
        <f t="shared" si="81"/>
        <v>-5.967399674640532E-4</v>
      </c>
      <c r="P12" s="117">
        <f>SUM(L12,N12)</f>
        <v>-6805</v>
      </c>
      <c r="Q12" s="118">
        <f t="shared" si="82"/>
        <v>-5.9880292212306212E-3</v>
      </c>
      <c r="R12" s="121">
        <v>-679</v>
      </c>
      <c r="S12" s="118">
        <f t="shared" si="83"/>
        <v>-2.7052331719755376E-3</v>
      </c>
      <c r="T12" s="26">
        <f t="shared" si="208"/>
        <v>-0.70732758620689662</v>
      </c>
      <c r="U12" s="121">
        <v>-7153</v>
      </c>
      <c r="V12" s="119">
        <f t="shared" si="84"/>
        <v>-1.9996701229211454E-2</v>
      </c>
      <c r="W12" s="26">
        <f t="shared" si="85"/>
        <v>-5.9094028826355522</v>
      </c>
      <c r="X12" s="117">
        <f>R12+U12</f>
        <v>-7832</v>
      </c>
      <c r="Y12" s="119">
        <f t="shared" si="86"/>
        <v>-1.2866680685522026E-2</v>
      </c>
      <c r="Z12" s="26">
        <f t="shared" si="87"/>
        <v>8.0753186558516798</v>
      </c>
      <c r="AA12" s="121">
        <v>-6692</v>
      </c>
      <c r="AB12" s="119">
        <f t="shared" si="88"/>
        <v>-2.087837690274957E-2</v>
      </c>
      <c r="AC12" s="26">
        <f t="shared" si="89"/>
        <v>0.17382915278021405</v>
      </c>
      <c r="AD12" s="117">
        <f>X12+AA12</f>
        <v>-14524</v>
      </c>
      <c r="AE12" s="119">
        <f t="shared" si="90"/>
        <v>-1.5630195850959993E-2</v>
      </c>
      <c r="AF12" s="26">
        <f t="shared" si="91"/>
        <v>1.2126751980499697</v>
      </c>
      <c r="AG12" s="121">
        <v>-2892</v>
      </c>
      <c r="AH12" s="119">
        <f t="shared" si="92"/>
        <v>-5.7055036803655311E-3</v>
      </c>
      <c r="AI12" s="26">
        <f t="shared" si="93"/>
        <v>11</v>
      </c>
      <c r="AJ12" s="117">
        <f>AD12+AG12</f>
        <v>-17416</v>
      </c>
      <c r="AK12" s="119">
        <f t="shared" si="94"/>
        <v>-1.2127246963139882E-2</v>
      </c>
      <c r="AL12" s="26">
        <f t="shared" si="95"/>
        <v>1.5592946362968405</v>
      </c>
      <c r="AM12" s="120">
        <v>-3026</v>
      </c>
      <c r="AN12" s="119">
        <f t="shared" si="96"/>
        <v>-9.7520730406422309E-3</v>
      </c>
      <c r="AO12" s="119">
        <f t="shared" si="97"/>
        <v>3.4565537555228278</v>
      </c>
      <c r="AP12" s="120">
        <v>-2864</v>
      </c>
      <c r="AQ12" s="119">
        <f t="shared" si="98"/>
        <v>-6.4452971160446036E-3</v>
      </c>
      <c r="AR12" s="119">
        <f t="shared" si="99"/>
        <v>-0.59960855585069206</v>
      </c>
      <c r="AS12" s="120">
        <f>AM12+AP12-1</f>
        <v>-5891</v>
      </c>
      <c r="AT12" s="119">
        <f t="shared" si="100"/>
        <v>-7.8062884947684222E-3</v>
      </c>
      <c r="AU12" s="119">
        <f t="shared" si="101"/>
        <v>-0.24782941777323797</v>
      </c>
      <c r="AV12" s="120">
        <v>-3489</v>
      </c>
      <c r="AW12" s="119">
        <f t="shared" si="102"/>
        <v>-8.8249131167195301E-3</v>
      </c>
      <c r="AX12" s="119">
        <f t="shared" si="103"/>
        <v>-0.47863120143454874</v>
      </c>
      <c r="AY12" s="120">
        <f>AV12+AS12+1</f>
        <v>-9379</v>
      </c>
      <c r="AZ12" s="119">
        <f t="shared" si="104"/>
        <v>-8.1556096229063145E-3</v>
      </c>
      <c r="BA12" s="119">
        <f t="shared" si="105"/>
        <v>-0.35424125585238231</v>
      </c>
      <c r="BB12" s="120">
        <v>-5103</v>
      </c>
      <c r="BC12" s="119">
        <f t="shared" si="106"/>
        <v>-8.4806605043525086E-3</v>
      </c>
      <c r="BD12" s="26">
        <f t="shared" si="107"/>
        <v>0.76452282157676343</v>
      </c>
      <c r="BE12" s="120">
        <v>-14482</v>
      </c>
      <c r="BF12" s="119">
        <f t="shared" si="108"/>
        <v>-8.2672652375254604E-3</v>
      </c>
      <c r="BG12" s="26">
        <f t="shared" si="109"/>
        <v>-0.16846577859439593</v>
      </c>
      <c r="BH12" s="120">
        <v>-3774</v>
      </c>
      <c r="BI12" s="119">
        <f t="shared" si="110"/>
        <v>-9.8439419588244662E-3</v>
      </c>
      <c r="BJ12" s="119">
        <f t="shared" si="111"/>
        <v>0.24719101123595499</v>
      </c>
      <c r="BK12" s="120">
        <v>-4391</v>
      </c>
      <c r="BL12" s="119">
        <f t="shared" si="112"/>
        <v>-8.6056529595528435E-3</v>
      </c>
      <c r="BM12" s="119">
        <f t="shared" si="113"/>
        <v>0.53317039106145248</v>
      </c>
      <c r="BN12" s="120">
        <f>BK12+BH12-1</f>
        <v>-8166</v>
      </c>
      <c r="BO12" s="119">
        <f t="shared" si="114"/>
        <v>-9.1380203641555947E-3</v>
      </c>
      <c r="BP12" s="119">
        <f t="shared" si="115"/>
        <v>0.38618231200135811</v>
      </c>
      <c r="BQ12" s="120">
        <v>-7155</v>
      </c>
      <c r="BR12" s="119">
        <f t="shared" si="116"/>
        <v>-1.5934205427651359E-2</v>
      </c>
      <c r="BS12" s="119">
        <f t="shared" si="117"/>
        <v>1.0507308684436802</v>
      </c>
      <c r="BT12" s="120">
        <f>BN12+BQ12</f>
        <v>-15321</v>
      </c>
      <c r="BU12" s="119">
        <f t="shared" si="118"/>
        <v>-1.1410896545971293E-2</v>
      </c>
      <c r="BV12" s="119">
        <f t="shared" si="119"/>
        <v>0.63354302164409848</v>
      </c>
      <c r="BW12" s="120">
        <v>-10782</v>
      </c>
      <c r="BX12" s="119">
        <f t="shared" si="120"/>
        <v>-1.7567184460324754E-2</v>
      </c>
      <c r="BY12" s="119">
        <f t="shared" si="121"/>
        <v>1.1128747795414462</v>
      </c>
      <c r="BZ12" s="120">
        <v>-26102</v>
      </c>
      <c r="CA12" s="119">
        <f t="shared" si="122"/>
        <v>-1.3341702352559928E-2</v>
      </c>
      <c r="CB12" s="119">
        <f t="shared" si="123"/>
        <v>0.80237536251898911</v>
      </c>
      <c r="CC12" s="120">
        <v>-6368</v>
      </c>
      <c r="CD12" s="119">
        <f t="shared" si="124"/>
        <v>-1.7559678918182595E-2</v>
      </c>
      <c r="CE12" s="119">
        <f t="shared" si="125"/>
        <v>0.68733439321674616</v>
      </c>
      <c r="CF12" s="120">
        <v>-7939</v>
      </c>
      <c r="CG12" s="119">
        <f t="shared" si="126"/>
        <v>-1.4311415241954674E-2</v>
      </c>
      <c r="CH12" s="119">
        <f t="shared" si="127"/>
        <v>0.8080163971760419</v>
      </c>
      <c r="CI12" s="120">
        <f>CF12+CC12+1</f>
        <v>-14306</v>
      </c>
      <c r="CJ12" s="119">
        <f t="shared" si="128"/>
        <v>-1.5594410168087379E-2</v>
      </c>
      <c r="CK12" s="119">
        <f t="shared" si="129"/>
        <v>0.75189811413176577</v>
      </c>
      <c r="CL12" s="120">
        <v>-8275</v>
      </c>
      <c r="CM12" s="119">
        <f t="shared" si="130"/>
        <v>-1.700121217101884E-2</v>
      </c>
      <c r="CN12" s="119">
        <f t="shared" si="131"/>
        <v>0.1565338923829489</v>
      </c>
      <c r="CO12" s="121">
        <f>CI12+CL12</f>
        <v>-22581</v>
      </c>
      <c r="CP12" s="119">
        <f t="shared" si="132"/>
        <v>-1.6082061888269519E-2</v>
      </c>
      <c r="CQ12" s="119">
        <f t="shared" si="133"/>
        <v>0.47385940865478759</v>
      </c>
      <c r="CR12" s="121">
        <v>-6581</v>
      </c>
      <c r="CS12" s="119">
        <f t="shared" si="134"/>
        <v>-9.2448212986297826E-3</v>
      </c>
      <c r="CT12" s="119">
        <f t="shared" si="135"/>
        <v>-0.38963086625857912</v>
      </c>
      <c r="CU12" s="122">
        <v>-29163</v>
      </c>
      <c r="CV12" s="119">
        <f t="shared" si="136"/>
        <v>-1.3782344534510918E-2</v>
      </c>
      <c r="CW12" s="119">
        <f t="shared" si="137"/>
        <v>0.11727070722549993</v>
      </c>
      <c r="CX12" s="120">
        <v>-6011</v>
      </c>
      <c r="CY12" s="119">
        <f t="shared" si="138"/>
        <v>-1.365372996006778E-2</v>
      </c>
      <c r="CZ12" s="119">
        <f t="shared" si="139"/>
        <v>-5.6061557788944727E-2</v>
      </c>
      <c r="DA12" s="120">
        <v>-6811</v>
      </c>
      <c r="DB12" s="119">
        <f t="shared" si="140"/>
        <v>-1.0811299879839172E-2</v>
      </c>
      <c r="DC12" s="119">
        <f t="shared" si="141"/>
        <v>-0.14208338581685354</v>
      </c>
      <c r="DD12" s="120">
        <f>SUM(CX12,DA12)</f>
        <v>-12822</v>
      </c>
      <c r="DE12" s="119">
        <f t="shared" si="142"/>
        <v>-1.1980546328610071E-2</v>
      </c>
      <c r="DF12" s="119">
        <f t="shared" si="143"/>
        <v>-0.10373269956661546</v>
      </c>
      <c r="DG12" s="120">
        <v>-7522</v>
      </c>
      <c r="DH12" s="119">
        <f t="shared" si="144"/>
        <v>-1.3225727045750256E-2</v>
      </c>
      <c r="DI12" s="119">
        <f t="shared" si="145"/>
        <v>-9.0996978851963783E-2</v>
      </c>
      <c r="DJ12" s="120">
        <f>SUM(DD12,DG12)</f>
        <v>-20344</v>
      </c>
      <c r="DK12" s="119">
        <f t="shared" si="146"/>
        <v>-1.2412635946246892E-2</v>
      </c>
      <c r="DL12" s="119">
        <f t="shared" si="147"/>
        <v>-9.9065586112218273E-2</v>
      </c>
      <c r="DM12" s="120">
        <v>-6748</v>
      </c>
      <c r="DN12" s="119">
        <f t="shared" si="148"/>
        <v>-8.1922135122962109E-3</v>
      </c>
      <c r="DO12" s="119">
        <f t="shared" si="149"/>
        <v>2.5376082662209365E-2</v>
      </c>
      <c r="DP12" s="120">
        <f>SUM(DJ12,DM12)</f>
        <v>-27092</v>
      </c>
      <c r="DQ12" s="119">
        <f t="shared" si="150"/>
        <v>-1.100100987419006E-2</v>
      </c>
      <c r="DR12" s="119">
        <f t="shared" si="151"/>
        <v>-7.1014641840688508E-2</v>
      </c>
      <c r="DS12" s="120">
        <v>-6154</v>
      </c>
      <c r="DT12" s="123">
        <f>DS12/$DS$8</f>
        <v>-1.1887032626562901E-2</v>
      </c>
      <c r="DU12" s="123">
        <f t="shared" si="209"/>
        <v>2.378971884877723E-2</v>
      </c>
      <c r="DV12" s="120">
        <v>-5525</v>
      </c>
      <c r="DW12" s="123">
        <f>(DV12/$DV$8)</f>
        <v>-7.3700765554196405E-3</v>
      </c>
      <c r="DX12" s="123">
        <f t="shared" si="210"/>
        <v>-0.18881221553369554</v>
      </c>
      <c r="DY12" s="120">
        <f>(DS12+DV12)</f>
        <v>-11679</v>
      </c>
      <c r="DZ12" s="123">
        <f>(DY12/$DY$8)</f>
        <v>-9.2152190380002524E-3</v>
      </c>
      <c r="EA12" s="123">
        <f t="shared" si="211"/>
        <v>-8.9143659335517045E-2</v>
      </c>
      <c r="EB12" s="120">
        <v>-5287</v>
      </c>
      <c r="EC12" s="123">
        <f>(EB12/$EB$8)</f>
        <v>-8.046253401433015E-3</v>
      </c>
      <c r="ED12" s="123">
        <f t="shared" si="212"/>
        <v>-0.29712842329167777</v>
      </c>
      <c r="EE12" s="120">
        <f>(DY12+EB12)</f>
        <v>-16966</v>
      </c>
      <c r="EF12" s="123">
        <f>(EE12/$EE$8)</f>
        <v>-8.8160894932333422E-3</v>
      </c>
      <c r="EG12" s="123">
        <f t="shared" si="213"/>
        <v>-0.1660440424695242</v>
      </c>
      <c r="EH12" s="120">
        <v>-3917</v>
      </c>
      <c r="EI12" s="123">
        <f>(EH12/$EH$8)</f>
        <v>-4.029089263305149E-3</v>
      </c>
      <c r="EJ12" s="123">
        <f t="shared" si="214"/>
        <v>-0.41953171310017778</v>
      </c>
      <c r="EK12" s="120">
        <v>-20884</v>
      </c>
      <c r="EL12" s="123">
        <f t="shared" si="215"/>
        <v>-7.2097899031870628E-3</v>
      </c>
      <c r="EM12" s="123">
        <f>(EK12/DP12)-1</f>
        <v>-0.22914513509523105</v>
      </c>
      <c r="EN12" s="120">
        <v>-4212</v>
      </c>
      <c r="EO12" s="123">
        <f t="shared" si="216"/>
        <v>-6.8023365670810193E-3</v>
      </c>
      <c r="EP12" s="123">
        <f t="shared" si="217"/>
        <v>-0.31556711082222944</v>
      </c>
      <c r="EQ12" s="120">
        <v>-5384</v>
      </c>
      <c r="ER12" s="123">
        <f t="shared" si="233"/>
        <v>-6.2958315841664045E-3</v>
      </c>
      <c r="ES12" s="123">
        <f t="shared" si="218"/>
        <v>-2.5520361990950202E-2</v>
      </c>
      <c r="ET12" s="120">
        <f>(EN12+EQ12)</f>
        <v>-9596</v>
      </c>
      <c r="EU12" s="123">
        <f t="shared" si="234"/>
        <v>-6.5085514606936668E-3</v>
      </c>
      <c r="EV12" s="123">
        <f t="shared" si="10"/>
        <v>-0.17835431115677713</v>
      </c>
      <c r="EW12" s="120">
        <v>-4409</v>
      </c>
      <c r="EX12" s="123">
        <f t="shared" si="235"/>
        <v>-5.4888828025794886E-3</v>
      </c>
      <c r="EY12" s="123">
        <f t="shared" si="153"/>
        <v>-0.16606771325893699</v>
      </c>
      <c r="EZ12" s="120">
        <f>(ET12+EW12)</f>
        <v>-14005</v>
      </c>
      <c r="FA12" s="123">
        <f t="shared" si="236"/>
        <v>-6.1489382160132312E-3</v>
      </c>
      <c r="FB12" s="123">
        <f t="shared" si="154"/>
        <v>-0.17452552163149826</v>
      </c>
      <c r="FC12" s="120">
        <v>-3829</v>
      </c>
      <c r="FD12" s="123">
        <f t="shared" si="219"/>
        <v>-3.233046139089377E-3</v>
      </c>
      <c r="FE12" s="123">
        <f t="shared" si="155"/>
        <v>-2.2466173091651775E-2</v>
      </c>
      <c r="FF12" s="120">
        <f>(EZ12+FC12)</f>
        <v>-17834</v>
      </c>
      <c r="FG12" s="123">
        <f t="shared" si="220"/>
        <v>-5.1514171163156135E-3</v>
      </c>
      <c r="FH12" s="123">
        <f t="shared" si="156"/>
        <v>-0.14604481900019151</v>
      </c>
      <c r="FI12" s="120">
        <v>-3127</v>
      </c>
      <c r="FJ12" s="123">
        <f t="shared" si="157"/>
        <v>-4.3028300705488E-3</v>
      </c>
      <c r="FK12" s="123">
        <f t="shared" si="221"/>
        <v>-0.25759734093067421</v>
      </c>
      <c r="FL12" s="120">
        <v>-4242</v>
      </c>
      <c r="FM12" s="123">
        <f t="shared" si="222"/>
        <v>-4.4784486535621188E-3</v>
      </c>
      <c r="FN12" s="123">
        <f t="shared" si="223"/>
        <v>-0.21210995542347699</v>
      </c>
      <c r="FO12" s="120">
        <f t="shared" si="237"/>
        <v>-7369</v>
      </c>
      <c r="FP12" s="123">
        <f t="shared" si="158"/>
        <v>-4.4022046269446705E-3</v>
      </c>
      <c r="FQ12" s="123">
        <f t="shared" si="159"/>
        <v>-0.23207586494372656</v>
      </c>
      <c r="FR12" s="120">
        <v>-5062</v>
      </c>
      <c r="FS12" s="123">
        <f t="shared" si="244"/>
        <v>-5.5815409992965182E-3</v>
      </c>
      <c r="FT12" s="123">
        <f t="shared" si="160"/>
        <v>0.14810614651848497</v>
      </c>
      <c r="FU12" s="120">
        <v>-12431</v>
      </c>
      <c r="FV12" s="123">
        <f t="shared" si="238"/>
        <v>-4.8166264473902412E-3</v>
      </c>
      <c r="FW12" s="123">
        <f t="shared" si="224"/>
        <v>-0.11238843270260623</v>
      </c>
      <c r="FX12" s="120">
        <v>-4345</v>
      </c>
      <c r="FY12" s="123">
        <f t="shared" si="12"/>
        <v>-3.2596773782141019E-3</v>
      </c>
      <c r="FZ12" s="123">
        <f t="shared" si="161"/>
        <v>0.13476103421258823</v>
      </c>
      <c r="GA12" s="120">
        <v>-16777</v>
      </c>
      <c r="GB12" s="123">
        <f t="shared" si="162"/>
        <v>-4.286616950392827E-3</v>
      </c>
      <c r="GC12" s="123">
        <f t="shared" si="163"/>
        <v>-5.9268812380845581E-2</v>
      </c>
      <c r="GD12" s="120">
        <v>-4318</v>
      </c>
      <c r="GE12" s="123">
        <f t="shared" si="13"/>
        <v>-5.3013077705042011E-3</v>
      </c>
      <c r="GF12" s="123">
        <f t="shared" si="164"/>
        <v>0.38087623920690761</v>
      </c>
      <c r="GG12" s="120">
        <v>-3566</v>
      </c>
      <c r="GH12" s="123">
        <f t="shared" si="225"/>
        <v>-3.2091490445447166E-3</v>
      </c>
      <c r="GI12" s="123">
        <f t="shared" si="165"/>
        <v>-0.15935879302215938</v>
      </c>
      <c r="GJ12" s="120">
        <f t="shared" si="166"/>
        <v>-7884</v>
      </c>
      <c r="GK12" s="123">
        <f t="shared" si="167"/>
        <v>-4.0940658893272829E-3</v>
      </c>
      <c r="GL12" s="123">
        <f t="shared" si="226"/>
        <v>6.9887365992671979E-2</v>
      </c>
      <c r="GM12" s="120">
        <v>-6231</v>
      </c>
      <c r="GN12" s="123">
        <f t="shared" si="168"/>
        <v>-5.9507721869445926E-3</v>
      </c>
      <c r="GO12" s="123">
        <f t="shared" si="169"/>
        <v>0.23093638877913869</v>
      </c>
      <c r="GP12" s="120">
        <f t="shared" si="170"/>
        <v>-14115</v>
      </c>
      <c r="GQ12" s="123">
        <f t="shared" si="171"/>
        <v>-4.7480409915887523E-3</v>
      </c>
      <c r="GR12" s="123">
        <f t="shared" si="172"/>
        <v>0.13546778215750943</v>
      </c>
      <c r="GS12" s="120">
        <v>-8657</v>
      </c>
      <c r="GT12" s="123">
        <f t="shared" si="173"/>
        <v>-5.1844314941786682E-3</v>
      </c>
      <c r="GU12" s="123">
        <f t="shared" si="227"/>
        <v>0.9924050632911392</v>
      </c>
      <c r="GV12" s="120">
        <f t="shared" si="239"/>
        <v>-22772</v>
      </c>
      <c r="GW12" s="123">
        <f t="shared" si="174"/>
        <v>-4.904997445403579E-3</v>
      </c>
      <c r="GX12" s="123">
        <f t="shared" si="228"/>
        <v>0.35733444596769393</v>
      </c>
      <c r="GY12" s="120">
        <v>-11593</v>
      </c>
      <c r="GZ12" s="123">
        <f t="shared" si="175"/>
        <v>-1.1468055534946755E-2</v>
      </c>
      <c r="HA12" s="123">
        <f t="shared" si="229"/>
        <v>1.6848077813802687</v>
      </c>
      <c r="HB12" s="120">
        <v>-13634</v>
      </c>
      <c r="HC12" s="123">
        <f t="shared" si="176"/>
        <v>-1.0067743493331246E-2</v>
      </c>
      <c r="HD12" s="123">
        <f t="shared" ref="HD12:HD25" si="249">(HB12/GG12)-1</f>
        <v>2.823331463825014</v>
      </c>
      <c r="HE12" s="120">
        <f t="shared" si="177"/>
        <v>-25227</v>
      </c>
      <c r="HF12" s="123">
        <f t="shared" si="240"/>
        <v>-1.0666261895268783E-2</v>
      </c>
      <c r="HG12" s="123">
        <f t="shared" si="245"/>
        <v>2.1997716894977168</v>
      </c>
      <c r="HH12" s="120">
        <v>-10692</v>
      </c>
      <c r="HI12" s="123">
        <f t="shared" si="246"/>
        <v>-8.5648027620127132E-3</v>
      </c>
      <c r="HJ12" s="123">
        <f>(HH12/GM12)-1</f>
        <v>0.71593644679826673</v>
      </c>
      <c r="HK12" s="120">
        <f t="shared" si="178"/>
        <v>-35919</v>
      </c>
      <c r="HL12" s="123">
        <f t="shared" si="17"/>
        <v>-9.9402626715587115E-3</v>
      </c>
      <c r="HM12" s="123">
        <f t="shared" si="230"/>
        <v>1.5447396386822527</v>
      </c>
      <c r="HN12" s="120">
        <v>-9253</v>
      </c>
      <c r="HO12" s="123">
        <f t="shared" si="179"/>
        <v>-5.0360135106451301E-3</v>
      </c>
      <c r="HP12" s="123">
        <f t="shared" si="180"/>
        <v>6.8846020561395438E-2</v>
      </c>
      <c r="HQ12" s="120">
        <f t="shared" si="231"/>
        <v>-45172</v>
      </c>
      <c r="HR12" s="123">
        <f t="shared" si="181"/>
        <v>-8.2871448353395022E-3</v>
      </c>
      <c r="HS12" s="123">
        <f t="shared" si="182"/>
        <v>0.98366414895485677</v>
      </c>
      <c r="HT12" s="120">
        <v>-10842</v>
      </c>
      <c r="HU12" s="123">
        <f t="shared" si="242"/>
        <v>-1.0074822422194717E-2</v>
      </c>
      <c r="HV12" s="123">
        <f t="shared" si="183"/>
        <v>-6.4780470973863524E-2</v>
      </c>
      <c r="HW12" s="120">
        <v>-10298</v>
      </c>
      <c r="HX12" s="123">
        <f t="shared" si="184"/>
        <v>-7.0308488906852514E-3</v>
      </c>
      <c r="HY12" s="123">
        <f>(HW12/HB12)-1</f>
        <v>-0.24468241161801374</v>
      </c>
      <c r="HZ12" s="120">
        <f t="shared" si="185"/>
        <v>-21140</v>
      </c>
      <c r="IA12" s="123">
        <f t="shared" si="186"/>
        <v>-8.320096220299146E-3</v>
      </c>
      <c r="IB12" s="123">
        <f>(HZ12/HE12)-1</f>
        <v>-0.16200895865540887</v>
      </c>
      <c r="IC12" s="120">
        <v>-10406</v>
      </c>
      <c r="ID12" s="123">
        <f t="shared" si="187"/>
        <v>-8.2559912663894043E-3</v>
      </c>
      <c r="IE12" s="123">
        <f>(IC12/HH12)-1</f>
        <v>-2.6748971193415683E-2</v>
      </c>
      <c r="IF12" s="120">
        <f t="shared" si="188"/>
        <v>-31546</v>
      </c>
      <c r="IG12" s="123">
        <f t="shared" si="189"/>
        <v>-8.2988403300595006E-3</v>
      </c>
      <c r="IH12" s="123">
        <f>(IF12/HK12)-1</f>
        <v>-0.12174615106211195</v>
      </c>
      <c r="II12" s="120">
        <v>-6907</v>
      </c>
      <c r="IJ12" s="123">
        <f t="shared" si="22"/>
        <v>-3.5964517647450876E-3</v>
      </c>
      <c r="IK12" s="123">
        <f t="shared" si="23"/>
        <v>-0.25353939262941749</v>
      </c>
      <c r="IL12" s="120">
        <f t="shared" si="247"/>
        <v>-38453</v>
      </c>
      <c r="IM12" s="123">
        <f t="shared" si="24"/>
        <v>-6.720488129782513E-3</v>
      </c>
      <c r="IN12" s="123">
        <f t="shared" si="25"/>
        <v>-0.14874258390153194</v>
      </c>
      <c r="IO12" s="120">
        <v>-6430</v>
      </c>
      <c r="IP12" s="123">
        <f t="shared" si="26"/>
        <v>-5.2078102575233822E-3</v>
      </c>
      <c r="IQ12" s="123">
        <f t="shared" si="27"/>
        <v>-0.4069359896698026</v>
      </c>
      <c r="IR12" s="120">
        <v>-5328</v>
      </c>
      <c r="IS12" s="123">
        <f t="shared" si="190"/>
        <v>-3.2677974750621912E-3</v>
      </c>
      <c r="IT12" s="123">
        <f>(IR12/HW12)-1</f>
        <v>-0.48261798407457757</v>
      </c>
      <c r="IU12" s="120">
        <f t="shared" si="191"/>
        <v>-11758</v>
      </c>
      <c r="IV12" s="123">
        <f t="shared" si="192"/>
        <v>-4.1038134262200102E-3</v>
      </c>
      <c r="IW12" s="123">
        <f>(IU12/HZ12)-1</f>
        <v>-0.44380321665089872</v>
      </c>
      <c r="IX12" s="120">
        <v>-5735</v>
      </c>
      <c r="IY12" s="123">
        <f t="shared" si="193"/>
        <v>-3.7915400065318947E-3</v>
      </c>
      <c r="IZ12" s="123">
        <f>(IX12/IC12)-1</f>
        <v>-0.44887564866423213</v>
      </c>
      <c r="JA12" s="120">
        <f t="shared" si="194"/>
        <v>-17493</v>
      </c>
      <c r="JB12" s="123">
        <f t="shared" si="31"/>
        <v>-3.9959175077060698E-3</v>
      </c>
      <c r="JC12" s="123">
        <f t="shared" si="32"/>
        <v>-0.44547644709313383</v>
      </c>
      <c r="JD12" s="120">
        <v>-4538</v>
      </c>
      <c r="JE12" s="123">
        <f t="shared" si="195"/>
        <v>-2.041977991814989E-3</v>
      </c>
      <c r="JF12" s="123">
        <f>(JD12/II12)-1</f>
        <v>-0.34298537715361233</v>
      </c>
      <c r="JG12" s="120">
        <f t="shared" si="196"/>
        <v>-22031</v>
      </c>
      <c r="JH12" s="123">
        <f t="shared" si="34"/>
        <v>-3.3379933828004628E-3</v>
      </c>
      <c r="JI12" s="123">
        <f t="shared" si="35"/>
        <v>-0.42706680883156056</v>
      </c>
      <c r="JJ12" s="120">
        <v>-6783</v>
      </c>
      <c r="JK12" s="123">
        <f t="shared" si="197"/>
        <v>-4.8490905542461172E-3</v>
      </c>
      <c r="JL12" s="123">
        <f>(JJ12/IO12)-1</f>
        <v>5.4898911353032709E-2</v>
      </c>
      <c r="JM12" s="120">
        <v>-7226</v>
      </c>
      <c r="JN12" s="123">
        <f t="shared" si="198"/>
        <v>-4.0594798629911503E-3</v>
      </c>
      <c r="JO12" s="123">
        <f>(JM12/IR12)-1</f>
        <v>0.35623123123123124</v>
      </c>
      <c r="JP12" s="120">
        <f t="shared" si="36"/>
        <v>-14009</v>
      </c>
      <c r="JQ12" s="123">
        <f t="shared" si="199"/>
        <v>-4.4069396165279896E-3</v>
      </c>
      <c r="JR12" s="123">
        <f>(JP12/IU12)-1</f>
        <v>0.19144412315019554</v>
      </c>
      <c r="JS12" s="120">
        <v>-6861</v>
      </c>
      <c r="JT12" s="123">
        <f t="shared" si="37"/>
        <v>-4.0088555918013904E-3</v>
      </c>
      <c r="JU12" s="123">
        <f t="shared" si="38"/>
        <v>0.19633827375762869</v>
      </c>
      <c r="JV12" s="120">
        <f t="shared" si="39"/>
        <v>-20870</v>
      </c>
      <c r="JW12" s="123">
        <f t="shared" si="40"/>
        <v>-4.267622243247924E-3</v>
      </c>
      <c r="JX12" s="123">
        <f t="shared" si="41"/>
        <v>0.19304864803064081</v>
      </c>
      <c r="JY12" s="120">
        <v>-6249</v>
      </c>
      <c r="JZ12" s="123">
        <f t="shared" si="42"/>
        <v>-2.4079792780455022E-3</v>
      </c>
      <c r="KA12" s="123">
        <f t="shared" si="43"/>
        <v>0.37703834288232696</v>
      </c>
      <c r="KB12" s="120">
        <f t="shared" si="44"/>
        <v>-27119</v>
      </c>
      <c r="KC12" s="123">
        <f t="shared" si="45"/>
        <v>-3.6229033110041866E-3</v>
      </c>
      <c r="KD12" s="123">
        <f t="shared" si="46"/>
        <v>0.23094730152966281</v>
      </c>
      <c r="KE12" s="120">
        <v>-5601</v>
      </c>
      <c r="KF12" s="123">
        <f t="shared" si="47"/>
        <v>-3.3938522859270561E-3</v>
      </c>
      <c r="KG12" s="123">
        <f t="shared" si="48"/>
        <v>-0.17425917735515262</v>
      </c>
      <c r="KH12" s="547">
        <v>-5755</v>
      </c>
      <c r="KI12" s="123">
        <f t="shared" si="200"/>
        <v>-2.8498930856790273E-3</v>
      </c>
      <c r="KJ12" s="123">
        <f>(KH12/JM12)-1</f>
        <v>-0.20357044007749792</v>
      </c>
      <c r="KK12" s="120">
        <f t="shared" si="49"/>
        <v>-11356</v>
      </c>
      <c r="KL12" s="123">
        <f t="shared" si="201"/>
        <v>-3.0945216121923496E-3</v>
      </c>
      <c r="KM12" s="123">
        <f t="shared" si="248"/>
        <v>-0.18937825683489184</v>
      </c>
      <c r="KN12" s="547">
        <v>-7164</v>
      </c>
      <c r="KO12" s="123">
        <f t="shared" si="50"/>
        <v>-3.7082204061857508E-3</v>
      </c>
      <c r="KP12" s="123">
        <f t="shared" si="51"/>
        <v>4.4162658504591112E-2</v>
      </c>
      <c r="KQ12" s="120">
        <f t="shared" si="52"/>
        <v>-18520</v>
      </c>
      <c r="KR12" s="123">
        <f t="shared" si="53"/>
        <v>-3.3061775713697874E-3</v>
      </c>
      <c r="KS12" s="123">
        <f t="shared" si="54"/>
        <v>-0.11260182079540004</v>
      </c>
      <c r="KT12" s="120">
        <v>-4695</v>
      </c>
      <c r="KU12" s="123">
        <f t="shared" si="55"/>
        <v>-1.634147309243322E-3</v>
      </c>
      <c r="KV12" s="123">
        <f t="shared" si="56"/>
        <v>-0.24867978876620256</v>
      </c>
      <c r="KW12" s="120">
        <f t="shared" si="57"/>
        <v>-23215</v>
      </c>
      <c r="KX12" s="123">
        <f t="shared" si="58"/>
        <v>-2.7393322684373346E-3</v>
      </c>
      <c r="KY12" s="123">
        <f t="shared" si="59"/>
        <v>-0.14395811054979901</v>
      </c>
      <c r="KZ12" s="120">
        <v>-5434</v>
      </c>
      <c r="LA12" s="123">
        <f t="shared" si="60"/>
        <v>-3.5053993729760413E-3</v>
      </c>
      <c r="LB12" s="123">
        <f t="shared" si="61"/>
        <v>-2.9816104267095134E-2</v>
      </c>
      <c r="LC12" s="120">
        <v>-6802</v>
      </c>
      <c r="LD12" s="123">
        <f t="shared" si="202"/>
        <v>-1.2604792860372548E-2</v>
      </c>
      <c r="LE12" s="123">
        <f>(LC12/KH12)-1</f>
        <v>0.18192875760208516</v>
      </c>
      <c r="LF12" s="120">
        <f t="shared" si="70"/>
        <v>-12236</v>
      </c>
      <c r="LG12" s="123">
        <f t="shared" si="203"/>
        <v>-5.8550609240239334E-3</v>
      </c>
      <c r="LH12" s="123">
        <f>(LF12/KK12)-1</f>
        <v>7.7492074674180955E-2</v>
      </c>
      <c r="LI12" s="120">
        <v>-6368</v>
      </c>
      <c r="LJ12" s="123">
        <f t="shared" si="204"/>
        <v>-3.8565961541839043E-3</v>
      </c>
      <c r="LK12" s="123">
        <f>(LI12/KN12)-1</f>
        <v>-0.11111111111111116</v>
      </c>
      <c r="LL12" s="120">
        <f t="shared" si="62"/>
        <v>-18604</v>
      </c>
      <c r="LM12" s="123">
        <f t="shared" si="205"/>
        <v>-4.9729845900027617E-3</v>
      </c>
      <c r="LN12" s="123">
        <f>(LL12/KQ12)-1</f>
        <v>4.53563714902816E-3</v>
      </c>
      <c r="LO12" s="120">
        <v>-3657</v>
      </c>
      <c r="LP12" s="123">
        <f t="shared" si="206"/>
        <v>-1.2525868641760157E-3</v>
      </c>
      <c r="LQ12" s="123">
        <f>(LO12/KT12)-1</f>
        <v>-0.2210862619808307</v>
      </c>
      <c r="LR12" s="120">
        <f t="shared" si="63"/>
        <v>-22261</v>
      </c>
      <c r="LS12" s="123">
        <f t="shared" si="207"/>
        <v>-3.3422059460067313E-3</v>
      </c>
      <c r="LT12" s="123">
        <f>(LR12/KW12)-1</f>
        <v>-4.1094120180917515E-2</v>
      </c>
    </row>
    <row r="13" spans="1:332" ht="16.5" customHeight="1">
      <c r="A13" s="114"/>
      <c r="B13" s="124" t="s">
        <v>2</v>
      </c>
      <c r="C13" s="124" t="s">
        <v>114</v>
      </c>
      <c r="D13" s="48">
        <f>D7+D10</f>
        <v>110639</v>
      </c>
      <c r="E13" s="125">
        <f>D13/$D$7</f>
        <v>0.52634107819070997</v>
      </c>
      <c r="F13" s="48">
        <f>F7+F10</f>
        <v>153078</v>
      </c>
      <c r="G13" s="125">
        <f>F13/$F$7</f>
        <v>0.51753656409112114</v>
      </c>
      <c r="H13" s="48">
        <f>H7+H10</f>
        <v>263717</v>
      </c>
      <c r="I13" s="125">
        <f>H13/$H$7</f>
        <v>0.52119426229184207</v>
      </c>
      <c r="J13" s="48">
        <f>J7+J10</f>
        <v>132608</v>
      </c>
      <c r="K13" s="125">
        <f>J13/$J$7</f>
        <v>0.48776791592948021</v>
      </c>
      <c r="L13" s="48">
        <f>L7+L10</f>
        <v>396325</v>
      </c>
      <c r="M13" s="125">
        <f>L13/$L$7</f>
        <v>0.50951143725099735</v>
      </c>
      <c r="N13" s="48">
        <f>N7+N10</f>
        <v>212181</v>
      </c>
      <c r="O13" s="125">
        <f>N13/$N$7</f>
        <v>0.50010252784161213</v>
      </c>
      <c r="P13" s="48">
        <f>P7+P10</f>
        <v>608506</v>
      </c>
      <c r="Q13" s="125">
        <f>P13/$P$7</f>
        <v>0.50619068851237137</v>
      </c>
      <c r="R13" s="48">
        <f>R7+R10</f>
        <v>142142</v>
      </c>
      <c r="S13" s="125">
        <f>R13/$R$7</f>
        <v>0.53286198416506714</v>
      </c>
      <c r="T13" s="49">
        <f t="shared" si="208"/>
        <v>0.28473684686231793</v>
      </c>
      <c r="U13" s="48">
        <f>U7+U10</f>
        <v>192159</v>
      </c>
      <c r="V13" s="126">
        <f>U13/$U$7</f>
        <v>0.5045397258835268</v>
      </c>
      <c r="W13" s="49">
        <f t="shared" si="85"/>
        <v>0.25530121898639901</v>
      </c>
      <c r="X13" s="48">
        <f>X7+X10</f>
        <v>334301</v>
      </c>
      <c r="Y13" s="126">
        <f>X13/$X$7</f>
        <v>0.51620569106193215</v>
      </c>
      <c r="Z13" s="49">
        <f t="shared" si="87"/>
        <v>0.26765054964223012</v>
      </c>
      <c r="AA13" s="48">
        <f>AA7+AA10</f>
        <v>173015</v>
      </c>
      <c r="AB13" s="126">
        <f>AA13/$AA$7</f>
        <v>0.49890855193533784</v>
      </c>
      <c r="AC13" s="49">
        <f t="shared" si="89"/>
        <v>0.30471012306949796</v>
      </c>
      <c r="AD13" s="48">
        <f>AD7+AD10</f>
        <v>507316</v>
      </c>
      <c r="AE13" s="126">
        <f>AD13/$AD$7</f>
        <v>0.51017348167083831</v>
      </c>
      <c r="AF13" s="49">
        <f t="shared" si="91"/>
        <v>0.28005046363464325</v>
      </c>
      <c r="AG13" s="48">
        <f>AG7+AG10</f>
        <v>272139</v>
      </c>
      <c r="AH13" s="126">
        <f>AG13/$AG$7</f>
        <v>0.50692852046889292</v>
      </c>
      <c r="AI13" s="49">
        <f t="shared" si="93"/>
        <v>0.28257949580782449</v>
      </c>
      <c r="AJ13" s="48">
        <f>AJ7+AJ10</f>
        <v>779454</v>
      </c>
      <c r="AK13" s="126">
        <f>AJ13/$AJ$7</f>
        <v>0.50903550528102448</v>
      </c>
      <c r="AL13" s="49">
        <f t="shared" si="95"/>
        <v>0.2809306728282055</v>
      </c>
      <c r="AM13" s="48">
        <f>AM7+AM10</f>
        <v>189706</v>
      </c>
      <c r="AN13" s="126">
        <f>AM13/$AM$7</f>
        <v>0.54583015637812715</v>
      </c>
      <c r="AO13" s="49">
        <f t="shared" si="97"/>
        <v>0.33462312335551769</v>
      </c>
      <c r="AP13" s="48">
        <f>AP7+AP10</f>
        <v>258725</v>
      </c>
      <c r="AQ13" s="126">
        <f>AP13/$AP$7</f>
        <v>0.52707223064261155</v>
      </c>
      <c r="AR13" s="49">
        <f t="shared" si="99"/>
        <v>0.34641104502000952</v>
      </c>
      <c r="AS13" s="48">
        <f>AS7+AS10</f>
        <v>448428</v>
      </c>
      <c r="AT13" s="126">
        <f>AS13/$AS$7</f>
        <v>0.53484505490049217</v>
      </c>
      <c r="AU13" s="49">
        <f t="shared" si="101"/>
        <v>0.34138994498969488</v>
      </c>
      <c r="AV13" s="48">
        <f>AV7+AV10</f>
        <v>238636</v>
      </c>
      <c r="AW13" s="126">
        <f>AV13/$AV$7</f>
        <v>0.5374539426862337</v>
      </c>
      <c r="AX13" s="49">
        <f t="shared" si="103"/>
        <v>0.37927925324393841</v>
      </c>
      <c r="AY13" s="48">
        <f>AY7+AY10</f>
        <v>687067</v>
      </c>
      <c r="AZ13" s="126">
        <f>AY13/$AY$7</f>
        <v>0.53575023841289915</v>
      </c>
      <c r="BA13" s="49">
        <f t="shared" si="105"/>
        <v>0.35431762451805193</v>
      </c>
      <c r="BB13" s="48">
        <f>BB7+BB10</f>
        <v>337160</v>
      </c>
      <c r="BC13" s="126">
        <f>BB13/$BB$7</f>
        <v>0.51990747879722432</v>
      </c>
      <c r="BD13" s="49">
        <f t="shared" si="107"/>
        <v>0.23892569605973413</v>
      </c>
      <c r="BE13" s="48">
        <f>BE7+BE10</f>
        <v>1024228</v>
      </c>
      <c r="BF13" s="126">
        <f>BE13/$BE$7</f>
        <v>0.53042973888365252</v>
      </c>
      <c r="BG13" s="49">
        <f t="shared" si="109"/>
        <v>0.31403264336317482</v>
      </c>
      <c r="BH13" s="48">
        <f>BH7+BH10</f>
        <v>240385</v>
      </c>
      <c r="BI13" s="126">
        <f>BH13/$BH$7</f>
        <v>0.55670836064169038</v>
      </c>
      <c r="BJ13" s="49">
        <f t="shared" si="111"/>
        <v>0.26714495060778254</v>
      </c>
      <c r="BK13" s="48">
        <f>BK7+BK10</f>
        <v>305254</v>
      </c>
      <c r="BL13" s="126">
        <f>BK13/$BK$7</f>
        <v>0.53860717392416724</v>
      </c>
      <c r="BM13" s="49">
        <f t="shared" si="113"/>
        <v>0.17983959802879501</v>
      </c>
      <c r="BN13" s="48">
        <f>BN7+BN10</f>
        <v>545636</v>
      </c>
      <c r="BO13" s="126">
        <f>BN13/$BN$7</f>
        <v>0.54643215164494674</v>
      </c>
      <c r="BP13" s="49">
        <f t="shared" si="115"/>
        <v>0.21677504526925162</v>
      </c>
      <c r="BQ13" s="48">
        <f>BQ7+BQ10</f>
        <v>273561</v>
      </c>
      <c r="BR13" s="126">
        <f>BQ13/$BQ$7</f>
        <v>0.53495707608971976</v>
      </c>
      <c r="BS13" s="49">
        <f t="shared" si="117"/>
        <v>0.14635260396587269</v>
      </c>
      <c r="BT13" s="48">
        <f>BT7+BT10</f>
        <v>819198</v>
      </c>
      <c r="BU13" s="126">
        <f>BT13/$BT$7</f>
        <v>0.54254613176644495</v>
      </c>
      <c r="BV13" s="49">
        <f t="shared" si="119"/>
        <v>0.19231166683889644</v>
      </c>
      <c r="BW13" s="48">
        <f>BW7+BW10</f>
        <v>341671</v>
      </c>
      <c r="BX13" s="126">
        <f>BW13/$BW$7</f>
        <v>0.50731188000469196</v>
      </c>
      <c r="BY13" s="49">
        <f t="shared" si="121"/>
        <v>1.3379404437062536E-2</v>
      </c>
      <c r="BZ13" s="48">
        <f>BZ7+BZ10</f>
        <v>1160871</v>
      </c>
      <c r="CA13" s="126">
        <f>BZ13/$BZ$7</f>
        <v>0.53167870213844692</v>
      </c>
      <c r="CB13" s="49">
        <f t="shared" si="123"/>
        <v>0.13341072495577166</v>
      </c>
      <c r="CC13" s="48">
        <f>CC7+CC10</f>
        <v>232116.27969534285</v>
      </c>
      <c r="CD13" s="126">
        <f>CC13/$CC$7</f>
        <v>0.55379969101848781</v>
      </c>
      <c r="CE13" s="49">
        <f t="shared" si="125"/>
        <v>-3.4397821430859454E-2</v>
      </c>
      <c r="CF13" s="48">
        <f>CF7+CF10</f>
        <v>325850.94096658792</v>
      </c>
      <c r="CG13" s="126">
        <f>CF13/$CF$7</f>
        <v>0.53120884258687917</v>
      </c>
      <c r="CH13" s="49">
        <f t="shared" si="127"/>
        <v>6.7474761892024171E-2</v>
      </c>
      <c r="CI13" s="48">
        <f>CI7+CI10</f>
        <v>557969.22066193074</v>
      </c>
      <c r="CJ13" s="126">
        <f>CI13/$CI$7</f>
        <v>0.54038090303010677</v>
      </c>
      <c r="CK13" s="49">
        <f t="shared" si="129"/>
        <v>2.2603385154078337E-2</v>
      </c>
      <c r="CL13" s="48">
        <f>CL7+CL10</f>
        <v>295444.64055040851</v>
      </c>
      <c r="CM13" s="126">
        <f>CL13/$CL$7</f>
        <v>0.53492441858012696</v>
      </c>
      <c r="CN13" s="49">
        <f t="shared" si="131"/>
        <v>7.9995469202146952E-2</v>
      </c>
      <c r="CO13" s="48">
        <f>CO7+CO10</f>
        <v>853414.86121233925</v>
      </c>
      <c r="CP13" s="126">
        <f>CO13/$CO$7</f>
        <v>0.53847965196442538</v>
      </c>
      <c r="CQ13" s="49">
        <f t="shared" si="133"/>
        <v>4.1768731384035584E-2</v>
      </c>
      <c r="CR13" s="48">
        <f>CR7+CR10</f>
        <v>425305.23646145535</v>
      </c>
      <c r="CS13" s="126">
        <f>CR13/$CR$7</f>
        <v>0.54612502097728</v>
      </c>
      <c r="CT13" s="49">
        <f t="shared" si="135"/>
        <v>0.24478002657953213</v>
      </c>
      <c r="CU13" s="48">
        <f>CU7+CU10</f>
        <v>1278717</v>
      </c>
      <c r="CV13" s="126">
        <f>CU13/$CU$7</f>
        <v>0.54099756814524114</v>
      </c>
      <c r="CW13" s="49">
        <f t="shared" si="137"/>
        <v>0.10151515543070677</v>
      </c>
      <c r="CX13" s="48">
        <f>CX7+CX10</f>
        <v>292944</v>
      </c>
      <c r="CY13" s="126">
        <f>CX13/$CX$7</f>
        <v>0.57924521586446631</v>
      </c>
      <c r="CZ13" s="49">
        <f t="shared" si="139"/>
        <v>0.26205710510479796</v>
      </c>
      <c r="DA13" s="48">
        <f>DA7+DA10</f>
        <v>405023</v>
      </c>
      <c r="DB13" s="126">
        <f>DA13/$DA$7</f>
        <v>0.57697310033491034</v>
      </c>
      <c r="DC13" s="49">
        <f t="shared" si="141"/>
        <v>0.24297017157157819</v>
      </c>
      <c r="DD13" s="48">
        <f>DD7+DD10</f>
        <v>697967</v>
      </c>
      <c r="DE13" s="126">
        <f>DD13/$DD$7</f>
        <v>0.57792455657925357</v>
      </c>
      <c r="DF13" s="49">
        <f t="shared" si="143"/>
        <v>0.25090591766332015</v>
      </c>
      <c r="DG13" s="48">
        <f>DG7+DG10</f>
        <v>353893</v>
      </c>
      <c r="DH13" s="126">
        <f>DG13/$DG$7</f>
        <v>0.54963168202425017</v>
      </c>
      <c r="DI13" s="49">
        <f t="shared" si="145"/>
        <v>0.19783184877106974</v>
      </c>
      <c r="DJ13" s="48">
        <f>DJ7+DJ10</f>
        <v>1051860</v>
      </c>
      <c r="DK13" s="126">
        <f>DJ13/$DJ$7</f>
        <v>0.56808595441961651</v>
      </c>
      <c r="DL13" s="49">
        <f t="shared" si="147"/>
        <v>0.23253068092317331</v>
      </c>
      <c r="DM13" s="48">
        <f>DM7+DM10</f>
        <v>490020</v>
      </c>
      <c r="DN13" s="126">
        <f>DM13/$DM$7</f>
        <v>0.54461673883470108</v>
      </c>
      <c r="DO13" s="49">
        <f t="shared" si="149"/>
        <v>0.1521607494818833</v>
      </c>
      <c r="DP13" s="48">
        <f>DP7+DP10</f>
        <v>1541880</v>
      </c>
      <c r="DQ13" s="126">
        <f>DP13/$DP$7</f>
        <v>0.56041097095304171</v>
      </c>
      <c r="DR13" s="49">
        <f t="shared" si="151"/>
        <v>0.20580237847780225</v>
      </c>
      <c r="DS13" s="48">
        <f>DS7+DS10</f>
        <v>349220</v>
      </c>
      <c r="DT13" s="126">
        <f>DS13/$DS$7</f>
        <v>0.5832318748361216</v>
      </c>
      <c r="DU13" s="49">
        <f t="shared" si="209"/>
        <v>0.19210497569501328</v>
      </c>
      <c r="DV13" s="48">
        <f>(DV7+DV10)</f>
        <v>485196</v>
      </c>
      <c r="DW13" s="126">
        <f>(DV13/$DV$7)</f>
        <v>0.58008725291988827</v>
      </c>
      <c r="DX13" s="49">
        <f t="shared" si="210"/>
        <v>0.1979467832690982</v>
      </c>
      <c r="DY13" s="48">
        <f>(DY7+DY10)</f>
        <v>834416</v>
      </c>
      <c r="DZ13" s="126">
        <f>(DY13/$DY$7)</f>
        <v>0.58139920539916079</v>
      </c>
      <c r="EA13" s="49">
        <f t="shared" si="211"/>
        <v>0.19549491594874824</v>
      </c>
      <c r="EB13" s="48">
        <f>(EB7+EB10)</f>
        <v>409133</v>
      </c>
      <c r="EC13" s="126">
        <f>(EB13/$EB$7)</f>
        <v>0.55145015244190088</v>
      </c>
      <c r="ED13" s="49">
        <f t="shared" si="212"/>
        <v>0.15609237820471167</v>
      </c>
      <c r="EE13" s="48">
        <f>(EE7+EE10)</f>
        <v>1243549</v>
      </c>
      <c r="EF13" s="126">
        <f>(EE13/$EE$7)</f>
        <v>0.57119306897039557</v>
      </c>
      <c r="EG13" s="49">
        <f t="shared" si="213"/>
        <v>0.18223813054969296</v>
      </c>
      <c r="EH13" s="48">
        <f>(EH7+EH10)</f>
        <v>598865</v>
      </c>
      <c r="EI13" s="126">
        <f t="shared" ref="EI13:EI36" si="250">(EH13/$EH$8)</f>
        <v>0.61600218066613177</v>
      </c>
      <c r="EJ13" s="49">
        <f t="shared" si="214"/>
        <v>0.22212358679237587</v>
      </c>
      <c r="EK13" s="48">
        <f>(EK7+EK10)</f>
        <v>1842414</v>
      </c>
      <c r="EL13" s="126">
        <f t="shared" si="215"/>
        <v>0.63605716599743767</v>
      </c>
      <c r="EM13" s="49">
        <f t="shared" si="232"/>
        <v>0.1949140010895789</v>
      </c>
      <c r="EN13" s="48">
        <f>(EN7+EN10)</f>
        <v>414434</v>
      </c>
      <c r="EO13" s="126">
        <f t="shared" si="216"/>
        <v>0.66930663647712607</v>
      </c>
      <c r="EP13" s="126">
        <f t="shared" si="217"/>
        <v>0.18674188190825269</v>
      </c>
      <c r="EQ13" s="48">
        <f>(EQ7+EQ10)</f>
        <v>562190</v>
      </c>
      <c r="ER13" s="49">
        <f t="shared" si="233"/>
        <v>0.65740222108144708</v>
      </c>
      <c r="ES13" s="49">
        <f t="shared" si="218"/>
        <v>0.15868638653245282</v>
      </c>
      <c r="ET13" s="48">
        <f>(ET7+ET10)</f>
        <v>976625</v>
      </c>
      <c r="EU13" s="49">
        <f t="shared" si="234"/>
        <v>0.66240246668403002</v>
      </c>
      <c r="EV13" s="49">
        <f t="shared" si="10"/>
        <v>0.17042937815190506</v>
      </c>
      <c r="EW13" s="48">
        <f>(EW7+EW10)</f>
        <v>510455</v>
      </c>
      <c r="EX13" s="49">
        <f t="shared" si="235"/>
        <v>0.63547917237258178</v>
      </c>
      <c r="EY13" s="49">
        <f t="shared" si="153"/>
        <v>0.2476505195132146</v>
      </c>
      <c r="EZ13" s="48">
        <f>(EZ7+EZ10)</f>
        <v>1487080</v>
      </c>
      <c r="FA13" s="49">
        <f t="shared" si="236"/>
        <v>0.6529070362205609</v>
      </c>
      <c r="FB13" s="49">
        <f t="shared" si="154"/>
        <v>0.1958354676816112</v>
      </c>
      <c r="FC13" s="48">
        <f>(FC7+FC10)</f>
        <v>741183</v>
      </c>
      <c r="FD13" s="49">
        <f t="shared" si="219"/>
        <v>0.62582367106520809</v>
      </c>
      <c r="FE13" s="49">
        <f t="shared" si="155"/>
        <v>0.2376462140883171</v>
      </c>
      <c r="FF13" s="48">
        <f>(FF7+FF10)</f>
        <v>2228262</v>
      </c>
      <c r="FG13" s="49">
        <f t="shared" si="220"/>
        <v>0.6436417520710811</v>
      </c>
      <c r="FH13" s="49">
        <f t="shared" si="156"/>
        <v>0.20942524318638478</v>
      </c>
      <c r="FI13" s="48">
        <f>(FI7+FI10)</f>
        <v>475850</v>
      </c>
      <c r="FJ13" s="49">
        <f t="shared" ref="FJ13:FJ36" si="251">(FI13/$FI$8)</f>
        <v>0.65478148035517958</v>
      </c>
      <c r="FK13" s="49">
        <f t="shared" si="221"/>
        <v>0.14819247455565909</v>
      </c>
      <c r="FL13" s="48">
        <f>(FL7+FL10)</f>
        <v>616110</v>
      </c>
      <c r="FM13" s="49">
        <f t="shared" si="222"/>
        <v>0.65045190946396914</v>
      </c>
      <c r="FN13" s="49">
        <f t="shared" si="223"/>
        <v>9.5910635194507154E-2</v>
      </c>
      <c r="FO13" s="48">
        <f t="shared" si="237"/>
        <v>1091960</v>
      </c>
      <c r="FP13" s="49">
        <f t="shared" ref="FP13:FP36" si="252">(FO13/$FO$8)</f>
        <v>0.65233157340731474</v>
      </c>
      <c r="FQ13" s="49">
        <f t="shared" si="159"/>
        <v>0.11809548188915908</v>
      </c>
      <c r="FR13" s="48">
        <f>(FR7+FR10)</f>
        <v>563885</v>
      </c>
      <c r="FS13" s="49">
        <f t="shared" si="244"/>
        <v>0.62175962986730882</v>
      </c>
      <c r="FT13" s="49">
        <f t="shared" si="160"/>
        <v>0.10467132264352386</v>
      </c>
      <c r="FU13" s="48">
        <f>FO13+FR13</f>
        <v>1655845</v>
      </c>
      <c r="FV13" s="49">
        <f t="shared" si="238"/>
        <v>0.64158851418058838</v>
      </c>
      <c r="FW13" s="49">
        <f t="shared" si="224"/>
        <v>0.11348750571589972</v>
      </c>
      <c r="FX13" s="48">
        <f>FX7+FX10</f>
        <v>846897</v>
      </c>
      <c r="FY13" s="49">
        <f t="shared" ref="FY13:FY36" si="253">(FX13/$FX$8)</f>
        <v>0.6353535080730468</v>
      </c>
      <c r="FZ13" s="49">
        <f t="shared" si="161"/>
        <v>0.14262874350868815</v>
      </c>
      <c r="GA13" s="48">
        <f>GA7+GA10</f>
        <v>2502744</v>
      </c>
      <c r="GB13" s="49">
        <f t="shared" si="162"/>
        <v>0.63946503265744448</v>
      </c>
      <c r="GC13" s="49">
        <f t="shared" si="163"/>
        <v>0.12318210336127433</v>
      </c>
      <c r="GD13" s="48">
        <f>(GD7+GD10)</f>
        <v>542358</v>
      </c>
      <c r="GE13" s="49">
        <f t="shared" si="13"/>
        <v>0.66586537281035607</v>
      </c>
      <c r="GF13" s="49">
        <f t="shared" si="164"/>
        <v>0.13976673321424826</v>
      </c>
      <c r="GG13" s="48">
        <f>(GG7+GG10)</f>
        <v>742439</v>
      </c>
      <c r="GH13" s="49">
        <f t="shared" si="225"/>
        <v>0.66814285122903394</v>
      </c>
      <c r="GI13" s="49">
        <f t="shared" si="165"/>
        <v>0.20504293064550172</v>
      </c>
      <c r="GJ13" s="48">
        <f t="shared" ref="GJ13:GJ25" si="254">GD13+GG13</f>
        <v>1284797</v>
      </c>
      <c r="GK13" s="49">
        <f t="shared" si="167"/>
        <v>0.66717955002663942</v>
      </c>
      <c r="GL13" s="49">
        <f t="shared" si="226"/>
        <v>0.17659712809993033</v>
      </c>
      <c r="GM13" s="48">
        <f>(GM7+GM10)</f>
        <v>696693</v>
      </c>
      <c r="GN13" s="49">
        <f>(GM13/$GM$8)</f>
        <v>0.66536050830348081</v>
      </c>
      <c r="GO13" s="49">
        <f t="shared" si="169"/>
        <v>0.23552320065261534</v>
      </c>
      <c r="GP13" s="48">
        <f t="shared" si="170"/>
        <v>1981490</v>
      </c>
      <c r="GQ13" s="49">
        <f t="shared" si="171"/>
        <v>0.66653884126271312</v>
      </c>
      <c r="GR13" s="49">
        <f t="shared" si="172"/>
        <v>0.19666393895563905</v>
      </c>
      <c r="GS13" s="48">
        <f>(GS7+GS10)</f>
        <v>1069416</v>
      </c>
      <c r="GT13" s="49">
        <f t="shared" si="173"/>
        <v>0.64044287753015772</v>
      </c>
      <c r="GU13" s="49">
        <f t="shared" si="227"/>
        <v>0.26274623714572143</v>
      </c>
      <c r="GV13" s="48">
        <f t="shared" si="239"/>
        <v>3050906</v>
      </c>
      <c r="GW13" s="49">
        <f t="shared" si="174"/>
        <v>0.65715291305842483</v>
      </c>
      <c r="GX13" s="49">
        <f t="shared" si="228"/>
        <v>0.21902439881985525</v>
      </c>
      <c r="GY13" s="48">
        <f>(GY7+GY10)</f>
        <v>701772</v>
      </c>
      <c r="GZ13" s="49">
        <f t="shared" si="175"/>
        <v>0.69420859733206708</v>
      </c>
      <c r="HA13" s="49">
        <f t="shared" si="229"/>
        <v>0.29392762713926968</v>
      </c>
      <c r="HB13" s="48">
        <f>(HB7+HB10)</f>
        <v>917784</v>
      </c>
      <c r="HC13" s="49">
        <f t="shared" si="176"/>
        <v>0.67771849011907914</v>
      </c>
      <c r="HD13" s="49">
        <f>(HB13/GG13)-1</f>
        <v>0.23617428502543647</v>
      </c>
      <c r="HE13" s="48">
        <f t="shared" si="177"/>
        <v>1619556</v>
      </c>
      <c r="HF13" s="49">
        <f>(HE13/$HE$8)</f>
        <v>0.68476665675878734</v>
      </c>
      <c r="HG13" s="49">
        <f>(HE13/GJ13)-1</f>
        <v>0.260554001916256</v>
      </c>
      <c r="HH13" s="48">
        <f>(HH7+HH10)</f>
        <v>823908</v>
      </c>
      <c r="HI13" s="49">
        <f t="shared" si="246"/>
        <v>0.65998966648376078</v>
      </c>
      <c r="HJ13" s="49">
        <f t="shared" si="241"/>
        <v>0.18259836111457983</v>
      </c>
      <c r="HK13" s="48">
        <f t="shared" si="178"/>
        <v>2443464</v>
      </c>
      <c r="HL13" s="49">
        <f t="shared" si="17"/>
        <v>0.67620685399085534</v>
      </c>
      <c r="HM13" s="49">
        <f t="shared" si="230"/>
        <v>0.2331447547047929</v>
      </c>
      <c r="HN13" s="48">
        <f>(HN7+HN10)</f>
        <v>1190382</v>
      </c>
      <c r="HO13" s="49">
        <f t="shared" si="179"/>
        <v>0.6478741851106421</v>
      </c>
      <c r="HP13" s="49">
        <f t="shared" si="180"/>
        <v>0.11311407347561664</v>
      </c>
      <c r="HQ13" s="48">
        <f>(HQ7+HQ10)</f>
        <v>3633846</v>
      </c>
      <c r="HR13" s="49">
        <f t="shared" si="181"/>
        <v>0.66665651534842629</v>
      </c>
      <c r="HS13" s="49">
        <f t="shared" si="182"/>
        <v>0.1910711113354524</v>
      </c>
      <c r="HT13" s="48">
        <f>(HT7+HT10)</f>
        <v>758945</v>
      </c>
      <c r="HU13" s="49">
        <f t="shared" si="242"/>
        <v>0.70524221575471036</v>
      </c>
      <c r="HV13" s="49">
        <f t="shared" si="183"/>
        <v>8.1469480116049153E-2</v>
      </c>
      <c r="HW13" s="48">
        <f>(HW7+HW10)</f>
        <v>1010505</v>
      </c>
      <c r="HX13" s="49">
        <f t="shared" si="184"/>
        <v>0.68991143506330355</v>
      </c>
      <c r="HY13" s="49">
        <f>(HW13/HB13)-1</f>
        <v>0.10102703904186616</v>
      </c>
      <c r="HZ13" s="48">
        <f t="shared" si="185"/>
        <v>1769450</v>
      </c>
      <c r="IA13" s="49">
        <f t="shared" si="186"/>
        <v>0.69640464791903134</v>
      </c>
      <c r="IB13" s="49">
        <f>(HZ13/HE13)-1</f>
        <v>9.2552526741897179E-2</v>
      </c>
      <c r="IC13" s="48">
        <f>(IC7+IC10)</f>
        <v>851613</v>
      </c>
      <c r="ID13" s="49">
        <f t="shared" si="187"/>
        <v>0.67565918607953868</v>
      </c>
      <c r="IE13" s="49">
        <f>(IC13/HH13)-1</f>
        <v>3.3626327211290663E-2</v>
      </c>
      <c r="IF13" s="48">
        <f t="shared" si="188"/>
        <v>2621063</v>
      </c>
      <c r="IG13" s="49">
        <f t="shared" si="189"/>
        <v>0.68952587751305228</v>
      </c>
      <c r="IH13" s="49">
        <f>(IF13/HK13)-1</f>
        <v>7.2683288970085025E-2</v>
      </c>
      <c r="II13" s="48">
        <f>(II7+II10)</f>
        <v>1255434</v>
      </c>
      <c r="IJ13" s="49">
        <f t="shared" si="22"/>
        <v>0.65370027867684732</v>
      </c>
      <c r="IK13" s="49">
        <f t="shared" si="23"/>
        <v>5.4648003750056739E-2</v>
      </c>
      <c r="IL13" s="48">
        <f>(IL7+IL10)</f>
        <v>3876495</v>
      </c>
      <c r="IM13" s="49">
        <f t="shared" si="24"/>
        <v>0.67750080962893044</v>
      </c>
      <c r="IN13" s="49">
        <f t="shared" si="25"/>
        <v>6.6774706468023082E-2</v>
      </c>
      <c r="IO13" s="48">
        <f>(IO7+IO10)</f>
        <v>845768</v>
      </c>
      <c r="IP13" s="49">
        <f t="shared" si="26"/>
        <v>0.68500766187947681</v>
      </c>
      <c r="IQ13" s="49">
        <f t="shared" si="27"/>
        <v>0.11439959417349077</v>
      </c>
      <c r="IR13" s="48">
        <f>(IR7+IR10)</f>
        <v>1119093</v>
      </c>
      <c r="IS13" s="49">
        <f t="shared" si="190"/>
        <v>0.6863681080630204</v>
      </c>
      <c r="IT13" s="49">
        <f>(IR13/HW13)-1</f>
        <v>0.10745914171627047</v>
      </c>
      <c r="IU13" s="48">
        <f t="shared" si="191"/>
        <v>1964861</v>
      </c>
      <c r="IV13" s="49">
        <f t="shared" si="192"/>
        <v>0.6857818466113349</v>
      </c>
      <c r="IW13" s="49">
        <f>(IU13/HZ13)-1</f>
        <v>0.11043601118991786</v>
      </c>
      <c r="IX13" s="48">
        <f>(IX7+IX10)</f>
        <v>1043824</v>
      </c>
      <c r="IY13" s="49">
        <f t="shared" si="193"/>
        <v>0.6900959818270529</v>
      </c>
      <c r="IZ13" s="49">
        <f>(IX13/IC13)-1</f>
        <v>0.22570228495807365</v>
      </c>
      <c r="JA13" s="48">
        <f t="shared" si="194"/>
        <v>3008685</v>
      </c>
      <c r="JB13" s="49">
        <f t="shared" si="31"/>
        <v>0.68727245564926753</v>
      </c>
      <c r="JC13" s="49">
        <f t="shared" si="32"/>
        <v>0.14788732663045479</v>
      </c>
      <c r="JD13" s="48">
        <f>(JD7+JD10)</f>
        <v>1490707</v>
      </c>
      <c r="JE13" s="49">
        <f t="shared" si="195"/>
        <v>0.6707780710102571</v>
      </c>
      <c r="JF13" s="49">
        <f>(JD13/II13)-1</f>
        <v>0.18740371855469906</v>
      </c>
      <c r="JG13" s="48">
        <f t="shared" si="196"/>
        <v>4499392</v>
      </c>
      <c r="JH13" s="49">
        <f t="shared" si="34"/>
        <v>0.6817185203860624</v>
      </c>
      <c r="JI13" s="49">
        <f t="shared" si="35"/>
        <v>0.16068561935459735</v>
      </c>
      <c r="JJ13" s="48">
        <f>(JJ7+JJ10)</f>
        <v>1008863</v>
      </c>
      <c r="JK13" s="49">
        <f t="shared" si="197"/>
        <v>0.72122483323432118</v>
      </c>
      <c r="JL13" s="49">
        <f>(JJ13/IO13)-1</f>
        <v>0.19283656983948316</v>
      </c>
      <c r="JM13" s="48">
        <f>(JM7+JM10)</f>
        <v>1255073</v>
      </c>
      <c r="JN13" s="49">
        <f t="shared" si="198"/>
        <v>0.70508491144255347</v>
      </c>
      <c r="JO13" s="49">
        <f>(JM13/IR13)-1</f>
        <v>0.12150911497078432</v>
      </c>
      <c r="JP13" s="48">
        <f t="shared" si="36"/>
        <v>2263936</v>
      </c>
      <c r="JQ13" s="49">
        <f t="shared" si="199"/>
        <v>0.71218711169133486</v>
      </c>
      <c r="JR13" s="49">
        <f>(JP13/IU13)-1</f>
        <v>0.15221178495578069</v>
      </c>
      <c r="JS13" s="48">
        <f>(JS7+JS10)</f>
        <v>1154107</v>
      </c>
      <c r="JT13" s="49">
        <f t="shared" si="37"/>
        <v>0.67434022744310274</v>
      </c>
      <c r="JU13" s="49">
        <f t="shared" si="38"/>
        <v>0.10565286868284307</v>
      </c>
      <c r="JV13" s="48">
        <f t="shared" si="39"/>
        <v>3418043</v>
      </c>
      <c r="JW13" s="49">
        <f t="shared" si="40"/>
        <v>0.69894184643880519</v>
      </c>
      <c r="JX13" s="49">
        <f t="shared" si="41"/>
        <v>0.13605877650867404</v>
      </c>
      <c r="JY13" s="48">
        <f>JY7+JY10</f>
        <v>1723981</v>
      </c>
      <c r="JZ13" s="49">
        <f t="shared" si="42"/>
        <v>0.66431597435496292</v>
      </c>
      <c r="KA13" s="49">
        <f t="shared" si="43"/>
        <v>0.15648547970862148</v>
      </c>
      <c r="KB13" s="48">
        <f t="shared" si="44"/>
        <v>5142024</v>
      </c>
      <c r="KC13" s="49">
        <f t="shared" si="45"/>
        <v>0.6869374156444924</v>
      </c>
      <c r="KD13" s="49">
        <f t="shared" si="46"/>
        <v>0.1428264085458657</v>
      </c>
      <c r="KE13" s="48">
        <f>KE7+KE10</f>
        <v>1148086</v>
      </c>
      <c r="KF13" s="49">
        <f t="shared" si="47"/>
        <v>0.69566761213012862</v>
      </c>
      <c r="KG13" s="49">
        <f t="shared" si="48"/>
        <v>0.13799990682580288</v>
      </c>
      <c r="KH13" s="48">
        <f>(KH7+KH10)</f>
        <v>1406512</v>
      </c>
      <c r="KI13" s="49">
        <f t="shared" si="200"/>
        <v>0.69650891811026583</v>
      </c>
      <c r="KJ13" s="49">
        <f>(KH13/JM13)-1</f>
        <v>0.12066150733861702</v>
      </c>
      <c r="KK13" s="48">
        <f t="shared" si="49"/>
        <v>2554598</v>
      </c>
      <c r="KL13" s="49">
        <f t="shared" si="201"/>
        <v>0.69613056722995348</v>
      </c>
      <c r="KM13" s="49">
        <f t="shared" si="248"/>
        <v>0.12838790495844399</v>
      </c>
      <c r="KN13" s="48">
        <f>(KN7+KN10)</f>
        <v>1336558</v>
      </c>
      <c r="KO13" s="49">
        <f t="shared" si="50"/>
        <v>0.69182742178263745</v>
      </c>
      <c r="KP13" s="49">
        <f t="shared" si="51"/>
        <v>0.15808846146847744</v>
      </c>
      <c r="KQ13" s="48">
        <f t="shared" si="52"/>
        <v>3891156</v>
      </c>
      <c r="KR13" s="49">
        <f t="shared" si="53"/>
        <v>0.69464647375275257</v>
      </c>
      <c r="KS13" s="49">
        <f t="shared" si="54"/>
        <v>0.13841633940825204</v>
      </c>
      <c r="KT13" s="48">
        <f>(KT7+KT10)</f>
        <v>1966760</v>
      </c>
      <c r="KU13" s="49">
        <f t="shared" si="55"/>
        <v>0.6845528353412984</v>
      </c>
      <c r="KV13" s="49">
        <f t="shared" si="56"/>
        <v>0.14082463785853783</v>
      </c>
      <c r="KW13" s="48">
        <f t="shared" si="57"/>
        <v>5857916</v>
      </c>
      <c r="KX13" s="49">
        <f t="shared" si="58"/>
        <v>0.6912245670728131</v>
      </c>
      <c r="KY13" s="49">
        <f t="shared" si="59"/>
        <v>0.13922377647401096</v>
      </c>
      <c r="KZ13" s="48">
        <f>(KZ7+KZ10)</f>
        <v>1167087</v>
      </c>
      <c r="LA13" s="49">
        <f t="shared" si="60"/>
        <v>0.75287192455069729</v>
      </c>
      <c r="LB13" s="49">
        <f t="shared" si="61"/>
        <v>1.6550153908330811E-2</v>
      </c>
      <c r="LC13" s="48">
        <f>(LC7+LC10)</f>
        <v>503863</v>
      </c>
      <c r="LD13" s="49">
        <f t="shared" si="202"/>
        <v>0.93370901867184541</v>
      </c>
      <c r="LE13" s="49">
        <f>(LC13/KH13)-1</f>
        <v>-0.64176416553858062</v>
      </c>
      <c r="LF13" s="48">
        <f t="shared" si="70"/>
        <v>1670950</v>
      </c>
      <c r="LG13" s="49">
        <f t="shared" si="203"/>
        <v>0.79956800024499763</v>
      </c>
      <c r="LH13" s="49">
        <f>(LF13/KK13)-1</f>
        <v>-0.34590491341494822</v>
      </c>
      <c r="LI13" s="48">
        <f>(LI7+LI10)</f>
        <v>920678</v>
      </c>
      <c r="LJ13" s="49">
        <f t="shared" si="204"/>
        <v>0.55758216614976897</v>
      </c>
      <c r="LK13" s="49">
        <f>(LI13/KN13)-1</f>
        <v>-0.31115746566927882</v>
      </c>
      <c r="LL13" s="48">
        <f t="shared" si="62"/>
        <v>2591628</v>
      </c>
      <c r="LM13" s="49">
        <f t="shared" si="205"/>
        <v>0.6927610248881787</v>
      </c>
      <c r="LN13" s="49">
        <f>(LL13/KQ13)-1</f>
        <v>-0.33396964809429386</v>
      </c>
      <c r="LO13" s="48">
        <f>(LO7+LO10)</f>
        <v>1721982</v>
      </c>
      <c r="LP13" s="49">
        <f t="shared" si="206"/>
        <v>0.58980914234277926</v>
      </c>
      <c r="LQ13" s="49">
        <f>(LO13/KT13)-1</f>
        <v>-0.12445748337367035</v>
      </c>
      <c r="LR13" s="48">
        <f t="shared" si="63"/>
        <v>4313610</v>
      </c>
      <c r="LS13" s="49">
        <f t="shared" si="207"/>
        <v>0.64763366384053256</v>
      </c>
      <c r="LT13" s="49">
        <f>(LR13/KW13)-1</f>
        <v>-0.26362720120944039</v>
      </c>
    </row>
    <row r="14" spans="1:332" ht="16.5" customHeight="1">
      <c r="A14" s="114"/>
      <c r="B14" s="124" t="s">
        <v>115</v>
      </c>
      <c r="C14" s="124" t="s">
        <v>116</v>
      </c>
      <c r="D14" s="48">
        <f>D8+D11</f>
        <v>100767</v>
      </c>
      <c r="E14" s="125">
        <f t="shared" ref="E14:E35" si="255">D14/$D$8</f>
        <v>0.50889340039997577</v>
      </c>
      <c r="F14" s="48">
        <f>F8+F11</f>
        <v>134987</v>
      </c>
      <c r="G14" s="125">
        <f t="shared" ref="G14:G35" si="256">F14/$F$8</f>
        <v>0.48356785647756745</v>
      </c>
      <c r="H14" s="48">
        <f>H8+H11</f>
        <v>235754</v>
      </c>
      <c r="I14" s="125">
        <f t="shared" ref="I14:I35" si="257">H14/$H$8</f>
        <v>0.49407745829491156</v>
      </c>
      <c r="J14" s="48">
        <f>J8+J11</f>
        <v>121855</v>
      </c>
      <c r="K14" s="125">
        <f t="shared" ref="K14:K35" si="258">J14/$J$8</f>
        <v>0.47709004631714125</v>
      </c>
      <c r="L14" s="48">
        <f>L8+L11</f>
        <v>357609</v>
      </c>
      <c r="M14" s="125">
        <f t="shared" ref="M14:M35" si="259">L14/$L$8</f>
        <v>0.48815476409859493</v>
      </c>
      <c r="N14" s="48">
        <f>N8+N11</f>
        <v>192008</v>
      </c>
      <c r="O14" s="125">
        <f t="shared" ref="O14:O35" si="260">N14/$N$8</f>
        <v>0.47543090320679637</v>
      </c>
      <c r="P14" s="48">
        <f>P8+P11</f>
        <v>549617</v>
      </c>
      <c r="Q14" s="125">
        <f t="shared" ref="Q14:Q30" si="261">P14/$P$8</f>
        <v>0.48363301344380755</v>
      </c>
      <c r="R14" s="48">
        <f>R8+R11</f>
        <v>127064</v>
      </c>
      <c r="S14" s="125">
        <f t="shared" ref="S14:S35" si="262">R14/$R$8</f>
        <v>0.50624116018247378</v>
      </c>
      <c r="T14" s="49">
        <f t="shared" si="208"/>
        <v>0.26096837258229377</v>
      </c>
      <c r="U14" s="48">
        <f>U8+U11</f>
        <v>176161</v>
      </c>
      <c r="V14" s="126">
        <f t="shared" ref="V14:V35" si="263">U14/$U$8</f>
        <v>0.49247013633987402</v>
      </c>
      <c r="W14" s="49">
        <f t="shared" si="85"/>
        <v>0.30502196507811874</v>
      </c>
      <c r="X14" s="48">
        <f>X8+X11</f>
        <v>303225</v>
      </c>
      <c r="Y14" s="126">
        <f t="shared" ref="Y14:Y35" si="264">X14/$X$8</f>
        <v>0.49814852539165178</v>
      </c>
      <c r="Z14" s="49">
        <f t="shared" si="87"/>
        <v>0.28619238697964833</v>
      </c>
      <c r="AA14" s="48">
        <f>AA8+AA11</f>
        <v>153443</v>
      </c>
      <c r="AB14" s="126">
        <f t="shared" ref="AB14:AB35" si="265">AA14/$AA$8</f>
        <v>0.47872695563188911</v>
      </c>
      <c r="AC14" s="49">
        <f t="shared" si="89"/>
        <v>0.25922612941610934</v>
      </c>
      <c r="AD14" s="48">
        <f>AD8+AD11</f>
        <v>456668</v>
      </c>
      <c r="AE14" s="126">
        <f t="shared" ref="AE14:AE35" si="266">AD14/$AD$8</f>
        <v>0.49144934445512239</v>
      </c>
      <c r="AF14" s="49">
        <f t="shared" si="91"/>
        <v>0.27700365482971634</v>
      </c>
      <c r="AG14" s="48">
        <f>AG8+AG11</f>
        <v>245071</v>
      </c>
      <c r="AH14" s="126">
        <f t="shared" ref="AH14:AH35" si="267">AG14/$AG$8</f>
        <v>0.48349014261786344</v>
      </c>
      <c r="AI14" s="49">
        <f t="shared" si="93"/>
        <v>0.27635827673846913</v>
      </c>
      <c r="AJ14" s="48">
        <f>AJ8+AJ11</f>
        <v>701738</v>
      </c>
      <c r="AK14" s="126">
        <f t="shared" ref="AK14:AK35" si="268">AJ14/$AJ$8</f>
        <v>0.48863975823494799</v>
      </c>
      <c r="AL14" s="49">
        <f t="shared" si="95"/>
        <v>0.27677637336545269</v>
      </c>
      <c r="AM14" s="48">
        <f>AM8+AM11</f>
        <v>155470</v>
      </c>
      <c r="AN14" s="126">
        <f t="shared" ref="AN14:AN35" si="269">AM14/$AM$8</f>
        <v>0.50104256299690941</v>
      </c>
      <c r="AO14" s="49">
        <f t="shared" si="97"/>
        <v>0.22355663287791971</v>
      </c>
      <c r="AP14" s="48">
        <f>AP8+AP11</f>
        <v>215072</v>
      </c>
      <c r="AQ14" s="126">
        <f t="shared" ref="AQ14:AQ35" si="270">AP14/$AP$8</f>
        <v>0.48400940689313726</v>
      </c>
      <c r="AR14" s="49">
        <f t="shared" si="99"/>
        <v>0.22088316937347097</v>
      </c>
      <c r="AS14" s="48">
        <f>AS8+AS11</f>
        <v>370541</v>
      </c>
      <c r="AT14" s="126">
        <f t="shared" ref="AT14:AT35" si="271">AS14/$AS$8</f>
        <v>0.49101170346969714</v>
      </c>
      <c r="AU14" s="49">
        <f t="shared" si="101"/>
        <v>0.2220001648940555</v>
      </c>
      <c r="AV14" s="48">
        <f>AV8+AV11</f>
        <v>193471</v>
      </c>
      <c r="AW14" s="126">
        <f t="shared" ref="AW14:AW35" si="272">AV14/$AV$8</f>
        <v>0.48935648197330017</v>
      </c>
      <c r="AX14" s="49">
        <f t="shared" si="103"/>
        <v>0.26086559830034606</v>
      </c>
      <c r="AY14" s="48">
        <f>AY8+AY11</f>
        <v>564013</v>
      </c>
      <c r="AZ14" s="126">
        <f t="shared" ref="AZ14:AZ35" si="273">AY14/$AY$8</f>
        <v>0.49044352812072284</v>
      </c>
      <c r="BA14" s="49">
        <f t="shared" si="105"/>
        <v>0.23506135748508772</v>
      </c>
      <c r="BB14" s="48">
        <f>BB8+BB11</f>
        <v>295485</v>
      </c>
      <c r="BC14" s="126">
        <f t="shared" ref="BC14:BC35" si="274">BB14/$BB$8</f>
        <v>0.49106564160858335</v>
      </c>
      <c r="BD14" s="49">
        <f t="shared" si="107"/>
        <v>0.20571181412733464</v>
      </c>
      <c r="BE14" s="48">
        <f>BE8+BE11</f>
        <v>859498</v>
      </c>
      <c r="BF14" s="126">
        <f t="shared" ref="BF14:BF35" si="275">BE14/$BE$8</f>
        <v>0.49065722532265282</v>
      </c>
      <c r="BG14" s="49">
        <f t="shared" si="109"/>
        <v>0.2248132493893733</v>
      </c>
      <c r="BH14" s="48">
        <f>BH8+BH11</f>
        <v>195745</v>
      </c>
      <c r="BI14" s="126">
        <f t="shared" ref="BI14:BI35" si="276">BH14/$BH$8</f>
        <v>0.51057297793590217</v>
      </c>
      <c r="BJ14" s="49">
        <f t="shared" si="111"/>
        <v>0.2590531935421625</v>
      </c>
      <c r="BK14" s="48">
        <f>BK8+BK11</f>
        <v>253144</v>
      </c>
      <c r="BL14" s="126">
        <f t="shared" ref="BL14:BL35" si="277">BK14/$BK$8</f>
        <v>0.49612147865931333</v>
      </c>
      <c r="BM14" s="49">
        <f t="shared" si="113"/>
        <v>0.17701978872191648</v>
      </c>
      <c r="BN14" s="48">
        <f>BN8+BN11</f>
        <v>448888</v>
      </c>
      <c r="BO14" s="126">
        <f t="shared" ref="BO14:BO35" si="278">BN14/$BN$8</f>
        <v>0.50232031413483669</v>
      </c>
      <c r="BP14" s="49">
        <f t="shared" si="115"/>
        <v>0.21143948982703664</v>
      </c>
      <c r="BQ14" s="48">
        <f>BQ8+BQ11</f>
        <v>218380</v>
      </c>
      <c r="BR14" s="126">
        <f t="shared" ref="BR14:BR35" si="279">BQ14/$BQ$8</f>
        <v>0.48633288347875664</v>
      </c>
      <c r="BS14" s="49">
        <f t="shared" si="117"/>
        <v>0.12874797773309687</v>
      </c>
      <c r="BT14" s="48">
        <f>BT8+BT11</f>
        <v>667269</v>
      </c>
      <c r="BU14" s="126">
        <f t="shared" ref="BU14:BU35" si="280">BT14/$BT$8</f>
        <v>0.49697392646261462</v>
      </c>
      <c r="BV14" s="49">
        <f t="shared" si="119"/>
        <v>0.18307379439835603</v>
      </c>
      <c r="BW14" s="48">
        <f>BW8+BW11</f>
        <v>292718</v>
      </c>
      <c r="BX14" s="126">
        <f t="shared" ref="BX14:BX35" si="281">BW14/$BW$8</f>
        <v>0.47692738831917464</v>
      </c>
      <c r="BY14" s="49">
        <f t="shared" si="121"/>
        <v>-9.3642655295531618E-3</v>
      </c>
      <c r="BZ14" s="48">
        <f>BZ8+BZ11</f>
        <v>959988</v>
      </c>
      <c r="CA14" s="126">
        <f t="shared" ref="CA14:CA35" si="282">BZ14/$BZ$8</f>
        <v>0.49068554739212705</v>
      </c>
      <c r="CB14" s="49">
        <f t="shared" si="123"/>
        <v>0.11691708415842728</v>
      </c>
      <c r="CC14" s="48">
        <f>CC8+CC11</f>
        <v>181999.27969534285</v>
      </c>
      <c r="CD14" s="126">
        <f t="shared" ref="CD14:CD35" si="283">CC14/$CC$8</f>
        <v>0.50186069641814224</v>
      </c>
      <c r="CE14" s="49">
        <f t="shared" si="125"/>
        <v>-7.0222587063052178E-2</v>
      </c>
      <c r="CF14" s="48">
        <f>CF8+CF11</f>
        <v>275107.94096658792</v>
      </c>
      <c r="CG14" s="126">
        <f t="shared" ref="CG14:CG35" si="284">CF14/$CF$8</f>
        <v>0.49592945957072593</v>
      </c>
      <c r="CH14" s="49">
        <f t="shared" si="127"/>
        <v>8.676461210452513E-2</v>
      </c>
      <c r="CI14" s="48">
        <f>CI8+CI11</f>
        <v>457107.22066193074</v>
      </c>
      <c r="CJ14" s="126">
        <f t="shared" ref="CJ14:CJ35" si="285">CI14/$CI$8</f>
        <v>0.49827467424832755</v>
      </c>
      <c r="CK14" s="49">
        <f t="shared" si="129"/>
        <v>1.8310181296739447E-2</v>
      </c>
      <c r="CL14" s="48">
        <f>CL8+CL11</f>
        <v>238138.64055040854</v>
      </c>
      <c r="CM14" s="126">
        <f t="shared" ref="CM14:CM35" si="286">CL14/$CL$8</f>
        <v>0.48926230261214337</v>
      </c>
      <c r="CN14" s="49">
        <f t="shared" si="131"/>
        <v>9.0478251444310542E-2</v>
      </c>
      <c r="CO14" s="48">
        <f>CO8+CO11</f>
        <v>695246.86121233925</v>
      </c>
      <c r="CP14" s="126">
        <f t="shared" ref="CP14:CP35" si="287">CO14/$CO$8</f>
        <v>0.49515092554102863</v>
      </c>
      <c r="CQ14" s="49">
        <f t="shared" si="133"/>
        <v>4.1928909049183005E-2</v>
      </c>
      <c r="CR14" s="48">
        <f>CR8+CR11</f>
        <v>364975.23646145535</v>
      </c>
      <c r="CS14" s="126">
        <f t="shared" ref="CS14:CS35" si="288">CR14/$CR$8</f>
        <v>0.51270792273382526</v>
      </c>
      <c r="CT14" s="49">
        <f t="shared" si="135"/>
        <v>0.2468493104676015</v>
      </c>
      <c r="CU14" s="48">
        <f>CU8+CU11</f>
        <v>1060220</v>
      </c>
      <c r="CV14" s="126">
        <f t="shared" ref="CV14:CV35" si="289">CU14/$CU$8</f>
        <v>0.50105672675579216</v>
      </c>
      <c r="CW14" s="49">
        <f t="shared" si="137"/>
        <v>0.10440963845381401</v>
      </c>
      <c r="CX14" s="48">
        <f>CX8+CX11</f>
        <v>233467</v>
      </c>
      <c r="CY14" s="126">
        <f t="shared" ref="CY14:CY35" si="290">CX14/$CX$8</f>
        <v>0.53031032649927545</v>
      </c>
      <c r="CZ14" s="49">
        <f t="shared" si="139"/>
        <v>0.28279079120978601</v>
      </c>
      <c r="DA14" s="48">
        <f>DA8+DA11</f>
        <v>339844</v>
      </c>
      <c r="DB14" s="126">
        <f t="shared" ref="DB14:DB35" si="291">DA14/$DA$8</f>
        <v>0.53944433950434056</v>
      </c>
      <c r="DC14" s="49">
        <f t="shared" si="141"/>
        <v>0.23531148830514614</v>
      </c>
      <c r="DD14" s="48">
        <f>DD8+DD11</f>
        <v>573311</v>
      </c>
      <c r="DE14" s="126">
        <f t="shared" ref="DE14:DE35" si="292">DD14/$DD$8</f>
        <v>0.53568702200918494</v>
      </c>
      <c r="DF14" s="49">
        <f t="shared" si="143"/>
        <v>0.25421558462759819</v>
      </c>
      <c r="DG14" s="48">
        <f>DG8+DG11</f>
        <v>286282</v>
      </c>
      <c r="DH14" s="126">
        <f t="shared" ref="DH14:DH35" si="293">DG14/$DG$8</f>
        <v>0.50336181735063479</v>
      </c>
      <c r="DI14" s="49">
        <f t="shared" si="145"/>
        <v>0.20216525692058185</v>
      </c>
      <c r="DJ14" s="48">
        <f>DJ8+DJ11</f>
        <v>859593</v>
      </c>
      <c r="DK14" s="126">
        <f t="shared" ref="DK14:DK35" si="294">DJ14/$DJ$8</f>
        <v>0.52446986683750518</v>
      </c>
      <c r="DL14" s="49">
        <f t="shared" si="147"/>
        <v>0.23638530133179114</v>
      </c>
      <c r="DM14" s="48">
        <f>DM8+DM11</f>
        <v>420725</v>
      </c>
      <c r="DN14" s="126">
        <f t="shared" ref="DN14:DN27" si="295">DM14/$DM$8</f>
        <v>0.51076897302323998</v>
      </c>
      <c r="DO14" s="49">
        <f t="shared" si="149"/>
        <v>0.15274944152117098</v>
      </c>
      <c r="DP14" s="48">
        <f>DP8+DP11</f>
        <v>1280317</v>
      </c>
      <c r="DQ14" s="126">
        <f t="shared" ref="DQ14:DQ35" si="296">DP14/$DP$8</f>
        <v>0.51988705001821189</v>
      </c>
      <c r="DR14" s="49">
        <f t="shared" si="151"/>
        <v>0.20759559336741429</v>
      </c>
      <c r="DS14" s="48">
        <f>DS8+DS11</f>
        <v>274314</v>
      </c>
      <c r="DT14" s="126">
        <f t="shared" ref="DT14:DT25" si="297">DS14/$DS$8</f>
        <v>0.52986341695205974</v>
      </c>
      <c r="DU14" s="49">
        <f t="shared" si="209"/>
        <v>0.17495834529076904</v>
      </c>
      <c r="DV14" s="48">
        <f>(DV8+DV11)</f>
        <v>403955</v>
      </c>
      <c r="DW14" s="126">
        <f t="shared" ref="DW14:DW35" si="298">(DV14/$DV$8)</f>
        <v>0.53885597736552782</v>
      </c>
      <c r="DX14" s="49">
        <f t="shared" si="210"/>
        <v>0.18864832099433859</v>
      </c>
      <c r="DY14" s="48">
        <f>(DY8+DY11)</f>
        <v>678269</v>
      </c>
      <c r="DZ14" s="126">
        <f t="shared" ref="DZ14:DZ35" si="299">(DY14/$DY$8)</f>
        <v>0.53518258426966292</v>
      </c>
      <c r="EA14" s="49">
        <f t="shared" si="211"/>
        <v>0.1830734104177314</v>
      </c>
      <c r="EB14" s="48">
        <f>(EB8+EB11)</f>
        <v>329574</v>
      </c>
      <c r="EC14" s="126">
        <f>(EB14/$EB$8)</f>
        <v>0.50157668214940132</v>
      </c>
      <c r="ED14" s="49">
        <f t="shared" si="212"/>
        <v>0.15122152283412849</v>
      </c>
      <c r="EE14" s="48">
        <f>(EE8+EE11)</f>
        <v>1007843</v>
      </c>
      <c r="EF14" s="126">
        <f>(EE14/$EE$8)</f>
        <v>0.52370824490915779</v>
      </c>
      <c r="EG14" s="49">
        <f t="shared" si="213"/>
        <v>0.17246534115563983</v>
      </c>
      <c r="EH14" s="48">
        <f>(EH8+EH11)</f>
        <v>513528</v>
      </c>
      <c r="EI14" s="126">
        <f t="shared" si="250"/>
        <v>0.52822316854903417</v>
      </c>
      <c r="EJ14" s="49">
        <f t="shared" si="214"/>
        <v>0.22057876284984257</v>
      </c>
      <c r="EK14" s="48">
        <f>(EK8+EK11)</f>
        <v>1521372</v>
      </c>
      <c r="EL14" s="126">
        <f t="shared" si="215"/>
        <v>0.5252237351365403</v>
      </c>
      <c r="EM14" s="49">
        <f t="shared" si="232"/>
        <v>0.18827759062794613</v>
      </c>
      <c r="EN14" s="48">
        <f>(EN8+EN11)</f>
        <v>328569</v>
      </c>
      <c r="EO14" s="126">
        <f t="shared" si="216"/>
        <v>0.53063554689203307</v>
      </c>
      <c r="EP14" s="126">
        <f t="shared" si="217"/>
        <v>0.19778429099499117</v>
      </c>
      <c r="EQ14" s="48">
        <f>(EQ8+EQ11)</f>
        <v>467289</v>
      </c>
      <c r="ER14" s="49">
        <f t="shared" si="233"/>
        <v>0.54642883453446045</v>
      </c>
      <c r="ES14" s="49">
        <f t="shared" si="218"/>
        <v>0.15678479038506765</v>
      </c>
      <c r="ET14" s="48">
        <f>(ET8+ET11)</f>
        <v>795858</v>
      </c>
      <c r="EU14" s="49">
        <f t="shared" si="234"/>
        <v>0.53979603463992709</v>
      </c>
      <c r="EV14" s="49">
        <f t="shared" si="10"/>
        <v>0.17336631926271151</v>
      </c>
      <c r="EW14" s="48">
        <f>(EW8+EW11)</f>
        <v>413066</v>
      </c>
      <c r="EX14" s="49">
        <f t="shared" si="235"/>
        <v>0.5142369842890222</v>
      </c>
      <c r="EY14" s="49">
        <f t="shared" si="153"/>
        <v>0.25333309059573872</v>
      </c>
      <c r="EZ14" s="48">
        <f>(EZ8+EZ11)</f>
        <v>1208925</v>
      </c>
      <c r="FA14" s="49">
        <f t="shared" si="236"/>
        <v>0.53078223011737202</v>
      </c>
      <c r="FB14" s="49">
        <f t="shared" si="154"/>
        <v>0.19951718670467522</v>
      </c>
      <c r="FC14" s="48">
        <f>(FC8+FC11)</f>
        <v>636624</v>
      </c>
      <c r="FD14" s="49">
        <f t="shared" si="219"/>
        <v>0.53753846049925191</v>
      </c>
      <c r="FE14" s="49">
        <f t="shared" si="155"/>
        <v>0.2397065009113426</v>
      </c>
      <c r="FF14" s="48">
        <f>(FF8+FF11)</f>
        <v>1845548</v>
      </c>
      <c r="FG14" s="49">
        <f t="shared" si="220"/>
        <v>0.5330933921824631</v>
      </c>
      <c r="FH14" s="49">
        <f t="shared" si="156"/>
        <v>0.2130813502549016</v>
      </c>
      <c r="FI14" s="48">
        <f>(FI8+FI11)</f>
        <v>371912</v>
      </c>
      <c r="FJ14" s="49">
        <f t="shared" si="251"/>
        <v>0.51176019737702116</v>
      </c>
      <c r="FK14" s="49">
        <f t="shared" si="221"/>
        <v>0.13191445328074169</v>
      </c>
      <c r="FL14" s="48">
        <f>(FL8+FL11)</f>
        <v>507153</v>
      </c>
      <c r="FM14" s="49">
        <f t="shared" si="222"/>
        <v>0.53542165723714985</v>
      </c>
      <c r="FN14" s="49">
        <f t="shared" si="223"/>
        <v>8.5309091376000623E-2</v>
      </c>
      <c r="FO14" s="48">
        <f t="shared" si="237"/>
        <v>879065</v>
      </c>
      <c r="FP14" s="49">
        <f t="shared" si="252"/>
        <v>0.52514913969129007</v>
      </c>
      <c r="FQ14" s="49">
        <f t="shared" si="159"/>
        <v>0.10455005792490613</v>
      </c>
      <c r="FR14" s="48">
        <f>(FR8+FR11)</f>
        <v>454430</v>
      </c>
      <c r="FS14" s="49">
        <f t="shared" si="244"/>
        <v>0.50107065908935533</v>
      </c>
      <c r="FT14" s="49">
        <f t="shared" si="160"/>
        <v>0.10013896084402973</v>
      </c>
      <c r="FU14" s="48">
        <f>FO14+FR14</f>
        <v>1333495</v>
      </c>
      <c r="FV14" s="49">
        <f t="shared" si="238"/>
        <v>0.51668789996481779</v>
      </c>
      <c r="FW14" s="49">
        <f t="shared" si="224"/>
        <v>0.10304195876501843</v>
      </c>
      <c r="FX14" s="48">
        <f>FX8+FX11</f>
        <v>729504</v>
      </c>
      <c r="FY14" s="49">
        <f t="shared" si="253"/>
        <v>0.54728370221327971</v>
      </c>
      <c r="FZ14" s="49">
        <f t="shared" si="161"/>
        <v>0.14589459398326166</v>
      </c>
      <c r="GA14" s="48">
        <f>GA8+GA11</f>
        <v>2063002</v>
      </c>
      <c r="GB14" s="49">
        <f t="shared" si="162"/>
        <v>0.52710850222890282</v>
      </c>
      <c r="GC14" s="49">
        <f t="shared" si="163"/>
        <v>0.11782624998103541</v>
      </c>
      <c r="GD14" s="48">
        <f>(GD8+GD11)</f>
        <v>422292</v>
      </c>
      <c r="GE14" s="49">
        <f t="shared" si="13"/>
        <v>0.51845758708238998</v>
      </c>
      <c r="GF14" s="49">
        <f t="shared" si="164"/>
        <v>0.13546215233711201</v>
      </c>
      <c r="GG14" s="48">
        <f>(GG8+GG11)</f>
        <v>601976</v>
      </c>
      <c r="GH14" s="49">
        <f t="shared" si="225"/>
        <v>0.54173603624196587</v>
      </c>
      <c r="GI14" s="49">
        <f t="shared" si="165"/>
        <v>0.1869711901536617</v>
      </c>
      <c r="GJ14" s="48">
        <f t="shared" si="254"/>
        <v>1024268</v>
      </c>
      <c r="GK14" s="49">
        <f t="shared" si="167"/>
        <v>0.5318899898946573</v>
      </c>
      <c r="GL14" s="49">
        <f t="shared" si="226"/>
        <v>0.16517891168457388</v>
      </c>
      <c r="GM14" s="48">
        <f>(GM8+GM11)</f>
        <v>545722</v>
      </c>
      <c r="GN14" s="49">
        <f t="shared" si="168"/>
        <v>0.52117915252829028</v>
      </c>
      <c r="GO14" s="49">
        <f t="shared" si="169"/>
        <v>0.20089342693044032</v>
      </c>
      <c r="GP14" s="48">
        <f t="shared" si="170"/>
        <v>1569990</v>
      </c>
      <c r="GQ14" s="49">
        <f t="shared" si="171"/>
        <v>0.52811738408674636</v>
      </c>
      <c r="GR14" s="49">
        <f t="shared" si="172"/>
        <v>0.17734974634325584</v>
      </c>
      <c r="GS14" s="48">
        <f>(GS8+GS11)</f>
        <v>929481</v>
      </c>
      <c r="GT14" s="49">
        <f t="shared" si="173"/>
        <v>0.55663977932779063</v>
      </c>
      <c r="GU14" s="49">
        <f t="shared" si="227"/>
        <v>0.27412735228319507</v>
      </c>
      <c r="GV14" s="48">
        <f t="shared" si="239"/>
        <v>2499471</v>
      </c>
      <c r="GW14" s="49">
        <f t="shared" si="174"/>
        <v>0.53837602625418624</v>
      </c>
      <c r="GX14" s="49">
        <f t="shared" si="228"/>
        <v>0.21156983851687983</v>
      </c>
      <c r="GY14" s="48">
        <f>(GY8+GY11)</f>
        <v>550313</v>
      </c>
      <c r="GZ14" s="49">
        <f t="shared" si="175"/>
        <v>0.54438195856147276</v>
      </c>
      <c r="HA14" s="49">
        <f t="shared" si="229"/>
        <v>0.30315753080806651</v>
      </c>
      <c r="HB14" s="48">
        <f>(HB8+HB11)</f>
        <v>749243</v>
      </c>
      <c r="HC14" s="49">
        <f t="shared" si="176"/>
        <v>0.55326289703491149</v>
      </c>
      <c r="HD14" s="49">
        <f>(HB14/GG14)-1</f>
        <v>0.24463932116895015</v>
      </c>
      <c r="HE14" s="48">
        <f t="shared" si="177"/>
        <v>1299556</v>
      </c>
      <c r="HF14" s="49">
        <f t="shared" si="240"/>
        <v>0.54946702515431556</v>
      </c>
      <c r="HG14" s="49">
        <f t="shared" si="245"/>
        <v>0.26876559650403986</v>
      </c>
      <c r="HH14" s="48">
        <f>(HH8+HH11)</f>
        <v>662360</v>
      </c>
      <c r="HI14" s="49">
        <f t="shared" si="246"/>
        <v>0.53058200125764499</v>
      </c>
      <c r="HJ14" s="49">
        <f t="shared" si="241"/>
        <v>0.21373153363800612</v>
      </c>
      <c r="HK14" s="48">
        <f t="shared" si="178"/>
        <v>1961916</v>
      </c>
      <c r="HL14" s="49">
        <f t="shared" ref="HL14:HL36" si="300">(HK14/$HK$8)</f>
        <v>0.54294274282507249</v>
      </c>
      <c r="HM14" s="49">
        <f t="shared" si="230"/>
        <v>0.24963598494257933</v>
      </c>
      <c r="HN14" s="48">
        <f>(HN8+HN11)</f>
        <v>1022756</v>
      </c>
      <c r="HO14" s="49">
        <f t="shared" si="179"/>
        <v>0.55664249801073928</v>
      </c>
      <c r="HP14" s="49">
        <f t="shared" si="180"/>
        <v>0.10035170164855445</v>
      </c>
      <c r="HQ14" s="48">
        <f>(HQ8+HQ11)</f>
        <v>2984672</v>
      </c>
      <c r="HR14" s="49">
        <f t="shared" si="181"/>
        <v>0.54756063822683132</v>
      </c>
      <c r="HS14" s="49">
        <f t="shared" si="182"/>
        <v>0.19412147610434372</v>
      </c>
      <c r="HT14" s="48">
        <f>(HT8+HT11)</f>
        <v>598566</v>
      </c>
      <c r="HU14" s="49">
        <f t="shared" si="242"/>
        <v>0.55621159914807261</v>
      </c>
      <c r="HV14" s="49">
        <f t="shared" si="183"/>
        <v>8.7682827772558536E-2</v>
      </c>
      <c r="HW14" s="48">
        <f>(HW8+HW11)</f>
        <v>837911</v>
      </c>
      <c r="HX14" s="49">
        <f t="shared" si="184"/>
        <v>0.57207473537026321</v>
      </c>
      <c r="HY14" s="49">
        <f>(HW14/HB14)-1</f>
        <v>0.1183434479868346</v>
      </c>
      <c r="HZ14" s="48">
        <f t="shared" si="185"/>
        <v>1436477</v>
      </c>
      <c r="IA14" s="49">
        <f t="shared" si="186"/>
        <v>0.56535604816682383</v>
      </c>
      <c r="IB14" s="49">
        <f t="shared" ref="IB14:IB25" si="301">(HZ14/HE14)-1</f>
        <v>0.10535983058829324</v>
      </c>
      <c r="IC14" s="48">
        <f>(IC8+IC11)</f>
        <v>676608</v>
      </c>
      <c r="ID14" s="49">
        <f t="shared" si="187"/>
        <v>0.53681239081003285</v>
      </c>
      <c r="IE14" s="49">
        <f>(IC14/HH14)-1</f>
        <v>2.1510960806812029E-2</v>
      </c>
      <c r="IF14" s="48">
        <f t="shared" si="188"/>
        <v>2113085</v>
      </c>
      <c r="IG14" s="49">
        <f t="shared" si="189"/>
        <v>0.55589155578659044</v>
      </c>
      <c r="IH14" s="49">
        <f t="shared" ref="IH14:IH25" si="302">(IF14/HK14)-1</f>
        <v>7.7051718829960203E-2</v>
      </c>
      <c r="II14" s="48">
        <f>(II8+II11)</f>
        <v>1072043</v>
      </c>
      <c r="IJ14" s="49">
        <f t="shared" si="22"/>
        <v>0.55820919925186308</v>
      </c>
      <c r="IK14" s="49">
        <f t="shared" si="23"/>
        <v>4.8190379719111887E-2</v>
      </c>
      <c r="IL14" s="48">
        <f>(IL8+IL11)</f>
        <v>3185127</v>
      </c>
      <c r="IM14" s="49">
        <f t="shared" si="24"/>
        <v>0.55666939368449242</v>
      </c>
      <c r="IN14" s="49">
        <f t="shared" si="25"/>
        <v>6.7161483740926897E-2</v>
      </c>
      <c r="IO14" s="48">
        <f>(IO8+IO11)</f>
        <v>671558</v>
      </c>
      <c r="IP14" s="49">
        <f t="shared" si="26"/>
        <v>0.54391083062548795</v>
      </c>
      <c r="IQ14" s="49">
        <f t="shared" si="27"/>
        <v>0.12194478136078568</v>
      </c>
      <c r="IR14" s="48">
        <f>(IR8+IR11)</f>
        <v>923745</v>
      </c>
      <c r="IS14" s="49">
        <f t="shared" si="190"/>
        <v>0.56655622721496313</v>
      </c>
      <c r="IT14" s="49">
        <f>(IR14/HW14)-1</f>
        <v>0.10243808709994262</v>
      </c>
      <c r="IU14" s="48">
        <f t="shared" si="191"/>
        <v>1595303</v>
      </c>
      <c r="IV14" s="49">
        <f t="shared" si="192"/>
        <v>0.55679757359151738</v>
      </c>
      <c r="IW14" s="49">
        <f t="shared" ref="IW14:IW25" si="303">(IU14/HZ14)-1</f>
        <v>0.11056633694796369</v>
      </c>
      <c r="IX14" s="48">
        <f>(IX8+IX11)</f>
        <v>815760</v>
      </c>
      <c r="IY14" s="49">
        <f t="shared" si="193"/>
        <v>0.53931764180095176</v>
      </c>
      <c r="IZ14" s="49">
        <f>(IX14/IC14)-1</f>
        <v>0.20566118047673099</v>
      </c>
      <c r="JA14" s="48">
        <f t="shared" si="194"/>
        <v>2411063</v>
      </c>
      <c r="JB14" s="49">
        <f t="shared" si="31"/>
        <v>0.55075795197406507</v>
      </c>
      <c r="JC14" s="49">
        <f t="shared" si="32"/>
        <v>0.14101562407569967</v>
      </c>
      <c r="JD14" s="48">
        <f>(JD8+JD11)</f>
        <v>1266128</v>
      </c>
      <c r="JE14" s="49">
        <f t="shared" si="195"/>
        <v>0.56972355901734872</v>
      </c>
      <c r="JF14" s="49">
        <f>(JD14/II14)-1</f>
        <v>0.1810421783454581</v>
      </c>
      <c r="JG14" s="48">
        <f t="shared" si="196"/>
        <v>3677191</v>
      </c>
      <c r="JH14" s="49">
        <f t="shared" si="34"/>
        <v>0.55714398916496832</v>
      </c>
      <c r="JI14" s="49">
        <f t="shared" si="35"/>
        <v>0.15448803140345735</v>
      </c>
      <c r="JJ14" s="48">
        <f>(JJ8+JJ11)</f>
        <v>786180</v>
      </c>
      <c r="JK14" s="49">
        <f t="shared" si="197"/>
        <v>0.56203125636697815</v>
      </c>
      <c r="JL14" s="49">
        <f>(JJ14/IO14)-1</f>
        <v>0.17068071558971831</v>
      </c>
      <c r="JM14" s="48">
        <f>(JM8+JM11)</f>
        <v>1022233</v>
      </c>
      <c r="JN14" s="49">
        <f t="shared" si="198"/>
        <v>0.57427820077290792</v>
      </c>
      <c r="JO14" s="49">
        <f>(JM14/IR14)-1</f>
        <v>0.10661816843392935</v>
      </c>
      <c r="JP14" s="48">
        <f t="shared" si="36"/>
        <v>1808413</v>
      </c>
      <c r="JQ14" s="49">
        <f t="shared" si="199"/>
        <v>0.56888906365509539</v>
      </c>
      <c r="JR14" s="49">
        <f>(JP14/IU14)-1</f>
        <v>0.13358590813155868</v>
      </c>
      <c r="JS14" s="48">
        <f>(JS8+JS11)</f>
        <v>929141</v>
      </c>
      <c r="JT14" s="49">
        <f t="shared" si="37"/>
        <v>0.54289346938083893</v>
      </c>
      <c r="JU14" s="49">
        <f t="shared" si="38"/>
        <v>0.13898818279886238</v>
      </c>
      <c r="JV14" s="48">
        <f t="shared" si="39"/>
        <v>2737554</v>
      </c>
      <c r="JW14" s="49">
        <f t="shared" si="40"/>
        <v>0.55979139159043256</v>
      </c>
      <c r="JX14" s="49">
        <f t="shared" si="41"/>
        <v>0.13541371585893858</v>
      </c>
      <c r="JY14" s="48">
        <f>(JY8+JY11)</f>
        <v>1490481</v>
      </c>
      <c r="JZ14" s="49">
        <f t="shared" si="42"/>
        <v>0.574339472286852</v>
      </c>
      <c r="KA14" s="49">
        <f t="shared" si="43"/>
        <v>0.17719614446564647</v>
      </c>
      <c r="KB14" s="48">
        <f t="shared" si="44"/>
        <v>4228035</v>
      </c>
      <c r="KC14" s="49">
        <f t="shared" si="45"/>
        <v>0.56483506030980435</v>
      </c>
      <c r="KD14" s="49">
        <f t="shared" si="46"/>
        <v>0.14980021434839808</v>
      </c>
      <c r="KE14" s="48">
        <f>(KE8+KE11)</f>
        <v>911907</v>
      </c>
      <c r="KF14" s="49">
        <f t="shared" si="47"/>
        <v>0.55255805329456953</v>
      </c>
      <c r="KG14" s="49">
        <f t="shared" si="48"/>
        <v>0.15992139204762279</v>
      </c>
      <c r="KH14" s="48">
        <f>(KH8+KH11)</f>
        <v>1139637</v>
      </c>
      <c r="KI14" s="49">
        <f t="shared" si="200"/>
        <v>0.56435162580086695</v>
      </c>
      <c r="KJ14" s="49">
        <f>(KH14/JM14)-1</f>
        <v>0.11485052820638741</v>
      </c>
      <c r="KK14" s="48">
        <f t="shared" si="49"/>
        <v>2051544</v>
      </c>
      <c r="KL14" s="49">
        <f t="shared" si="201"/>
        <v>0.5590478378270114</v>
      </c>
      <c r="KM14" s="49">
        <f t="shared" si="248"/>
        <v>0.13444439959234966</v>
      </c>
      <c r="KN14" s="48">
        <f>(KN8+KN11)</f>
        <v>1049891</v>
      </c>
      <c r="KO14" s="49">
        <f t="shared" si="50"/>
        <v>0.54344322033371917</v>
      </c>
      <c r="KP14" s="49">
        <f t="shared" si="51"/>
        <v>0.12995874684251363</v>
      </c>
      <c r="KQ14" s="48">
        <f t="shared" si="52"/>
        <v>3101435</v>
      </c>
      <c r="KR14" s="49">
        <f t="shared" si="53"/>
        <v>0.55366602786507868</v>
      </c>
      <c r="KS14" s="49">
        <f t="shared" si="54"/>
        <v>0.13292194418813286</v>
      </c>
      <c r="KT14" s="48">
        <f>(KT8+KT11)</f>
        <v>1665952</v>
      </c>
      <c r="KU14" s="49">
        <f t="shared" si="55"/>
        <v>0.57985324347785527</v>
      </c>
      <c r="KV14" s="49">
        <f t="shared" si="56"/>
        <v>0.11772776707653443</v>
      </c>
      <c r="KW14" s="48">
        <f t="shared" si="57"/>
        <v>4767387</v>
      </c>
      <c r="KX14" s="49">
        <f t="shared" si="58"/>
        <v>0.56254391752008004</v>
      </c>
      <c r="KY14" s="49">
        <f t="shared" si="59"/>
        <v>0.12756564219548805</v>
      </c>
      <c r="KZ14" s="48">
        <f>(KZ8+KZ11)</f>
        <v>858940</v>
      </c>
      <c r="LA14" s="49">
        <f t="shared" si="60"/>
        <v>0.55409049271697486</v>
      </c>
      <c r="LB14" s="49">
        <f t="shared" si="61"/>
        <v>-5.8083773893609747E-2</v>
      </c>
      <c r="LC14" s="48">
        <f>(LC8+LC11)</f>
        <v>241795</v>
      </c>
      <c r="LD14" s="49">
        <f t="shared" si="202"/>
        <v>0.44807055126047929</v>
      </c>
      <c r="LE14" s="49">
        <f>(LC14/KH14)-1</f>
        <v>-0.78783156391026266</v>
      </c>
      <c r="LF14" s="48">
        <f t="shared" si="70"/>
        <v>1100735</v>
      </c>
      <c r="LG14" s="49">
        <f t="shared" si="203"/>
        <v>0.52671383509361591</v>
      </c>
      <c r="LH14" s="49">
        <f>(LF14/KK14)-1</f>
        <v>-0.46346020363199625</v>
      </c>
      <c r="LI14" s="48">
        <f>(LI8+LI11)</f>
        <v>788204</v>
      </c>
      <c r="LJ14" s="49">
        <f t="shared" si="204"/>
        <v>0.47735309596613851</v>
      </c>
      <c r="LK14" s="49">
        <f>(LI14/KN14)-1</f>
        <v>-0.24925158897447452</v>
      </c>
      <c r="LL14" s="48">
        <f t="shared" si="62"/>
        <v>1888939</v>
      </c>
      <c r="LM14" s="49">
        <f t="shared" si="205"/>
        <v>0.50492714139191708</v>
      </c>
      <c r="LN14" s="49">
        <f>(LL14/KQ14)-1</f>
        <v>-0.39094677141387779</v>
      </c>
      <c r="LO14" s="48">
        <f>(LO8+LO11)</f>
        <v>1570323</v>
      </c>
      <c r="LP14" s="49">
        <f t="shared" si="206"/>
        <v>0.53786326560390307</v>
      </c>
      <c r="LQ14" s="49">
        <f>(LO14/KT14)-1</f>
        <v>-5.7402013983596123E-2</v>
      </c>
      <c r="LR14" s="48">
        <f t="shared" si="63"/>
        <v>3459262</v>
      </c>
      <c r="LS14" s="49">
        <f t="shared" si="207"/>
        <v>0.51936418063856682</v>
      </c>
      <c r="LT14" s="49">
        <f>(LR14/KW14)-1</f>
        <v>-0.27439035261874067</v>
      </c>
    </row>
    <row r="15" spans="1:332" ht="16.5" customHeight="1">
      <c r="A15" s="114"/>
      <c r="B15" s="109" t="s">
        <v>205</v>
      </c>
      <c r="C15" s="109" t="s">
        <v>206</v>
      </c>
      <c r="D15" s="31">
        <f>SUM(D16:D28)</f>
        <v>-106674</v>
      </c>
      <c r="E15" s="111">
        <f t="shared" si="255"/>
        <v>-0.53872492576207498</v>
      </c>
      <c r="F15" s="31">
        <f>SUM(F16:F28)</f>
        <v>-103451</v>
      </c>
      <c r="G15" s="111">
        <f t="shared" si="256"/>
        <v>-0.37059552638743604</v>
      </c>
      <c r="H15" s="31">
        <f>SUM(H16:H28)</f>
        <v>-210125</v>
      </c>
      <c r="I15" s="111">
        <f t="shared" si="257"/>
        <v>-0.44036591499706595</v>
      </c>
      <c r="J15" s="31">
        <f>SUM(J16:J28)</f>
        <v>-132708</v>
      </c>
      <c r="K15" s="111">
        <f t="shared" si="258"/>
        <v>-0.51958201031270923</v>
      </c>
      <c r="L15" s="31">
        <f>SUM(L16:L28)</f>
        <v>-342833</v>
      </c>
      <c r="M15" s="111">
        <f t="shared" si="259"/>
        <v>-0.46798476056311111</v>
      </c>
      <c r="N15" s="31">
        <f>SUM(N16:N28)</f>
        <v>-155661</v>
      </c>
      <c r="O15" s="111">
        <f t="shared" si="260"/>
        <v>-0.38543211649552694</v>
      </c>
      <c r="P15" s="31">
        <f>SUM(P16:P28)</f>
        <v>-498493</v>
      </c>
      <c r="Q15" s="111">
        <f t="shared" si="261"/>
        <v>-0.43864667899763649</v>
      </c>
      <c r="R15" s="31">
        <f>SUM(R16:R28)</f>
        <v>-121420</v>
      </c>
      <c r="S15" s="111">
        <f t="shared" si="262"/>
        <v>-0.48375465646726029</v>
      </c>
      <c r="T15" s="22">
        <f t="shared" si="208"/>
        <v>0.13823424639556037</v>
      </c>
      <c r="U15" s="31">
        <f>SUM(U16:U28)</f>
        <v>-156173</v>
      </c>
      <c r="V15" s="112">
        <f t="shared" si="263"/>
        <v>-0.43659231386406266</v>
      </c>
      <c r="W15" s="22">
        <f t="shared" si="85"/>
        <v>0.50963257967540199</v>
      </c>
      <c r="X15" s="31">
        <f>SUM(X16:X28)</f>
        <v>-277593</v>
      </c>
      <c r="Y15" s="112">
        <f t="shared" si="264"/>
        <v>-0.45603938860267057</v>
      </c>
      <c r="Z15" s="22">
        <f t="shared" si="87"/>
        <v>0.32108506841165974</v>
      </c>
      <c r="AA15" s="31">
        <f>SUM(AA16:AA28)</f>
        <v>-150460</v>
      </c>
      <c r="AB15" s="112">
        <f t="shared" si="265"/>
        <v>-0.4694202912115511</v>
      </c>
      <c r="AC15" s="22">
        <f t="shared" si="89"/>
        <v>0.1337673689604244</v>
      </c>
      <c r="AD15" s="31">
        <f>SUM(AD16:AD28)</f>
        <v>-428053</v>
      </c>
      <c r="AE15" s="112">
        <f t="shared" si="266"/>
        <v>-0.4606549314645399</v>
      </c>
      <c r="AF15" s="22">
        <f t="shared" si="91"/>
        <v>0.24857583721520382</v>
      </c>
      <c r="AG15" s="31">
        <f>SUM(AG16:AG28)</f>
        <v>-212700</v>
      </c>
      <c r="AH15" s="112">
        <f t="shared" si="267"/>
        <v>-0.41962677483186323</v>
      </c>
      <c r="AI15" s="22">
        <f t="shared" si="93"/>
        <v>0.36643089791277195</v>
      </c>
      <c r="AJ15" s="31">
        <f>SUM(AJ16:AJ28)</f>
        <v>-640753</v>
      </c>
      <c r="AK15" s="112">
        <f t="shared" si="268"/>
        <v>-0.44617420035443089</v>
      </c>
      <c r="AL15" s="22">
        <f t="shared" si="95"/>
        <v>0.28538013572908749</v>
      </c>
      <c r="AM15" s="31">
        <f>SUM(AM16:AM28)</f>
        <v>-165649</v>
      </c>
      <c r="AN15" s="112">
        <f t="shared" si="269"/>
        <v>-0.53384704134479344</v>
      </c>
      <c r="AO15" s="112">
        <f t="shared" si="97"/>
        <v>0.36426453632021083</v>
      </c>
      <c r="AP15" s="31">
        <f>SUM(AP16:AP28)</f>
        <v>-199345</v>
      </c>
      <c r="AQ15" s="112">
        <f t="shared" si="270"/>
        <v>-0.44861653407748309</v>
      </c>
      <c r="AR15" s="112">
        <f t="shared" si="99"/>
        <v>0.27643702816748084</v>
      </c>
      <c r="AS15" s="31">
        <f>SUM(AS16:AS28)</f>
        <v>-364994</v>
      </c>
      <c r="AT15" s="112">
        <f t="shared" si="271"/>
        <v>-0.48366125663885678</v>
      </c>
      <c r="AU15" s="112">
        <f t="shared" si="101"/>
        <v>0.31485304024236926</v>
      </c>
      <c r="AV15" s="31">
        <f>SUM(AV16:AV28)</f>
        <v>-184266</v>
      </c>
      <c r="AW15" s="112">
        <f t="shared" si="272"/>
        <v>-0.46607378628989421</v>
      </c>
      <c r="AX15" s="112">
        <f t="shared" si="103"/>
        <v>0.22468430147547513</v>
      </c>
      <c r="AY15" s="31">
        <f>SUM(AY16:AY28)</f>
        <v>-549261</v>
      </c>
      <c r="AZ15" s="112">
        <f t="shared" si="273"/>
        <v>-0.47761576896120544</v>
      </c>
      <c r="BA15" s="112">
        <f t="shared" si="105"/>
        <v>0.28316119732836831</v>
      </c>
      <c r="BB15" s="31">
        <f>SUM(BB16:BB28)</f>
        <v>-257896</v>
      </c>
      <c r="BC15" s="112">
        <f t="shared" si="274"/>
        <v>-0.42859659444062209</v>
      </c>
      <c r="BD15" s="112">
        <f t="shared" si="107"/>
        <v>0.21248707099200748</v>
      </c>
      <c r="BE15" s="31">
        <f>SUM(BE16:BE28)</f>
        <v>-807157</v>
      </c>
      <c r="BF15" s="112">
        <f t="shared" si="275"/>
        <v>-0.46077758647461248</v>
      </c>
      <c r="BG15" s="112">
        <f t="shared" si="109"/>
        <v>0.25970069589998013</v>
      </c>
      <c r="BH15" s="31">
        <f>SUM(BH16:BH28)</f>
        <v>-203176</v>
      </c>
      <c r="BI15" s="112">
        <f t="shared" si="276"/>
        <v>-0.52995568400268134</v>
      </c>
      <c r="BJ15" s="112">
        <f t="shared" si="111"/>
        <v>0.22654528551334452</v>
      </c>
      <c r="BK15" s="31">
        <f>SUM(BK16:BK28)</f>
        <v>-240262</v>
      </c>
      <c r="BL15" s="112">
        <f t="shared" si="277"/>
        <v>-0.470874832923727</v>
      </c>
      <c r="BM15" s="112">
        <f t="shared" si="113"/>
        <v>0.20525721738694225</v>
      </c>
      <c r="BN15" s="31">
        <f>SUM(BN16:BN28)</f>
        <v>-443434</v>
      </c>
      <c r="BO15" s="112">
        <f t="shared" si="278"/>
        <v>-0.49621711023254617</v>
      </c>
      <c r="BP15" s="112">
        <f t="shared" si="115"/>
        <v>0.21490764231740789</v>
      </c>
      <c r="BQ15" s="31">
        <f>SUM(BQ16:BQ28)</f>
        <v>-230743</v>
      </c>
      <c r="BR15" s="112">
        <f t="shared" si="279"/>
        <v>-0.51386531977534</v>
      </c>
      <c r="BS15" s="112">
        <f t="shared" si="117"/>
        <v>0.25222775769811023</v>
      </c>
      <c r="BT15" s="31">
        <f>SUM(BT16:BT28)</f>
        <v>-674177</v>
      </c>
      <c r="BU15" s="112">
        <f t="shared" si="280"/>
        <v>-0.50211892178534612</v>
      </c>
      <c r="BV15" s="112">
        <f t="shared" si="119"/>
        <v>0.2274255772756486</v>
      </c>
      <c r="BW15" s="31">
        <f>SUM(BW16:BW28)</f>
        <v>-258498</v>
      </c>
      <c r="BX15" s="112">
        <f>BW15/$BW$8</f>
        <v>-0.42117251424828678</v>
      </c>
      <c r="BY15" s="112">
        <f t="shared" si="121"/>
        <v>2.3342742811056638E-3</v>
      </c>
      <c r="BZ15" s="31">
        <f>SUM(BZ16:BZ28)</f>
        <v>-932678</v>
      </c>
      <c r="CA15" s="112">
        <f t="shared" si="282"/>
        <v>-0.47672639134092748</v>
      </c>
      <c r="CB15" s="112">
        <f t="shared" si="123"/>
        <v>0.15551001849702106</v>
      </c>
      <c r="CC15" s="31">
        <f>SUM(CC16:CC28)</f>
        <v>-215749</v>
      </c>
      <c r="CD15" s="112">
        <f t="shared" si="283"/>
        <v>-0.5949251204332564</v>
      </c>
      <c r="CE15" s="112">
        <f t="shared" si="125"/>
        <v>6.1882308934126051E-2</v>
      </c>
      <c r="CF15" s="31">
        <f>SUM(CF16:CF28)</f>
        <v>-253224</v>
      </c>
      <c r="CG15" s="112">
        <f t="shared" si="284"/>
        <v>-0.45647988578268422</v>
      </c>
      <c r="CH15" s="112">
        <f t="shared" si="127"/>
        <v>5.3949438529605098E-2</v>
      </c>
      <c r="CI15" s="31">
        <f>SUM(CI16:CI28)</f>
        <v>-468971</v>
      </c>
      <c r="CJ15" s="112">
        <f t="shared" si="285"/>
        <v>-0.51120691534587626</v>
      </c>
      <c r="CK15" s="112">
        <f t="shared" si="129"/>
        <v>5.7589178998453061E-2</v>
      </c>
      <c r="CL15" s="31">
        <f>SUM(CL16:CL28)</f>
        <v>-248932</v>
      </c>
      <c r="CM15" s="112">
        <f t="shared" si="286"/>
        <v>-0.51143755264725821</v>
      </c>
      <c r="CN15" s="112">
        <f t="shared" si="131"/>
        <v>7.8827960111466089E-2</v>
      </c>
      <c r="CO15" s="31">
        <f>SUM(CO16:CO28)</f>
        <v>-717903</v>
      </c>
      <c r="CP15" s="112">
        <f t="shared" si="287"/>
        <v>-0.51128650085356497</v>
      </c>
      <c r="CQ15" s="112">
        <f t="shared" si="133"/>
        <v>6.485833838888011E-2</v>
      </c>
      <c r="CR15" s="31">
        <f>SUM(CR16:CR28)</f>
        <v>-288601</v>
      </c>
      <c r="CS15" s="112">
        <f t="shared" si="288"/>
        <v>-0.4054193392502437</v>
      </c>
      <c r="CT15" s="112">
        <f t="shared" si="135"/>
        <v>0.11645351221286049</v>
      </c>
      <c r="CU15" s="31">
        <f>SUM(CU16:CU28)</f>
        <v>-1006506</v>
      </c>
      <c r="CV15" s="112">
        <f t="shared" si="289"/>
        <v>-0.47567165476982637</v>
      </c>
      <c r="CW15" s="112">
        <f>(CU15/BZ15)-1</f>
        <v>7.9157008099258297E-2</v>
      </c>
      <c r="CX15" s="31">
        <f>SUM(CX16:CX28)</f>
        <v>-237005</v>
      </c>
      <c r="CY15" s="112">
        <f t="shared" si="290"/>
        <v>-0.53834674250305514</v>
      </c>
      <c r="CZ15" s="112">
        <f t="shared" si="139"/>
        <v>9.8521893496609447E-2</v>
      </c>
      <c r="DA15" s="31">
        <f>SUM(DA16:DA28)</f>
        <v>-267992</v>
      </c>
      <c r="DB15" s="112">
        <f t="shared" si="291"/>
        <v>-0.42539155445571269</v>
      </c>
      <c r="DC15" s="112">
        <f t="shared" si="141"/>
        <v>5.8319906485957196E-2</v>
      </c>
      <c r="DD15" s="31">
        <f>SUM(DD16:DD28)</f>
        <v>-504997</v>
      </c>
      <c r="DE15" s="112">
        <f t="shared" si="292"/>
        <v>-0.47185618111909999</v>
      </c>
      <c r="DF15" s="112">
        <f t="shared" si="143"/>
        <v>7.6819248951427666E-2</v>
      </c>
      <c r="DG15" s="31">
        <f>SUM(DG16:DG28)</f>
        <v>-266817</v>
      </c>
      <c r="DH15" s="112">
        <f t="shared" si="293"/>
        <v>-0.46913703977212784</v>
      </c>
      <c r="DI15" s="112">
        <f t="shared" si="145"/>
        <v>7.1846930085324612E-2</v>
      </c>
      <c r="DJ15" s="31">
        <f>SUM(DJ16:DJ28)</f>
        <v>-771814</v>
      </c>
      <c r="DK15" s="112">
        <f t="shared" si="294"/>
        <v>-0.47091261306609311</v>
      </c>
      <c r="DL15" s="112">
        <f t="shared" si="147"/>
        <v>7.5095103377475825E-2</v>
      </c>
      <c r="DM15" s="31">
        <f>SUM(DM16:DM28)</f>
        <v>-330822</v>
      </c>
      <c r="DN15" s="112">
        <f t="shared" si="295"/>
        <v>-0.40162484566758405</v>
      </c>
      <c r="DO15" s="112">
        <f t="shared" si="149"/>
        <v>0.14629540438182831</v>
      </c>
      <c r="DP15" s="31">
        <f>SUM(DP16:DP28)</f>
        <v>-1102635</v>
      </c>
      <c r="DQ15" s="112">
        <f t="shared" si="296"/>
        <v>-0.44773728490430964</v>
      </c>
      <c r="DR15" s="112">
        <f t="shared" si="151"/>
        <v>9.5507627376289816E-2</v>
      </c>
      <c r="DS15" s="31">
        <f>SUM(DS16:DS28)</f>
        <v>-284533</v>
      </c>
      <c r="DT15" s="112">
        <f>DS15/$DS$8</f>
        <v>-0.54960238126971439</v>
      </c>
      <c r="DU15" s="112">
        <f>(DS15/CX15)-1</f>
        <v>0.2005358536739732</v>
      </c>
      <c r="DV15" s="31">
        <f t="shared" ref="DV15:EN15" si="304">SUM(DV16:DV28)</f>
        <v>-332275</v>
      </c>
      <c r="DW15" s="113">
        <f t="shared" si="304"/>
        <v>-0.44323840496869882</v>
      </c>
      <c r="DX15" s="112">
        <f t="shared" si="210"/>
        <v>0.2398691005701663</v>
      </c>
      <c r="DY15" s="31">
        <f t="shared" si="304"/>
        <v>-616808</v>
      </c>
      <c r="DZ15" s="113">
        <f t="shared" si="304"/>
        <v>-0.48668728695871732</v>
      </c>
      <c r="EA15" s="112">
        <f t="shared" si="211"/>
        <v>0.22140923609447194</v>
      </c>
      <c r="EB15" s="31">
        <f t="shared" si="304"/>
        <v>-330656.36776000005</v>
      </c>
      <c r="EC15" s="113">
        <f t="shared" si="304"/>
        <v>-0.50322393111299146</v>
      </c>
      <c r="ED15" s="112">
        <f t="shared" si="212"/>
        <v>0.23926274472766007</v>
      </c>
      <c r="EE15" s="31">
        <f t="shared" si="304"/>
        <v>-947464.36775999994</v>
      </c>
      <c r="EF15" s="113">
        <f t="shared" si="304"/>
        <v>-0.49233352928338481</v>
      </c>
      <c r="EG15" s="112">
        <f t="shared" si="213"/>
        <v>0.22758121485228289</v>
      </c>
      <c r="EH15" s="31">
        <f t="shared" si="304"/>
        <v>-415274</v>
      </c>
      <c r="EI15" s="113">
        <f t="shared" si="304"/>
        <v>-0.42715752226953851</v>
      </c>
      <c r="EJ15" s="112">
        <f t="shared" si="214"/>
        <v>0.25527927405069795</v>
      </c>
      <c r="EK15" s="31">
        <f t="shared" si="304"/>
        <v>-1362738</v>
      </c>
      <c r="EL15" s="113">
        <f t="shared" si="304"/>
        <v>-0.47045846931092383</v>
      </c>
      <c r="EM15" s="112">
        <f t="shared" si="232"/>
        <v>0.23589220367574049</v>
      </c>
      <c r="EN15" s="31">
        <f t="shared" si="304"/>
        <v>-369075</v>
      </c>
      <c r="EO15" s="113">
        <f t="shared" si="216"/>
        <v>-0.59605231920594182</v>
      </c>
      <c r="EP15" s="113">
        <f t="shared" si="217"/>
        <v>0.29712546523601824</v>
      </c>
      <c r="EQ15" s="31">
        <f>SUM(EQ16:EQ28)</f>
        <v>-414249</v>
      </c>
      <c r="ER15" s="113">
        <f t="shared" si="233"/>
        <v>-0.48440600629817032</v>
      </c>
      <c r="ES15" s="112">
        <f t="shared" ref="ES15:ES25" si="305">(EQ15/DV15)-1</f>
        <v>0.24670528929350688</v>
      </c>
      <c r="ET15" s="31">
        <f>SUM(ET16:ET28)</f>
        <v>-783326</v>
      </c>
      <c r="EU15" s="113">
        <f t="shared" si="234"/>
        <v>-0.53129612145678695</v>
      </c>
      <c r="EV15" s="112">
        <f t="shared" ref="EV15:EV25" si="306">(ET15/DY15)-1</f>
        <v>0.26996731559901943</v>
      </c>
      <c r="EW15" s="31">
        <f>SUM(EW16:EW28)</f>
        <v>-414888</v>
      </c>
      <c r="EX15" s="113">
        <f t="shared" si="235"/>
        <v>-0.51650524114234497</v>
      </c>
      <c r="EY15" s="112">
        <f t="shared" si="153"/>
        <v>0.25474069291518298</v>
      </c>
      <c r="EZ15" s="31">
        <f>SUM(EZ16:EZ28)</f>
        <v>-1198214</v>
      </c>
      <c r="FA15" s="113">
        <f t="shared" si="236"/>
        <v>-0.52607953270703878</v>
      </c>
      <c r="FB15" s="112">
        <f t="shared" si="154"/>
        <v>0.26465336404452189</v>
      </c>
      <c r="FC15" s="31">
        <f>SUM(FC16:FC28)</f>
        <v>-515107</v>
      </c>
      <c r="FD15" s="113">
        <f t="shared" si="219"/>
        <v>-0.43493462981663927</v>
      </c>
      <c r="FE15" s="112">
        <f t="shared" si="155"/>
        <v>0.24040272205820745</v>
      </c>
      <c r="FF15" s="31">
        <f>SUM(FF16:FF28)</f>
        <v>-1713319</v>
      </c>
      <c r="FG15" s="113">
        <f t="shared" si="220"/>
        <v>-0.4948985545760205</v>
      </c>
      <c r="FH15" s="112">
        <f>(FF15/EK15)-1</f>
        <v>0.25726221768234248</v>
      </c>
      <c r="FI15" s="31">
        <f>SUM(FI16:FI28)</f>
        <v>-447382</v>
      </c>
      <c r="FJ15" s="113">
        <f t="shared" si="251"/>
        <v>-0.61560880160609632</v>
      </c>
      <c r="FK15" s="112">
        <f>(FI15/EN15)-1</f>
        <v>0.21217096796044155</v>
      </c>
      <c r="FL15" s="31">
        <f>SUM(FL16:FL28)</f>
        <v>-477661</v>
      </c>
      <c r="FM15" s="113">
        <f t="shared" si="222"/>
        <v>-0.50428577612190839</v>
      </c>
      <c r="FN15" s="112">
        <f>(FL15/EQ15)-1</f>
        <v>0.15307701406641905</v>
      </c>
      <c r="FO15" s="31">
        <f>FI15+FL15</f>
        <v>-925043</v>
      </c>
      <c r="FP15" s="113">
        <f t="shared" si="252"/>
        <v>-0.55261617244168526</v>
      </c>
      <c r="FQ15" s="112">
        <f t="shared" si="159"/>
        <v>0.18091701284012029</v>
      </c>
      <c r="FR15" s="31">
        <f>SUM(FR16:FR28)</f>
        <v>-463155</v>
      </c>
      <c r="FS15" s="113">
        <f t="shared" si="244"/>
        <v>-0.51069115399628195</v>
      </c>
      <c r="FT15" s="112">
        <f t="shared" si="160"/>
        <v>0.1163374211835484</v>
      </c>
      <c r="FU15" s="31">
        <f>FO15+FR15</f>
        <v>-1388198</v>
      </c>
      <c r="FV15" s="113">
        <f t="shared" si="238"/>
        <v>-0.53788361362836767</v>
      </c>
      <c r="FW15" s="112">
        <f t="shared" si="224"/>
        <v>0.15855598415641947</v>
      </c>
      <c r="FX15" s="31">
        <f>SUM(FX16:FX28)</f>
        <v>-525711</v>
      </c>
      <c r="FY15" s="113">
        <f>(FX15/$FX$8)</f>
        <v>-0.39439545550709176</v>
      </c>
      <c r="FZ15" s="112">
        <f t="shared" si="161"/>
        <v>2.0586014167930156E-2</v>
      </c>
      <c r="GA15" s="31">
        <f>SUM(GA16:GA28)</f>
        <v>-1913910</v>
      </c>
      <c r="GB15" s="113">
        <f t="shared" si="162"/>
        <v>-0.48901466576422098</v>
      </c>
      <c r="GC15" s="112">
        <f>(GA15/FF15)-1</f>
        <v>0.11707743858557573</v>
      </c>
      <c r="GD15" s="31">
        <f>SUM(GD16:GD28)</f>
        <v>-473730.77999999997</v>
      </c>
      <c r="GE15" s="113">
        <f t="shared" si="13"/>
        <v>-0.58161015867091614</v>
      </c>
      <c r="GF15" s="112">
        <f t="shared" si="164"/>
        <v>5.8895485289975902E-2</v>
      </c>
      <c r="GG15" s="31">
        <f>SUM(GG16:GG28)</f>
        <v>-574261</v>
      </c>
      <c r="GH15" s="113">
        <f t="shared" si="225"/>
        <v>-0.51679448667114236</v>
      </c>
      <c r="GI15" s="112">
        <f t="shared" si="165"/>
        <v>0.20223547662463548</v>
      </c>
      <c r="GJ15" s="31">
        <f t="shared" si="254"/>
        <v>-1047991.78</v>
      </c>
      <c r="GK15" s="113">
        <f t="shared" si="167"/>
        <v>-0.54420946204888165</v>
      </c>
      <c r="GL15" s="112">
        <f t="shared" si="226"/>
        <v>0.13291142141500445</v>
      </c>
      <c r="GM15" s="31">
        <f>SUM(GM16:GM28)</f>
        <v>-577068</v>
      </c>
      <c r="GN15" s="113">
        <f t="shared" si="168"/>
        <v>-0.55111542358782573</v>
      </c>
      <c r="GO15" s="112">
        <f t="shared" si="169"/>
        <v>0.24595005991514718</v>
      </c>
      <c r="GP15" s="31">
        <f t="shared" si="170"/>
        <v>-1625059.78</v>
      </c>
      <c r="GQ15" s="113">
        <f t="shared" si="171"/>
        <v>-0.54664190217656394</v>
      </c>
      <c r="GR15" s="112">
        <f t="shared" si="172"/>
        <v>0.17062535747782381</v>
      </c>
      <c r="GS15" s="31">
        <f>SUM(GS16:GS28)</f>
        <v>-704271.38399999996</v>
      </c>
      <c r="GT15" s="113">
        <f t="shared" si="173"/>
        <v>-0.4217681348802586</v>
      </c>
      <c r="GU15" s="112">
        <f t="shared" si="227"/>
        <v>0.33965502719174601</v>
      </c>
      <c r="GV15" s="31">
        <f t="shared" si="239"/>
        <v>-2329331.1639999999</v>
      </c>
      <c r="GW15" s="113">
        <f t="shared" si="174"/>
        <v>-0.50172858813099175</v>
      </c>
      <c r="GX15" s="112">
        <f t="shared" si="228"/>
        <v>0.21705365665052168</v>
      </c>
      <c r="GY15" s="31">
        <f>SUM(GY16:GY28)</f>
        <v>-598805.6860799999</v>
      </c>
      <c r="GZ15" s="113">
        <f t="shared" si="175"/>
        <v>-0.59235201092101541</v>
      </c>
      <c r="HA15" s="112">
        <f t="shared" si="229"/>
        <v>0.26402106715548435</v>
      </c>
      <c r="HB15" s="31">
        <f>SUM(HB16:HB28)</f>
        <v>-688638.35935999989</v>
      </c>
      <c r="HC15" s="113">
        <f t="shared" si="176"/>
        <v>-0.50851066170639159</v>
      </c>
      <c r="HD15" s="112">
        <f t="shared" si="249"/>
        <v>0.19917312748036142</v>
      </c>
      <c r="HE15" s="31">
        <f t="shared" si="177"/>
        <v>-1287444.0454399998</v>
      </c>
      <c r="HF15" s="113">
        <f t="shared" si="240"/>
        <v>-0.54434595331063396</v>
      </c>
      <c r="HG15" s="112">
        <f t="shared" si="245"/>
        <v>0.22848677824553132</v>
      </c>
      <c r="HH15" s="31">
        <f>SUM(HH16:HH28)</f>
        <v>-694031</v>
      </c>
      <c r="HI15" s="113">
        <f t="shared" si="246"/>
        <v>-0.55595198519663724</v>
      </c>
      <c r="HJ15" s="112">
        <f t="shared" si="241"/>
        <v>0.20268495220667226</v>
      </c>
      <c r="HK15" s="31">
        <f>SUM(HK16:HK28)</f>
        <v>-1981473.3599399999</v>
      </c>
      <c r="HL15" s="113">
        <f t="shared" si="300"/>
        <v>-0.54835506763828612</v>
      </c>
      <c r="HM15" s="112">
        <f t="shared" si="230"/>
        <v>0.21932336540874808</v>
      </c>
      <c r="HN15" s="31">
        <f>SUM(HN16:HN28)</f>
        <v>-801004</v>
      </c>
      <c r="HO15" s="113">
        <f t="shared" si="179"/>
        <v>-0.43595233611593986</v>
      </c>
      <c r="HP15" s="112">
        <f t="shared" si="180"/>
        <v>0.13735133671141764</v>
      </c>
      <c r="HQ15" s="31">
        <f>SUM(HQ16:HQ28)</f>
        <v>-2782479.6312699998</v>
      </c>
      <c r="HR15" s="113">
        <f t="shared" si="181"/>
        <v>-0.51046691989986148</v>
      </c>
      <c r="HS15" s="112">
        <f t="shared" si="182"/>
        <v>0.19454016426407961</v>
      </c>
      <c r="HT15" s="31">
        <f>SUM(HT16:HT28)</f>
        <v>-677329</v>
      </c>
      <c r="HU15" s="113">
        <f t="shared" si="242"/>
        <v>-0.62940134628322497</v>
      </c>
      <c r="HV15" s="112">
        <f t="shared" si="183"/>
        <v>0.13113321357056962</v>
      </c>
      <c r="HW15" s="31">
        <f>SUM(HW16:HW28)</f>
        <v>-764193</v>
      </c>
      <c r="HX15" s="113">
        <f t="shared" si="184"/>
        <v>-0.52174456266454017</v>
      </c>
      <c r="HY15" s="112">
        <f t="shared" ref="HY15:HY25" si="307">(HW15/HB15)-1</f>
        <v>0.10971599187448455</v>
      </c>
      <c r="HZ15" s="31">
        <f t="shared" si="185"/>
        <v>-1441522</v>
      </c>
      <c r="IA15" s="113">
        <f t="shared" si="186"/>
        <v>-0.56734161512195203</v>
      </c>
      <c r="IB15" s="112">
        <f t="shared" si="301"/>
        <v>0.11967739887859907</v>
      </c>
      <c r="IC15" s="31">
        <f>SUM(IC16:IC28)</f>
        <v>-732729</v>
      </c>
      <c r="ID15" s="113">
        <f t="shared" si="187"/>
        <v>-0.5813380957745764</v>
      </c>
      <c r="IE15" s="112">
        <f t="shared" ref="IE15:IE25" si="308">(IC15/HH15)-1</f>
        <v>5.5758316271175223E-2</v>
      </c>
      <c r="IF15" s="31">
        <f t="shared" si="188"/>
        <v>-2174251</v>
      </c>
      <c r="IG15" s="113">
        <f t="shared" si="189"/>
        <v>-0.57198256154416416</v>
      </c>
      <c r="IH15" s="112">
        <f t="shared" si="302"/>
        <v>9.7290048888589498E-2</v>
      </c>
      <c r="II15" s="31">
        <f>SUM(II16:II28)</f>
        <v>-801755</v>
      </c>
      <c r="IJ15" s="113">
        <f t="shared" si="22"/>
        <v>-0.41747114299163135</v>
      </c>
      <c r="IK15" s="112">
        <f t="shared" si="23"/>
        <v>9.375733454515256E-4</v>
      </c>
      <c r="IL15" s="31">
        <f>SUM(IL16:IL28)</f>
        <v>-2975999</v>
      </c>
      <c r="IM15" s="113">
        <f t="shared" si="24"/>
        <v>-0.52011978138882864</v>
      </c>
      <c r="IN15" s="112">
        <f t="shared" si="25"/>
        <v>6.9549249006244374E-2</v>
      </c>
      <c r="IO15" s="31">
        <f>SUM(IO16:IO28)</f>
        <v>-766235</v>
      </c>
      <c r="IP15" s="113">
        <f t="shared" si="26"/>
        <v>-0.62059198952930461</v>
      </c>
      <c r="IQ15" s="112">
        <f t="shared" si="27"/>
        <v>0.13125969801972159</v>
      </c>
      <c r="IR15" s="31">
        <f>SUM(IR16:IR28)</f>
        <v>-846102.99999999988</v>
      </c>
      <c r="IS15" s="113">
        <f t="shared" si="190"/>
        <v>-0.51893642024071784</v>
      </c>
      <c r="IT15" s="112">
        <f t="shared" ref="IT15:IT25" si="309">(IR15/HW15)-1</f>
        <v>0.10718496505463926</v>
      </c>
      <c r="IU15" s="31">
        <f t="shared" si="191"/>
        <v>-1612338</v>
      </c>
      <c r="IV15" s="113">
        <f t="shared" si="192"/>
        <v>-0.56274318183404648</v>
      </c>
      <c r="IW15" s="112">
        <f t="shared" si="303"/>
        <v>0.11849697750016985</v>
      </c>
      <c r="IX15" s="31">
        <f>SUM(IX16:IX28)</f>
        <v>-855790</v>
      </c>
      <c r="IY15" s="113">
        <f t="shared" si="193"/>
        <v>-0.56578239270966524</v>
      </c>
      <c r="IZ15" s="112">
        <f t="shared" ref="IZ15:IZ25" si="310">(IX15/IC15)-1</f>
        <v>0.16794885967390405</v>
      </c>
      <c r="JA15" s="31">
        <f t="shared" ref="JA15:JA25" si="311">IU15+IX15</f>
        <v>-2468128</v>
      </c>
      <c r="JB15" s="113">
        <f t="shared" si="31"/>
        <v>-0.56379328225344805</v>
      </c>
      <c r="JC15" s="112">
        <f t="shared" si="32"/>
        <v>0.1351624076521063</v>
      </c>
      <c r="JD15" s="31">
        <f>SUM(JD16:JD28)</f>
        <v>-995225</v>
      </c>
      <c r="JE15" s="113">
        <f t="shared" si="195"/>
        <v>-0.44782449248657391</v>
      </c>
      <c r="JF15" s="112">
        <f t="shared" ref="JF15:JF25" si="312">(JD15/II15)-1</f>
        <v>0.24130813028917819</v>
      </c>
      <c r="JG15" s="31">
        <f t="shared" ref="JG15:JG25" si="313">JA15+JD15</f>
        <v>-3463353</v>
      </c>
      <c r="JH15" s="113">
        <f t="shared" si="34"/>
        <v>-0.52474465055159236</v>
      </c>
      <c r="JI15" s="112">
        <f t="shared" si="35"/>
        <v>0.16376147975856181</v>
      </c>
      <c r="JJ15" s="31">
        <f>SUM(JJ16:JJ28)</f>
        <v>-852166</v>
      </c>
      <c r="JK15" s="113">
        <f t="shared" si="197"/>
        <v>-0.60920390701012783</v>
      </c>
      <c r="JL15" s="112">
        <f t="shared" ref="JL15:JL24" si="314">(JJ15/IO15)-1</f>
        <v>0.11214705671236636</v>
      </c>
      <c r="JM15" s="31">
        <f>SUM(JM16:JM28)</f>
        <v>-915197.02214000013</v>
      </c>
      <c r="JN15" s="113">
        <f t="shared" si="198"/>
        <v>-0.5141466761758644</v>
      </c>
      <c r="JO15" s="112">
        <f t="shared" ref="JO15:JO24" si="315">(JM15/IR15)-1</f>
        <v>8.1661478732494963E-2</v>
      </c>
      <c r="JP15" s="31">
        <f>JM15+JJ15</f>
        <v>-1767363.02214</v>
      </c>
      <c r="JQ15" s="113">
        <f t="shared" si="199"/>
        <v>-0.55597559562105792</v>
      </c>
      <c r="JR15" s="112">
        <f t="shared" ref="JR15:JR24" si="316">(JP15/IU15)-1</f>
        <v>9.6149208255341012E-2</v>
      </c>
      <c r="JS15" s="31">
        <f>SUM(JS16:JS28)</f>
        <v>-911812</v>
      </c>
      <c r="JT15" s="112">
        <f t="shared" si="37"/>
        <v>-0.53276820213840692</v>
      </c>
      <c r="JU15" s="112">
        <f t="shared" si="38"/>
        <v>6.5462321363886078E-2</v>
      </c>
      <c r="JV15" s="31">
        <f>JS15+JP15</f>
        <v>-2679175.02214</v>
      </c>
      <c r="JW15" s="112">
        <f t="shared" si="40"/>
        <v>-0.54785370953708257</v>
      </c>
      <c r="JX15" s="112">
        <f t="shared" si="41"/>
        <v>8.5508945297812833E-2</v>
      </c>
      <c r="JY15" s="31">
        <f>SUM(JY16:JY28)</f>
        <v>-1078231</v>
      </c>
      <c r="JZ15" s="112">
        <f t="shared" si="42"/>
        <v>-0.41548374219015521</v>
      </c>
      <c r="KA15" s="112">
        <f t="shared" si="43"/>
        <v>8.3404255319148968E-2</v>
      </c>
      <c r="KB15" s="31">
        <f t="shared" ref="KB15:KB28" si="317">JV15+JY15</f>
        <v>-3757406.02214</v>
      </c>
      <c r="KC15" s="112">
        <f t="shared" si="45"/>
        <v>-0.50196241448423895</v>
      </c>
      <c r="KD15" s="112">
        <f t="shared" si="46"/>
        <v>8.4904144088113531E-2</v>
      </c>
      <c r="KE15" s="31">
        <f>SUM(KE16:KE28)</f>
        <v>-944831</v>
      </c>
      <c r="KF15" s="112">
        <f t="shared" si="47"/>
        <v>-0.57250791807976187</v>
      </c>
      <c r="KG15" s="112">
        <f t="shared" si="48"/>
        <v>0.10874055055001031</v>
      </c>
      <c r="KH15" s="31">
        <f>SUM(KH16:KH28)</f>
        <v>-1085939</v>
      </c>
      <c r="KI15" s="113">
        <f t="shared" si="200"/>
        <v>-0.53776021678005159</v>
      </c>
      <c r="KJ15" s="112">
        <f t="shared" ref="KJ15:KJ19" si="318">(KH15/JM15)-1</f>
        <v>0.18656308284390488</v>
      </c>
      <c r="KK15" s="31">
        <f>KH15+KE15</f>
        <v>-2030770</v>
      </c>
      <c r="KL15" s="113">
        <f t="shared" si="201"/>
        <v>-0.55338690158434822</v>
      </c>
      <c r="KM15" s="112">
        <f t="shared" si="248"/>
        <v>0.14903954341030357</v>
      </c>
      <c r="KN15" s="31">
        <f>SUM(KN16:KN28)</f>
        <v>-1085226</v>
      </c>
      <c r="KO15" s="112">
        <f t="shared" si="50"/>
        <v>-0.56173327729248146</v>
      </c>
      <c r="KP15" s="112">
        <f t="shared" si="51"/>
        <v>0.19018613486113356</v>
      </c>
      <c r="KQ15" s="31">
        <f>KN15+KK15</f>
        <v>-3115996</v>
      </c>
      <c r="KR15" s="112">
        <f t="shared" si="53"/>
        <v>-0.55626544749881057</v>
      </c>
      <c r="KS15" s="112">
        <f t="shared" si="54"/>
        <v>0.1630430913435017</v>
      </c>
      <c r="KT15" s="31">
        <f>SUM(KT16:KT28)</f>
        <v>-1220314</v>
      </c>
      <c r="KU15" s="112">
        <f t="shared" si="55"/>
        <v>-0.42474394878209909</v>
      </c>
      <c r="KV15" s="112">
        <f t="shared" si="56"/>
        <v>0.13177417455072238</v>
      </c>
      <c r="KW15" s="31">
        <f>KT15+KQ15</f>
        <v>-4336310</v>
      </c>
      <c r="KX15" s="112">
        <f t="shared" si="58"/>
        <v>-0.51167753215367207</v>
      </c>
      <c r="KY15" s="112">
        <f t="shared" si="59"/>
        <v>0.15407011498062428</v>
      </c>
      <c r="KZ15" s="31">
        <f>SUM(KZ16:KZ28)</f>
        <v>-1184687</v>
      </c>
      <c r="LA15" s="112">
        <f t="shared" si="60"/>
        <v>-0.76422544478705701</v>
      </c>
      <c r="LB15" s="112">
        <f t="shared" si="61"/>
        <v>0.2538612725450371</v>
      </c>
      <c r="LC15" s="31">
        <f>SUM(LC16:LC28)</f>
        <v>419386</v>
      </c>
      <c r="LD15" s="113">
        <f t="shared" si="202"/>
        <v>0.77716460725377845</v>
      </c>
      <c r="LE15" s="112">
        <f t="shared" ref="LE15:LE24" si="319">(LC15/KH15)-1</f>
        <v>-1.3861966464046322</v>
      </c>
      <c r="LF15" s="31">
        <f>LC15+KZ15</f>
        <v>-765301</v>
      </c>
      <c r="LG15" s="113">
        <f t="shared" si="203"/>
        <v>-0.36620496732726709</v>
      </c>
      <c r="LH15" s="112">
        <f t="shared" ref="LH15:LH24" si="320">(LF15/KK15)-1</f>
        <v>-0.62314737759569028</v>
      </c>
      <c r="LI15" s="31">
        <f>SUM(LI16:LI28)</f>
        <v>-1094437</v>
      </c>
      <c r="LJ15" s="113">
        <f t="shared" si="204"/>
        <v>-0.66281430986127032</v>
      </c>
      <c r="LK15" s="112">
        <f t="shared" ref="LK15:LK24" si="321">(LI15/KN15)-1</f>
        <v>8.4876329907319636E-3</v>
      </c>
      <c r="LL15" s="31">
        <f t="shared" si="62"/>
        <v>-1859738</v>
      </c>
      <c r="LM15" s="113">
        <f t="shared" si="205"/>
        <v>-0.49712150158259272</v>
      </c>
      <c r="LN15" s="112">
        <f t="shared" ref="LN15:LN24" si="322">(LL15/KQ15)-1</f>
        <v>-0.40316418891423478</v>
      </c>
      <c r="LO15" s="31">
        <f>SUM(LO16:LO28)</f>
        <v>-1231215</v>
      </c>
      <c r="LP15" s="113">
        <f t="shared" si="206"/>
        <v>-0.42171280721259863</v>
      </c>
      <c r="LQ15" s="112">
        <f t="shared" ref="LQ15:LQ24" si="323">(LO15/KT15)-1</f>
        <v>8.932946766160077E-3</v>
      </c>
      <c r="LR15" s="31">
        <f t="shared" si="63"/>
        <v>-3090953</v>
      </c>
      <c r="LS15" s="113">
        <f t="shared" si="207"/>
        <v>-0.4640672699082406</v>
      </c>
      <c r="LT15" s="112">
        <f t="shared" ref="LT15:LT24" si="324">(LR15/KW15)-1</f>
        <v>-0.28719279756290483</v>
      </c>
    </row>
    <row r="16" spans="1:332" ht="16.5" customHeight="1">
      <c r="A16" s="103"/>
      <c r="B16" s="127" t="s">
        <v>1342</v>
      </c>
      <c r="C16" s="116" t="s">
        <v>0</v>
      </c>
      <c r="D16" s="121">
        <v>-59875</v>
      </c>
      <c r="E16" s="118">
        <f t="shared" si="255"/>
        <v>-0.30238066379815365</v>
      </c>
      <c r="F16" s="121">
        <v>-74554</v>
      </c>
      <c r="G16" s="118">
        <f t="shared" si="256"/>
        <v>-0.26707696275810683</v>
      </c>
      <c r="H16" s="117">
        <f t="shared" ref="H16:H28" si="325">D16+F16</f>
        <v>-134429</v>
      </c>
      <c r="I16" s="118">
        <f t="shared" si="257"/>
        <v>-0.28172730321066308</v>
      </c>
      <c r="J16" s="121">
        <v>-71689</v>
      </c>
      <c r="K16" s="118">
        <f t="shared" si="258"/>
        <v>-0.28067874383841074</v>
      </c>
      <c r="L16" s="117">
        <f t="shared" ref="L16:L28" si="326">H16+J16</f>
        <v>-206118</v>
      </c>
      <c r="M16" s="118">
        <f t="shared" si="259"/>
        <v>-0.28136172094794648</v>
      </c>
      <c r="N16" s="121">
        <v>-92534</v>
      </c>
      <c r="O16" s="118">
        <f t="shared" si="260"/>
        <v>-0.22912338651169586</v>
      </c>
      <c r="P16" s="117">
        <f>L16+N16</f>
        <v>-298652</v>
      </c>
      <c r="Q16" s="118">
        <f t="shared" si="261"/>
        <v>-0.26279748757956906</v>
      </c>
      <c r="R16" s="121">
        <v>-75638</v>
      </c>
      <c r="S16" s="118">
        <f t="shared" si="262"/>
        <v>-0.30135261658598778</v>
      </c>
      <c r="T16" s="26">
        <f t="shared" si="208"/>
        <v>0.2632651356993736</v>
      </c>
      <c r="U16" s="121">
        <v>-94012</v>
      </c>
      <c r="V16" s="119">
        <f t="shared" si="263"/>
        <v>-0.2628169825193104</v>
      </c>
      <c r="W16" s="26">
        <f t="shared" si="85"/>
        <v>0.26099203262065074</v>
      </c>
      <c r="X16" s="117">
        <f t="shared" ref="X16:X28" si="327">R16+U16</f>
        <v>-169650</v>
      </c>
      <c r="Y16" s="119">
        <f t="shared" si="264"/>
        <v>-0.27870689201976656</v>
      </c>
      <c r="Z16" s="26">
        <f t="shared" si="87"/>
        <v>0.2620044782003883</v>
      </c>
      <c r="AA16" s="121">
        <v>-89403</v>
      </c>
      <c r="AB16" s="119">
        <f t="shared" si="265"/>
        <v>-0.27892850123080093</v>
      </c>
      <c r="AC16" s="26">
        <f t="shared" si="89"/>
        <v>0.24709509129713059</v>
      </c>
      <c r="AD16" s="117">
        <f t="shared" ref="AD16:AD28" si="328">X16+AA16</f>
        <v>-259053</v>
      </c>
      <c r="AE16" s="119">
        <f t="shared" si="266"/>
        <v>-0.27878333281318773</v>
      </c>
      <c r="AF16" s="26">
        <f t="shared" si="91"/>
        <v>0.25681890955666176</v>
      </c>
      <c r="AG16" s="121">
        <v>-119546</v>
      </c>
      <c r="AH16" s="119">
        <f t="shared" si="267"/>
        <v>-0.23584721402938374</v>
      </c>
      <c r="AI16" s="26">
        <f t="shared" si="93"/>
        <v>0.29191432338383727</v>
      </c>
      <c r="AJ16" s="117">
        <f t="shared" ref="AJ16:AJ28" si="329">AD16+AG16</f>
        <v>-378599</v>
      </c>
      <c r="AK16" s="119">
        <f t="shared" si="268"/>
        <v>-0.26362905219325883</v>
      </c>
      <c r="AL16" s="26">
        <f t="shared" si="95"/>
        <v>0.26769283313019843</v>
      </c>
      <c r="AM16" s="120">
        <v>-91089</v>
      </c>
      <c r="AN16" s="119">
        <f t="shared" si="269"/>
        <v>-0.29355802419003973</v>
      </c>
      <c r="AO16" s="119">
        <f t="shared" si="97"/>
        <v>0.20427562865226467</v>
      </c>
      <c r="AP16" s="120">
        <v>-107330</v>
      </c>
      <c r="AQ16" s="119">
        <f t="shared" si="270"/>
        <v>-0.24154111014841737</v>
      </c>
      <c r="AR16" s="119">
        <f t="shared" si="99"/>
        <v>0.14166276645534603</v>
      </c>
      <c r="AS16" s="120">
        <f t="shared" ref="AS16:AS21" si="330">AM16+AP16</f>
        <v>-198419</v>
      </c>
      <c r="AT16" s="119">
        <f t="shared" si="271"/>
        <v>-0.2629292067294951</v>
      </c>
      <c r="AU16" s="119">
        <f t="shared" si="101"/>
        <v>0.16957854406130268</v>
      </c>
      <c r="AV16" s="120">
        <v>-104190</v>
      </c>
      <c r="AW16" s="119">
        <f t="shared" si="272"/>
        <v>-0.26353330399283686</v>
      </c>
      <c r="AX16" s="119">
        <f t="shared" si="103"/>
        <v>0.16539713432435144</v>
      </c>
      <c r="AY16" s="120">
        <f t="shared" ref="AY16:AY24" si="331">AV16+AS16</f>
        <v>-302609</v>
      </c>
      <c r="AZ16" s="119">
        <f t="shared" si="273"/>
        <v>-0.26313688798145402</v>
      </c>
      <c r="BA16" s="119">
        <f t="shared" si="105"/>
        <v>0.16813547806819451</v>
      </c>
      <c r="BB16" s="120">
        <v>-137318</v>
      </c>
      <c r="BC16" s="119">
        <f t="shared" si="274"/>
        <v>-0.22820837529623314</v>
      </c>
      <c r="BD16" s="119">
        <f t="shared" si="107"/>
        <v>0.14866243956301339</v>
      </c>
      <c r="BE16" s="120">
        <f>BB16+AY16</f>
        <v>-439927</v>
      </c>
      <c r="BF16" s="119">
        <f t="shared" si="275"/>
        <v>-0.25113887544184943</v>
      </c>
      <c r="BG16" s="119">
        <f t="shared" si="109"/>
        <v>0.16198669304461988</v>
      </c>
      <c r="BH16" s="120">
        <v>-113624</v>
      </c>
      <c r="BI16" s="119">
        <f t="shared" si="276"/>
        <v>-0.29637203527542955</v>
      </c>
      <c r="BJ16" s="119">
        <f t="shared" si="111"/>
        <v>0.24739540449450548</v>
      </c>
      <c r="BK16" s="120">
        <v>-130237</v>
      </c>
      <c r="BL16" s="119">
        <f t="shared" si="277"/>
        <v>-0.25524354918999853</v>
      </c>
      <c r="BM16" s="119">
        <f t="shared" si="113"/>
        <v>0.21342588279139107</v>
      </c>
      <c r="BN16" s="120">
        <f>BK16+BH16</f>
        <v>-243861</v>
      </c>
      <c r="BO16" s="119">
        <f t="shared" si="278"/>
        <v>-0.27288841342436293</v>
      </c>
      <c r="BP16" s="119">
        <f t="shared" si="115"/>
        <v>0.22902040631189546</v>
      </c>
      <c r="BQ16" s="120">
        <v>-121301</v>
      </c>
      <c r="BR16" s="119">
        <f t="shared" si="279"/>
        <v>-0.27013767331649718</v>
      </c>
      <c r="BS16" s="119">
        <f t="shared" si="117"/>
        <v>0.16422881274594481</v>
      </c>
      <c r="BT16" s="120">
        <f>BN16+BQ16</f>
        <v>-365162</v>
      </c>
      <c r="BU16" s="119">
        <f t="shared" si="280"/>
        <v>-0.27196826607401403</v>
      </c>
      <c r="BV16" s="119">
        <f t="shared" si="119"/>
        <v>0.20671229209970621</v>
      </c>
      <c r="BW16" s="120">
        <v>-149932</v>
      </c>
      <c r="BX16" s="119">
        <f t="shared" si="281"/>
        <v>-0.24428520687306723</v>
      </c>
      <c r="BY16" s="119">
        <f t="shared" si="121"/>
        <v>9.1859770751103298E-2</v>
      </c>
      <c r="BZ16" s="120">
        <f t="shared" ref="BZ16:BZ22" si="332">BT16+BW16</f>
        <v>-515094</v>
      </c>
      <c r="CA16" s="119">
        <f t="shared" si="282"/>
        <v>-0.26328368828402055</v>
      </c>
      <c r="CB16" s="119">
        <f t="shared" si="123"/>
        <v>0.17086243854093985</v>
      </c>
      <c r="CC16" s="120">
        <v>-120897</v>
      </c>
      <c r="CD16" s="119">
        <f t="shared" si="283"/>
        <v>-0.33337193815507554</v>
      </c>
      <c r="CE16" s="119">
        <f t="shared" si="125"/>
        <v>6.4009364218827081E-2</v>
      </c>
      <c r="CF16" s="120">
        <v>-136055</v>
      </c>
      <c r="CG16" s="119">
        <f t="shared" si="284"/>
        <v>-0.24526257724450726</v>
      </c>
      <c r="CH16" s="119">
        <f t="shared" si="127"/>
        <v>4.4672404923332021E-2</v>
      </c>
      <c r="CI16" s="120">
        <f>CF16+CC16</f>
        <v>-256952</v>
      </c>
      <c r="CJ16" s="119">
        <f t="shared" si="285"/>
        <v>-0.28009330920665371</v>
      </c>
      <c r="CK16" s="119">
        <f t="shared" si="129"/>
        <v>5.3682220609281517E-2</v>
      </c>
      <c r="CL16" s="120">
        <v>-137375</v>
      </c>
      <c r="CM16" s="119">
        <f t="shared" si="286"/>
        <v>-0.28224066731041852</v>
      </c>
      <c r="CN16" s="119">
        <f t="shared" si="131"/>
        <v>0.13251333459740655</v>
      </c>
      <c r="CO16" s="121">
        <f t="shared" ref="CO16:CO28" si="333">CI16+CL16</f>
        <v>-394327</v>
      </c>
      <c r="CP16" s="119">
        <f t="shared" si="287"/>
        <v>-0.28083748364623595</v>
      </c>
      <c r="CQ16" s="119">
        <f t="shared" si="133"/>
        <v>7.9868661032637567E-2</v>
      </c>
      <c r="CR16" s="120">
        <v>-160143</v>
      </c>
      <c r="CS16" s="119">
        <f t="shared" si="288"/>
        <v>-0.22496481039757929</v>
      </c>
      <c r="CT16" s="119">
        <f t="shared" si="135"/>
        <v>6.8104207240615722E-2</v>
      </c>
      <c r="CU16" s="122">
        <v>-554469</v>
      </c>
      <c r="CV16" s="119">
        <f t="shared" si="289"/>
        <v>-0.26204035221704675</v>
      </c>
      <c r="CW16" s="119">
        <f t="shared" si="137"/>
        <v>7.6442358093862461E-2</v>
      </c>
      <c r="CX16" s="120">
        <v>-137053</v>
      </c>
      <c r="CY16" s="119">
        <f t="shared" si="290"/>
        <v>-0.3113100402956529</v>
      </c>
      <c r="CZ16" s="119">
        <f t="shared" si="139"/>
        <v>0.13363441607318616</v>
      </c>
      <c r="DA16" s="120">
        <v>-148731</v>
      </c>
      <c r="DB16" s="119">
        <f t="shared" si="291"/>
        <v>-0.23608507450130081</v>
      </c>
      <c r="DC16" s="119">
        <f t="shared" si="141"/>
        <v>9.3168204035132929E-2</v>
      </c>
      <c r="DD16" s="32">
        <f t="shared" ref="DD16:DD28" si="334">CX16+DA16</f>
        <v>-285784</v>
      </c>
      <c r="DE16" s="119">
        <f t="shared" si="292"/>
        <v>-0.26702920386644052</v>
      </c>
      <c r="DF16" s="119">
        <f t="shared" si="143"/>
        <v>0.11220772751330998</v>
      </c>
      <c r="DG16" s="120">
        <v>-159934</v>
      </c>
      <c r="DH16" s="119">
        <f t="shared" si="293"/>
        <v>-0.28120758167176568</v>
      </c>
      <c r="DI16" s="119">
        <f t="shared" si="145"/>
        <v>0.16421474067333941</v>
      </c>
      <c r="DJ16" s="32">
        <f t="shared" ref="DJ16:DJ27" si="335">DD16+DG16</f>
        <v>-445718</v>
      </c>
      <c r="DK16" s="119">
        <f t="shared" si="294"/>
        <v>-0.27194923656553638</v>
      </c>
      <c r="DL16" s="119">
        <f t="shared" si="147"/>
        <v>0.13032584631536781</v>
      </c>
      <c r="DM16" s="120">
        <v>-195985</v>
      </c>
      <c r="DN16" s="119">
        <f t="shared" si="295"/>
        <v>-0.23792990000109263</v>
      </c>
      <c r="DO16" s="119">
        <f t="shared" si="149"/>
        <v>0.22381246760707607</v>
      </c>
      <c r="DP16" s="32">
        <v>-641702</v>
      </c>
      <c r="DQ16" s="119">
        <f t="shared" si="296"/>
        <v>-0.26057028046240627</v>
      </c>
      <c r="DR16" s="119">
        <f t="shared" si="151"/>
        <v>0.15732710034285047</v>
      </c>
      <c r="DS16" s="32">
        <v>-167000</v>
      </c>
      <c r="DT16" s="119">
        <f t="shared" si="297"/>
        <v>-0.32257628349626333</v>
      </c>
      <c r="DU16" s="119">
        <f t="shared" si="209"/>
        <v>0.21850670908334724</v>
      </c>
      <c r="DV16" s="32">
        <v>-185211</v>
      </c>
      <c r="DW16" s="119">
        <f t="shared" si="298"/>
        <v>-0.24706230749426736</v>
      </c>
      <c r="DX16" s="119">
        <f t="shared" si="210"/>
        <v>0.2452750267261028</v>
      </c>
      <c r="DY16" s="32">
        <f t="shared" ref="DY16:DY28" si="336">(DS16+DV16)</f>
        <v>-352211</v>
      </c>
      <c r="DZ16" s="119">
        <f t="shared" si="299"/>
        <v>-0.27790919707107686</v>
      </c>
      <c r="EA16" s="119">
        <f t="shared" si="211"/>
        <v>0.23243778518041602</v>
      </c>
      <c r="EB16" s="32">
        <v>-189434</v>
      </c>
      <c r="EC16" s="119">
        <f>(EB16/$EB$8)</f>
        <v>-0.28829846166957857</v>
      </c>
      <c r="ED16" s="119">
        <f t="shared" si="212"/>
        <v>0.18445108607300509</v>
      </c>
      <c r="EE16" s="32">
        <f t="shared" ref="EE16:EE28" si="337">(DY16+EB16)</f>
        <v>-541645</v>
      </c>
      <c r="EF16" s="119">
        <f>(EE16/$EE$8)</f>
        <v>-0.28145648907004439</v>
      </c>
      <c r="EG16" s="119">
        <f t="shared" si="213"/>
        <v>0.21521903984133472</v>
      </c>
      <c r="EH16" s="32">
        <v>-233896</v>
      </c>
      <c r="EI16" s="119">
        <f t="shared" si="250"/>
        <v>-0.24058919130202225</v>
      </c>
      <c r="EJ16" s="119">
        <f t="shared" si="214"/>
        <v>0.19343827333724528</v>
      </c>
      <c r="EK16" s="32">
        <v>-775541</v>
      </c>
      <c r="EL16" s="119">
        <f t="shared" si="215"/>
        <v>-0.26774026390095756</v>
      </c>
      <c r="EM16" s="119">
        <f>(EK16/DP16)-1</f>
        <v>0.20856877491421244</v>
      </c>
      <c r="EN16" s="32">
        <v>-208242</v>
      </c>
      <c r="EO16" s="119">
        <f t="shared" si="216"/>
        <v>-0.33630868266906117</v>
      </c>
      <c r="EP16" s="119">
        <f t="shared" si="217"/>
        <v>0.24695808383233531</v>
      </c>
      <c r="EQ16" s="32">
        <v>-226085</v>
      </c>
      <c r="ER16" s="119">
        <f t="shared" si="233"/>
        <v>-0.26437464407620015</v>
      </c>
      <c r="ES16" s="119">
        <f t="shared" si="305"/>
        <v>0.22068883597626487</v>
      </c>
      <c r="ET16" s="32">
        <f t="shared" ref="ET16:ET28" si="338">(EN16+EQ16)</f>
        <v>-434327</v>
      </c>
      <c r="EU16" s="119">
        <f t="shared" si="234"/>
        <v>-0.29458520532187349</v>
      </c>
      <c r="EV16" s="119">
        <f t="shared" si="306"/>
        <v>0.23314433677539892</v>
      </c>
      <c r="EW16" s="120">
        <v>-217724</v>
      </c>
      <c r="EX16" s="119">
        <f t="shared" si="235"/>
        <v>-0.27105046933744992</v>
      </c>
      <c r="EY16" s="119">
        <f t="shared" si="153"/>
        <v>0.14933961168533627</v>
      </c>
      <c r="EZ16" s="32">
        <f t="shared" ref="EZ16:EZ21" si="339">(ET16+EW16)</f>
        <v>-652051</v>
      </c>
      <c r="FA16" s="119">
        <f t="shared" si="236"/>
        <v>-0.28628499198069574</v>
      </c>
      <c r="FB16" s="119">
        <f t="shared" si="154"/>
        <v>0.20383461492305854</v>
      </c>
      <c r="FC16" s="120">
        <v>-277504</v>
      </c>
      <c r="FD16" s="119">
        <f t="shared" si="219"/>
        <v>-0.23431267583751852</v>
      </c>
      <c r="FE16" s="119">
        <f t="shared" si="155"/>
        <v>0.18644183739781783</v>
      </c>
      <c r="FF16" s="32">
        <v>-929556</v>
      </c>
      <c r="FG16" s="119">
        <f t="shared" si="220"/>
        <v>-0.26850570197229318</v>
      </c>
      <c r="FH16" s="119">
        <f t="shared" si="156"/>
        <v>0.19859040334424605</v>
      </c>
      <c r="FI16" s="32">
        <v>-240057</v>
      </c>
      <c r="FJ16" s="119">
        <f t="shared" si="251"/>
        <v>-0.33032442540637458</v>
      </c>
      <c r="FK16" s="119">
        <f t="shared" ref="FK16:FK25" si="340">(FI16/EN16)-1</f>
        <v>0.15277897830408849</v>
      </c>
      <c r="FL16" s="32">
        <v>-249580</v>
      </c>
      <c r="FM16" s="119">
        <f t="shared" si="222"/>
        <v>-0.26349156411033325</v>
      </c>
      <c r="FN16" s="119">
        <f t="shared" ref="FN16:FN25" si="341">(FL16/EQ16)-1</f>
        <v>0.10392109162483143</v>
      </c>
      <c r="FO16" s="32">
        <f t="shared" si="237"/>
        <v>-489637</v>
      </c>
      <c r="FP16" s="119">
        <f t="shared" si="252"/>
        <v>-0.29250675355181266</v>
      </c>
      <c r="FQ16" s="119">
        <f t="shared" si="159"/>
        <v>0.12734644634112091</v>
      </c>
      <c r="FR16" s="32">
        <v>-249297</v>
      </c>
      <c r="FS16" s="123">
        <f>(FR16/$FR$8)</f>
        <v>-0.27488372708447734</v>
      </c>
      <c r="FT16" s="119">
        <f>(FR16/EW16)-1</f>
        <v>0.14501387077217021</v>
      </c>
      <c r="FU16" s="32">
        <v>-738934</v>
      </c>
      <c r="FV16" s="123">
        <f>(FU16/$FU$8)</f>
        <v>-0.28631397693474869</v>
      </c>
      <c r="FW16" s="119">
        <f>(FU16/EZ16)-1</f>
        <v>0.13324571237525906</v>
      </c>
      <c r="FX16" s="32">
        <v>-291122</v>
      </c>
      <c r="FY16" s="123">
        <f t="shared" si="253"/>
        <v>-0.2184036358343949</v>
      </c>
      <c r="FZ16" s="119">
        <f t="shared" si="161"/>
        <v>4.9073166512915156E-2</v>
      </c>
      <c r="GA16" s="32">
        <v>-1030055</v>
      </c>
      <c r="GB16" s="123">
        <f t="shared" ref="GB16:GB28" si="342">(GA16/$GA$8)</f>
        <v>-0.26318479006001572</v>
      </c>
      <c r="GC16" s="119">
        <f t="shared" ref="GC16:GC25" si="343">(GA16/FF16)-1</f>
        <v>0.10811505708101499</v>
      </c>
      <c r="GD16" s="32">
        <v>-256198</v>
      </c>
      <c r="GE16" s="119">
        <f t="shared" si="13"/>
        <v>-0.31454016864002671</v>
      </c>
      <c r="GF16" s="119">
        <f t="shared" si="164"/>
        <v>6.7238197594737814E-2</v>
      </c>
      <c r="GG16" s="32">
        <v>-286169</v>
      </c>
      <c r="GH16" s="119">
        <f t="shared" si="225"/>
        <v>-0.25753196100064973</v>
      </c>
      <c r="GI16" s="119">
        <f t="shared" si="165"/>
        <v>0.14660229185030849</v>
      </c>
      <c r="GJ16" s="32">
        <f t="shared" si="254"/>
        <v>-542367</v>
      </c>
      <c r="GK16" s="123">
        <f t="shared" si="167"/>
        <v>-0.28164462635676951</v>
      </c>
      <c r="GL16" s="119">
        <f t="shared" si="226"/>
        <v>0.10769202490824825</v>
      </c>
      <c r="GM16" s="32">
        <v>-287355</v>
      </c>
      <c r="GN16" s="123">
        <f t="shared" si="168"/>
        <v>-0.27443173515959929</v>
      </c>
      <c r="GO16" s="119">
        <f t="shared" si="169"/>
        <v>0.15266128352928443</v>
      </c>
      <c r="GP16" s="32">
        <f>GJ16+GM16</f>
        <v>-829722</v>
      </c>
      <c r="GQ16" s="123">
        <f t="shared" si="171"/>
        <v>-0.27910407847134272</v>
      </c>
      <c r="GR16" s="119">
        <f t="shared" si="172"/>
        <v>0.12286347630505556</v>
      </c>
      <c r="GS16" s="32">
        <v>-342031</v>
      </c>
      <c r="GT16" s="123">
        <f t="shared" ref="GT16:GT36" si="344">(GS16/$GS$8)</f>
        <v>-0.20483265431274392</v>
      </c>
      <c r="GU16" s="119">
        <f t="shared" si="227"/>
        <v>0.17487170327216761</v>
      </c>
      <c r="GV16" s="32">
        <f t="shared" si="239"/>
        <v>-1171753</v>
      </c>
      <c r="GW16" s="123">
        <f t="shared" si="174"/>
        <v>-0.25239089547005006</v>
      </c>
      <c r="GX16" s="119">
        <f t="shared" si="228"/>
        <v>0.13756352816111761</v>
      </c>
      <c r="GY16" s="32">
        <v>-307292</v>
      </c>
      <c r="GZ16" s="123">
        <f t="shared" si="175"/>
        <v>-0.30398013641377197</v>
      </c>
      <c r="HA16" s="119">
        <f t="shared" si="229"/>
        <v>0.19943168955261159</v>
      </c>
      <c r="HB16" s="32">
        <v>-343999</v>
      </c>
      <c r="HC16" s="123">
        <f t="shared" si="176"/>
        <v>-0.25401890083339118</v>
      </c>
      <c r="HD16" s="119">
        <f t="shared" si="249"/>
        <v>0.20208338429389627</v>
      </c>
      <c r="HE16" s="32">
        <f t="shared" si="177"/>
        <v>-651291</v>
      </c>
      <c r="HF16" s="123">
        <f t="shared" si="240"/>
        <v>-0.27537322614783766</v>
      </c>
      <c r="HG16" s="119">
        <f t="shared" si="245"/>
        <v>0.20083080275901732</v>
      </c>
      <c r="HH16" s="32">
        <v>-339070</v>
      </c>
      <c r="HI16" s="123">
        <f t="shared" si="246"/>
        <v>-0.27161126753793963</v>
      </c>
      <c r="HJ16" s="119">
        <f t="shared" si="241"/>
        <v>0.17996902785752811</v>
      </c>
      <c r="HK16" s="32">
        <f t="shared" ref="HK16:HK24" si="345">HE16+HH16</f>
        <v>-990361</v>
      </c>
      <c r="HL16" s="123">
        <f t="shared" si="300"/>
        <v>-0.27407356774040359</v>
      </c>
      <c r="HM16" s="119">
        <f t="shared" si="230"/>
        <v>0.19360581013881761</v>
      </c>
      <c r="HN16" s="32">
        <v>-399367</v>
      </c>
      <c r="HO16" s="123">
        <f t="shared" si="179"/>
        <v>-0.21735843593491988</v>
      </c>
      <c r="HP16" s="119">
        <f t="shared" si="180"/>
        <v>0.16763392791881437</v>
      </c>
      <c r="HQ16" s="32">
        <f t="shared" ref="HQ16:HQ24" si="346">HK16+HN16</f>
        <v>-1389728</v>
      </c>
      <c r="HR16" s="123">
        <f t="shared" si="181"/>
        <v>-0.2549561059445386</v>
      </c>
      <c r="HS16" s="119">
        <f t="shared" si="182"/>
        <v>0.18602469974474145</v>
      </c>
      <c r="HT16" s="32">
        <v>-353110</v>
      </c>
      <c r="HU16" s="123">
        <f t="shared" si="242"/>
        <v>-0.32812401268227048</v>
      </c>
      <c r="HV16" s="119">
        <f t="shared" si="183"/>
        <v>0.14910248232951062</v>
      </c>
      <c r="HW16" s="32">
        <v>-394357</v>
      </c>
      <c r="HX16" s="123">
        <f t="shared" si="184"/>
        <v>-0.26924300601902929</v>
      </c>
      <c r="HY16" s="119">
        <f t="shared" si="307"/>
        <v>0.14638996043593155</v>
      </c>
      <c r="HZ16" s="32">
        <f t="shared" si="185"/>
        <v>-747467</v>
      </c>
      <c r="IA16" s="123">
        <f t="shared" si="186"/>
        <v>-0.29418152135753745</v>
      </c>
      <c r="IB16" s="119">
        <f t="shared" si="301"/>
        <v>0.14766978201756209</v>
      </c>
      <c r="IC16" s="32">
        <v>-375259</v>
      </c>
      <c r="ID16" s="123">
        <f t="shared" si="187"/>
        <v>-0.29772583381068818</v>
      </c>
      <c r="IE16" s="119">
        <f t="shared" si="308"/>
        <v>0.10673017371044335</v>
      </c>
      <c r="IF16" s="32">
        <f t="shared" si="188"/>
        <v>-1122726</v>
      </c>
      <c r="IG16" s="123">
        <f t="shared" si="189"/>
        <v>-0.2953567428011914</v>
      </c>
      <c r="IH16" s="119">
        <f t="shared" si="302"/>
        <v>0.13365328400451948</v>
      </c>
      <c r="II16" s="32">
        <v>-424735</v>
      </c>
      <c r="IJ16" s="123">
        <f t="shared" si="22"/>
        <v>-0.22115809183422686</v>
      </c>
      <c r="IK16" s="119">
        <f t="shared" si="23"/>
        <v>6.35205212248382E-2</v>
      </c>
      <c r="IL16" s="32">
        <v>-1547462</v>
      </c>
      <c r="IM16" s="123">
        <f t="shared" si="24"/>
        <v>-0.27045224045690858</v>
      </c>
      <c r="IN16" s="119">
        <f t="shared" si="25"/>
        <v>0.11349990789564579</v>
      </c>
      <c r="IO16" s="32">
        <v>-418444.63346000004</v>
      </c>
      <c r="IP16" s="123">
        <f t="shared" si="26"/>
        <v>-0.33890828216774499</v>
      </c>
      <c r="IQ16" s="119">
        <f t="shared" si="27"/>
        <v>0.18502629056101516</v>
      </c>
      <c r="IR16" s="32">
        <v>-463130.49000999995</v>
      </c>
      <c r="IS16" s="123">
        <f t="shared" si="190"/>
        <v>-0.2840496707730843</v>
      </c>
      <c r="IT16" s="119">
        <f t="shared" si="309"/>
        <v>0.17439398821372509</v>
      </c>
      <c r="IU16" s="32">
        <f t="shared" si="191"/>
        <v>-881575.12346999999</v>
      </c>
      <c r="IV16" s="123">
        <f t="shared" si="192"/>
        <v>-0.30769006871217464</v>
      </c>
      <c r="IW16" s="119">
        <f t="shared" si="303"/>
        <v>0.17941678157029006</v>
      </c>
      <c r="IX16" s="32">
        <v>-455512.74192999996</v>
      </c>
      <c r="IY16" s="123">
        <f t="shared" si="193"/>
        <v>-0.30114991883393777</v>
      </c>
      <c r="IZ16" s="119">
        <f t="shared" si="310"/>
        <v>0.2138622709382052</v>
      </c>
      <c r="JA16" s="32">
        <f t="shared" si="311"/>
        <v>-1337087.8654</v>
      </c>
      <c r="JB16" s="123">
        <f t="shared" si="31"/>
        <v>-0.3054303327441375</v>
      </c>
      <c r="JC16" s="119">
        <f t="shared" si="32"/>
        <v>0.19092981315120516</v>
      </c>
      <c r="JD16" s="32">
        <v>-528912.49598000001</v>
      </c>
      <c r="JE16" s="123">
        <f t="shared" si="195"/>
        <v>-0.23799640290592639</v>
      </c>
      <c r="JF16" s="119">
        <f t="shared" si="312"/>
        <v>0.24527645703791778</v>
      </c>
      <c r="JG16" s="32">
        <f t="shared" si="313"/>
        <v>-1866000.3613800001</v>
      </c>
      <c r="JH16" s="123">
        <f t="shared" si="34"/>
        <v>-0.28272420038081397</v>
      </c>
      <c r="JI16" s="119">
        <f t="shared" si="35"/>
        <v>0.2058456759390539</v>
      </c>
      <c r="JJ16" s="32">
        <v>-478099</v>
      </c>
      <c r="JK16" s="123">
        <f t="shared" si="197"/>
        <v>-0.34178760797501323</v>
      </c>
      <c r="JL16" s="119">
        <f t="shared" si="314"/>
        <v>0.1425621498517855</v>
      </c>
      <c r="JM16" s="32">
        <v>-507826</v>
      </c>
      <c r="JN16" s="123">
        <f t="shared" si="198"/>
        <v>-0.28529053707491608</v>
      </c>
      <c r="JO16" s="119">
        <f t="shared" si="315"/>
        <v>9.6507379570355933E-2</v>
      </c>
      <c r="JP16" s="32">
        <f t="shared" si="36"/>
        <v>-985925</v>
      </c>
      <c r="JQ16" s="123">
        <f t="shared" si="199"/>
        <v>-0.31015146987117981</v>
      </c>
      <c r="JR16" s="119">
        <f t="shared" si="316"/>
        <v>0.11836753754945417</v>
      </c>
      <c r="JS16" s="32">
        <v>-504648</v>
      </c>
      <c r="JT16" s="119">
        <f t="shared" si="37"/>
        <v>-0.29486386192849268</v>
      </c>
      <c r="JU16" s="119">
        <f t="shared" si="38"/>
        <v>0.10786802112673022</v>
      </c>
      <c r="JV16" s="32">
        <f>JS16+JP16</f>
        <v>-1490573</v>
      </c>
      <c r="JW16" s="119">
        <f t="shared" si="40"/>
        <v>-0.30480126928532764</v>
      </c>
      <c r="JX16" s="119">
        <f t="shared" si="41"/>
        <v>0.1147906121742297</v>
      </c>
      <c r="JY16" s="32">
        <v>-584814</v>
      </c>
      <c r="JZ16" s="119">
        <f t="shared" si="42"/>
        <v>-0.2253512551625704</v>
      </c>
      <c r="KA16" s="119">
        <f t="shared" si="43"/>
        <v>0.10569140348333494</v>
      </c>
      <c r="KB16" s="32">
        <f t="shared" si="317"/>
        <v>-2075387</v>
      </c>
      <c r="KC16" s="119">
        <f t="shared" si="45"/>
        <v>-0.27725677325546833</v>
      </c>
      <c r="KD16" s="119">
        <f t="shared" si="46"/>
        <v>0.11221146734674159</v>
      </c>
      <c r="KE16" s="548">
        <v>-439174</v>
      </c>
      <c r="KF16" s="119">
        <f t="shared" si="47"/>
        <v>-0.26611170930543276</v>
      </c>
      <c r="KG16" s="119">
        <f t="shared" si="48"/>
        <v>-8.1416192043907265E-2</v>
      </c>
      <c r="KH16" s="548">
        <v>-495829</v>
      </c>
      <c r="KI16" s="123">
        <f t="shared" si="200"/>
        <v>-0.24553599283738425</v>
      </c>
      <c r="KJ16" s="119">
        <f t="shared" si="318"/>
        <v>-2.3624233497300251E-2</v>
      </c>
      <c r="KK16" s="32">
        <f t="shared" ref="KK16:KK17" si="347">KH16+KE16</f>
        <v>-935003</v>
      </c>
      <c r="KL16" s="123">
        <f t="shared" si="201"/>
        <v>-0.25478927359674919</v>
      </c>
      <c r="KM16" s="119">
        <f t="shared" si="248"/>
        <v>-5.1648959099322989E-2</v>
      </c>
      <c r="KN16" s="548">
        <v>-481346</v>
      </c>
      <c r="KO16" s="549">
        <f t="shared" si="50"/>
        <v>-0.2491536934165112</v>
      </c>
      <c r="KP16" s="549">
        <f t="shared" si="51"/>
        <v>-4.6174759436280355E-2</v>
      </c>
      <c r="KQ16" s="548">
        <f>KN16+KK16</f>
        <v>-1416349</v>
      </c>
      <c r="KR16" s="549">
        <f t="shared" si="53"/>
        <v>-0.2528456423883384</v>
      </c>
      <c r="KS16" s="549">
        <f t="shared" si="54"/>
        <v>-4.9795615511618707E-2</v>
      </c>
      <c r="KT16" s="548">
        <v>-559371</v>
      </c>
      <c r="KU16" s="549">
        <f t="shared" si="55"/>
        <v>-0.1946953385556435</v>
      </c>
      <c r="KV16" s="549">
        <f t="shared" si="56"/>
        <v>-4.3506140413875127E-2</v>
      </c>
      <c r="KW16" s="548">
        <f>KT16+KQ16</f>
        <v>-1975720</v>
      </c>
      <c r="KX16" s="549">
        <f t="shared" si="58"/>
        <v>-0.23313174884329144</v>
      </c>
      <c r="KY16" s="549">
        <f t="shared" si="59"/>
        <v>-4.8023332515815143E-2</v>
      </c>
      <c r="KZ16" s="548">
        <v>-475090</v>
      </c>
      <c r="LA16" s="549">
        <f t="shared" si="60"/>
        <v>-0.30647408688023325</v>
      </c>
      <c r="LB16" s="549">
        <f t="shared" si="61"/>
        <v>8.1780797588199672E-2</v>
      </c>
      <c r="LC16" s="548">
        <v>-271005</v>
      </c>
      <c r="LD16" s="123">
        <f t="shared" si="202"/>
        <v>-0.50219963086228492</v>
      </c>
      <c r="LE16" s="119">
        <f t="shared" si="319"/>
        <v>-0.45343051737595019</v>
      </c>
      <c r="LF16" s="32">
        <f t="shared" ref="LF16:LF17" si="348">LC16+KZ16</f>
        <v>-746095</v>
      </c>
      <c r="LG16" s="123">
        <f t="shared" si="203"/>
        <v>-0.35701468454639068</v>
      </c>
      <c r="LH16" s="119">
        <f t="shared" si="320"/>
        <v>-0.20203999345456647</v>
      </c>
      <c r="LI16" s="548">
        <v>-478255</v>
      </c>
      <c r="LJ16" s="123">
        <f t="shared" si="204"/>
        <v>-0.28964139348605888</v>
      </c>
      <c r="LK16" s="119">
        <f t="shared" si="321"/>
        <v>-6.4215761635081359E-3</v>
      </c>
      <c r="LL16" s="32">
        <f t="shared" si="62"/>
        <v>-1224350</v>
      </c>
      <c r="LM16" s="123">
        <f t="shared" si="205"/>
        <v>-0.32727766516716195</v>
      </c>
      <c r="LN16" s="119">
        <f t="shared" si="322"/>
        <v>-0.13555910301768848</v>
      </c>
      <c r="LO16" s="548">
        <v>-661278</v>
      </c>
      <c r="LP16" s="123">
        <f t="shared" si="206"/>
        <v>-0.22649935366928831</v>
      </c>
      <c r="LQ16" s="119">
        <f t="shared" si="323"/>
        <v>0.18218141448162317</v>
      </c>
      <c r="LR16" s="32">
        <f t="shared" si="63"/>
        <v>-1885628</v>
      </c>
      <c r="LS16" s="123">
        <f t="shared" si="207"/>
        <v>-0.28310305527859397</v>
      </c>
      <c r="LT16" s="119">
        <f t="shared" si="324"/>
        <v>-4.5599578887696612E-2</v>
      </c>
    </row>
    <row r="17" spans="1:332" ht="16.5" customHeight="1">
      <c r="A17" s="103"/>
      <c r="B17" s="127" t="s">
        <v>1343</v>
      </c>
      <c r="C17" s="116" t="s">
        <v>224</v>
      </c>
      <c r="D17" s="121">
        <v>-17328</v>
      </c>
      <c r="E17" s="118">
        <f t="shared" si="255"/>
        <v>-8.7509847888006781E-2</v>
      </c>
      <c r="F17" s="121">
        <v>-22856</v>
      </c>
      <c r="G17" s="118">
        <f t="shared" si="256"/>
        <v>-8.1877713614283462E-2</v>
      </c>
      <c r="H17" s="117">
        <f t="shared" si="325"/>
        <v>-40184</v>
      </c>
      <c r="I17" s="118">
        <f t="shared" si="257"/>
        <v>-8.4214938385447233E-2</v>
      </c>
      <c r="J17" s="121">
        <v>-22355</v>
      </c>
      <c r="K17" s="118">
        <f t="shared" si="258"/>
        <v>-8.7524910634932437E-2</v>
      </c>
      <c r="L17" s="117">
        <f t="shared" si="326"/>
        <v>-62539</v>
      </c>
      <c r="M17" s="118">
        <f t="shared" si="259"/>
        <v>-8.5368966642232244E-2</v>
      </c>
      <c r="N17" s="121">
        <v>-27692</v>
      </c>
      <c r="O17" s="118">
        <f t="shared" si="260"/>
        <v>-6.8568145971014779E-2</v>
      </c>
      <c r="P17" s="117">
        <f>L17+N17</f>
        <v>-90231</v>
      </c>
      <c r="Q17" s="118">
        <f t="shared" si="261"/>
        <v>-7.939836365332259E-2</v>
      </c>
      <c r="R17" s="121">
        <v>-23220</v>
      </c>
      <c r="S17" s="118">
        <f t="shared" si="262"/>
        <v>-9.2511803023964626E-2</v>
      </c>
      <c r="T17" s="26">
        <f t="shared" si="208"/>
        <v>0.34002770083102485</v>
      </c>
      <c r="U17" s="121">
        <v>-32309</v>
      </c>
      <c r="V17" s="119">
        <f t="shared" si="263"/>
        <v>-9.0322021531468316E-2</v>
      </c>
      <c r="W17" s="26">
        <f t="shared" si="85"/>
        <v>0.41358942947147348</v>
      </c>
      <c r="X17" s="117">
        <f t="shared" si="327"/>
        <v>-55529</v>
      </c>
      <c r="Y17" s="119">
        <f t="shared" si="264"/>
        <v>-9.1224963200504675E-2</v>
      </c>
      <c r="Z17" s="26">
        <f t="shared" si="87"/>
        <v>0.38186840533545685</v>
      </c>
      <c r="AA17" s="121">
        <v>-31618</v>
      </c>
      <c r="AB17" s="119">
        <f t="shared" si="265"/>
        <v>-9.8645027033941401E-2</v>
      </c>
      <c r="AC17" s="26">
        <f t="shared" si="89"/>
        <v>0.41435920375754876</v>
      </c>
      <c r="AD17" s="117">
        <f t="shared" si="328"/>
        <v>-87147</v>
      </c>
      <c r="AE17" s="119">
        <f t="shared" si="266"/>
        <v>-9.3784403595676843E-2</v>
      </c>
      <c r="AF17" s="26">
        <f t="shared" si="91"/>
        <v>0.39348246694062894</v>
      </c>
      <c r="AG17" s="121">
        <v>-41292</v>
      </c>
      <c r="AH17" s="119">
        <f t="shared" si="267"/>
        <v>-8.1463228896837311E-2</v>
      </c>
      <c r="AI17" s="26">
        <f t="shared" si="93"/>
        <v>0.49111656796186631</v>
      </c>
      <c r="AJ17" s="117">
        <f t="shared" si="329"/>
        <v>-128439</v>
      </c>
      <c r="AK17" s="119">
        <f t="shared" si="268"/>
        <v>-8.9435661041497666E-2</v>
      </c>
      <c r="AL17" s="26">
        <f t="shared" si="95"/>
        <v>0.42344648734913726</v>
      </c>
      <c r="AM17" s="120">
        <v>-32044</v>
      </c>
      <c r="AN17" s="119">
        <f t="shared" si="269"/>
        <v>-0.10327013500143413</v>
      </c>
      <c r="AO17" s="119">
        <f t="shared" si="97"/>
        <v>0.38001722652885439</v>
      </c>
      <c r="AP17" s="120">
        <v>-34024</v>
      </c>
      <c r="AQ17" s="119">
        <f t="shared" si="270"/>
        <v>-7.6569409593680735E-2</v>
      </c>
      <c r="AR17" s="119">
        <f t="shared" si="99"/>
        <v>5.3081184809186333E-2</v>
      </c>
      <c r="AS17" s="120">
        <f t="shared" si="330"/>
        <v>-66068</v>
      </c>
      <c r="AT17" s="119">
        <f t="shared" si="271"/>
        <v>-8.7548101896513339E-2</v>
      </c>
      <c r="AU17" s="119">
        <f t="shared" si="101"/>
        <v>0.18979272092060007</v>
      </c>
      <c r="AV17" s="120">
        <v>-36511</v>
      </c>
      <c r="AW17" s="119">
        <f t="shared" si="272"/>
        <v>-9.2349212612366519E-2</v>
      </c>
      <c r="AX17" s="119">
        <f t="shared" si="103"/>
        <v>0.15475362135492432</v>
      </c>
      <c r="AY17" s="120">
        <f t="shared" si="331"/>
        <v>-102579</v>
      </c>
      <c r="AZ17" s="119">
        <f t="shared" si="273"/>
        <v>-8.9198665050443215E-2</v>
      </c>
      <c r="BA17" s="119">
        <f t="shared" si="105"/>
        <v>0.17708010602774626</v>
      </c>
      <c r="BB17" s="120">
        <v>-48809</v>
      </c>
      <c r="BC17" s="119">
        <f t="shared" si="274"/>
        <v>-8.1115531757190204E-2</v>
      </c>
      <c r="BD17" s="119">
        <f t="shared" si="107"/>
        <v>0.18204494817398054</v>
      </c>
      <c r="BE17" s="120">
        <f>BB17+AY17</f>
        <v>-151388</v>
      </c>
      <c r="BF17" s="119">
        <f t="shared" si="275"/>
        <v>-8.6422092927669142E-2</v>
      </c>
      <c r="BG17" s="119">
        <f t="shared" si="109"/>
        <v>0.17867625876875404</v>
      </c>
      <c r="BH17" s="120">
        <v>-36682</v>
      </c>
      <c r="BI17" s="119">
        <f t="shared" si="276"/>
        <v>-9.5679777141918138E-2</v>
      </c>
      <c r="BJ17" s="119">
        <f t="shared" si="111"/>
        <v>0.14473848458369742</v>
      </c>
      <c r="BK17" s="120">
        <v>-43903</v>
      </c>
      <c r="BL17" s="119">
        <f t="shared" si="277"/>
        <v>-8.6042810722671031E-2</v>
      </c>
      <c r="BM17" s="119">
        <f t="shared" si="113"/>
        <v>0.29035386785798267</v>
      </c>
      <c r="BN17" s="120">
        <f>BK17+BH17</f>
        <v>-80585</v>
      </c>
      <c r="BO17" s="119">
        <f t="shared" si="278"/>
        <v>-9.0177243576473012E-2</v>
      </c>
      <c r="BP17" s="119">
        <f t="shared" si="115"/>
        <v>0.21972815886662223</v>
      </c>
      <c r="BQ17" s="120">
        <v>-46977</v>
      </c>
      <c r="BR17" s="119">
        <f t="shared" si="279"/>
        <v>-0.10461791312016462</v>
      </c>
      <c r="BS17" s="119">
        <f t="shared" si="117"/>
        <v>0.28665333735038745</v>
      </c>
      <c r="BT17" s="120">
        <f>BN17+BQ17</f>
        <v>-127562</v>
      </c>
      <c r="BU17" s="119">
        <f t="shared" si="280"/>
        <v>-9.5006643508725938E-2</v>
      </c>
      <c r="BV17" s="119">
        <f t="shared" si="119"/>
        <v>0.24354887452597507</v>
      </c>
      <c r="BW17" s="120">
        <v>-51406</v>
      </c>
      <c r="BX17" s="119">
        <f t="shared" si="281"/>
        <v>-8.3756138412859796E-2</v>
      </c>
      <c r="BY17" s="119">
        <f t="shared" si="121"/>
        <v>5.3207400274539518E-2</v>
      </c>
      <c r="BZ17" s="120">
        <f t="shared" si="332"/>
        <v>-178968</v>
      </c>
      <c r="CA17" s="119">
        <f t="shared" si="282"/>
        <v>-9.1477196637535257E-2</v>
      </c>
      <c r="CB17" s="119">
        <f t="shared" si="123"/>
        <v>0.18218088619969874</v>
      </c>
      <c r="CC17" s="120">
        <v>-38003</v>
      </c>
      <c r="CD17" s="119">
        <f t="shared" si="283"/>
        <v>-0.10479278861929855</v>
      </c>
      <c r="CE17" s="119">
        <f t="shared" si="125"/>
        <v>3.6012213074532395E-2</v>
      </c>
      <c r="CF17" s="120">
        <v>-46198</v>
      </c>
      <c r="CG17" s="119">
        <f t="shared" si="284"/>
        <v>-8.3279854055652094E-2</v>
      </c>
      <c r="CH17" s="119">
        <f t="shared" si="127"/>
        <v>5.2274332050201489E-2</v>
      </c>
      <c r="CI17" s="120">
        <f>CF17+CC17+1</f>
        <v>-84200</v>
      </c>
      <c r="CJ17" s="119">
        <f t="shared" si="285"/>
        <v>-9.1783121498179604E-2</v>
      </c>
      <c r="CK17" s="119">
        <f t="shared" si="129"/>
        <v>4.4859465161010137E-2</v>
      </c>
      <c r="CL17" s="120">
        <v>-43957</v>
      </c>
      <c r="CM17" s="119">
        <f t="shared" si="286"/>
        <v>-9.0310849957882189E-2</v>
      </c>
      <c r="CN17" s="119">
        <f t="shared" si="131"/>
        <v>-6.4286778636354014E-2</v>
      </c>
      <c r="CO17" s="121">
        <f t="shared" si="333"/>
        <v>-128157</v>
      </c>
      <c r="CP17" s="119">
        <f t="shared" si="287"/>
        <v>-9.1272698525971238E-2</v>
      </c>
      <c r="CQ17" s="119">
        <f t="shared" si="133"/>
        <v>4.6643984885781364E-3</v>
      </c>
      <c r="CR17" s="120">
        <v>-52188</v>
      </c>
      <c r="CS17" s="119">
        <f t="shared" si="288"/>
        <v>-7.3312374097081162E-2</v>
      </c>
      <c r="CT17" s="119">
        <f t="shared" si="135"/>
        <v>1.521223203517108E-2</v>
      </c>
      <c r="CU17" s="122">
        <v>-180346</v>
      </c>
      <c r="CV17" s="119">
        <f t="shared" si="289"/>
        <v>-8.5230967576069197E-2</v>
      </c>
      <c r="CW17" s="119">
        <f t="shared" si="137"/>
        <v>7.6997005051182565E-3</v>
      </c>
      <c r="CX17" s="120">
        <v>-40966</v>
      </c>
      <c r="CY17" s="119">
        <f t="shared" si="290"/>
        <v>-9.3052520636189767E-2</v>
      </c>
      <c r="CZ17" s="119">
        <f t="shared" si="139"/>
        <v>7.796752887929892E-2</v>
      </c>
      <c r="DA17" s="120">
        <v>-50098</v>
      </c>
      <c r="DB17" s="119">
        <f t="shared" si="291"/>
        <v>-7.9522023400408579E-2</v>
      </c>
      <c r="DC17" s="119">
        <f t="shared" si="141"/>
        <v>8.4419238928092222E-2</v>
      </c>
      <c r="DD17" s="32">
        <f t="shared" si="334"/>
        <v>-91064</v>
      </c>
      <c r="DE17" s="119">
        <f t="shared" si="292"/>
        <v>-8.5087854536620461E-2</v>
      </c>
      <c r="DF17" s="119">
        <f t="shared" si="143"/>
        <v>8.1520190023752992E-2</v>
      </c>
      <c r="DG17" s="120">
        <v>-56810</v>
      </c>
      <c r="DH17" s="119">
        <f t="shared" si="293"/>
        <v>-9.9887470548932725E-2</v>
      </c>
      <c r="DI17" s="119">
        <f t="shared" si="145"/>
        <v>0.29239939031326068</v>
      </c>
      <c r="DJ17" s="32">
        <f t="shared" si="335"/>
        <v>-147874</v>
      </c>
      <c r="DK17" s="119">
        <f t="shared" si="294"/>
        <v>-9.0223462835003584E-2</v>
      </c>
      <c r="DL17" s="119">
        <f t="shared" si="147"/>
        <v>0.15385035542342584</v>
      </c>
      <c r="DM17" s="120">
        <v>-63890</v>
      </c>
      <c r="DN17" s="119">
        <f t="shared" si="295"/>
        <v>-7.7563799837078382E-2</v>
      </c>
      <c r="DO17" s="119">
        <f t="shared" si="149"/>
        <v>0.22422779182953945</v>
      </c>
      <c r="DP17" s="32">
        <f>DJ17+DM17</f>
        <v>-211764</v>
      </c>
      <c r="DQ17" s="119">
        <f t="shared" si="296"/>
        <v>-8.5989142735788573E-2</v>
      </c>
      <c r="DR17" s="119">
        <f t="shared" si="151"/>
        <v>0.17420957492819356</v>
      </c>
      <c r="DS17" s="32">
        <v>-51523</v>
      </c>
      <c r="DT17" s="119">
        <f t="shared" si="297"/>
        <v>-9.9521544039389079E-2</v>
      </c>
      <c r="DU17" s="119">
        <f t="shared" si="209"/>
        <v>0.25770150856808094</v>
      </c>
      <c r="DV17" s="32">
        <v>-60560</v>
      </c>
      <c r="DW17" s="119">
        <f t="shared" si="298"/>
        <v>-8.0784042750445872E-2</v>
      </c>
      <c r="DX17" s="119">
        <f t="shared" si="210"/>
        <v>0.20883069184398573</v>
      </c>
      <c r="DY17" s="32">
        <f t="shared" si="336"/>
        <v>-112083</v>
      </c>
      <c r="DZ17" s="119">
        <f t="shared" si="299"/>
        <v>-8.8438170685519499E-2</v>
      </c>
      <c r="EA17" s="119">
        <f t="shared" si="211"/>
        <v>0.23081569006413072</v>
      </c>
      <c r="EB17" s="32">
        <v>-63936</v>
      </c>
      <c r="EC17" s="119">
        <f t="shared" ref="EC17:EC28" si="349">(EB17/$EB$8)</f>
        <v>-9.7303812648765128E-2</v>
      </c>
      <c r="ED17" s="119">
        <f t="shared" si="212"/>
        <v>0.12543566273543383</v>
      </c>
      <c r="EE17" s="32">
        <f t="shared" si="337"/>
        <v>-176019</v>
      </c>
      <c r="EF17" s="119">
        <f t="shared" ref="EF17:EF28" si="350">(EE17/$EE$8)</f>
        <v>-9.1465239685809246E-2</v>
      </c>
      <c r="EG17" s="119">
        <f t="shared" si="213"/>
        <v>0.19033095743673667</v>
      </c>
      <c r="EH17" s="32">
        <v>-74662</v>
      </c>
      <c r="EI17" s="119">
        <f>(EH17/$EH$8)</f>
        <v>-7.6798535250673747E-2</v>
      </c>
      <c r="EJ17" s="119">
        <f t="shared" si="214"/>
        <v>0.16860228517764919</v>
      </c>
      <c r="EK17" s="32">
        <v>-250682</v>
      </c>
      <c r="EL17" s="119">
        <f t="shared" si="215"/>
        <v>-8.6543025881571506E-2</v>
      </c>
      <c r="EM17" s="119">
        <f t="shared" si="232"/>
        <v>0.18378005704463463</v>
      </c>
      <c r="EN17" s="32">
        <v>-64196</v>
      </c>
      <c r="EO17" s="119">
        <f t="shared" si="216"/>
        <v>-0.10367587802951878</v>
      </c>
      <c r="EP17" s="119">
        <f t="shared" si="217"/>
        <v>0.24596782019680541</v>
      </c>
      <c r="EQ17" s="32">
        <v>-68973</v>
      </c>
      <c r="ER17" s="119">
        <f t="shared" si="233"/>
        <v>-8.0654233256818239E-2</v>
      </c>
      <c r="ES17" s="119">
        <f t="shared" si="305"/>
        <v>0.13892007926023786</v>
      </c>
      <c r="ET17" s="32">
        <f t="shared" si="338"/>
        <v>-133169</v>
      </c>
      <c r="EU17" s="119">
        <f t="shared" si="234"/>
        <v>-9.0322768806702258E-2</v>
      </c>
      <c r="EV17" s="119">
        <f t="shared" si="306"/>
        <v>0.18812844053067823</v>
      </c>
      <c r="EW17" s="120">
        <v>-74110</v>
      </c>
      <c r="EX17" s="119">
        <f t="shared" si="235"/>
        <v>-9.2261534247939647E-2</v>
      </c>
      <c r="EY17" s="119">
        <f t="shared" si="153"/>
        <v>0.15912787787787797</v>
      </c>
      <c r="EZ17" s="32">
        <f t="shared" si="339"/>
        <v>-207279</v>
      </c>
      <c r="FA17" s="119">
        <f t="shared" si="236"/>
        <v>-9.1006480862335343E-2</v>
      </c>
      <c r="FB17" s="119">
        <f t="shared" si="154"/>
        <v>0.17759446423397485</v>
      </c>
      <c r="FC17" s="120">
        <v>-86652</v>
      </c>
      <c r="FD17" s="119">
        <f t="shared" si="219"/>
        <v>-7.3165294866642125E-2</v>
      </c>
      <c r="FE17" s="119">
        <f t="shared" si="155"/>
        <v>0.16059039404248487</v>
      </c>
      <c r="FF17" s="32">
        <v>-293932</v>
      </c>
      <c r="FG17" s="119">
        <f t="shared" si="220"/>
        <v>-8.4903349547655091E-2</v>
      </c>
      <c r="FH17" s="119">
        <f t="shared" si="156"/>
        <v>0.17252933996058761</v>
      </c>
      <c r="FI17" s="32">
        <v>-78755</v>
      </c>
      <c r="FJ17" s="119">
        <f>(FI17/$FI$8)</f>
        <v>-0.10836884624434626</v>
      </c>
      <c r="FK17" s="119">
        <f t="shared" si="340"/>
        <v>0.22678983114212725</v>
      </c>
      <c r="FL17" s="32">
        <v>-79154</v>
      </c>
      <c r="FM17" s="119">
        <f t="shared" si="222"/>
        <v>-8.3566036002842056E-2</v>
      </c>
      <c r="FN17" s="119">
        <f t="shared" si="341"/>
        <v>0.14760848447943409</v>
      </c>
      <c r="FO17" s="32">
        <f t="shared" si="237"/>
        <v>-157909</v>
      </c>
      <c r="FP17" s="119">
        <f t="shared" si="252"/>
        <v>-9.4334065739748396E-2</v>
      </c>
      <c r="FQ17" s="119">
        <f t="shared" si="159"/>
        <v>0.18577897258370935</v>
      </c>
      <c r="FR17" s="32">
        <v>-86293</v>
      </c>
      <c r="FS17" s="123">
        <f>(FR17/$FR$8)</f>
        <v>-9.5149726877181845E-2</v>
      </c>
      <c r="FT17" s="119">
        <f>(FR17/EW17)-1</f>
        <v>0.164390770476319</v>
      </c>
      <c r="FU17" s="32">
        <v>-244202</v>
      </c>
      <c r="FV17" s="123">
        <f>(FU17/$FU$8)</f>
        <v>-9.4620691151604194E-2</v>
      </c>
      <c r="FW17" s="119">
        <f>(FU17/EZ17)-1</f>
        <v>0.17813188986824513</v>
      </c>
      <c r="FX17" s="32">
        <v>-86053</v>
      </c>
      <c r="FY17" s="123">
        <f t="shared" si="253"/>
        <v>-6.4558116784225114E-2</v>
      </c>
      <c r="FZ17" s="119">
        <f t="shared" si="161"/>
        <v>-6.9127083044823179E-3</v>
      </c>
      <c r="GA17" s="32">
        <v>-330255</v>
      </c>
      <c r="GB17" s="123">
        <f t="shared" si="342"/>
        <v>-8.438199206961812E-2</v>
      </c>
      <c r="GC17" s="119">
        <f t="shared" si="343"/>
        <v>0.12357620129825952</v>
      </c>
      <c r="GD17" s="32">
        <v>-81634</v>
      </c>
      <c r="GE17" s="119">
        <f t="shared" ref="GE17:GE28" si="351">(GD17/$GD$8)</f>
        <v>-0.10022393666913848</v>
      </c>
      <c r="GF17" s="119">
        <f t="shared" si="164"/>
        <v>3.6556409116881516E-2</v>
      </c>
      <c r="GG17" s="32">
        <v>-92299</v>
      </c>
      <c r="GH17" s="119">
        <f t="shared" si="225"/>
        <v>-8.3062604504327758E-2</v>
      </c>
      <c r="GI17" s="119">
        <f t="shared" si="165"/>
        <v>0.16606867625135813</v>
      </c>
      <c r="GJ17" s="32">
        <f t="shared" si="254"/>
        <v>-173933</v>
      </c>
      <c r="GK17" s="123">
        <f t="shared" si="167"/>
        <v>-9.0321304201973915E-2</v>
      </c>
      <c r="GL17" s="119">
        <f t="shared" si="226"/>
        <v>0.10147616665294579</v>
      </c>
      <c r="GM17" s="32">
        <v>-98792</v>
      </c>
      <c r="GN17" s="123">
        <f t="shared" si="168"/>
        <v>-9.4349010735456609E-2</v>
      </c>
      <c r="GO17" s="119">
        <f t="shared" si="169"/>
        <v>0.14484373008239371</v>
      </c>
      <c r="GP17" s="32">
        <f>GJ17+GM17</f>
        <v>-272725</v>
      </c>
      <c r="GQ17" s="123">
        <f t="shared" si="171"/>
        <v>-9.1739956034788697E-2</v>
      </c>
      <c r="GR17" s="119">
        <f t="shared" si="172"/>
        <v>0.11680084520192291</v>
      </c>
      <c r="GS17" s="32">
        <v>-125275</v>
      </c>
      <c r="GT17" s="123">
        <f t="shared" si="344"/>
        <v>-7.502364045665158E-2</v>
      </c>
      <c r="GU17" s="119">
        <f t="shared" si="227"/>
        <v>0.45578887429839754</v>
      </c>
      <c r="GV17" s="32">
        <f t="shared" si="239"/>
        <v>-398000</v>
      </c>
      <c r="GW17" s="123">
        <f t="shared" si="174"/>
        <v>-8.5727603340533309E-2</v>
      </c>
      <c r="GX17" s="119">
        <f t="shared" si="228"/>
        <v>0.20512936972945139</v>
      </c>
      <c r="GY17" s="32">
        <v>-100353</v>
      </c>
      <c r="GZ17" s="123">
        <f t="shared" si="175"/>
        <v>-9.9271437686406602E-2</v>
      </c>
      <c r="HA17" s="119">
        <f t="shared" si="229"/>
        <v>0.22930396648455309</v>
      </c>
      <c r="HB17" s="32">
        <v>-116651</v>
      </c>
      <c r="HC17" s="123">
        <f>(HB17/$HB$8)</f>
        <v>-8.6138502731449546E-2</v>
      </c>
      <c r="HD17" s="119">
        <f t="shared" si="249"/>
        <v>0.26383817809510401</v>
      </c>
      <c r="HE17" s="32">
        <f t="shared" si="177"/>
        <v>-217004</v>
      </c>
      <c r="HF17" s="123">
        <f t="shared" si="240"/>
        <v>-9.1751753927177507E-2</v>
      </c>
      <c r="HG17" s="119">
        <f t="shared" si="245"/>
        <v>0.24762983447649378</v>
      </c>
      <c r="HH17" s="32">
        <v>-122131</v>
      </c>
      <c r="HI17" s="123">
        <f t="shared" si="246"/>
        <v>-9.7832765256956097E-2</v>
      </c>
      <c r="HJ17" s="119">
        <f t="shared" si="241"/>
        <v>0.23624382541096445</v>
      </c>
      <c r="HK17" s="32">
        <f t="shared" si="345"/>
        <v>-339135</v>
      </c>
      <c r="HL17" s="123">
        <f>(HK17/$HK$8)</f>
        <v>-9.3852584457224969E-2</v>
      </c>
      <c r="HM17" s="119">
        <f t="shared" si="230"/>
        <v>0.24350536254468791</v>
      </c>
      <c r="HN17" s="32">
        <v>-130254</v>
      </c>
      <c r="HO17" s="123">
        <f t="shared" si="179"/>
        <v>-7.0891700401553098E-2</v>
      </c>
      <c r="HP17" s="119">
        <f t="shared" si="180"/>
        <v>3.9744561963679814E-2</v>
      </c>
      <c r="HQ17" s="32">
        <f t="shared" si="346"/>
        <v>-469389</v>
      </c>
      <c r="HR17" s="123">
        <f t="shared" si="181"/>
        <v>-8.6112959955617949E-2</v>
      </c>
      <c r="HS17" s="119">
        <f t="shared" si="182"/>
        <v>0.17936934673366833</v>
      </c>
      <c r="HT17" s="32">
        <v>-120667</v>
      </c>
      <c r="HU17" s="123">
        <f t="shared" si="242"/>
        <v>-0.11212862914766371</v>
      </c>
      <c r="HV17" s="119">
        <f t="shared" si="183"/>
        <v>0.20242543820314296</v>
      </c>
      <c r="HW17" s="32">
        <v>-130629</v>
      </c>
      <c r="HX17" s="123">
        <f t="shared" si="184"/>
        <v>-8.918554668297958E-2</v>
      </c>
      <c r="HY17" s="119">
        <f t="shared" si="307"/>
        <v>0.11982751969550187</v>
      </c>
      <c r="HZ17" s="32">
        <f t="shared" si="185"/>
        <v>-251296</v>
      </c>
      <c r="IA17" s="123">
        <f t="shared" si="186"/>
        <v>-9.8902880784119879E-2</v>
      </c>
      <c r="IB17" s="119">
        <f t="shared" si="301"/>
        <v>0.15802473687120977</v>
      </c>
      <c r="IC17" s="32">
        <v>-134271</v>
      </c>
      <c r="ID17" s="123">
        <f t="shared" si="187"/>
        <v>-0.10652894515946297</v>
      </c>
      <c r="IE17" s="119">
        <f t="shared" si="308"/>
        <v>9.9401462364182791E-2</v>
      </c>
      <c r="IF17" s="32">
        <f t="shared" si="188"/>
        <v>-385567</v>
      </c>
      <c r="IG17" s="123">
        <f t="shared" si="189"/>
        <v>-0.10143152759589336</v>
      </c>
      <c r="IH17" s="119">
        <f t="shared" si="302"/>
        <v>0.13691302873486966</v>
      </c>
      <c r="II17" s="32">
        <v>-135497</v>
      </c>
      <c r="IJ17" s="123">
        <f t="shared" si="22"/>
        <v>-7.0552834047729135E-2</v>
      </c>
      <c r="IK17" s="119">
        <f t="shared" si="23"/>
        <v>4.0252122775500165E-2</v>
      </c>
      <c r="IL17" s="32">
        <v>-521149</v>
      </c>
      <c r="IM17" s="123">
        <f t="shared" si="24"/>
        <v>-9.1081987578291071E-2</v>
      </c>
      <c r="IN17" s="119">
        <f t="shared" si="25"/>
        <v>0.11027101188992505</v>
      </c>
      <c r="IO17" s="32">
        <f>-129705.13443</f>
        <v>-129705.13443000001</v>
      </c>
      <c r="IP17" s="123">
        <f t="shared" si="26"/>
        <v>-0.10505127986594141</v>
      </c>
      <c r="IQ17" s="119">
        <f t="shared" si="27"/>
        <v>7.4901459636851797E-2</v>
      </c>
      <c r="IR17" s="32">
        <f>-135603.50086</f>
        <v>-135603.50086</v>
      </c>
      <c r="IS17" s="123">
        <f t="shared" si="190"/>
        <v>-8.3169064887368929E-2</v>
      </c>
      <c r="IT17" s="119">
        <f t="shared" si="309"/>
        <v>3.8081137113504582E-2</v>
      </c>
      <c r="IU17" s="32">
        <f t="shared" si="191"/>
        <v>-265308.63529000001</v>
      </c>
      <c r="IV17" s="123">
        <f t="shared" si="192"/>
        <v>-9.2598838203368769E-2</v>
      </c>
      <c r="IW17" s="119">
        <f t="shared" si="303"/>
        <v>5.5761473680440599E-2</v>
      </c>
      <c r="IX17" s="32">
        <f>-150096.68736</f>
        <v>-150096.68736000001</v>
      </c>
      <c r="IY17" s="123">
        <f t="shared" si="193"/>
        <v>-9.9232361808779451E-2</v>
      </c>
      <c r="IZ17" s="119">
        <f t="shared" si="310"/>
        <v>0.11786377817994964</v>
      </c>
      <c r="JA17" s="32">
        <f t="shared" si="311"/>
        <v>-415405.32264999999</v>
      </c>
      <c r="JB17" s="123">
        <f t="shared" si="31"/>
        <v>-9.4890836424365382E-2</v>
      </c>
      <c r="JC17" s="119">
        <f t="shared" si="32"/>
        <v>7.7388165091929473E-2</v>
      </c>
      <c r="JD17" s="32">
        <f>-169379.93951</f>
        <v>-169379.93951</v>
      </c>
      <c r="JE17" s="123">
        <f t="shared" si="195"/>
        <v>-7.6216418848473799E-2</v>
      </c>
      <c r="JF17" s="119">
        <f t="shared" si="312"/>
        <v>0.25006413064495892</v>
      </c>
      <c r="JG17" s="32">
        <f t="shared" si="313"/>
        <v>-584785.26215999993</v>
      </c>
      <c r="JH17" s="123">
        <f t="shared" si="34"/>
        <v>-8.860284759880685E-2</v>
      </c>
      <c r="JI17" s="119">
        <f t="shared" si="35"/>
        <v>0.12210761636307454</v>
      </c>
      <c r="JJ17" s="32">
        <f>-152348-JJ18</f>
        <v>-149298</v>
      </c>
      <c r="JK17" s="123">
        <f t="shared" si="197"/>
        <v>-0.10673146418514476</v>
      </c>
      <c r="JL17" s="119">
        <f t="shared" si="314"/>
        <v>0.15105697747512048</v>
      </c>
      <c r="JM17" s="32">
        <f>-164503-JM18</f>
        <v>-161412</v>
      </c>
      <c r="JN17" s="123">
        <f t="shared" si="198"/>
        <v>-9.0679319629826671E-2</v>
      </c>
      <c r="JO17" s="119">
        <f t="shared" si="315"/>
        <v>0.19032325106890302</v>
      </c>
      <c r="JP17" s="32">
        <f t="shared" si="36"/>
        <v>-310710</v>
      </c>
      <c r="JQ17" s="123">
        <f t="shared" si="199"/>
        <v>-9.774289444295893E-2</v>
      </c>
      <c r="JR17" s="119">
        <f t="shared" si="316"/>
        <v>0.17112660000822544</v>
      </c>
      <c r="JS17" s="32">
        <f>-179590-JS18</f>
        <v>-176513</v>
      </c>
      <c r="JT17" s="119">
        <f t="shared" si="37"/>
        <v>-0.10313585877796806</v>
      </c>
      <c r="JU17" s="119">
        <f t="shared" si="38"/>
        <v>0.17599530745566483</v>
      </c>
      <c r="JV17" s="32">
        <f>JS17+JP17</f>
        <v>-487223</v>
      </c>
      <c r="JW17" s="119">
        <f t="shared" si="40"/>
        <v>-9.9630268913367681E-2</v>
      </c>
      <c r="JX17" s="119">
        <f t="shared" si="41"/>
        <v>0.17288578993608628</v>
      </c>
      <c r="JY17" s="32">
        <f>-200229</f>
        <v>-200229</v>
      </c>
      <c r="JZ17" s="119">
        <f t="shared" si="42"/>
        <v>-7.7155910203836275E-2</v>
      </c>
      <c r="KA17" s="119">
        <f t="shared" si="43"/>
        <v>0.18212936301219251</v>
      </c>
      <c r="KB17" s="32">
        <f t="shared" si="317"/>
        <v>-687452</v>
      </c>
      <c r="KC17" s="119">
        <f t="shared" si="45"/>
        <v>-9.1838641799345477E-2</v>
      </c>
      <c r="KD17" s="119">
        <f t="shared" si="46"/>
        <v>0.17556314169201825</v>
      </c>
      <c r="KE17" s="548">
        <v>-170241</v>
      </c>
      <c r="KF17" s="119">
        <f t="shared" si="47"/>
        <v>-0.10315529494884984</v>
      </c>
      <c r="KG17" s="119">
        <f t="shared" si="48"/>
        <v>0.14027649399188191</v>
      </c>
      <c r="KH17" s="548">
        <v>-182454</v>
      </c>
      <c r="KI17" s="123">
        <f t="shared" si="200"/>
        <v>-9.0351762476886407E-2</v>
      </c>
      <c r="KJ17" s="119">
        <f t="shared" si="318"/>
        <v>0.13036205486580932</v>
      </c>
      <c r="KK17" s="32">
        <f t="shared" si="347"/>
        <v>-352695</v>
      </c>
      <c r="KL17" s="123">
        <f t="shared" si="201"/>
        <v>-9.6109748151829946E-2</v>
      </c>
      <c r="KM17" s="119">
        <f t="shared" si="248"/>
        <v>0.13512600173795497</v>
      </c>
      <c r="KN17" s="548">
        <v>-196024</v>
      </c>
      <c r="KO17" s="549">
        <f t="shared" si="50"/>
        <v>-0.10146568912648737</v>
      </c>
      <c r="KP17" s="549">
        <f t="shared" si="51"/>
        <v>0.11053576790378039</v>
      </c>
      <c r="KQ17" s="548">
        <f>KN17+KK17</f>
        <v>-548719</v>
      </c>
      <c r="KR17" s="549">
        <f t="shared" si="53"/>
        <v>-9.7956935787497756E-2</v>
      </c>
      <c r="KS17" s="549">
        <f t="shared" si="54"/>
        <v>0.12621735837593873</v>
      </c>
      <c r="KT17" s="548">
        <v>-212317</v>
      </c>
      <c r="KU17" s="549">
        <f t="shared" si="55"/>
        <v>-7.3899308680855036E-2</v>
      </c>
      <c r="KV17" s="549">
        <f t="shared" si="56"/>
        <v>6.0370875347726782E-2</v>
      </c>
      <c r="KW17" s="548">
        <f>KT17+KQ17</f>
        <v>-761036</v>
      </c>
      <c r="KX17" s="549">
        <f t="shared" si="58"/>
        <v>-8.9801011080873377E-2</v>
      </c>
      <c r="KY17" s="549">
        <f t="shared" si="59"/>
        <v>0.10703874597790097</v>
      </c>
      <c r="KZ17" s="548">
        <v>-190264</v>
      </c>
      <c r="LA17" s="549">
        <f t="shared" si="60"/>
        <v>-0.12273671444606432</v>
      </c>
      <c r="LB17" s="549">
        <f t="shared" si="61"/>
        <v>0.11761561550977739</v>
      </c>
      <c r="LC17" s="548">
        <v>-150478</v>
      </c>
      <c r="LD17" s="123">
        <f t="shared" si="202"/>
        <v>-0.27885092914483095</v>
      </c>
      <c r="LE17" s="119">
        <f t="shared" si="319"/>
        <v>-0.17525513280059635</v>
      </c>
      <c r="LF17" s="32">
        <f t="shared" si="348"/>
        <v>-340742</v>
      </c>
      <c r="LG17" s="123">
        <f t="shared" si="203"/>
        <v>-0.1630488042966462</v>
      </c>
      <c r="LH17" s="119">
        <f t="shared" si="320"/>
        <v>-3.3890471937509714E-2</v>
      </c>
      <c r="LI17" s="548">
        <v>-175639</v>
      </c>
      <c r="LJ17" s="123">
        <f t="shared" si="204"/>
        <v>-0.1063707116715934</v>
      </c>
      <c r="LK17" s="119">
        <f t="shared" si="321"/>
        <v>-0.10399236828143488</v>
      </c>
      <c r="LL17" s="32">
        <f t="shared" si="62"/>
        <v>-516381</v>
      </c>
      <c r="LM17" s="123">
        <f t="shared" si="205"/>
        <v>-0.13803239924587271</v>
      </c>
      <c r="LN17" s="119">
        <f t="shared" si="322"/>
        <v>-5.8933625407540102E-2</v>
      </c>
      <c r="LO17" s="548">
        <v>-206902</v>
      </c>
      <c r="LP17" s="123">
        <f t="shared" si="206"/>
        <v>-7.0867576530420015E-2</v>
      </c>
      <c r="LQ17" s="119">
        <f t="shared" si="323"/>
        <v>-2.5504316658581327E-2</v>
      </c>
      <c r="LR17" s="32">
        <f t="shared" si="63"/>
        <v>-723283</v>
      </c>
      <c r="LS17" s="123">
        <f t="shared" si="207"/>
        <v>-0.10859174085825374</v>
      </c>
      <c r="LT17" s="119">
        <f t="shared" si="324"/>
        <v>-4.960737731197995E-2</v>
      </c>
    </row>
    <row r="18" spans="1:332" ht="16.5" customHeight="1">
      <c r="A18" s="105"/>
      <c r="B18" s="127" t="s">
        <v>1344</v>
      </c>
      <c r="C18" s="116" t="s">
        <v>225</v>
      </c>
      <c r="D18" s="121">
        <v>-250</v>
      </c>
      <c r="E18" s="118">
        <f t="shared" si="255"/>
        <v>-1.2625497444599318E-3</v>
      </c>
      <c r="F18" s="121">
        <v>-777</v>
      </c>
      <c r="G18" s="118">
        <f t="shared" si="256"/>
        <v>-2.7834697006605814E-3</v>
      </c>
      <c r="H18" s="117">
        <f t="shared" si="325"/>
        <v>-1027</v>
      </c>
      <c r="I18" s="118">
        <f t="shared" si="257"/>
        <v>-2.1523178807947019E-3</v>
      </c>
      <c r="J18" s="121">
        <f>-226-500</f>
        <v>-726</v>
      </c>
      <c r="K18" s="118">
        <f t="shared" si="258"/>
        <v>-2.8424551608571217E-3</v>
      </c>
      <c r="L18" s="117">
        <f t="shared" si="326"/>
        <v>-1753</v>
      </c>
      <c r="M18" s="118">
        <f t="shared" si="259"/>
        <v>-2.3929355845765539E-3</v>
      </c>
      <c r="N18" s="121">
        <v>-1363</v>
      </c>
      <c r="O18" s="118">
        <f t="shared" si="260"/>
        <v>-3.3749235504294795E-3</v>
      </c>
      <c r="P18" s="117">
        <f>L18+N18</f>
        <v>-3116</v>
      </c>
      <c r="Q18" s="118">
        <f t="shared" si="261"/>
        <v>-2.7419102209191209E-3</v>
      </c>
      <c r="R18" s="121">
        <v>-856</v>
      </c>
      <c r="S18" s="118">
        <f t="shared" si="262"/>
        <v>-3.4104265025199703E-3</v>
      </c>
      <c r="T18" s="26">
        <f t="shared" si="208"/>
        <v>2.4239999999999999</v>
      </c>
      <c r="U18" s="121">
        <v>-884</v>
      </c>
      <c r="V18" s="119">
        <f t="shared" si="263"/>
        <v>-2.4712825229446281E-3</v>
      </c>
      <c r="W18" s="26">
        <f t="shared" si="85"/>
        <v>0.13770913770913773</v>
      </c>
      <c r="X18" s="117">
        <f t="shared" si="327"/>
        <v>-1740</v>
      </c>
      <c r="Y18" s="119">
        <f t="shared" si="264"/>
        <v>-2.8585322258437599E-3</v>
      </c>
      <c r="Z18" s="26">
        <f t="shared" si="87"/>
        <v>0.69425511197663092</v>
      </c>
      <c r="AA18" s="121">
        <v>-914</v>
      </c>
      <c r="AB18" s="119">
        <f t="shared" si="265"/>
        <v>-2.8515894335195916E-3</v>
      </c>
      <c r="AC18" s="26">
        <f t="shared" si="89"/>
        <v>0.25895316804407709</v>
      </c>
      <c r="AD18" s="117">
        <f t="shared" si="328"/>
        <v>-2654</v>
      </c>
      <c r="AE18" s="119">
        <f t="shared" si="266"/>
        <v>-2.8561374131401691E-3</v>
      </c>
      <c r="AF18" s="26">
        <f t="shared" si="91"/>
        <v>0.51397604107244721</v>
      </c>
      <c r="AG18" s="121">
        <v>-1677</v>
      </c>
      <c r="AH18" s="119">
        <f t="shared" si="267"/>
        <v>-3.3084819059381034E-3</v>
      </c>
      <c r="AI18" s="26">
        <f t="shared" si="93"/>
        <v>0.23037417461482024</v>
      </c>
      <c r="AJ18" s="117">
        <f t="shared" si="329"/>
        <v>-4331</v>
      </c>
      <c r="AK18" s="119">
        <f t="shared" si="268"/>
        <v>-3.0157961987459132E-3</v>
      </c>
      <c r="AL18" s="26">
        <f t="shared" si="95"/>
        <v>0.38992297817715027</v>
      </c>
      <c r="AM18" s="120">
        <v>-1176</v>
      </c>
      <c r="AN18" s="119">
        <f t="shared" si="269"/>
        <v>-3.7899662576983688E-3</v>
      </c>
      <c r="AO18" s="119">
        <f t="shared" si="97"/>
        <v>0.37383177570093462</v>
      </c>
      <c r="AP18" s="120">
        <v>-1470</v>
      </c>
      <c r="AQ18" s="119">
        <f t="shared" si="270"/>
        <v>-3.3081657683608828E-3</v>
      </c>
      <c r="AR18" s="119">
        <f t="shared" si="99"/>
        <v>0.66289592760181004</v>
      </c>
      <c r="AS18" s="120">
        <f t="shared" si="330"/>
        <v>-2646</v>
      </c>
      <c r="AT18" s="119">
        <f t="shared" si="271"/>
        <v>-3.5062704731212433E-3</v>
      </c>
      <c r="AU18" s="119">
        <f t="shared" si="101"/>
        <v>0.52068965517241383</v>
      </c>
      <c r="AV18" s="120">
        <v>-959</v>
      </c>
      <c r="AW18" s="119">
        <f t="shared" si="272"/>
        <v>-2.4256496643548378E-3</v>
      </c>
      <c r="AX18" s="119">
        <f t="shared" si="103"/>
        <v>4.9234135667395984E-2</v>
      </c>
      <c r="AY18" s="120">
        <f t="shared" si="331"/>
        <v>-3605</v>
      </c>
      <c r="AZ18" s="119">
        <f t="shared" si="273"/>
        <v>-3.1347662533934605E-3</v>
      </c>
      <c r="BA18" s="119">
        <f t="shared" si="105"/>
        <v>0.35832705350414473</v>
      </c>
      <c r="BB18" s="120">
        <v>-1823</v>
      </c>
      <c r="BC18" s="119">
        <f t="shared" si="274"/>
        <v>-3.0296382714941452E-3</v>
      </c>
      <c r="BD18" s="119">
        <f t="shared" si="107"/>
        <v>8.7060226595110368E-2</v>
      </c>
      <c r="BE18" s="120">
        <f>BB18+AY18</f>
        <v>-5428</v>
      </c>
      <c r="BF18" s="119">
        <f t="shared" si="275"/>
        <v>-3.0986545856434332E-3</v>
      </c>
      <c r="BG18" s="119">
        <f t="shared" si="109"/>
        <v>0.25329023320249355</v>
      </c>
      <c r="BH18" s="120">
        <v>-1023</v>
      </c>
      <c r="BI18" s="119">
        <f t="shared" si="276"/>
        <v>-2.6683499268355666E-3</v>
      </c>
      <c r="BJ18" s="119">
        <f t="shared" si="111"/>
        <v>-0.13010204081632648</v>
      </c>
      <c r="BK18" s="120">
        <v>-1137</v>
      </c>
      <c r="BL18" s="119">
        <f t="shared" si="277"/>
        <v>-2.2283369198386662E-3</v>
      </c>
      <c r="BM18" s="119">
        <f t="shared" si="113"/>
        <v>-0.22653061224489801</v>
      </c>
      <c r="BN18" s="120">
        <f>BK18+BH18</f>
        <v>-2160</v>
      </c>
      <c r="BO18" s="119">
        <f t="shared" si="278"/>
        <v>-2.4171104563526923E-3</v>
      </c>
      <c r="BP18" s="119">
        <f t="shared" si="115"/>
        <v>-0.18367346938775508</v>
      </c>
      <c r="BQ18" s="120">
        <v>-1157</v>
      </c>
      <c r="BR18" s="119">
        <f t="shared" si="279"/>
        <v>-2.5766423032554326E-3</v>
      </c>
      <c r="BS18" s="119">
        <f t="shared" si="117"/>
        <v>0.20646506777893636</v>
      </c>
      <c r="BT18" s="120">
        <f>BN18+BQ18</f>
        <v>-3317</v>
      </c>
      <c r="BU18" s="119">
        <f t="shared" si="280"/>
        <v>-2.4704617089606929E-3</v>
      </c>
      <c r="BV18" s="119">
        <f t="shared" si="119"/>
        <v>-7.9889042995839099E-2</v>
      </c>
      <c r="BW18" s="120">
        <v>-1215</v>
      </c>
      <c r="BX18" s="119">
        <f t="shared" si="281"/>
        <v>-1.9796075977828397E-3</v>
      </c>
      <c r="BY18" s="119">
        <f t="shared" si="121"/>
        <v>-0.33351618211738887</v>
      </c>
      <c r="BZ18" s="120">
        <f t="shared" si="332"/>
        <v>-4532</v>
      </c>
      <c r="CA18" s="119">
        <f t="shared" si="282"/>
        <v>-2.3164736442342192E-3</v>
      </c>
      <c r="CB18" s="119">
        <f t="shared" si="123"/>
        <v>-0.16507000736919675</v>
      </c>
      <c r="CC18" s="120">
        <v>-1335</v>
      </c>
      <c r="CD18" s="119">
        <f t="shared" si="283"/>
        <v>-3.6812455018488954E-3</v>
      </c>
      <c r="CE18" s="119">
        <f t="shared" si="125"/>
        <v>0.30498533724340171</v>
      </c>
      <c r="CF18" s="120">
        <v>-1334</v>
      </c>
      <c r="CG18" s="119">
        <f t="shared" si="284"/>
        <v>-2.4047648233741698E-3</v>
      </c>
      <c r="CH18" s="119">
        <f t="shared" si="127"/>
        <v>0.17326297273526814</v>
      </c>
      <c r="CI18" s="120">
        <f>CF18+CC18</f>
        <v>-2669</v>
      </c>
      <c r="CJ18" s="119">
        <f t="shared" si="285"/>
        <v>-2.9093723429767381E-3</v>
      </c>
      <c r="CK18" s="119">
        <f t="shared" si="129"/>
        <v>0.23564814814814805</v>
      </c>
      <c r="CL18" s="120">
        <v>-1252</v>
      </c>
      <c r="CM18" s="119">
        <f t="shared" si="286"/>
        <v>-2.5722679925215212E-3</v>
      </c>
      <c r="CN18" s="119">
        <f t="shared" si="131"/>
        <v>8.2108902333621447E-2</v>
      </c>
      <c r="CO18" s="121">
        <f t="shared" si="333"/>
        <v>-3921</v>
      </c>
      <c r="CP18" s="119">
        <f t="shared" si="287"/>
        <v>-2.7925142670344439E-3</v>
      </c>
      <c r="CQ18" s="119">
        <f t="shared" si="133"/>
        <v>0.18209225203497126</v>
      </c>
      <c r="CR18" s="120">
        <v>-2105</v>
      </c>
      <c r="CS18" s="119">
        <f t="shared" si="288"/>
        <v>-2.9570504229776162E-3</v>
      </c>
      <c r="CT18" s="119">
        <f t="shared" si="135"/>
        <v>0.73251028806584362</v>
      </c>
      <c r="CU18" s="122">
        <f>CO18+CR18</f>
        <v>-6026</v>
      </c>
      <c r="CV18" s="119">
        <f t="shared" si="289"/>
        <v>-2.8478691549210576E-3</v>
      </c>
      <c r="CW18" s="119">
        <f t="shared" si="137"/>
        <v>0.32965578111209171</v>
      </c>
      <c r="CX18" s="120">
        <v>-1801</v>
      </c>
      <c r="CY18" s="119">
        <f t="shared" si="290"/>
        <v>-4.0908946361806805E-3</v>
      </c>
      <c r="CZ18" s="119">
        <f t="shared" si="139"/>
        <v>0.34906367041198494</v>
      </c>
      <c r="DA18" s="120">
        <v>-1908</v>
      </c>
      <c r="DB18" s="119">
        <f t="shared" si="291"/>
        <v>-3.0286243093133373E-3</v>
      </c>
      <c r="DC18" s="119">
        <f t="shared" si="141"/>
        <v>0.43028485757121437</v>
      </c>
      <c r="DD18" s="32">
        <f t="shared" si="334"/>
        <v>-3709</v>
      </c>
      <c r="DE18" s="119">
        <f t="shared" si="292"/>
        <v>-3.4655940050549645E-3</v>
      </c>
      <c r="DF18" s="119">
        <f t="shared" si="143"/>
        <v>0.38965904833270892</v>
      </c>
      <c r="DG18" s="120">
        <v>-1441</v>
      </c>
      <c r="DH18" s="119">
        <f t="shared" si="293"/>
        <v>-2.5336709216865353E-3</v>
      </c>
      <c r="DI18" s="119">
        <f t="shared" si="145"/>
        <v>0.15095846645367406</v>
      </c>
      <c r="DJ18" s="32">
        <f t="shared" si="335"/>
        <v>-5150</v>
      </c>
      <c r="DK18" s="119">
        <f t="shared" si="294"/>
        <v>-3.1422077823029639E-3</v>
      </c>
      <c r="DL18" s="119">
        <f t="shared" si="147"/>
        <v>0.31344044886508549</v>
      </c>
      <c r="DM18" s="120">
        <v>-1961</v>
      </c>
      <c r="DN18" s="119">
        <f t="shared" si="295"/>
        <v>-2.3806951241275741E-3</v>
      </c>
      <c r="DO18" s="119">
        <f t="shared" si="149"/>
        <v>-6.8408551068883661E-2</v>
      </c>
      <c r="DP18" s="32">
        <f>DJ18+DM18</f>
        <v>-7111</v>
      </c>
      <c r="DQ18" s="119">
        <f t="shared" si="296"/>
        <v>-2.8875011521986385E-3</v>
      </c>
      <c r="DR18" s="119">
        <f t="shared" si="151"/>
        <v>0.18005310321938262</v>
      </c>
      <c r="DS18" s="32">
        <v>-1413</v>
      </c>
      <c r="DT18" s="119">
        <f t="shared" si="297"/>
        <v>-2.7293430453905394E-3</v>
      </c>
      <c r="DU18" s="119">
        <f t="shared" si="209"/>
        <v>-0.21543586896168798</v>
      </c>
      <c r="DV18" s="32">
        <v>-1607</v>
      </c>
      <c r="DW18" s="119">
        <f t="shared" si="298"/>
        <v>-2.1436584659835951E-3</v>
      </c>
      <c r="DX18" s="119">
        <f t="shared" si="210"/>
        <v>-0.15775681341719072</v>
      </c>
      <c r="DY18" s="32">
        <f t="shared" si="336"/>
        <v>-3020</v>
      </c>
      <c r="DZ18" s="119">
        <f t="shared" si="299"/>
        <v>-2.3829061987122838E-3</v>
      </c>
      <c r="EA18" s="119">
        <f t="shared" si="211"/>
        <v>-0.18576435696953353</v>
      </c>
      <c r="EB18" s="32">
        <v>-1528.3899999999999</v>
      </c>
      <c r="EC18" s="119">
        <f t="shared" si="349"/>
        <v>-2.3260475196172129E-3</v>
      </c>
      <c r="ED18" s="119">
        <f t="shared" si="212"/>
        <v>6.0645385149201925E-2</v>
      </c>
      <c r="EE18" s="32">
        <f t="shared" si="337"/>
        <v>-4548.3899999999994</v>
      </c>
      <c r="EF18" s="119">
        <f t="shared" si="350"/>
        <v>-2.363492472599764E-3</v>
      </c>
      <c r="EG18" s="119">
        <f>(EE18/DJ18)-1</f>
        <v>-0.11681747572815548</v>
      </c>
      <c r="EH18" s="32">
        <v>-1565</v>
      </c>
      <c r="EI18" s="119">
        <f t="shared" si="250"/>
        <v>-1.6097841963422412E-3</v>
      </c>
      <c r="EJ18" s="119">
        <f t="shared" si="214"/>
        <v>-0.20193778684344721</v>
      </c>
      <c r="EK18" s="32">
        <v>-6114</v>
      </c>
      <c r="EL18" s="119">
        <f t="shared" si="215"/>
        <v>-2.110738147293895E-3</v>
      </c>
      <c r="EM18" s="119">
        <f>(EK18/DP18)-1</f>
        <v>-0.14020531570805794</v>
      </c>
      <c r="EN18" s="32">
        <v>-1653</v>
      </c>
      <c r="EO18" s="119">
        <f t="shared" si="216"/>
        <v>-2.6695779547447587E-3</v>
      </c>
      <c r="EP18" s="119">
        <f t="shared" si="217"/>
        <v>0.16985138004246281</v>
      </c>
      <c r="EQ18" s="32">
        <v>-1752</v>
      </c>
      <c r="ER18" s="119">
        <f t="shared" si="233"/>
        <v>-2.0487178557688597E-3</v>
      </c>
      <c r="ES18" s="119">
        <f t="shared" si="305"/>
        <v>9.0230242688238871E-2</v>
      </c>
      <c r="ET18" s="32">
        <f t="shared" si="338"/>
        <v>-3405</v>
      </c>
      <c r="EU18" s="119">
        <f t="shared" si="234"/>
        <v>-2.3094641229326734E-3</v>
      </c>
      <c r="EV18" s="119">
        <f t="shared" si="306"/>
        <v>0.1274834437086092</v>
      </c>
      <c r="EW18" s="32">
        <v>-1764</v>
      </c>
      <c r="EX18" s="119">
        <f t="shared" si="235"/>
        <v>-2.1960510918009111E-3</v>
      </c>
      <c r="EY18" s="119">
        <f t="shared" si="153"/>
        <v>0.15415568016016867</v>
      </c>
      <c r="EZ18" s="32">
        <f t="shared" si="339"/>
        <v>-5169</v>
      </c>
      <c r="FA18" s="119">
        <f t="shared" si="236"/>
        <v>-2.2694653080023129E-3</v>
      </c>
      <c r="FB18" s="119">
        <f t="shared" si="154"/>
        <v>0.13644608311952156</v>
      </c>
      <c r="FC18" s="32">
        <v>-1762</v>
      </c>
      <c r="FD18" s="119">
        <f t="shared" si="219"/>
        <v>-1.4877585001502958E-3</v>
      </c>
      <c r="FE18" s="119">
        <f t="shared" si="155"/>
        <v>0.12587859424920134</v>
      </c>
      <c r="FF18" s="32">
        <v>-6931</v>
      </c>
      <c r="FG18" s="119">
        <f t="shared" si="220"/>
        <v>-2.0020450842875136E-3</v>
      </c>
      <c r="FH18" s="119">
        <f t="shared" si="156"/>
        <v>0.13362773961400065</v>
      </c>
      <c r="FI18" s="32">
        <v>-1873</v>
      </c>
      <c r="FJ18" s="119">
        <f t="shared" si="251"/>
        <v>-2.5772947624361697E-3</v>
      </c>
      <c r="FK18" s="119">
        <f t="shared" si="340"/>
        <v>0.1330913490623109</v>
      </c>
      <c r="FL18" s="32">
        <v>-1887</v>
      </c>
      <c r="FM18" s="119">
        <f t="shared" si="222"/>
        <v>-1.9921811903045069E-3</v>
      </c>
      <c r="FN18" s="119">
        <f t="shared" si="341"/>
        <v>7.7054794520547976E-2</v>
      </c>
      <c r="FO18" s="32">
        <f t="shared" si="237"/>
        <v>-3760</v>
      </c>
      <c r="FP18" s="119">
        <f t="shared" si="252"/>
        <v>-2.2462056449059522E-3</v>
      </c>
      <c r="FQ18" s="119">
        <f t="shared" si="159"/>
        <v>0.10425844346549185</v>
      </c>
      <c r="FR18" s="32">
        <v>-1916</v>
      </c>
      <c r="FS18" s="123">
        <f>(FR18/$FR$8)</f>
        <v>-2.1126496552058729E-3</v>
      </c>
      <c r="FT18" s="119">
        <f>(FR18/EW18)-1</f>
        <v>8.6167800453514687E-2</v>
      </c>
      <c r="FU18" s="32">
        <v>-5676</v>
      </c>
      <c r="FV18" s="123">
        <f>(FU18/$FU$8)</f>
        <v>-2.1992737282106839E-3</v>
      </c>
      <c r="FW18" s="119">
        <f>(FU18/EZ18)-1</f>
        <v>9.8084735925710875E-2</v>
      </c>
      <c r="FX18" s="32">
        <v>-1827</v>
      </c>
      <c r="FY18" s="123">
        <f t="shared" si="253"/>
        <v>-1.37063994706494E-3</v>
      </c>
      <c r="FZ18" s="119">
        <f t="shared" si="161"/>
        <v>3.6889897843359831E-2</v>
      </c>
      <c r="GA18" s="32">
        <v>-7503</v>
      </c>
      <c r="GB18" s="123">
        <f t="shared" si="342"/>
        <v>-1.9170582928293128E-3</v>
      </c>
      <c r="GC18" s="119">
        <f t="shared" si="343"/>
        <v>8.2527773770018742E-2</v>
      </c>
      <c r="GD18" s="32">
        <v>-2032.81</v>
      </c>
      <c r="GE18" s="119">
        <f t="shared" si="351"/>
        <v>-2.4957275240756471E-3</v>
      </c>
      <c r="GF18" s="119">
        <f t="shared" si="164"/>
        <v>8.5323011211959399E-2</v>
      </c>
      <c r="GG18" s="32">
        <v>-4019</v>
      </c>
      <c r="GH18" s="119">
        <f t="shared" si="225"/>
        <v>-3.6168171648977049E-3</v>
      </c>
      <c r="GI18" s="119">
        <f t="shared" si="165"/>
        <v>1.1298357180710124</v>
      </c>
      <c r="GJ18" s="32">
        <f t="shared" si="254"/>
        <v>-6051.8099999999995</v>
      </c>
      <c r="GK18" s="123">
        <f t="shared" si="167"/>
        <v>-3.1426317719038233E-3</v>
      </c>
      <c r="GL18" s="119">
        <f t="shared" si="226"/>
        <v>0.60952393617021272</v>
      </c>
      <c r="GM18" s="32">
        <v>-2102</v>
      </c>
      <c r="GN18" s="123">
        <f t="shared" si="168"/>
        <v>-2.0074663997685016E-3</v>
      </c>
      <c r="GO18" s="119">
        <f t="shared" si="169"/>
        <v>9.7077244258872541E-2</v>
      </c>
      <c r="GP18" s="32">
        <f t="shared" si="170"/>
        <v>-8153.8099999999995</v>
      </c>
      <c r="GQ18" s="123">
        <f t="shared" si="171"/>
        <v>-2.7428001500266583E-3</v>
      </c>
      <c r="GR18" s="119">
        <f t="shared" si="172"/>
        <v>0.43654157857646214</v>
      </c>
      <c r="GS18" s="32">
        <v>-3704.52</v>
      </c>
      <c r="GT18" s="123">
        <f t="shared" si="344"/>
        <v>-2.2185318423027334E-3</v>
      </c>
      <c r="GU18" s="119">
        <f t="shared" si="227"/>
        <v>1.0276518883415435</v>
      </c>
      <c r="GV18" s="32">
        <f t="shared" si="239"/>
        <v>-11858.33</v>
      </c>
      <c r="GW18" s="123">
        <f t="shared" si="174"/>
        <v>-2.5542367098521264E-3</v>
      </c>
      <c r="GX18" s="119">
        <f t="shared" si="228"/>
        <v>0.58047847527655594</v>
      </c>
      <c r="GY18" s="32">
        <v>-2294.39</v>
      </c>
      <c r="GZ18" s="123">
        <f t="shared" ref="GZ18:GZ40" si="352">GY18/$GY$8</f>
        <v>-2.2696620321596209E-3</v>
      </c>
      <c r="HA18" s="119">
        <f t="shared" si="229"/>
        <v>0.1286790206659747</v>
      </c>
      <c r="HB18" s="32">
        <v>-2673.2147</v>
      </c>
      <c r="HC18" s="123">
        <f>(HB18/$HB$8)</f>
        <v>-1.9739797493180606E-3</v>
      </c>
      <c r="HD18" s="119">
        <f t="shared" si="249"/>
        <v>-0.33485576013933815</v>
      </c>
      <c r="HE18" s="32">
        <f t="shared" si="177"/>
        <v>-4967.6046999999999</v>
      </c>
      <c r="HF18" s="123">
        <f t="shared" si="240"/>
        <v>-2.1003596433332586E-3</v>
      </c>
      <c r="HG18" s="119">
        <f t="shared" si="245"/>
        <v>-0.1791538894975222</v>
      </c>
      <c r="HH18" s="32">
        <v>-2285</v>
      </c>
      <c r="HI18" s="123">
        <f t="shared" ref="HI18:HI28" si="353">(HH18/$HH$8)</f>
        <v>-1.8303941555554665E-3</v>
      </c>
      <c r="HJ18" s="119">
        <f>(HH18/GM18)-1</f>
        <v>8.7059942911512866E-2</v>
      </c>
      <c r="HK18" s="32">
        <f t="shared" si="345"/>
        <v>-7252.6046999999999</v>
      </c>
      <c r="HL18" s="123">
        <f t="shared" si="300"/>
        <v>-2.0070936209521774E-3</v>
      </c>
      <c r="HM18" s="119">
        <f t="shared" si="230"/>
        <v>-0.11052566836852951</v>
      </c>
      <c r="HN18" s="32">
        <v>-2718</v>
      </c>
      <c r="HO18" s="123">
        <f t="shared" si="179"/>
        <v>-1.4792915510573289E-3</v>
      </c>
      <c r="HP18" s="119">
        <f t="shared" si="180"/>
        <v>-0.26630170710375434</v>
      </c>
      <c r="HQ18" s="32">
        <f t="shared" si="346"/>
        <v>-9970.6046999999999</v>
      </c>
      <c r="HR18" s="123">
        <f t="shared" si="181"/>
        <v>-1.8291827956436902E-3</v>
      </c>
      <c r="HS18" s="119">
        <f t="shared" si="182"/>
        <v>-0.15918981003227273</v>
      </c>
      <c r="HT18" s="32">
        <v>-2065</v>
      </c>
      <c r="HU18" s="123">
        <f t="shared" si="242"/>
        <v>-1.9188810461014656E-3</v>
      </c>
      <c r="HV18" s="119">
        <f t="shared" si="183"/>
        <v>-9.9978643561033587E-2</v>
      </c>
      <c r="HW18" s="32">
        <v>-2526</v>
      </c>
      <c r="HX18" s="123">
        <f t="shared" si="184"/>
        <v>-1.7245993686027332E-3</v>
      </c>
      <c r="HY18" s="119">
        <f t="shared" si="307"/>
        <v>-5.507028672257408E-2</v>
      </c>
      <c r="HZ18" s="32">
        <f t="shared" si="185"/>
        <v>-4591</v>
      </c>
      <c r="IA18" s="123">
        <f t="shared" si="186"/>
        <v>-1.8068856077291097E-3</v>
      </c>
      <c r="IB18" s="119">
        <f t="shared" si="301"/>
        <v>-7.5812131347729794E-2</v>
      </c>
      <c r="IC18" s="32">
        <v>-2598</v>
      </c>
      <c r="ID18" s="123">
        <f t="shared" si="187"/>
        <v>-2.0612209600307202E-3</v>
      </c>
      <c r="IE18" s="119">
        <f t="shared" si="308"/>
        <v>0.1369803063457331</v>
      </c>
      <c r="IF18" s="32">
        <f t="shared" si="188"/>
        <v>-7189</v>
      </c>
      <c r="IG18" s="123">
        <f t="shared" si="189"/>
        <v>-1.8912180033220617E-3</v>
      </c>
      <c r="IH18" s="119">
        <f t="shared" si="302"/>
        <v>-8.7699113120007777E-3</v>
      </c>
      <c r="II18" s="32">
        <v>-2608</v>
      </c>
      <c r="IJ18" s="123">
        <f t="shared" si="22"/>
        <v>-1.3579768644064268E-3</v>
      </c>
      <c r="IK18" s="119">
        <f t="shared" si="23"/>
        <v>-4.0470934510669632E-2</v>
      </c>
      <c r="IL18" s="32">
        <f t="shared" si="247"/>
        <v>-9797</v>
      </c>
      <c r="IM18" s="123">
        <f t="shared" si="24"/>
        <v>-1.7122362938516962E-3</v>
      </c>
      <c r="IN18" s="119">
        <f t="shared" si="25"/>
        <v>-1.7411652073619943E-2</v>
      </c>
      <c r="IO18" s="32">
        <v>-2786</v>
      </c>
      <c r="IP18" s="123">
        <f t="shared" si="26"/>
        <v>-2.2564478036485448E-3</v>
      </c>
      <c r="IQ18" s="119">
        <f t="shared" si="27"/>
        <v>0.3491525423728814</v>
      </c>
      <c r="IR18" s="32">
        <v>-3483</v>
      </c>
      <c r="IS18" s="123">
        <f t="shared" si="190"/>
        <v>-2.136212200758561E-3</v>
      </c>
      <c r="IT18" s="119">
        <f t="shared" si="309"/>
        <v>0.37885985748218531</v>
      </c>
      <c r="IU18" s="32">
        <f t="shared" si="191"/>
        <v>-6269</v>
      </c>
      <c r="IV18" s="123">
        <f t="shared" si="192"/>
        <v>-2.1880257160208577E-3</v>
      </c>
      <c r="IW18" s="119">
        <f t="shared" si="303"/>
        <v>0.36549771291657596</v>
      </c>
      <c r="IX18" s="32">
        <v>-2962</v>
      </c>
      <c r="IY18" s="123">
        <f t="shared" si="193"/>
        <v>-1.9582461202000824E-3</v>
      </c>
      <c r="IZ18" s="119">
        <f t="shared" si="310"/>
        <v>0.14010777521170126</v>
      </c>
      <c r="JA18" s="32">
        <f t="shared" si="311"/>
        <v>-9231</v>
      </c>
      <c r="JB18" s="123">
        <f t="shared" si="31"/>
        <v>-2.1086328539206955E-3</v>
      </c>
      <c r="JC18" s="119">
        <f t="shared" si="32"/>
        <v>0.28404506885519543</v>
      </c>
      <c r="JD18" s="32">
        <v>-2985</v>
      </c>
      <c r="JE18" s="123">
        <f t="shared" si="195"/>
        <v>-1.3431697456076999E-3</v>
      </c>
      <c r="JF18" s="119">
        <f t="shared" si="312"/>
        <v>0.14455521472392641</v>
      </c>
      <c r="JG18" s="32">
        <f t="shared" si="313"/>
        <v>-12216</v>
      </c>
      <c r="JH18" s="123">
        <f t="shared" si="34"/>
        <v>-1.8508886189592146E-3</v>
      </c>
      <c r="JI18" s="119">
        <f t="shared" si="35"/>
        <v>0.24691232009798925</v>
      </c>
      <c r="JJ18" s="32">
        <v>-3050</v>
      </c>
      <c r="JK18" s="123">
        <f t="shared" si="197"/>
        <v>-2.1804107607917823E-3</v>
      </c>
      <c r="JL18" s="119">
        <f t="shared" si="314"/>
        <v>9.4759511844938915E-2</v>
      </c>
      <c r="JM18" s="32">
        <v>-3091</v>
      </c>
      <c r="JN18" s="123">
        <f t="shared" si="198"/>
        <v>-1.7364866117500202E-3</v>
      </c>
      <c r="JO18" s="119">
        <f t="shared" si="315"/>
        <v>-0.1125466551823141</v>
      </c>
      <c r="JP18" s="32">
        <f>JM18+JJ18</f>
        <v>-6141</v>
      </c>
      <c r="JQ18" s="123">
        <f t="shared" si="199"/>
        <v>-1.9318306934897841E-3</v>
      </c>
      <c r="JR18" s="119">
        <f t="shared" si="316"/>
        <v>-2.0417929494337184E-2</v>
      </c>
      <c r="JS18" s="32">
        <v>-3077</v>
      </c>
      <c r="JT18" s="119">
        <f t="shared" si="37"/>
        <v>-1.7978791219899256E-3</v>
      </c>
      <c r="JU18" s="119">
        <f t="shared" si="38"/>
        <v>3.8825118163403172E-2</v>
      </c>
      <c r="JV18" s="32">
        <f>JS18+JP18</f>
        <v>-9218</v>
      </c>
      <c r="JW18" s="119">
        <f t="shared" si="40"/>
        <v>-1.8849516932563184E-3</v>
      </c>
      <c r="JX18" s="119">
        <f t="shared" si="41"/>
        <v>-1.4082981258801697E-3</v>
      </c>
      <c r="JY18" s="32">
        <v>-2901</v>
      </c>
      <c r="JZ18" s="119">
        <f t="shared" si="42"/>
        <v>-1.117866520340855E-3</v>
      </c>
      <c r="KA18" s="119">
        <f t="shared" si="43"/>
        <v>-2.8140703517587906E-2</v>
      </c>
      <c r="KB18" s="32">
        <f t="shared" si="317"/>
        <v>-12119</v>
      </c>
      <c r="KC18" s="119">
        <f t="shared" si="45"/>
        <v>-1.6190112181887139E-3</v>
      </c>
      <c r="KD18" s="119">
        <f t="shared" si="46"/>
        <v>-7.940406024885438E-3</v>
      </c>
      <c r="KE18" s="548">
        <v>0</v>
      </c>
      <c r="KF18" s="119">
        <f t="shared" si="47"/>
        <v>0</v>
      </c>
      <c r="KG18" s="119">
        <f t="shared" si="48"/>
        <v>-1</v>
      </c>
      <c r="KH18" s="548">
        <v>0</v>
      </c>
      <c r="KI18" s="123">
        <f t="shared" si="200"/>
        <v>0</v>
      </c>
      <c r="KJ18" s="119">
        <f t="shared" si="318"/>
        <v>-1</v>
      </c>
      <c r="KK18" s="32">
        <f>KH18+KE18</f>
        <v>0</v>
      </c>
      <c r="KL18" s="123">
        <f t="shared" si="201"/>
        <v>0</v>
      </c>
      <c r="KM18" s="119">
        <f t="shared" si="248"/>
        <v>-1</v>
      </c>
      <c r="KN18" s="548">
        <v>0</v>
      </c>
      <c r="KO18" s="549">
        <f t="shared" si="50"/>
        <v>0</v>
      </c>
      <c r="KP18" s="549">
        <f t="shared" si="51"/>
        <v>-1</v>
      </c>
      <c r="KQ18" s="548">
        <f>KN18+KK18</f>
        <v>0</v>
      </c>
      <c r="KR18" s="549">
        <f t="shared" si="53"/>
        <v>0</v>
      </c>
      <c r="KS18" s="549">
        <f t="shared" si="54"/>
        <v>-1</v>
      </c>
      <c r="KT18" s="548"/>
      <c r="KU18" s="549">
        <f t="shared" si="55"/>
        <v>0</v>
      </c>
      <c r="KV18" s="549">
        <f t="shared" si="56"/>
        <v>-1</v>
      </c>
      <c r="KW18" s="548">
        <f>KT18+KQ18</f>
        <v>0</v>
      </c>
      <c r="KX18" s="549">
        <f t="shared" si="58"/>
        <v>0</v>
      </c>
      <c r="KY18" s="549">
        <f t="shared" si="59"/>
        <v>-1</v>
      </c>
      <c r="KZ18" s="548">
        <v>0</v>
      </c>
      <c r="LA18" s="549">
        <f t="shared" si="60"/>
        <v>0</v>
      </c>
      <c r="LB18" s="549" t="e">
        <f>(KZ18/KE18)-1</f>
        <v>#DIV/0!</v>
      </c>
      <c r="LC18" s="548"/>
      <c r="LD18" s="123">
        <f t="shared" si="202"/>
        <v>0</v>
      </c>
      <c r="LE18" s="119" t="e">
        <f t="shared" si="319"/>
        <v>#DIV/0!</v>
      </c>
      <c r="LF18" s="32">
        <f>LC18+KZ18</f>
        <v>0</v>
      </c>
      <c r="LG18" s="123">
        <f t="shared" si="203"/>
        <v>0</v>
      </c>
      <c r="LH18" s="119" t="e">
        <f t="shared" si="320"/>
        <v>#DIV/0!</v>
      </c>
      <c r="LI18" s="548"/>
      <c r="LJ18" s="123">
        <f t="shared" si="204"/>
        <v>0</v>
      </c>
      <c r="LK18" s="119" t="e">
        <f t="shared" si="321"/>
        <v>#DIV/0!</v>
      </c>
      <c r="LL18" s="32">
        <f t="shared" si="62"/>
        <v>0</v>
      </c>
      <c r="LM18" s="123">
        <f t="shared" si="205"/>
        <v>0</v>
      </c>
      <c r="LN18" s="119" t="e">
        <f t="shared" si="322"/>
        <v>#DIV/0!</v>
      </c>
      <c r="LO18" s="548">
        <v>0</v>
      </c>
      <c r="LP18" s="123">
        <f t="shared" si="206"/>
        <v>0</v>
      </c>
      <c r="LQ18" s="119" t="e">
        <f t="shared" si="323"/>
        <v>#DIV/0!</v>
      </c>
      <c r="LR18" s="32">
        <f t="shared" si="63"/>
        <v>0</v>
      </c>
      <c r="LS18" s="123">
        <f t="shared" si="207"/>
        <v>0</v>
      </c>
      <c r="LT18" s="119" t="e">
        <f t="shared" si="324"/>
        <v>#DIV/0!</v>
      </c>
    </row>
    <row r="19" spans="1:332" ht="16.5" customHeight="1">
      <c r="A19" s="105"/>
      <c r="B19" s="127" t="s">
        <v>1345</v>
      </c>
      <c r="C19" s="116" t="s">
        <v>117</v>
      </c>
      <c r="D19" s="121">
        <v>-3702</v>
      </c>
      <c r="E19" s="118">
        <f t="shared" si="255"/>
        <v>-1.869583661596267E-2</v>
      </c>
      <c r="F19" s="121">
        <v>-3266</v>
      </c>
      <c r="G19" s="118">
        <f t="shared" si="256"/>
        <v>-1.1699886798400849E-2</v>
      </c>
      <c r="H19" s="117">
        <f t="shared" si="325"/>
        <v>-6968</v>
      </c>
      <c r="I19" s="118">
        <f t="shared" si="257"/>
        <v>-1.4603068153240003E-2</v>
      </c>
      <c r="J19" s="121">
        <v>-4226</v>
      </c>
      <c r="K19" s="118">
        <f t="shared" si="258"/>
        <v>-1.6545751390884569E-2</v>
      </c>
      <c r="L19" s="117">
        <f t="shared" si="326"/>
        <v>-11194</v>
      </c>
      <c r="M19" s="118">
        <f t="shared" si="259"/>
        <v>-1.5280388439104363E-2</v>
      </c>
      <c r="N19" s="121">
        <v>-4162</v>
      </c>
      <c r="O19" s="118">
        <f t="shared" si="260"/>
        <v>-1.0305525911142695E-2</v>
      </c>
      <c r="P19" s="117">
        <f>L19+N19-1</f>
        <v>-15357</v>
      </c>
      <c r="Q19" s="118">
        <f t="shared" si="261"/>
        <v>-1.3513323255024049E-2</v>
      </c>
      <c r="R19" s="121">
        <v>-2495</v>
      </c>
      <c r="S19" s="118">
        <f t="shared" si="262"/>
        <v>-9.9404370604992132E-3</v>
      </c>
      <c r="T19" s="26">
        <f t="shared" si="208"/>
        <v>-0.32603997839005938</v>
      </c>
      <c r="U19" s="121">
        <v>-2353</v>
      </c>
      <c r="V19" s="119">
        <f t="shared" si="263"/>
        <v>-6.5779725978379073E-3</v>
      </c>
      <c r="W19" s="26">
        <f t="shared" si="85"/>
        <v>-0.27954684629516224</v>
      </c>
      <c r="X19" s="117">
        <f t="shared" si="327"/>
        <v>-4848</v>
      </c>
      <c r="Y19" s="119">
        <f t="shared" si="264"/>
        <v>-7.9644622016612349E-3</v>
      </c>
      <c r="Z19" s="26">
        <f t="shared" si="87"/>
        <v>-0.30424799081515497</v>
      </c>
      <c r="AA19" s="121">
        <v>-3145</v>
      </c>
      <c r="AB19" s="119">
        <f t="shared" si="265"/>
        <v>-9.8120883680734294E-3</v>
      </c>
      <c r="AC19" s="26">
        <f t="shared" si="89"/>
        <v>-0.25579744439185992</v>
      </c>
      <c r="AD19" s="117">
        <f t="shared" si="328"/>
        <v>-7993</v>
      </c>
      <c r="AE19" s="119">
        <f t="shared" si="266"/>
        <v>-8.601773301895016E-3</v>
      </c>
      <c r="AF19" s="26">
        <f t="shared" si="91"/>
        <v>-0.28595676255136682</v>
      </c>
      <c r="AG19" s="121">
        <v>-2430</v>
      </c>
      <c r="AH19" s="119">
        <f t="shared" si="267"/>
        <v>-4.7940435488548552E-3</v>
      </c>
      <c r="AI19" s="26">
        <f t="shared" si="93"/>
        <v>-0.41614608361364724</v>
      </c>
      <c r="AJ19" s="117">
        <f t="shared" si="329"/>
        <v>-10423</v>
      </c>
      <c r="AK19" s="119">
        <f t="shared" si="268"/>
        <v>-7.2578258553518023E-3</v>
      </c>
      <c r="AL19" s="26">
        <f t="shared" si="95"/>
        <v>-0.32128670964381068</v>
      </c>
      <c r="AM19" s="120">
        <v>-2631</v>
      </c>
      <c r="AN19" s="119">
        <f t="shared" si="269"/>
        <v>-8.4790826734731373E-3</v>
      </c>
      <c r="AO19" s="119">
        <f t="shared" si="97"/>
        <v>5.450901803607211E-2</v>
      </c>
      <c r="AP19" s="120">
        <v>-3184</v>
      </c>
      <c r="AQ19" s="119">
        <f t="shared" si="270"/>
        <v>-7.1654420452115985E-3</v>
      </c>
      <c r="AR19" s="119">
        <f t="shared" si="99"/>
        <v>0.35316617084572877</v>
      </c>
      <c r="AS19" s="120">
        <f t="shared" si="330"/>
        <v>-5815</v>
      </c>
      <c r="AT19" s="119">
        <f t="shared" si="271"/>
        <v>-7.7055792899471008E-3</v>
      </c>
      <c r="AU19" s="119">
        <f t="shared" si="101"/>
        <v>0.19946369636963701</v>
      </c>
      <c r="AV19" s="120">
        <v>-3039</v>
      </c>
      <c r="AW19" s="119">
        <f t="shared" si="272"/>
        <v>-7.6867042022673122E-3</v>
      </c>
      <c r="AX19" s="119">
        <f t="shared" si="103"/>
        <v>-3.3704292527821922E-2</v>
      </c>
      <c r="AY19" s="120">
        <f t="shared" si="331"/>
        <v>-8854</v>
      </c>
      <c r="AZ19" s="119">
        <f t="shared" si="273"/>
        <v>-7.6990902656160053E-3</v>
      </c>
      <c r="BA19" s="119">
        <f t="shared" si="105"/>
        <v>0.10771925434755403</v>
      </c>
      <c r="BB19" s="120">
        <v>-411</v>
      </c>
      <c r="BC19" s="119">
        <f t="shared" si="274"/>
        <v>-6.8303967612950826E-4</v>
      </c>
      <c r="BD19" s="119">
        <f t="shared" si="107"/>
        <v>-0.83086419753086416</v>
      </c>
      <c r="BE19" s="120">
        <f>BB19+AY19</f>
        <v>-9265</v>
      </c>
      <c r="BF19" s="119">
        <f t="shared" si="275"/>
        <v>-5.2890631422229939E-3</v>
      </c>
      <c r="BG19" s="119">
        <f t="shared" si="109"/>
        <v>-0.11110045092583709</v>
      </c>
      <c r="BH19" s="120">
        <v>-3238</v>
      </c>
      <c r="BI19" s="119">
        <f t="shared" si="276"/>
        <v>-8.4458622317630152E-3</v>
      </c>
      <c r="BJ19" s="119">
        <f t="shared" si="111"/>
        <v>0.23071075636640059</v>
      </c>
      <c r="BK19" s="120">
        <v>-3746</v>
      </c>
      <c r="BL19" s="119">
        <f t="shared" si="277"/>
        <v>-7.3415568176918586E-3</v>
      </c>
      <c r="BM19" s="119">
        <f t="shared" si="113"/>
        <v>0.17650753768844218</v>
      </c>
      <c r="BN19" s="120">
        <f>BK19+BH19</f>
        <v>-6984</v>
      </c>
      <c r="BO19" s="119">
        <f t="shared" si="278"/>
        <v>-7.8153238088737049E-3</v>
      </c>
      <c r="BP19" s="119">
        <f t="shared" si="115"/>
        <v>0.20103181427343086</v>
      </c>
      <c r="BQ19" s="120">
        <v>-3382</v>
      </c>
      <c r="BR19" s="119">
        <f t="shared" si="279"/>
        <v>-7.5317236556697266E-3</v>
      </c>
      <c r="BS19" s="119">
        <f t="shared" si="117"/>
        <v>0.11286607436656793</v>
      </c>
      <c r="BT19" s="120">
        <f>BN19+BQ19</f>
        <v>-10366</v>
      </c>
      <c r="BU19" s="119">
        <f t="shared" si="280"/>
        <v>-7.7204721359923258E-3</v>
      </c>
      <c r="BV19" s="119">
        <f t="shared" si="119"/>
        <v>0.17077027332279204</v>
      </c>
      <c r="BW19" s="120">
        <v>-2583</v>
      </c>
      <c r="BX19" s="119">
        <f t="shared" si="281"/>
        <v>-4.208499115286481E-3</v>
      </c>
      <c r="BY19" s="119">
        <f t="shared" si="121"/>
        <v>5.2846715328467155</v>
      </c>
      <c r="BZ19" s="120">
        <f t="shared" si="332"/>
        <v>-12949</v>
      </c>
      <c r="CA19" s="119">
        <f t="shared" si="282"/>
        <v>-6.6187151851696616E-3</v>
      </c>
      <c r="CB19" s="119">
        <f t="shared" si="123"/>
        <v>0.39762547220723143</v>
      </c>
      <c r="CC19" s="120">
        <v>-3388</v>
      </c>
      <c r="CD19" s="119">
        <f t="shared" si="283"/>
        <v>-9.3423668616210171E-3</v>
      </c>
      <c r="CE19" s="119">
        <f t="shared" si="125"/>
        <v>4.6324891908585464E-2</v>
      </c>
      <c r="CF19" s="120">
        <v>-4248</v>
      </c>
      <c r="CG19" s="119">
        <f t="shared" si="284"/>
        <v>-7.6577518513444333E-3</v>
      </c>
      <c r="CH19" s="119">
        <f t="shared" si="127"/>
        <v>0.13400961025093427</v>
      </c>
      <c r="CI19" s="120">
        <f>CF19+CC19-2</f>
        <v>-7638</v>
      </c>
      <c r="CJ19" s="119">
        <f t="shared" si="285"/>
        <v>-8.3258845843598075E-3</v>
      </c>
      <c r="CK19" s="119">
        <f t="shared" si="129"/>
        <v>9.3642611683848687E-2</v>
      </c>
      <c r="CL19" s="120">
        <v>-3643</v>
      </c>
      <c r="CM19" s="119">
        <f t="shared" si="286"/>
        <v>-7.4846424095494418E-3</v>
      </c>
      <c r="CN19" s="119">
        <f t="shared" si="131"/>
        <v>7.7173270254287329E-2</v>
      </c>
      <c r="CO19" s="121">
        <f t="shared" si="333"/>
        <v>-11281</v>
      </c>
      <c r="CP19" s="119">
        <f t="shared" si="287"/>
        <v>-8.0342650972750722E-3</v>
      </c>
      <c r="CQ19" s="119">
        <f t="shared" si="133"/>
        <v>8.8269342079876578E-2</v>
      </c>
      <c r="CR19" s="120">
        <v>-2391</v>
      </c>
      <c r="CS19" s="119">
        <f t="shared" si="288"/>
        <v>-3.3588159436292071E-3</v>
      </c>
      <c r="CT19" s="119">
        <f t="shared" si="135"/>
        <v>-7.4332171893147558E-2</v>
      </c>
      <c r="CU19" s="122">
        <v>-13670</v>
      </c>
      <c r="CV19" s="119">
        <f t="shared" si="289"/>
        <v>-6.4604001572802616E-3</v>
      </c>
      <c r="CW19" s="119">
        <f t="shared" si="137"/>
        <v>5.5679975287667105E-2</v>
      </c>
      <c r="CX19" s="120">
        <v>-5158</v>
      </c>
      <c r="CY19" s="119">
        <f t="shared" si="290"/>
        <v>-1.1716176864752887E-2</v>
      </c>
      <c r="CZ19" s="119">
        <f t="shared" si="139"/>
        <v>0.52243211334120421</v>
      </c>
      <c r="DA19" s="120">
        <v>-6429</v>
      </c>
      <c r="DB19" s="119">
        <f t="shared" si="291"/>
        <v>-1.0204940086255474E-2</v>
      </c>
      <c r="DC19" s="119">
        <f t="shared" si="141"/>
        <v>0.5134180790960452</v>
      </c>
      <c r="DD19" s="32">
        <f t="shared" si="334"/>
        <v>-11587</v>
      </c>
      <c r="DE19" s="119">
        <f t="shared" si="292"/>
        <v>-1.0826594159226712E-2</v>
      </c>
      <c r="DF19" s="119">
        <f t="shared" si="143"/>
        <v>0.51702016234616388</v>
      </c>
      <c r="DG19" s="120">
        <v>-5611</v>
      </c>
      <c r="DH19" s="119">
        <f t="shared" si="293"/>
        <v>-9.8656679677884447E-3</v>
      </c>
      <c r="DI19" s="119">
        <f t="shared" si="145"/>
        <v>0.54021410925061764</v>
      </c>
      <c r="DJ19" s="32">
        <f t="shared" si="335"/>
        <v>-17198</v>
      </c>
      <c r="DK19" s="119">
        <f t="shared" si="294"/>
        <v>-1.0493143580591528E-2</v>
      </c>
      <c r="DL19" s="119">
        <f t="shared" si="147"/>
        <v>0.52451023845403766</v>
      </c>
      <c r="DM19" s="120">
        <v>-6362</v>
      </c>
      <c r="DN19" s="119">
        <f t="shared" si="295"/>
        <v>-7.7236014174908857E-3</v>
      </c>
      <c r="DO19" s="119">
        <f t="shared" si="149"/>
        <v>1.6608113759933083</v>
      </c>
      <c r="DP19" s="32">
        <f>DJ19+DM19</f>
        <v>-23560</v>
      </c>
      <c r="DQ19" s="119">
        <f t="shared" si="296"/>
        <v>-9.5668017361552424E-3</v>
      </c>
      <c r="DR19" s="119">
        <f t="shared" si="151"/>
        <v>0.72348207754206295</v>
      </c>
      <c r="DS19" s="32">
        <v>-6128</v>
      </c>
      <c r="DT19" s="119">
        <f t="shared" si="297"/>
        <v>-1.1836811169252106E-2</v>
      </c>
      <c r="DU19" s="119">
        <f t="shared" si="209"/>
        <v>0.18805738658394722</v>
      </c>
      <c r="DV19" s="32">
        <v>-5092</v>
      </c>
      <c r="DW19" s="119">
        <f t="shared" si="298"/>
        <v>-6.7924759855559841E-3</v>
      </c>
      <c r="DX19" s="119">
        <f t="shared" si="210"/>
        <v>-0.2079639135168766</v>
      </c>
      <c r="DY19" s="32">
        <f t="shared" si="336"/>
        <v>-11220</v>
      </c>
      <c r="DZ19" s="119">
        <f t="shared" si="299"/>
        <v>-8.8530488574674916E-3</v>
      </c>
      <c r="EA19" s="119">
        <f t="shared" si="211"/>
        <v>-3.1673427116596153E-2</v>
      </c>
      <c r="EB19" s="32">
        <v>-6701</v>
      </c>
      <c r="EC19" s="119">
        <f t="shared" si="349"/>
        <v>-1.0198211470210447E-2</v>
      </c>
      <c r="ED19" s="119">
        <f t="shared" si="212"/>
        <v>0.19426127250044556</v>
      </c>
      <c r="EE19" s="32">
        <f t="shared" si="337"/>
        <v>-17921</v>
      </c>
      <c r="EF19" s="119">
        <f t="shared" si="350"/>
        <v>-9.3123387839346185E-3</v>
      </c>
      <c r="EG19" s="119">
        <f t="shared" si="213"/>
        <v>4.2039772066519321E-2</v>
      </c>
      <c r="EH19" s="32">
        <v>-7195</v>
      </c>
      <c r="EI19" s="119">
        <f>(EH19/$EH$8)</f>
        <v>-7.4008928387747121E-3</v>
      </c>
      <c r="EJ19" s="119">
        <f t="shared" si="214"/>
        <v>0.13093366865765477</v>
      </c>
      <c r="EK19" s="32">
        <v>-25116</v>
      </c>
      <c r="EL19" s="119">
        <f t="shared" si="215"/>
        <v>-8.6708045972249698E-3</v>
      </c>
      <c r="EM19" s="119">
        <f t="shared" si="232"/>
        <v>6.6044142614601009E-2</v>
      </c>
      <c r="EN19" s="32">
        <v>-7654</v>
      </c>
      <c r="EO19" s="119">
        <f t="shared" si="216"/>
        <v>-1.2361131074178092E-2</v>
      </c>
      <c r="EP19" s="119">
        <f t="shared" si="217"/>
        <v>0.24902088772845943</v>
      </c>
      <c r="EQ19" s="32">
        <v>-8333</v>
      </c>
      <c r="ER19" s="119">
        <f t="shared" si="233"/>
        <v>-9.7442727694759743E-3</v>
      </c>
      <c r="ES19" s="119">
        <f t="shared" si="305"/>
        <v>0.6364886095836606</v>
      </c>
      <c r="ET19" s="32">
        <f t="shared" si="338"/>
        <v>-15987</v>
      </c>
      <c r="EU19" s="119">
        <f t="shared" si="234"/>
        <v>-1.0843290141945567E-2</v>
      </c>
      <c r="EV19" s="119">
        <f t="shared" si="306"/>
        <v>0.42486631016042775</v>
      </c>
      <c r="EW19" s="32">
        <v>-8559</v>
      </c>
      <c r="EX19" s="119">
        <f t="shared" si="235"/>
        <v>-1.0655329532156463E-2</v>
      </c>
      <c r="EY19" s="119">
        <f t="shared" si="153"/>
        <v>0.27727204894791813</v>
      </c>
      <c r="EZ19" s="32">
        <f>(ET19+EW19)</f>
        <v>-24546</v>
      </c>
      <c r="FA19" s="119">
        <f t="shared" si="236"/>
        <v>-1.0776996604802625E-2</v>
      </c>
      <c r="FB19" s="119">
        <f t="shared" si="154"/>
        <v>0.36967803135985711</v>
      </c>
      <c r="FC19" s="32">
        <v>-8032</v>
      </c>
      <c r="FD19" s="119">
        <f t="shared" si="219"/>
        <v>-6.7818821073820515E-3</v>
      </c>
      <c r="FE19" s="119">
        <f t="shared" si="155"/>
        <v>0.11633078526754681</v>
      </c>
      <c r="FF19" s="32">
        <v>-32578</v>
      </c>
      <c r="FG19" s="119">
        <f t="shared" si="220"/>
        <v>-9.4102762596910416E-3</v>
      </c>
      <c r="FH19" s="119">
        <f t="shared" si="156"/>
        <v>0.29710144927536231</v>
      </c>
      <c r="FI19" s="32">
        <v>-8299</v>
      </c>
      <c r="FJ19" s="119">
        <f t="shared" si="251"/>
        <v>-1.1419631197788452E-2</v>
      </c>
      <c r="FK19" s="119">
        <f t="shared" si="340"/>
        <v>8.4269662921348409E-2</v>
      </c>
      <c r="FL19" s="32">
        <v>-8061</v>
      </c>
      <c r="FM19" s="119">
        <f t="shared" si="222"/>
        <v>-8.5103193296473933E-3</v>
      </c>
      <c r="FN19" s="119">
        <f t="shared" si="341"/>
        <v>-3.2641305652226116E-2</v>
      </c>
      <c r="FO19" s="32">
        <f t="shared" si="237"/>
        <v>-16360</v>
      </c>
      <c r="FP19" s="119">
        <f t="shared" si="252"/>
        <v>-9.7733841358141962E-3</v>
      </c>
      <c r="FQ19" s="119">
        <f t="shared" si="159"/>
        <v>2.3331456808657114E-2</v>
      </c>
      <c r="FR19" s="32">
        <v>-7907</v>
      </c>
      <c r="FS19" s="123">
        <f t="shared" si="244"/>
        <v>-8.7185390520421908E-3</v>
      </c>
      <c r="FT19" s="119">
        <f t="shared" ref="FT19:FT25" si="354">(FR19/EW19)-1</f>
        <v>-7.6177123495735466E-2</v>
      </c>
      <c r="FU19" s="32">
        <v>-24267</v>
      </c>
      <c r="FV19" s="123">
        <f t="shared" si="238"/>
        <v>-9.4027088728838391E-3</v>
      </c>
      <c r="FW19" s="119">
        <f t="shared" si="224"/>
        <v>-1.1366414079687082E-2</v>
      </c>
      <c r="FX19" s="32">
        <v>-5106</v>
      </c>
      <c r="FY19" s="123">
        <f t="shared" si="253"/>
        <v>-3.8305898027988965E-3</v>
      </c>
      <c r="FZ19" s="119">
        <f t="shared" si="161"/>
        <v>-0.36429282868525892</v>
      </c>
      <c r="GA19" s="32">
        <v>-29373</v>
      </c>
      <c r="GB19" s="123">
        <f t="shared" si="342"/>
        <v>-7.5049651119919241E-3</v>
      </c>
      <c r="GC19" s="119">
        <f t="shared" si="343"/>
        <v>-9.8379274356927948E-2</v>
      </c>
      <c r="GD19" s="32">
        <v>-6601.49</v>
      </c>
      <c r="GE19" s="119">
        <f t="shared" si="351"/>
        <v>-8.1048008878892488E-3</v>
      </c>
      <c r="GF19" s="119">
        <f t="shared" si="164"/>
        <v>-0.20454392095433183</v>
      </c>
      <c r="GG19" s="32">
        <v>-8227</v>
      </c>
      <c r="GH19" s="119">
        <f t="shared" si="225"/>
        <v>-7.4037210290155307E-3</v>
      </c>
      <c r="GI19" s="119">
        <f t="shared" si="165"/>
        <v>2.0592978538642948E-2</v>
      </c>
      <c r="GJ19" s="32">
        <f t="shared" si="254"/>
        <v>-14828.49</v>
      </c>
      <c r="GK19" s="123">
        <f t="shared" si="167"/>
        <v>-7.7002555935097323E-3</v>
      </c>
      <c r="GL19" s="119">
        <f t="shared" si="226"/>
        <v>-9.3613080684596617E-2</v>
      </c>
      <c r="GM19" s="32">
        <v>-8537</v>
      </c>
      <c r="GN19" s="123">
        <f t="shared" si="168"/>
        <v>-8.1530640603347752E-3</v>
      </c>
      <c r="GO19" s="119">
        <f t="shared" si="169"/>
        <v>7.9676236246363885E-2</v>
      </c>
      <c r="GP19" s="32">
        <f t="shared" si="170"/>
        <v>-23365.489999999998</v>
      </c>
      <c r="GQ19" s="123">
        <f t="shared" si="171"/>
        <v>-7.8597452574252248E-3</v>
      </c>
      <c r="GR19" s="119">
        <f t="shared" si="172"/>
        <v>-3.7149627065562352E-2</v>
      </c>
      <c r="GS19" s="32">
        <v>-7094.4459999999999</v>
      </c>
      <c r="GT19" s="123">
        <f t="shared" si="344"/>
        <v>-4.2486622705498302E-3</v>
      </c>
      <c r="GU19" s="119">
        <f t="shared" si="227"/>
        <v>0.38943321582452017</v>
      </c>
      <c r="GV19" s="32">
        <f t="shared" si="239"/>
        <v>-30459.935999999998</v>
      </c>
      <c r="GW19" s="123">
        <f t="shared" si="174"/>
        <v>-6.5609480180553528E-3</v>
      </c>
      <c r="GX19" s="119">
        <f t="shared" si="228"/>
        <v>3.7004596057603756E-2</v>
      </c>
      <c r="GY19" s="32">
        <v>-9380</v>
      </c>
      <c r="GZ19" s="123">
        <f t="shared" si="352"/>
        <v>-9.2789063156905518E-3</v>
      </c>
      <c r="HA19" s="119">
        <f t="shared" si="229"/>
        <v>0.42089134422683361</v>
      </c>
      <c r="HB19" s="32">
        <v>-10230.751130000001</v>
      </c>
      <c r="HC19" s="123">
        <f>(HB19/$HB$8)</f>
        <v>-7.5546852076389028E-3</v>
      </c>
      <c r="HD19" s="119">
        <f t="shared" si="249"/>
        <v>0.24355793484866917</v>
      </c>
      <c r="HE19" s="32">
        <f t="shared" si="177"/>
        <v>-19610.751130000001</v>
      </c>
      <c r="HF19" s="123">
        <f t="shared" si="240"/>
        <v>-8.2916481355499363E-3</v>
      </c>
      <c r="HG19" s="119">
        <f t="shared" si="245"/>
        <v>0.32250493003670644</v>
      </c>
      <c r="HH19" s="32">
        <v>-11128</v>
      </c>
      <c r="HI19" s="123">
        <f t="shared" si="353"/>
        <v>-8.9140595899436462E-3</v>
      </c>
      <c r="HJ19" s="119">
        <f t="shared" si="241"/>
        <v>0.30350240131193629</v>
      </c>
      <c r="HK19" s="32">
        <f t="shared" si="345"/>
        <v>-30738.751130000001</v>
      </c>
      <c r="HL19" s="123">
        <f t="shared" si="300"/>
        <v>-8.5066750307044216E-3</v>
      </c>
      <c r="HM19" s="119">
        <f t="shared" si="230"/>
        <v>0.31556201603304723</v>
      </c>
      <c r="HN19" s="32">
        <v>-9083</v>
      </c>
      <c r="HO19" s="123">
        <f t="shared" ref="HO19:HO36" si="355">HN19/$HN$8</f>
        <v>-4.9434897565319045E-3</v>
      </c>
      <c r="HP19" s="119">
        <f t="shared" si="180"/>
        <v>0.28029729171241846</v>
      </c>
      <c r="HQ19" s="32">
        <f t="shared" si="346"/>
        <v>-39821.751130000004</v>
      </c>
      <c r="HR19" s="123">
        <f t="shared" si="181"/>
        <v>-7.3056012399529474E-3</v>
      </c>
      <c r="HS19" s="119">
        <f t="shared" si="182"/>
        <v>0.30734848326667552</v>
      </c>
      <c r="HT19" s="32">
        <v>-10504</v>
      </c>
      <c r="HU19" s="123">
        <f t="shared" si="242"/>
        <v>-9.760739229176656E-3</v>
      </c>
      <c r="HV19" s="119">
        <f t="shared" si="183"/>
        <v>0.11982942430703614</v>
      </c>
      <c r="HW19" s="32">
        <v>-11761</v>
      </c>
      <c r="HX19" s="123">
        <f t="shared" si="184"/>
        <v>-8.029696426815813E-3</v>
      </c>
      <c r="HY19" s="119">
        <f t="shared" si="307"/>
        <v>0.14957346245211611</v>
      </c>
      <c r="HZ19" s="32">
        <f t="shared" si="185"/>
        <v>-22265</v>
      </c>
      <c r="IA19" s="123">
        <f t="shared" si="186"/>
        <v>-8.7628638762989822E-3</v>
      </c>
      <c r="IB19" s="119">
        <f t="shared" si="301"/>
        <v>0.13534661943364323</v>
      </c>
      <c r="IC19" s="32">
        <v>-11953</v>
      </c>
      <c r="ID19" s="123">
        <f t="shared" si="187"/>
        <v>-9.4833618688403374E-3</v>
      </c>
      <c r="IE19" s="119">
        <f t="shared" si="308"/>
        <v>7.4137311286843977E-2</v>
      </c>
      <c r="IF19" s="32">
        <f t="shared" si="188"/>
        <v>-34218</v>
      </c>
      <c r="IG19" s="123">
        <f t="shared" si="189"/>
        <v>-9.0017662592397144E-3</v>
      </c>
      <c r="IH19" s="119">
        <f t="shared" si="302"/>
        <v>0.11318771069408773</v>
      </c>
      <c r="II19" s="32">
        <v>-8860</v>
      </c>
      <c r="IJ19" s="123">
        <f t="shared" si="22"/>
        <v>-4.6133723230985203E-3</v>
      </c>
      <c r="IK19" s="119">
        <f t="shared" si="23"/>
        <v>-2.4551359682924101E-2</v>
      </c>
      <c r="IL19" s="32">
        <v>-43077</v>
      </c>
      <c r="IM19" s="123">
        <f t="shared" si="24"/>
        <v>-7.5286315025262342E-3</v>
      </c>
      <c r="IN19" s="119">
        <f t="shared" si="25"/>
        <v>8.1745497815329138E-2</v>
      </c>
      <c r="IO19" s="32">
        <v>0</v>
      </c>
      <c r="IP19" s="123">
        <f t="shared" si="26"/>
        <v>0</v>
      </c>
      <c r="IQ19" s="119">
        <f t="shared" si="27"/>
        <v>-1</v>
      </c>
      <c r="IR19" s="32">
        <v>0</v>
      </c>
      <c r="IS19" s="123">
        <f t="shared" si="190"/>
        <v>0</v>
      </c>
      <c r="IT19" s="119">
        <f t="shared" si="309"/>
        <v>-1</v>
      </c>
      <c r="IU19" s="32">
        <f t="shared" si="191"/>
        <v>0</v>
      </c>
      <c r="IV19" s="123">
        <f t="shared" si="192"/>
        <v>0</v>
      </c>
      <c r="IW19" s="119">
        <f t="shared" si="303"/>
        <v>-1</v>
      </c>
      <c r="IX19" s="32">
        <v>0</v>
      </c>
      <c r="IY19" s="123">
        <f t="shared" si="193"/>
        <v>0</v>
      </c>
      <c r="IZ19" s="119">
        <f t="shared" si="310"/>
        <v>-1</v>
      </c>
      <c r="JA19" s="32">
        <f t="shared" si="311"/>
        <v>0</v>
      </c>
      <c r="JB19" s="123">
        <f t="shared" si="31"/>
        <v>0</v>
      </c>
      <c r="JC19" s="119">
        <f t="shared" si="32"/>
        <v>-1</v>
      </c>
      <c r="JD19" s="32">
        <v>0</v>
      </c>
      <c r="JE19" s="123">
        <f t="shared" si="195"/>
        <v>0</v>
      </c>
      <c r="JF19" s="119">
        <f t="shared" si="312"/>
        <v>-1</v>
      </c>
      <c r="JG19" s="32">
        <f t="shared" si="313"/>
        <v>0</v>
      </c>
      <c r="JH19" s="123">
        <f t="shared" si="34"/>
        <v>0</v>
      </c>
      <c r="JI19" s="119">
        <f t="shared" si="35"/>
        <v>-1</v>
      </c>
      <c r="JJ19" s="32">
        <v>0</v>
      </c>
      <c r="JK19" s="123">
        <f t="shared" si="197"/>
        <v>0</v>
      </c>
      <c r="JL19" s="119" t="e">
        <f t="shared" si="314"/>
        <v>#DIV/0!</v>
      </c>
      <c r="JM19" s="32">
        <v>0</v>
      </c>
      <c r="JN19" s="123">
        <f t="shared" si="198"/>
        <v>0</v>
      </c>
      <c r="JO19" s="119" t="e">
        <f t="shared" si="315"/>
        <v>#DIV/0!</v>
      </c>
      <c r="JP19" s="32">
        <v>0</v>
      </c>
      <c r="JQ19" s="123">
        <f t="shared" si="199"/>
        <v>0</v>
      </c>
      <c r="JR19" s="119" t="e">
        <f t="shared" si="316"/>
        <v>#DIV/0!</v>
      </c>
      <c r="JS19" s="32">
        <v>0</v>
      </c>
      <c r="JT19" s="119">
        <f t="shared" si="37"/>
        <v>0</v>
      </c>
      <c r="JU19" s="119" t="e">
        <f t="shared" si="38"/>
        <v>#DIV/0!</v>
      </c>
      <c r="JV19" s="32">
        <f t="shared" si="39"/>
        <v>0</v>
      </c>
      <c r="JW19" s="119">
        <f t="shared" si="40"/>
        <v>0</v>
      </c>
      <c r="JX19" s="119" t="e">
        <f t="shared" si="41"/>
        <v>#DIV/0!</v>
      </c>
      <c r="JY19" s="32">
        <v>0</v>
      </c>
      <c r="JZ19" s="119">
        <f t="shared" si="42"/>
        <v>0</v>
      </c>
      <c r="KA19" s="119"/>
      <c r="KB19" s="32">
        <f t="shared" si="317"/>
        <v>0</v>
      </c>
      <c r="KC19" s="119">
        <f t="shared" si="45"/>
        <v>0</v>
      </c>
      <c r="KD19" s="119" t="e">
        <f t="shared" si="46"/>
        <v>#DIV/0!</v>
      </c>
      <c r="KE19" s="548"/>
      <c r="KF19" s="119" t="s">
        <v>112</v>
      </c>
      <c r="KG19" s="119" t="s">
        <v>112</v>
      </c>
      <c r="KH19" s="548"/>
      <c r="KI19" s="123">
        <f t="shared" si="200"/>
        <v>0</v>
      </c>
      <c r="KJ19" s="119" t="e">
        <f t="shared" si="318"/>
        <v>#DIV/0!</v>
      </c>
      <c r="KK19" s="32">
        <f>KH19+KE19</f>
        <v>0</v>
      </c>
      <c r="KL19" s="123">
        <f t="shared" si="201"/>
        <v>0</v>
      </c>
      <c r="KM19" s="119" t="e">
        <f t="shared" si="248"/>
        <v>#DIV/0!</v>
      </c>
      <c r="KN19" s="548"/>
      <c r="KO19" s="549">
        <f t="shared" si="50"/>
        <v>0</v>
      </c>
      <c r="KP19" s="549" t="e">
        <f t="shared" si="51"/>
        <v>#DIV/0!</v>
      </c>
      <c r="KQ19" s="548">
        <f t="shared" ref="KQ19:KQ27" si="356">KN19+KK19</f>
        <v>0</v>
      </c>
      <c r="KR19" s="549">
        <f t="shared" si="53"/>
        <v>0</v>
      </c>
      <c r="KS19" s="549" t="e">
        <f t="shared" si="54"/>
        <v>#DIV/0!</v>
      </c>
      <c r="KT19" s="548"/>
      <c r="KU19" s="549">
        <f t="shared" si="55"/>
        <v>0</v>
      </c>
      <c r="KV19" s="549" t="e">
        <f t="shared" si="56"/>
        <v>#DIV/0!</v>
      </c>
      <c r="KW19" s="548">
        <f t="shared" ref="KW19:KW26" si="357">KT19+KQ19</f>
        <v>0</v>
      </c>
      <c r="KX19" s="549">
        <f t="shared" si="58"/>
        <v>0</v>
      </c>
      <c r="KY19" s="549" t="e">
        <f t="shared" si="59"/>
        <v>#DIV/0!</v>
      </c>
      <c r="KZ19" s="548"/>
      <c r="LA19" s="549">
        <f t="shared" si="60"/>
        <v>0</v>
      </c>
      <c r="LB19" s="549" t="e">
        <f t="shared" si="61"/>
        <v>#DIV/0!</v>
      </c>
      <c r="LC19" s="548"/>
      <c r="LD19" s="123">
        <f t="shared" si="202"/>
        <v>0</v>
      </c>
      <c r="LE19" s="119" t="e">
        <f t="shared" si="319"/>
        <v>#DIV/0!</v>
      </c>
      <c r="LF19" s="32">
        <f>LC19+KZ19</f>
        <v>0</v>
      </c>
      <c r="LG19" s="123">
        <f t="shared" si="203"/>
        <v>0</v>
      </c>
      <c r="LH19" s="119" t="e">
        <f t="shared" si="320"/>
        <v>#DIV/0!</v>
      </c>
      <c r="LI19" s="548"/>
      <c r="LJ19" s="123">
        <f t="shared" si="204"/>
        <v>0</v>
      </c>
      <c r="LK19" s="119" t="e">
        <f t="shared" si="321"/>
        <v>#DIV/0!</v>
      </c>
      <c r="LL19" s="32">
        <f t="shared" si="62"/>
        <v>0</v>
      </c>
      <c r="LM19" s="123">
        <f t="shared" si="205"/>
        <v>0</v>
      </c>
      <c r="LN19" s="119" t="e">
        <f t="shared" si="322"/>
        <v>#DIV/0!</v>
      </c>
      <c r="LO19" s="548">
        <v>0</v>
      </c>
      <c r="LP19" s="123">
        <f t="shared" si="206"/>
        <v>0</v>
      </c>
      <c r="LQ19" s="119" t="e">
        <f t="shared" si="323"/>
        <v>#DIV/0!</v>
      </c>
      <c r="LR19" s="32">
        <f t="shared" si="63"/>
        <v>0</v>
      </c>
      <c r="LS19" s="123">
        <f t="shared" si="207"/>
        <v>0</v>
      </c>
      <c r="LT19" s="119" t="e">
        <f t="shared" si="324"/>
        <v>#DIV/0!</v>
      </c>
    </row>
    <row r="20" spans="1:332" ht="16.5" customHeight="1">
      <c r="A20" s="103"/>
      <c r="B20" s="127" t="s">
        <v>118</v>
      </c>
      <c r="C20" s="116" t="s">
        <v>119</v>
      </c>
      <c r="D20" s="121">
        <v>0</v>
      </c>
      <c r="E20" s="118">
        <f t="shared" si="255"/>
        <v>0</v>
      </c>
      <c r="F20" s="121">
        <v>0</v>
      </c>
      <c r="G20" s="118">
        <f t="shared" si="256"/>
        <v>0</v>
      </c>
      <c r="H20" s="117">
        <f t="shared" si="325"/>
        <v>0</v>
      </c>
      <c r="I20" s="118">
        <f t="shared" si="257"/>
        <v>0</v>
      </c>
      <c r="J20" s="121">
        <v>0</v>
      </c>
      <c r="K20" s="118">
        <f t="shared" si="258"/>
        <v>0</v>
      </c>
      <c r="L20" s="117">
        <f t="shared" si="326"/>
        <v>0</v>
      </c>
      <c r="M20" s="118">
        <f t="shared" si="259"/>
        <v>0</v>
      </c>
      <c r="N20" s="121">
        <v>0</v>
      </c>
      <c r="O20" s="118">
        <f t="shared" si="260"/>
        <v>0</v>
      </c>
      <c r="P20" s="117">
        <f>L20+N20</f>
        <v>0</v>
      </c>
      <c r="Q20" s="118">
        <f t="shared" si="261"/>
        <v>0</v>
      </c>
      <c r="R20" s="121">
        <v>0</v>
      </c>
      <c r="S20" s="118">
        <f t="shared" si="262"/>
        <v>0</v>
      </c>
      <c r="T20" s="26">
        <v>0</v>
      </c>
      <c r="U20" s="121">
        <v>0</v>
      </c>
      <c r="V20" s="119">
        <f t="shared" si="263"/>
        <v>0</v>
      </c>
      <c r="W20" s="26">
        <v>0</v>
      </c>
      <c r="X20" s="117">
        <f t="shared" si="327"/>
        <v>0</v>
      </c>
      <c r="Y20" s="119">
        <f t="shared" si="264"/>
        <v>0</v>
      </c>
      <c r="Z20" s="26">
        <v>0</v>
      </c>
      <c r="AA20" s="121">
        <v>0</v>
      </c>
      <c r="AB20" s="119">
        <f t="shared" si="265"/>
        <v>0</v>
      </c>
      <c r="AC20" s="26">
        <v>0</v>
      </c>
      <c r="AD20" s="117">
        <f t="shared" si="328"/>
        <v>0</v>
      </c>
      <c r="AE20" s="119">
        <f t="shared" si="266"/>
        <v>0</v>
      </c>
      <c r="AF20" s="26">
        <v>0</v>
      </c>
      <c r="AG20" s="121">
        <v>0</v>
      </c>
      <c r="AH20" s="119">
        <f t="shared" si="267"/>
        <v>0</v>
      </c>
      <c r="AI20" s="26">
        <v>0</v>
      </c>
      <c r="AJ20" s="117">
        <f t="shared" si="329"/>
        <v>0</v>
      </c>
      <c r="AK20" s="119">
        <f t="shared" si="268"/>
        <v>0</v>
      </c>
      <c r="AL20" s="26">
        <v>0</v>
      </c>
      <c r="AM20" s="120">
        <v>0</v>
      </c>
      <c r="AN20" s="119">
        <f t="shared" si="269"/>
        <v>0</v>
      </c>
      <c r="AO20" s="119">
        <v>0</v>
      </c>
      <c r="AP20" s="120">
        <v>0</v>
      </c>
      <c r="AQ20" s="119">
        <f t="shared" si="270"/>
        <v>0</v>
      </c>
      <c r="AR20" s="119">
        <v>0</v>
      </c>
      <c r="AS20" s="120">
        <f t="shared" si="330"/>
        <v>0</v>
      </c>
      <c r="AT20" s="119">
        <f t="shared" si="271"/>
        <v>0</v>
      </c>
      <c r="AU20" s="119"/>
      <c r="AV20" s="120">
        <v>0</v>
      </c>
      <c r="AW20" s="119">
        <f t="shared" si="272"/>
        <v>0</v>
      </c>
      <c r="AX20" s="119">
        <v>0</v>
      </c>
      <c r="AY20" s="120">
        <f t="shared" si="331"/>
        <v>0</v>
      </c>
      <c r="AZ20" s="119">
        <f t="shared" si="273"/>
        <v>0</v>
      </c>
      <c r="BA20" s="119">
        <v>0</v>
      </c>
      <c r="BB20" s="120">
        <v>-5190</v>
      </c>
      <c r="BC20" s="119">
        <f t="shared" si="274"/>
        <v>-8.6252455452850325E-3</v>
      </c>
      <c r="BD20" s="119">
        <v>1</v>
      </c>
      <c r="BE20" s="120">
        <f>BB20+AY20</f>
        <v>-5190</v>
      </c>
      <c r="BF20" s="119">
        <f t="shared" si="275"/>
        <v>-2.9627887434578886E-3</v>
      </c>
      <c r="BG20" s="119">
        <v>0</v>
      </c>
      <c r="BH20" s="120">
        <v>-2077</v>
      </c>
      <c r="BI20" s="119">
        <f t="shared" si="276"/>
        <v>-5.4175589423631201E-3</v>
      </c>
      <c r="BJ20" s="119">
        <v>1</v>
      </c>
      <c r="BK20" s="120">
        <v>-3029</v>
      </c>
      <c r="BL20" s="119">
        <f t="shared" si="277"/>
        <v>-5.9363522692975545E-3</v>
      </c>
      <c r="BM20" s="119">
        <v>1</v>
      </c>
      <c r="BN20" s="120">
        <f>BK20+BH20</f>
        <v>-5106</v>
      </c>
      <c r="BO20" s="119">
        <f t="shared" si="278"/>
        <v>-5.713780550989281E-3</v>
      </c>
      <c r="BP20" s="119">
        <v>1</v>
      </c>
      <c r="BQ20" s="120">
        <v>-3096</v>
      </c>
      <c r="BR20" s="119">
        <f t="shared" si="279"/>
        <v>-6.8948008391346753E-3</v>
      </c>
      <c r="BS20" s="119">
        <v>1</v>
      </c>
      <c r="BT20" s="120">
        <f>BN20+BQ20</f>
        <v>-8202</v>
      </c>
      <c r="BU20" s="119">
        <f t="shared" si="280"/>
        <v>-6.1087509607764857E-3</v>
      </c>
      <c r="BV20" s="119">
        <v>1</v>
      </c>
      <c r="BW20" s="120">
        <v>-2858</v>
      </c>
      <c r="BX20" s="119">
        <f t="shared" si="281"/>
        <v>-4.6565584481179879E-3</v>
      </c>
      <c r="BY20" s="119">
        <f t="shared" si="121"/>
        <v>-0.44932562620423888</v>
      </c>
      <c r="BZ20" s="120">
        <f t="shared" si="332"/>
        <v>-11060</v>
      </c>
      <c r="CA20" s="119">
        <f t="shared" si="282"/>
        <v>-5.6531770752935714E-3</v>
      </c>
      <c r="CB20" s="119">
        <f t="shared" si="123"/>
        <v>1.1310211946050095</v>
      </c>
      <c r="CC20" s="120">
        <v>-3585</v>
      </c>
      <c r="CD20" s="119">
        <f t="shared" si="283"/>
        <v>-9.885591853279618E-3</v>
      </c>
      <c r="CE20" s="119">
        <f t="shared" si="125"/>
        <v>0.72604718343765051</v>
      </c>
      <c r="CF20" s="120">
        <v>-4835</v>
      </c>
      <c r="CG20" s="119">
        <f t="shared" si="284"/>
        <v>-8.7159204805203234E-3</v>
      </c>
      <c r="CH20" s="119">
        <f t="shared" si="127"/>
        <v>0.59623638164410697</v>
      </c>
      <c r="CI20" s="120">
        <f>CF20+CC20</f>
        <v>-8420</v>
      </c>
      <c r="CJ20" s="119">
        <f t="shared" si="285"/>
        <v>-9.1783121498179594E-3</v>
      </c>
      <c r="CK20" s="119">
        <f t="shared" si="129"/>
        <v>0.64904034469251859</v>
      </c>
      <c r="CL20" s="120">
        <v>-4431</v>
      </c>
      <c r="CM20" s="119">
        <f t="shared" si="286"/>
        <v>-9.1036098042035617E-3</v>
      </c>
      <c r="CN20" s="119">
        <f t="shared" si="131"/>
        <v>0.431201550387597</v>
      </c>
      <c r="CO20" s="121">
        <f t="shared" si="333"/>
        <v>-12851</v>
      </c>
      <c r="CP20" s="119">
        <f t="shared" si="287"/>
        <v>-9.1524103151389025E-3</v>
      </c>
      <c r="CQ20" s="119">
        <f t="shared" si="133"/>
        <v>0.56681297244574491</v>
      </c>
      <c r="CR20" s="120">
        <v>-4392</v>
      </c>
      <c r="CS20" s="119">
        <f t="shared" si="288"/>
        <v>-6.1697698136426084E-3</v>
      </c>
      <c r="CT20" s="119">
        <f t="shared" si="135"/>
        <v>0.53673897830650796</v>
      </c>
      <c r="CU20" s="122">
        <v>-17243</v>
      </c>
      <c r="CV20" s="119">
        <f t="shared" si="289"/>
        <v>-8.1489890206279114E-3</v>
      </c>
      <c r="CW20" s="119">
        <f t="shared" si="137"/>
        <v>0.55904159132007236</v>
      </c>
      <c r="CX20" s="120">
        <v>-3829</v>
      </c>
      <c r="CY20" s="119">
        <f t="shared" si="290"/>
        <v>-8.6974100843619246E-3</v>
      </c>
      <c r="CZ20" s="119">
        <f t="shared" si="139"/>
        <v>6.8061366806136725E-2</v>
      </c>
      <c r="DA20" s="120">
        <v>-4629</v>
      </c>
      <c r="DB20" s="119">
        <f t="shared" si="291"/>
        <v>-7.3477473416202503E-3</v>
      </c>
      <c r="DC20" s="119">
        <f t="shared" si="141"/>
        <v>-4.2605997931747686E-2</v>
      </c>
      <c r="DD20" s="32">
        <f t="shared" si="334"/>
        <v>-8458</v>
      </c>
      <c r="DE20" s="119">
        <f t="shared" si="292"/>
        <v>-7.9029372053801266E-3</v>
      </c>
      <c r="DF20" s="119">
        <f t="shared" si="143"/>
        <v>4.5130641330166643E-3</v>
      </c>
      <c r="DG20" s="120">
        <v>-4459</v>
      </c>
      <c r="DH20" s="119">
        <f t="shared" si="293"/>
        <v>-7.8401378485775577E-3</v>
      </c>
      <c r="DI20" s="119">
        <f t="shared" si="145"/>
        <v>6.3191153238546516E-3</v>
      </c>
      <c r="DJ20" s="32">
        <f t="shared" si="335"/>
        <v>-12917</v>
      </c>
      <c r="DK20" s="119">
        <f t="shared" si="294"/>
        <v>-7.8811452279625993E-3</v>
      </c>
      <c r="DL20" s="119">
        <f t="shared" si="147"/>
        <v>5.1357870982802201E-3</v>
      </c>
      <c r="DM20" s="120">
        <v>-4468</v>
      </c>
      <c r="DN20" s="119">
        <f t="shared" si="295"/>
        <v>-5.4242456984201944E-3</v>
      </c>
      <c r="DO20" s="119">
        <f t="shared" si="149"/>
        <v>1.7304189435336959E-2</v>
      </c>
      <c r="DP20" s="32">
        <f>DJ20+DM20</f>
        <v>-17385</v>
      </c>
      <c r="DQ20" s="119">
        <f t="shared" si="296"/>
        <v>-7.0593738617597147E-3</v>
      </c>
      <c r="DR20" s="119">
        <f t="shared" si="151"/>
        <v>8.235225888766351E-3</v>
      </c>
      <c r="DS20" s="32">
        <v>-4727</v>
      </c>
      <c r="DT20" s="119">
        <f t="shared" si="297"/>
        <v>-9.1306472580050101E-3</v>
      </c>
      <c r="DU20" s="119">
        <f t="shared" si="209"/>
        <v>0.23452598589710116</v>
      </c>
      <c r="DV20" s="32">
        <v>-5549</v>
      </c>
      <c r="DW20" s="119">
        <f t="shared" si="298"/>
        <v>-7.4020913676060788E-3</v>
      </c>
      <c r="DX20" s="119">
        <f t="shared" si="210"/>
        <v>0.19874702959602497</v>
      </c>
      <c r="DY20" s="32">
        <f t="shared" si="336"/>
        <v>-10276</v>
      </c>
      <c r="DZ20" s="119">
        <f t="shared" si="299"/>
        <v>-8.1081934099229893E-3</v>
      </c>
      <c r="EA20" s="119">
        <f t="shared" si="211"/>
        <v>0.21494443130763763</v>
      </c>
      <c r="EB20" s="32">
        <v>-4259.549</v>
      </c>
      <c r="EC20" s="119">
        <f t="shared" si="349"/>
        <v>-6.482581923552222E-3</v>
      </c>
      <c r="ED20" s="119">
        <f t="shared" si="212"/>
        <v>-4.472998430141284E-2</v>
      </c>
      <c r="EE20" s="32">
        <f t="shared" si="337"/>
        <v>-14535.548999999999</v>
      </c>
      <c r="EF20" s="119">
        <f t="shared" si="350"/>
        <v>-7.553147519584958E-3</v>
      </c>
      <c r="EG20" s="119">
        <f t="shared" si="213"/>
        <v>0.12530378570875578</v>
      </c>
      <c r="EH20" s="32">
        <v>-3538</v>
      </c>
      <c r="EI20" s="119">
        <f t="shared" si="250"/>
        <v>-3.639243761443354E-3</v>
      </c>
      <c r="EJ20" s="119">
        <f t="shared" si="214"/>
        <v>-0.20814682184422562</v>
      </c>
      <c r="EK20" s="32">
        <v>-18073</v>
      </c>
      <c r="EL20" s="119">
        <f t="shared" si="215"/>
        <v>-6.2393474870857972E-3</v>
      </c>
      <c r="EM20" s="119">
        <f t="shared" si="232"/>
        <v>3.9574345700316371E-2</v>
      </c>
      <c r="EN20" s="32">
        <v>-4075</v>
      </c>
      <c r="EO20" s="119">
        <f t="shared" si="216"/>
        <v>-6.5810829797851743E-3</v>
      </c>
      <c r="EP20" s="119">
        <f t="shared" si="217"/>
        <v>-0.13793103448275867</v>
      </c>
      <c r="EQ20" s="32">
        <v>-4006</v>
      </c>
      <c r="ER20" s="119">
        <f t="shared" si="233"/>
        <v>-4.6844541839098468E-3</v>
      </c>
      <c r="ES20" s="119">
        <f t="shared" si="305"/>
        <v>-0.27806812038205087</v>
      </c>
      <c r="ET20" s="32">
        <f t="shared" si="338"/>
        <v>-8081</v>
      </c>
      <c r="EU20" s="119">
        <f t="shared" si="234"/>
        <v>-5.4809925337500542E-3</v>
      </c>
      <c r="EV20" s="119">
        <f t="shared" si="306"/>
        <v>-0.21360451537563252</v>
      </c>
      <c r="EW20" s="32">
        <v>-4001</v>
      </c>
      <c r="EX20" s="119">
        <f t="shared" si="235"/>
        <v>-4.9809526180813182E-3</v>
      </c>
      <c r="EY20" s="119">
        <f t="shared" si="153"/>
        <v>-6.0698679601995376E-2</v>
      </c>
      <c r="EZ20" s="32">
        <f t="shared" si="339"/>
        <v>-12082</v>
      </c>
      <c r="FA20" s="119">
        <f t="shared" si="236"/>
        <v>-5.3046391664314076E-3</v>
      </c>
      <c r="FB20" s="119">
        <f t="shared" si="154"/>
        <v>-0.16879644518414816</v>
      </c>
      <c r="FC20" s="32">
        <v>-4045</v>
      </c>
      <c r="FD20" s="119">
        <f t="shared" si="219"/>
        <v>-3.4154274308217628E-3</v>
      </c>
      <c r="FE20" s="119">
        <f t="shared" si="155"/>
        <v>0.14330130016958731</v>
      </c>
      <c r="FF20" s="32">
        <v>-16127</v>
      </c>
      <c r="FG20" s="119">
        <f t="shared" si="220"/>
        <v>-4.6583438283515693E-3</v>
      </c>
      <c r="FH20" s="119">
        <f t="shared" si="156"/>
        <v>-0.10767443147236211</v>
      </c>
      <c r="FI20" s="32">
        <v>-4479</v>
      </c>
      <c r="FJ20" s="119">
        <f t="shared" si="251"/>
        <v>-6.1632158253879356E-3</v>
      </c>
      <c r="FK20" s="119">
        <f t="shared" si="340"/>
        <v>9.9141104294478533E-2</v>
      </c>
      <c r="FL20" s="32">
        <v>-3360</v>
      </c>
      <c r="FM20" s="119">
        <f t="shared" si="222"/>
        <v>-3.5472860622274213E-3</v>
      </c>
      <c r="FN20" s="119">
        <f t="shared" si="341"/>
        <v>-0.16125811283075386</v>
      </c>
      <c r="FO20" s="32">
        <f>FI20+FL20</f>
        <v>-7839</v>
      </c>
      <c r="FP20" s="119">
        <f t="shared" si="252"/>
        <v>-4.6829803325579141E-3</v>
      </c>
      <c r="FQ20" s="119">
        <f t="shared" si="159"/>
        <v>-2.9946788763766885E-2</v>
      </c>
      <c r="FR20" s="32">
        <v>-1687</v>
      </c>
      <c r="FS20" s="123">
        <f t="shared" si="244"/>
        <v>-1.8601461212590334E-3</v>
      </c>
      <c r="FT20" s="119">
        <f t="shared" si="354"/>
        <v>-0.57835541114721312</v>
      </c>
      <c r="FU20" s="32">
        <v>-9524</v>
      </c>
      <c r="FV20" s="123">
        <f t="shared" si="238"/>
        <v>-3.690254226123776E-3</v>
      </c>
      <c r="FW20" s="119">
        <f t="shared" si="224"/>
        <v>-0.21171991392153622</v>
      </c>
      <c r="FX20" s="32">
        <v>-3613</v>
      </c>
      <c r="FY20" s="123">
        <f t="shared" si="253"/>
        <v>-2.7105211432652591E-3</v>
      </c>
      <c r="FZ20" s="119">
        <f t="shared" si="161"/>
        <v>-0.10679851668726825</v>
      </c>
      <c r="GA20" s="32">
        <v>-13139</v>
      </c>
      <c r="GB20" s="123">
        <f t="shared" si="342"/>
        <v>-3.3570876861901029E-3</v>
      </c>
      <c r="GC20" s="119">
        <f t="shared" si="343"/>
        <v>-0.18527934519749489</v>
      </c>
      <c r="GD20" s="32">
        <v>-2883</v>
      </c>
      <c r="GE20" s="119">
        <f t="shared" si="351"/>
        <v>-3.5395253131921289E-3</v>
      </c>
      <c r="GF20" s="119">
        <f t="shared" si="164"/>
        <v>-0.3563295378432686</v>
      </c>
      <c r="GG20" s="32">
        <v>-7003</v>
      </c>
      <c r="GH20" s="119">
        <f t="shared" si="225"/>
        <v>-6.302207167399509E-3</v>
      </c>
      <c r="GI20" s="119">
        <f t="shared" si="165"/>
        <v>1.0842261904761905</v>
      </c>
      <c r="GJ20" s="32">
        <f t="shared" si="254"/>
        <v>-9886</v>
      </c>
      <c r="GK20" s="123">
        <f t="shared" si="167"/>
        <v>-5.1336802868961846E-3</v>
      </c>
      <c r="GL20" s="119">
        <f t="shared" si="226"/>
        <v>0.26113024620487302</v>
      </c>
      <c r="GM20" s="32">
        <v>-7319</v>
      </c>
      <c r="GN20" s="123">
        <f t="shared" si="168"/>
        <v>-6.9898413795935598E-3</v>
      </c>
      <c r="GO20" s="119">
        <f t="shared" si="169"/>
        <v>3.3384706579727323</v>
      </c>
      <c r="GP20" s="32">
        <f t="shared" si="170"/>
        <v>-17205</v>
      </c>
      <c r="GQ20" s="123">
        <f t="shared" si="171"/>
        <v>-5.7874633553159386E-3</v>
      </c>
      <c r="GR20" s="119">
        <f t="shared" si="172"/>
        <v>0.80648887022259563</v>
      </c>
      <c r="GS20" s="32">
        <v>-7747.7449999999999</v>
      </c>
      <c r="GT20" s="123">
        <f t="shared" si="344"/>
        <v>-4.6399044919562564E-3</v>
      </c>
      <c r="GU20" s="119">
        <f t="shared" si="227"/>
        <v>1.1444076944367563</v>
      </c>
      <c r="GV20" s="32">
        <f t="shared" si="239"/>
        <v>-24952.744999999999</v>
      </c>
      <c r="GW20" s="123">
        <f t="shared" si="174"/>
        <v>-5.3747211698931549E-3</v>
      </c>
      <c r="GX20" s="119">
        <f t="shared" si="228"/>
        <v>0.89913577897861319</v>
      </c>
      <c r="GY20" s="32">
        <v>-6467.0164500000001</v>
      </c>
      <c r="GZ20" s="123">
        <f t="shared" si="352"/>
        <v>-6.397317673942398E-3</v>
      </c>
      <c r="HA20" s="119">
        <f t="shared" si="229"/>
        <v>1.2431552029136315</v>
      </c>
      <c r="HB20" s="32">
        <v>-7543.4621100000004</v>
      </c>
      <c r="HC20" s="123">
        <f>(HB20/$HB$8)</f>
        <v>-5.5703125696892541E-3</v>
      </c>
      <c r="HD20" s="119">
        <f t="shared" si="249"/>
        <v>7.7175797515350641E-2</v>
      </c>
      <c r="HE20" s="32">
        <f t="shared" si="177"/>
        <v>-14010.47856</v>
      </c>
      <c r="HF20" s="123">
        <f t="shared" si="240"/>
        <v>-5.9237893367823464E-3</v>
      </c>
      <c r="HG20" s="119">
        <f t="shared" si="245"/>
        <v>0.41720398138782122</v>
      </c>
      <c r="HH20" s="32">
        <v>-5498</v>
      </c>
      <c r="HI20" s="123">
        <f t="shared" si="353"/>
        <v>-4.4041606421198927E-3</v>
      </c>
      <c r="HJ20" s="119">
        <f t="shared" si="241"/>
        <v>-0.24880448148654188</v>
      </c>
      <c r="HK20" s="32">
        <f t="shared" si="345"/>
        <v>-19508.47856</v>
      </c>
      <c r="HL20" s="123">
        <f t="shared" si="300"/>
        <v>-5.3987973275667874E-3</v>
      </c>
      <c r="HM20" s="119">
        <f t="shared" si="230"/>
        <v>0.13388425225225231</v>
      </c>
      <c r="HN20" s="32">
        <v>-6923</v>
      </c>
      <c r="HO20" s="123">
        <f t="shared" si="355"/>
        <v>-3.7678938219168094E-3</v>
      </c>
      <c r="HP20" s="119">
        <f t="shared" si="180"/>
        <v>-0.10644968310134106</v>
      </c>
      <c r="HQ20" s="32">
        <f t="shared" si="346"/>
        <v>-26431.47856</v>
      </c>
      <c r="HR20" s="123">
        <f t="shared" si="181"/>
        <v>-4.8490545257878952E-3</v>
      </c>
      <c r="HS20" s="119">
        <f t="shared" si="182"/>
        <v>5.9261358219306226E-2</v>
      </c>
      <c r="HT20" s="32">
        <v>-6736</v>
      </c>
      <c r="HU20" s="123">
        <f t="shared" si="242"/>
        <v>-6.2593620951764996E-3</v>
      </c>
      <c r="HV20" s="119">
        <f t="shared" si="183"/>
        <v>4.1593144548132344E-2</v>
      </c>
      <c r="HW20" s="32">
        <v>-5739</v>
      </c>
      <c r="HX20" s="123">
        <f t="shared" si="184"/>
        <v>-3.9182406082387509E-3</v>
      </c>
      <c r="HY20" s="119">
        <f t="shared" si="307"/>
        <v>-0.23920874575719187</v>
      </c>
      <c r="HZ20" s="32">
        <f t="shared" si="185"/>
        <v>-12475</v>
      </c>
      <c r="IA20" s="123">
        <f t="shared" si="186"/>
        <v>-4.909801340975962E-3</v>
      </c>
      <c r="IB20" s="119">
        <f t="shared" si="301"/>
        <v>-0.10959501157824836</v>
      </c>
      <c r="IC20" s="32">
        <v>-5786</v>
      </c>
      <c r="ID20" s="123">
        <f t="shared" si="187"/>
        <v>-4.5905405984363913E-3</v>
      </c>
      <c r="IE20" s="119">
        <f t="shared" si="308"/>
        <v>5.2382684612586328E-2</v>
      </c>
      <c r="IF20" s="32">
        <f t="shared" si="188"/>
        <v>-18261</v>
      </c>
      <c r="IG20" s="123">
        <f t="shared" si="189"/>
        <v>-4.80394101525444E-3</v>
      </c>
      <c r="IH20" s="119">
        <f t="shared" si="302"/>
        <v>-6.3945456134022582E-2</v>
      </c>
      <c r="II20" s="32">
        <v>-5783</v>
      </c>
      <c r="IJ20" s="123">
        <f t="shared" si="22"/>
        <v>-3.01118872962514E-3</v>
      </c>
      <c r="IK20" s="119">
        <f t="shared" si="23"/>
        <v>-0.16466849631662572</v>
      </c>
      <c r="IL20" s="32">
        <f t="shared" si="247"/>
        <v>-24044</v>
      </c>
      <c r="IM20" s="123">
        <f t="shared" si="24"/>
        <v>-4.2022057210748375E-3</v>
      </c>
      <c r="IN20" s="119">
        <f t="shared" si="25"/>
        <v>-9.0327090653683051E-2</v>
      </c>
      <c r="IO20" s="32">
        <v>-6861</v>
      </c>
      <c r="IP20" s="123">
        <f t="shared" si="26"/>
        <v>-5.5568874303060537E-3</v>
      </c>
      <c r="IQ20" s="119">
        <f t="shared" si="27"/>
        <v>1.8557007125890701E-2</v>
      </c>
      <c r="IR20" s="32">
        <v>-7591</v>
      </c>
      <c r="IS20" s="123">
        <f t="shared" si="190"/>
        <v>-4.6557527464709259E-3</v>
      </c>
      <c r="IT20" s="119">
        <f t="shared" si="309"/>
        <v>0.32270430388569427</v>
      </c>
      <c r="IU20" s="32">
        <f t="shared" si="191"/>
        <v>-14452</v>
      </c>
      <c r="IV20" s="123">
        <f t="shared" si="192"/>
        <v>-5.0440816155580531E-3</v>
      </c>
      <c r="IW20" s="119">
        <f t="shared" si="303"/>
        <v>0.15847695390781569</v>
      </c>
      <c r="IX20" s="32">
        <v>-7129</v>
      </c>
      <c r="IY20" s="123">
        <f t="shared" si="193"/>
        <v>-4.7131453716767E-3</v>
      </c>
      <c r="IZ20" s="119">
        <f t="shared" si="310"/>
        <v>0.232111994469409</v>
      </c>
      <c r="JA20" s="32">
        <f t="shared" si="311"/>
        <v>-21581</v>
      </c>
      <c r="JB20" s="123">
        <f t="shared" si="31"/>
        <v>-4.9297373654493045E-3</v>
      </c>
      <c r="JC20" s="119">
        <f t="shared" si="32"/>
        <v>0.18180822517934403</v>
      </c>
      <c r="JD20" s="32">
        <v>-6057</v>
      </c>
      <c r="JE20" s="123">
        <f t="shared" si="195"/>
        <v>-2.7254871521426595E-3</v>
      </c>
      <c r="JF20" s="119">
        <f t="shared" si="312"/>
        <v>4.7380252464118922E-2</v>
      </c>
      <c r="JG20" s="32">
        <f t="shared" si="313"/>
        <v>-27638</v>
      </c>
      <c r="JH20" s="123">
        <f t="shared" si="34"/>
        <v>-4.1875294409622439E-3</v>
      </c>
      <c r="JI20" s="119">
        <f t="shared" si="35"/>
        <v>0.14947596073864577</v>
      </c>
      <c r="JJ20" s="32">
        <v>-5084</v>
      </c>
      <c r="JK20" s="123">
        <f t="shared" si="197"/>
        <v>-3.6344945271689906E-3</v>
      </c>
      <c r="JL20" s="119">
        <f t="shared" si="314"/>
        <v>-0.25900014575134822</v>
      </c>
      <c r="JM20" s="32">
        <v>-4716</v>
      </c>
      <c r="JN20" s="123">
        <f t="shared" si="198"/>
        <v>-2.6493920611494969E-3</v>
      </c>
      <c r="JO20" s="119">
        <f t="shared" si="315"/>
        <v>-0.37873797918587804</v>
      </c>
      <c r="JP20" s="32">
        <f t="shared" ref="JP20:JP27" si="358">JM20+JJ20</f>
        <v>-9800</v>
      </c>
      <c r="JQ20" s="123">
        <f t="shared" si="199"/>
        <v>-3.0828758827878004E-3</v>
      </c>
      <c r="JR20" s="119">
        <f t="shared" si="316"/>
        <v>-0.32189316357597564</v>
      </c>
      <c r="JS20" s="32">
        <v>-5920</v>
      </c>
      <c r="JT20" s="119">
        <f t="shared" si="37"/>
        <v>-3.4590329548847445E-3</v>
      </c>
      <c r="JU20" s="119">
        <f t="shared" si="38"/>
        <v>-0.16958900266517041</v>
      </c>
      <c r="JV20" s="32">
        <f t="shared" si="39"/>
        <v>-15720</v>
      </c>
      <c r="JW20" s="119">
        <f t="shared" si="40"/>
        <v>-3.2145194855705498E-3</v>
      </c>
      <c r="JX20" s="119">
        <f t="shared" si="41"/>
        <v>-0.27158148371252488</v>
      </c>
      <c r="JY20" s="32">
        <v>-4778</v>
      </c>
      <c r="JZ20" s="119">
        <f t="shared" si="42"/>
        <v>-1.841146581933335E-3</v>
      </c>
      <c r="KA20" s="119">
        <f t="shared" si="43"/>
        <v>-0.21116064058114581</v>
      </c>
      <c r="KB20" s="32">
        <f t="shared" si="317"/>
        <v>-20498</v>
      </c>
      <c r="KC20" s="119">
        <f t="shared" si="45"/>
        <v>-2.7383853412354369E-3</v>
      </c>
      <c r="KD20" s="119">
        <f t="shared" si="46"/>
        <v>-0.25833996671249726</v>
      </c>
      <c r="KE20" s="548">
        <v>-4805</v>
      </c>
      <c r="KF20" s="119">
        <f t="shared" si="47"/>
        <v>-2.9115265548793974E-3</v>
      </c>
      <c r="KG20" s="119">
        <f t="shared" si="48"/>
        <v>-5.4878048780487854E-2</v>
      </c>
      <c r="KH20" s="548">
        <v>-5160</v>
      </c>
      <c r="KI20" s="123">
        <f t="shared" si="200"/>
        <v>-2.5552473192187283E-3</v>
      </c>
      <c r="KJ20" s="119">
        <f t="shared" ref="KJ20:KJ24" si="359">(KH20/JM20)-1</f>
        <v>9.4147582697200916E-2</v>
      </c>
      <c r="KK20" s="32">
        <f t="shared" ref="KK20:KK35" si="360">KH20+KE20</f>
        <v>-9965</v>
      </c>
      <c r="KL20" s="123">
        <f t="shared" si="201"/>
        <v>-2.7154726898112685E-3</v>
      </c>
      <c r="KM20" s="119">
        <f t="shared" ref="KM20" si="361">(KK20/JP20)-1</f>
        <v>1.6836734693877586E-2</v>
      </c>
      <c r="KN20" s="548">
        <v>-5247</v>
      </c>
      <c r="KO20" s="549">
        <f t="shared" si="50"/>
        <v>-2.7159453477465989E-3</v>
      </c>
      <c r="KP20" s="549">
        <f t="shared" ref="KP20:KP25" si="362">(KN20/JS20)-1</f>
        <v>-0.11368243243243248</v>
      </c>
      <c r="KQ20" s="548">
        <f t="shared" si="356"/>
        <v>-15212</v>
      </c>
      <c r="KR20" s="549">
        <f t="shared" si="53"/>
        <v>-2.715635702790346E-3</v>
      </c>
      <c r="KS20" s="549">
        <f t="shared" ref="KS20:KS25" si="363">(KQ20/JV20)-1</f>
        <v>-3.2315521628498711E-2</v>
      </c>
      <c r="KT20" s="548">
        <v>-5863</v>
      </c>
      <c r="KU20" s="549">
        <f t="shared" si="55"/>
        <v>-2.0406827846844722E-3</v>
      </c>
      <c r="KV20" s="549">
        <f t="shared" ref="KV20:KV25" si="364">(KT20/JY20)-1</f>
        <v>0.22708246128087062</v>
      </c>
      <c r="KW20" s="548">
        <f t="shared" si="357"/>
        <v>-21075</v>
      </c>
      <c r="KX20" s="549">
        <f t="shared" si="58"/>
        <v>-2.4868157465999063E-3</v>
      </c>
      <c r="KY20" s="549">
        <f t="shared" ref="KY20:KY25" si="365">(KW20/KB20)-1</f>
        <v>2.8149087715874765E-2</v>
      </c>
      <c r="KZ20" s="548">
        <v>-4982</v>
      </c>
      <c r="LA20" s="549">
        <f t="shared" si="60"/>
        <v>-3.2138203305422594E-3</v>
      </c>
      <c r="LB20" s="549">
        <f t="shared" ref="LB20:LB25" si="366">(KZ20/KE20)-1</f>
        <v>3.6836628511966785E-2</v>
      </c>
      <c r="LC20" s="548">
        <v>-5392</v>
      </c>
      <c r="LD20" s="123">
        <f t="shared" si="202"/>
        <v>-9.9919204797307808E-3</v>
      </c>
      <c r="LE20" s="119">
        <f t="shared" si="319"/>
        <v>4.4961240310077422E-2</v>
      </c>
      <c r="LF20" s="32">
        <f t="shared" ref="LF20:LF25" si="367">LC20+KZ20</f>
        <v>-10374</v>
      </c>
      <c r="LG20" s="123">
        <f t="shared" si="203"/>
        <v>-4.964073392107248E-3</v>
      </c>
      <c r="LH20" s="119">
        <f t="shared" si="320"/>
        <v>4.1043652784746643E-2</v>
      </c>
      <c r="LI20" s="548">
        <v>-5440</v>
      </c>
      <c r="LJ20" s="123">
        <f t="shared" si="204"/>
        <v>-3.2945796292023302E-3</v>
      </c>
      <c r="LK20" s="119">
        <f t="shared" si="321"/>
        <v>3.6782923575376492E-2</v>
      </c>
      <c r="LL20" s="32">
        <f t="shared" si="62"/>
        <v>-15814</v>
      </c>
      <c r="LM20" s="123">
        <f t="shared" si="205"/>
        <v>-4.2271972858688271E-3</v>
      </c>
      <c r="LN20" s="119">
        <f t="shared" si="322"/>
        <v>3.9574020510123598E-2</v>
      </c>
      <c r="LO20" s="548">
        <v>-7018</v>
      </c>
      <c r="LP20" s="123">
        <f t="shared" si="206"/>
        <v>-2.4037885186730321E-3</v>
      </c>
      <c r="LQ20" s="119">
        <f t="shared" si="323"/>
        <v>0.19699812382739212</v>
      </c>
      <c r="LR20" s="32">
        <f t="shared" si="63"/>
        <v>-22832</v>
      </c>
      <c r="LS20" s="123">
        <f t="shared" si="207"/>
        <v>-3.4279343317562415E-3</v>
      </c>
      <c r="LT20" s="119">
        <f t="shared" si="324"/>
        <v>8.3368920521945444E-2</v>
      </c>
    </row>
    <row r="21" spans="1:332" ht="16.5" customHeight="1">
      <c r="A21" s="103"/>
      <c r="B21" s="127" t="s">
        <v>120</v>
      </c>
      <c r="C21" s="116" t="s">
        <v>121</v>
      </c>
      <c r="D21" s="121">
        <v>-6073</v>
      </c>
      <c r="E21" s="118">
        <f t="shared" si="255"/>
        <v>-3.066985839242066E-2</v>
      </c>
      <c r="F21" s="121">
        <v>-9448</v>
      </c>
      <c r="G21" s="118">
        <f t="shared" si="256"/>
        <v>-3.3845845214724807E-2</v>
      </c>
      <c r="H21" s="117">
        <f t="shared" si="325"/>
        <v>-15521</v>
      </c>
      <c r="I21" s="118">
        <f t="shared" si="257"/>
        <v>-3.2527873250062872E-2</v>
      </c>
      <c r="J21" s="121">
        <v>-8298</v>
      </c>
      <c r="K21" s="118">
        <f t="shared" si="258"/>
        <v>-3.2488557747647924E-2</v>
      </c>
      <c r="L21" s="117">
        <f t="shared" si="326"/>
        <v>-23819</v>
      </c>
      <c r="M21" s="118">
        <f t="shared" si="259"/>
        <v>-3.2514165823747256E-2</v>
      </c>
      <c r="N21" s="121">
        <v>-15100</v>
      </c>
      <c r="O21" s="118">
        <f t="shared" si="260"/>
        <v>-3.7389101695880514E-2</v>
      </c>
      <c r="P21" s="117">
        <f>L21+N21+1</f>
        <v>-38918</v>
      </c>
      <c r="Q21" s="118">
        <f t="shared" si="261"/>
        <v>-3.4245719505048247E-2</v>
      </c>
      <c r="R21" s="121">
        <v>-8250</v>
      </c>
      <c r="S21" s="118">
        <f t="shared" si="262"/>
        <v>-3.286918066096934E-2</v>
      </c>
      <c r="T21" s="26">
        <f>R21/D21-1</f>
        <v>0.35847192491355173</v>
      </c>
      <c r="U21" s="121">
        <v>-12081</v>
      </c>
      <c r="V21" s="119">
        <f t="shared" si="263"/>
        <v>-3.3773262624088293E-2</v>
      </c>
      <c r="W21" s="26">
        <f>U21/F21-1</f>
        <v>0.2786833192209992</v>
      </c>
      <c r="X21" s="117">
        <f t="shared" si="327"/>
        <v>-20331</v>
      </c>
      <c r="Y21" s="119">
        <f t="shared" si="264"/>
        <v>-3.3400470507833034E-2</v>
      </c>
      <c r="Z21" s="26">
        <f>X21/H21-1</f>
        <v>0.30990271245409451</v>
      </c>
      <c r="AA21" s="121">
        <v>-11360</v>
      </c>
      <c r="AB21" s="119">
        <f t="shared" si="265"/>
        <v>-3.5442074359718335E-2</v>
      </c>
      <c r="AC21" s="26">
        <f t="shared" ref="AC21:AC30" si="368">AA21/J21-1</f>
        <v>0.36900457941672693</v>
      </c>
      <c r="AD21" s="117">
        <f t="shared" si="328"/>
        <v>-31691</v>
      </c>
      <c r="AE21" s="119">
        <f t="shared" si="266"/>
        <v>-3.4104691318698227E-2</v>
      </c>
      <c r="AF21" s="26">
        <f t="shared" ref="AF21:AF30" si="369">AD21/L21-1</f>
        <v>0.3304924639993283</v>
      </c>
      <c r="AG21" s="121">
        <v>-20307</v>
      </c>
      <c r="AH21" s="119">
        <f t="shared" si="267"/>
        <v>-4.0062815780491992E-2</v>
      </c>
      <c r="AI21" s="26">
        <f>AG21/N21-1</f>
        <v>0.34483443708609274</v>
      </c>
      <c r="AJ21" s="117">
        <f t="shared" si="329"/>
        <v>-51998</v>
      </c>
      <c r="AK21" s="119">
        <f t="shared" si="268"/>
        <v>-3.6207658910734242E-2</v>
      </c>
      <c r="AL21" s="26">
        <f>AJ21/P21-1</f>
        <v>0.33609126882162488</v>
      </c>
      <c r="AM21" s="120">
        <v>-16190</v>
      </c>
      <c r="AN21" s="119">
        <f t="shared" si="269"/>
        <v>-5.217649125181683E-2</v>
      </c>
      <c r="AO21" s="119">
        <f>AM21/R21-1</f>
        <v>0.9624242424242424</v>
      </c>
      <c r="AP21" s="120">
        <v>-27243</v>
      </c>
      <c r="AQ21" s="119">
        <f t="shared" si="270"/>
        <v>-6.1309088454051378E-2</v>
      </c>
      <c r="AR21" s="119">
        <f>AP21/U21-1</f>
        <v>1.255028557238639</v>
      </c>
      <c r="AS21" s="120">
        <f t="shared" si="330"/>
        <v>-43433</v>
      </c>
      <c r="AT21" s="119">
        <f t="shared" si="271"/>
        <v>-5.7553985434268692E-2</v>
      </c>
      <c r="AU21" s="119">
        <f>AS21/X21-1</f>
        <v>1.1362943288574097</v>
      </c>
      <c r="AV21" s="120">
        <v>-23773</v>
      </c>
      <c r="AW21" s="119">
        <f t="shared" si="272"/>
        <v>-6.0130312273939064E-2</v>
      </c>
      <c r="AX21" s="119">
        <f>AV21/AA21-1</f>
        <v>1.0926936619718308</v>
      </c>
      <c r="AY21" s="120">
        <f t="shared" si="331"/>
        <v>-67206</v>
      </c>
      <c r="AZ21" s="119">
        <f t="shared" si="273"/>
        <v>-5.843969509724297E-2</v>
      </c>
      <c r="BA21" s="119">
        <f>AY21/AD21-1</f>
        <v>1.1206651730775299</v>
      </c>
      <c r="BB21" s="120">
        <v>-32999</v>
      </c>
      <c r="BC21" s="119">
        <f t="shared" si="274"/>
        <v>-5.4840939836004E-2</v>
      </c>
      <c r="BD21" s="119">
        <f>BB21/AG21-1</f>
        <v>0.62500615551287741</v>
      </c>
      <c r="BE21" s="120">
        <f>BB21+AY21-1</f>
        <v>-100206</v>
      </c>
      <c r="BF21" s="119">
        <f t="shared" si="275"/>
        <v>-5.7204086479179413E-2</v>
      </c>
      <c r="BG21" s="119">
        <f>BE21/AJ21-1</f>
        <v>0.92711258125312512</v>
      </c>
      <c r="BH21" s="120">
        <v>-22079</v>
      </c>
      <c r="BI21" s="119">
        <f t="shared" si="276"/>
        <v>-5.7589929652592839E-2</v>
      </c>
      <c r="BJ21" s="119">
        <f>(BH21/AM21)-1</f>
        <v>0.36374305126621365</v>
      </c>
      <c r="BK21" s="120">
        <v>-29959</v>
      </c>
      <c r="BL21" s="119">
        <f t="shared" si="277"/>
        <v>-5.8714815990718205E-2</v>
      </c>
      <c r="BM21" s="119">
        <f>(BK21/AP21)-1</f>
        <v>9.9695334581360262E-2</v>
      </c>
      <c r="BN21" s="120">
        <f>BK21+BH21+1</f>
        <v>-52037</v>
      </c>
      <c r="BO21" s="119">
        <f t="shared" si="278"/>
        <v>-5.8231100378344926E-2</v>
      </c>
      <c r="BP21" s="119">
        <f>BN21/AS21-1</f>
        <v>0.19809822024727741</v>
      </c>
      <c r="BQ21" s="120">
        <v>-26464</v>
      </c>
      <c r="BR21" s="119">
        <f t="shared" si="279"/>
        <v>-5.8935403555187359E-2</v>
      </c>
      <c r="BS21" s="119">
        <f>(BQ21/AV21)-1</f>
        <v>0.11319564211500444</v>
      </c>
      <c r="BT21" s="120">
        <f>BN21+BQ21-1</f>
        <v>-78502</v>
      </c>
      <c r="BU21" s="119">
        <f t="shared" si="280"/>
        <v>-5.8467345516078482E-2</v>
      </c>
      <c r="BV21" s="119">
        <f>BT21/AY21-1</f>
        <v>0.16808023093176194</v>
      </c>
      <c r="BW21" s="120">
        <v>-32625</v>
      </c>
      <c r="BX21" s="119">
        <f t="shared" si="281"/>
        <v>-5.3156129940465133E-2</v>
      </c>
      <c r="BY21" s="119">
        <f t="shared" si="121"/>
        <v>-1.1333676778084167E-2</v>
      </c>
      <c r="BZ21" s="120">
        <f t="shared" si="332"/>
        <v>-111127</v>
      </c>
      <c r="CA21" s="119">
        <f t="shared" si="282"/>
        <v>-5.6801140040338947E-2</v>
      </c>
      <c r="CB21" s="119">
        <f t="shared" si="123"/>
        <v>0.1089854898908249</v>
      </c>
      <c r="CC21" s="120">
        <v>-22262</v>
      </c>
      <c r="CD21" s="119">
        <f t="shared" si="283"/>
        <v>-6.1387181544689216E-2</v>
      </c>
      <c r="CE21" s="119">
        <f t="shared" si="125"/>
        <v>8.2884188595497843E-3</v>
      </c>
      <c r="CF21" s="120">
        <v>-32035</v>
      </c>
      <c r="CG21" s="119">
        <f t="shared" si="284"/>
        <v>-5.7748606534326487E-2</v>
      </c>
      <c r="CH21" s="119">
        <f t="shared" si="127"/>
        <v>6.9294702760439364E-2</v>
      </c>
      <c r="CI21" s="120">
        <f>CF21+CC21</f>
        <v>-54297</v>
      </c>
      <c r="CJ21" s="119">
        <f t="shared" si="285"/>
        <v>-5.9187032636421111E-2</v>
      </c>
      <c r="CK21" s="119">
        <f t="shared" si="129"/>
        <v>4.3430635893691116E-2</v>
      </c>
      <c r="CL21" s="120">
        <v>-28487</v>
      </c>
      <c r="CM21" s="119">
        <f t="shared" si="286"/>
        <v>-5.8527314938466912E-2</v>
      </c>
      <c r="CN21" s="119">
        <f t="shared" si="131"/>
        <v>7.6443470374848888E-2</v>
      </c>
      <c r="CO21" s="121">
        <f t="shared" si="333"/>
        <v>-82784</v>
      </c>
      <c r="CP21" s="119">
        <f t="shared" si="287"/>
        <v>-5.8958301729706557E-2</v>
      </c>
      <c r="CQ21" s="119">
        <f t="shared" si="133"/>
        <v>5.4546380983923948E-2</v>
      </c>
      <c r="CR21" s="120">
        <v>-29635</v>
      </c>
      <c r="CS21" s="119">
        <f t="shared" si="288"/>
        <v>-4.1630493722062546E-2</v>
      </c>
      <c r="CT21" s="119">
        <f t="shared" si="135"/>
        <v>-9.1647509578544062E-2</v>
      </c>
      <c r="CU21" s="122">
        <f>CO21+CR21</f>
        <v>-112419</v>
      </c>
      <c r="CV21" s="119">
        <f t="shared" si="289"/>
        <v>-5.3128875294900492E-2</v>
      </c>
      <c r="CW21" s="119">
        <f t="shared" si="137"/>
        <v>1.162633743374708E-2</v>
      </c>
      <c r="CX21" s="120">
        <v>-23584</v>
      </c>
      <c r="CY21" s="119">
        <f t="shared" si="290"/>
        <v>-5.3570049472340467E-2</v>
      </c>
      <c r="CZ21" s="119">
        <f t="shared" si="139"/>
        <v>5.9383703171323354E-2</v>
      </c>
      <c r="DA21" s="120">
        <v>-28568</v>
      </c>
      <c r="DB21" s="119">
        <f t="shared" si="291"/>
        <v>-4.5346823515966153E-2</v>
      </c>
      <c r="DC21" s="119">
        <f t="shared" si="141"/>
        <v>-0.10822537849227409</v>
      </c>
      <c r="DD21" s="32">
        <f t="shared" si="334"/>
        <v>-52152</v>
      </c>
      <c r="DE21" s="119">
        <f t="shared" si="292"/>
        <v>-4.8729484645895528E-2</v>
      </c>
      <c r="DF21" s="119">
        <f t="shared" si="143"/>
        <v>-3.9504945024587013E-2</v>
      </c>
      <c r="DG21" s="120">
        <v>-18758</v>
      </c>
      <c r="DH21" s="119">
        <f t="shared" si="293"/>
        <v>-3.298167879874811E-2</v>
      </c>
      <c r="DI21" s="119">
        <f t="shared" si="145"/>
        <v>-0.34152420402288763</v>
      </c>
      <c r="DJ21" s="32">
        <f t="shared" si="335"/>
        <v>-70910</v>
      </c>
      <c r="DK21" s="119">
        <f t="shared" si="294"/>
        <v>-4.3264845406427797E-2</v>
      </c>
      <c r="DL21" s="119">
        <f t="shared" si="147"/>
        <v>-0.14343351372245849</v>
      </c>
      <c r="DM21" s="120">
        <v>-17262</v>
      </c>
      <c r="DN21" s="119">
        <f t="shared" si="295"/>
        <v>-2.0956430001371845E-2</v>
      </c>
      <c r="DO21" s="119">
        <f t="shared" si="149"/>
        <v>-0.41751307575501939</v>
      </c>
      <c r="DP21" s="32">
        <f>DJ21+DM21</f>
        <v>-88172</v>
      </c>
      <c r="DQ21" s="119">
        <f t="shared" si="296"/>
        <v>-3.5803227618008492E-2</v>
      </c>
      <c r="DR21" s="119">
        <f t="shared" si="151"/>
        <v>-0.21568418149956858</v>
      </c>
      <c r="DS21" s="32">
        <v>-18809</v>
      </c>
      <c r="DT21" s="119">
        <f t="shared" si="297"/>
        <v>-3.6331361175336627E-2</v>
      </c>
      <c r="DU21" s="119">
        <f t="shared" si="209"/>
        <v>-0.20246777476255085</v>
      </c>
      <c r="DV21" s="32">
        <v>-28926</v>
      </c>
      <c r="DW21" s="119">
        <f t="shared" si="298"/>
        <v>-3.8585852387704712E-2</v>
      </c>
      <c r="DX21" s="119">
        <f t="shared" si="210"/>
        <v>1.2531503780453646E-2</v>
      </c>
      <c r="DY21" s="32">
        <f t="shared" si="336"/>
        <v>-47735</v>
      </c>
      <c r="DZ21" s="119">
        <f t="shared" si="299"/>
        <v>-3.7664909733619495E-2</v>
      </c>
      <c r="EA21" s="119">
        <f t="shared" si="211"/>
        <v>-8.4694738456818519E-2</v>
      </c>
      <c r="EB21" s="32">
        <v>-24384</v>
      </c>
      <c r="EC21" s="119">
        <f t="shared" si="349"/>
        <v>-3.7109862481661177E-2</v>
      </c>
      <c r="ED21" s="119">
        <f t="shared" si="212"/>
        <v>0.29992536517752422</v>
      </c>
      <c r="EE21" s="32">
        <f t="shared" si="337"/>
        <v>-72119</v>
      </c>
      <c r="EF21" s="119">
        <f t="shared" si="350"/>
        <v>-3.747539538857099E-2</v>
      </c>
      <c r="EG21" s="119">
        <f t="shared" si="213"/>
        <v>1.7049781413058795E-2</v>
      </c>
      <c r="EH21" s="32">
        <v>-37307</v>
      </c>
      <c r="EI21" s="119">
        <f t="shared" si="250"/>
        <v>-3.8374580838939291E-2</v>
      </c>
      <c r="EJ21" s="119">
        <f t="shared" si="214"/>
        <v>1.1612211794693548</v>
      </c>
      <c r="EK21" s="32">
        <v>-109427</v>
      </c>
      <c r="EL21" s="119">
        <f t="shared" si="215"/>
        <v>-3.7777517704273643E-2</v>
      </c>
      <c r="EM21" s="119">
        <f>(EK21/DP21)-1</f>
        <v>0.24106292246971828</v>
      </c>
      <c r="EN21" s="32">
        <v>-20227</v>
      </c>
      <c r="EO21" s="119">
        <f t="shared" si="216"/>
        <v>-3.2666396425058829E-2</v>
      </c>
      <c r="EP21" s="119">
        <f t="shared" si="217"/>
        <v>7.5389441224945397E-2</v>
      </c>
      <c r="EQ21" s="32">
        <v>-33397</v>
      </c>
      <c r="ER21" s="119">
        <f t="shared" si="233"/>
        <v>-3.9053099445840532E-2</v>
      </c>
      <c r="ES21" s="119">
        <f t="shared" si="305"/>
        <v>0.15456682569314806</v>
      </c>
      <c r="ET21" s="32">
        <v>-53625</v>
      </c>
      <c r="EU21" s="119">
        <f t="shared" si="234"/>
        <v>-3.6371516473499156E-2</v>
      </c>
      <c r="EV21" s="119">
        <f t="shared" si="306"/>
        <v>0.12338954645438349</v>
      </c>
      <c r="EW21" s="32">
        <v>-29018</v>
      </c>
      <c r="EX21" s="119">
        <f t="shared" si="235"/>
        <v>-3.6125289445509551E-2</v>
      </c>
      <c r="EY21" s="119">
        <f t="shared" si="153"/>
        <v>0.19004265091863526</v>
      </c>
      <c r="EZ21" s="32">
        <f t="shared" si="339"/>
        <v>-82643</v>
      </c>
      <c r="FA21" s="119">
        <f t="shared" si="236"/>
        <v>-3.6284662690894788E-2</v>
      </c>
      <c r="FB21" s="119">
        <f t="shared" si="154"/>
        <v>0.14592548426905538</v>
      </c>
      <c r="FC21" s="32">
        <v>-43438</v>
      </c>
      <c r="FD21" s="119">
        <f t="shared" si="219"/>
        <v>-3.6677215510515636E-2</v>
      </c>
      <c r="FE21" s="119">
        <f t="shared" si="155"/>
        <v>0.1643391320663683</v>
      </c>
      <c r="FF21" s="32">
        <v>-126081</v>
      </c>
      <c r="FG21" s="119">
        <f t="shared" si="220"/>
        <v>-3.6418964979375842E-2</v>
      </c>
      <c r="FH21" s="119">
        <f t="shared" si="156"/>
        <v>0.15219278605828546</v>
      </c>
      <c r="FI21" s="32">
        <v>-28825</v>
      </c>
      <c r="FJ21" s="119">
        <f t="shared" si="251"/>
        <v>-3.9663919662158348E-2</v>
      </c>
      <c r="FK21" s="119">
        <f t="shared" si="340"/>
        <v>0.42507539427497898</v>
      </c>
      <c r="FL21" s="32">
        <v>-37145</v>
      </c>
      <c r="FM21" s="119">
        <f t="shared" si="222"/>
        <v>-3.9215458565904034E-2</v>
      </c>
      <c r="FN21" s="119">
        <f t="shared" si="341"/>
        <v>0.11222564901039012</v>
      </c>
      <c r="FO21" s="32">
        <f t="shared" si="237"/>
        <v>-65970</v>
      </c>
      <c r="FP21" s="119">
        <f t="shared" si="252"/>
        <v>-3.941015595596959E-2</v>
      </c>
      <c r="FQ21" s="119">
        <f t="shared" si="159"/>
        <v>0.23020979020979015</v>
      </c>
      <c r="FR21" s="32">
        <v>-33115</v>
      </c>
      <c r="FS21" s="123">
        <f t="shared" si="244"/>
        <v>-3.6513775225544096E-2</v>
      </c>
      <c r="FT21" s="119">
        <f t="shared" si="354"/>
        <v>0.14118822799641606</v>
      </c>
      <c r="FU21" s="32">
        <v>-99085</v>
      </c>
      <c r="FV21" s="123">
        <f t="shared" ref="FV21:FV27" si="370">(FU21/$FU$8)</f>
        <v>-3.8392360352317759E-2</v>
      </c>
      <c r="FW21" s="119">
        <f t="shared" si="224"/>
        <v>0.19895211935675139</v>
      </c>
      <c r="FX21" s="32">
        <v>-43403</v>
      </c>
      <c r="FY21" s="123">
        <f t="shared" si="253"/>
        <v>-3.2561513750662061E-2</v>
      </c>
      <c r="FZ21" s="119">
        <f t="shared" si="161"/>
        <v>-8.0574612090800191E-4</v>
      </c>
      <c r="GA21" s="32">
        <v>-142489</v>
      </c>
      <c r="GB21" s="123">
        <f t="shared" si="342"/>
        <v>-3.64067331849868E-2</v>
      </c>
      <c r="GC21" s="119">
        <f t="shared" si="343"/>
        <v>0.13013856171826044</v>
      </c>
      <c r="GD21" s="32">
        <v>-29171</v>
      </c>
      <c r="GE21" s="119">
        <f t="shared" si="351"/>
        <v>-3.5813906663589176E-2</v>
      </c>
      <c r="GF21" s="119">
        <f t="shared" si="164"/>
        <v>1.2003469210754458E-2</v>
      </c>
      <c r="GG21" s="32">
        <v>-54043</v>
      </c>
      <c r="GH21" s="119">
        <f t="shared" si="225"/>
        <v>-4.8634896751074068E-2</v>
      </c>
      <c r="GI21" s="119">
        <f t="shared" si="165"/>
        <v>0.45491990846681918</v>
      </c>
      <c r="GJ21" s="32">
        <f t="shared" si="254"/>
        <v>-83214</v>
      </c>
      <c r="GK21" s="123">
        <f t="shared" si="167"/>
        <v>-4.321202421543386E-2</v>
      </c>
      <c r="GL21" s="119">
        <f t="shared" si="226"/>
        <v>0.2613915416098227</v>
      </c>
      <c r="GM21" s="32">
        <v>-51852</v>
      </c>
      <c r="GN21" s="123">
        <f t="shared" si="168"/>
        <v>-4.9520051265840311E-2</v>
      </c>
      <c r="GO21" s="119">
        <f t="shared" si="169"/>
        <v>0.56581609542503397</v>
      </c>
      <c r="GP21" s="32">
        <f t="shared" si="170"/>
        <v>-135066</v>
      </c>
      <c r="GQ21" s="123">
        <f t="shared" si="171"/>
        <v>-4.5433857922063503E-2</v>
      </c>
      <c r="GR21" s="119">
        <f t="shared" si="172"/>
        <v>0.3631326638744512</v>
      </c>
      <c r="GS21" s="32">
        <v>-53392</v>
      </c>
      <c r="GT21" s="123">
        <f t="shared" si="344"/>
        <v>-3.1974952793945646E-2</v>
      </c>
      <c r="GU21" s="119">
        <f t="shared" si="227"/>
        <v>0.23014538165564602</v>
      </c>
      <c r="GV21" s="32">
        <f t="shared" si="239"/>
        <v>-188458</v>
      </c>
      <c r="GW21" s="123">
        <f t="shared" si="174"/>
        <v>-4.059309716168398E-2</v>
      </c>
      <c r="GX21" s="119">
        <f t="shared" si="228"/>
        <v>0.32261437725017372</v>
      </c>
      <c r="GY21" s="32">
        <v>-45737</v>
      </c>
      <c r="GZ21" s="123">
        <f t="shared" si="352"/>
        <v>-4.5244065901997733E-2</v>
      </c>
      <c r="HA21" s="119">
        <f t="shared" si="229"/>
        <v>0.56789277021699625</v>
      </c>
      <c r="HB21" s="32">
        <v>-74136</v>
      </c>
      <c r="HC21" s="123">
        <f t="shared" ref="HC21:HC40" si="371">(HB21/$HB$8)</f>
        <v>-5.4744185977820541E-2</v>
      </c>
      <c r="HD21" s="119">
        <f t="shared" si="249"/>
        <v>0.37179653239087385</v>
      </c>
      <c r="HE21" s="32">
        <f t="shared" si="177"/>
        <v>-119873</v>
      </c>
      <c r="HF21" s="123">
        <f t="shared" si="240"/>
        <v>-5.0683664810383909E-2</v>
      </c>
      <c r="HG21" s="119">
        <f t="shared" si="245"/>
        <v>0.44053885163554218</v>
      </c>
      <c r="HH21" s="32">
        <v>-76307</v>
      </c>
      <c r="HI21" s="123">
        <f t="shared" si="353"/>
        <v>-6.1125552222306777E-2</v>
      </c>
      <c r="HJ21" s="119">
        <f t="shared" si="241"/>
        <v>0.47163079534058472</v>
      </c>
      <c r="HK21" s="32">
        <f t="shared" si="345"/>
        <v>-196180</v>
      </c>
      <c r="HL21" s="123">
        <f t="shared" si="300"/>
        <v>-5.4291064086037691E-2</v>
      </c>
      <c r="HM21" s="119">
        <f t="shared" si="230"/>
        <v>0.45247508625412758</v>
      </c>
      <c r="HN21" s="32">
        <v>-84963</v>
      </c>
      <c r="HO21" s="123">
        <f t="shared" si="355"/>
        <v>-4.624173953365851E-2</v>
      </c>
      <c r="HP21" s="119">
        <f t="shared" si="180"/>
        <v>0.59130581360503442</v>
      </c>
      <c r="HQ21" s="32">
        <f t="shared" si="346"/>
        <v>-281143</v>
      </c>
      <c r="HR21" s="123">
        <f t="shared" si="181"/>
        <v>-5.1577808386652213E-2</v>
      </c>
      <c r="HS21" s="119">
        <f t="shared" si="182"/>
        <v>0.49180719311464616</v>
      </c>
      <c r="HT21" s="32">
        <v>-50177</v>
      </c>
      <c r="HU21" s="123">
        <f t="shared" si="242"/>
        <v>-4.6626486319725539E-2</v>
      </c>
      <c r="HV21" s="119">
        <f t="shared" si="183"/>
        <v>9.7076764982399366E-2</v>
      </c>
      <c r="HW21" s="32">
        <v>-77523</v>
      </c>
      <c r="HX21" s="123">
        <f t="shared" si="184"/>
        <v>-5.2927995586773427E-2</v>
      </c>
      <c r="HY21" s="119">
        <f t="shared" si="307"/>
        <v>4.5686306247976649E-2</v>
      </c>
      <c r="HZ21" s="32">
        <f t="shared" si="185"/>
        <v>-127700</v>
      </c>
      <c r="IA21" s="123">
        <f t="shared" si="186"/>
        <v>-5.0259048596603635E-2</v>
      </c>
      <c r="IB21" s="119">
        <f t="shared" si="301"/>
        <v>6.5294102925596231E-2</v>
      </c>
      <c r="IC21" s="32">
        <v>-68811</v>
      </c>
      <c r="ID21" s="123">
        <f t="shared" si="187"/>
        <v>-5.4593793487557302E-2</v>
      </c>
      <c r="IE21" s="119">
        <f t="shared" si="308"/>
        <v>-9.823476221054428E-2</v>
      </c>
      <c r="IF21" s="32">
        <f t="shared" si="188"/>
        <v>-196511</v>
      </c>
      <c r="IG21" s="123">
        <f t="shared" si="189"/>
        <v>-5.169636125341795E-2</v>
      </c>
      <c r="IH21" s="119">
        <f t="shared" si="302"/>
        <v>1.6872260169231712E-3</v>
      </c>
      <c r="II21" s="32">
        <v>-65692</v>
      </c>
      <c r="IJ21" s="123">
        <f t="shared" si="22"/>
        <v>-3.4205604362188259E-2</v>
      </c>
      <c r="IK21" s="119">
        <f t="shared" si="23"/>
        <v>-0.22681637889434225</v>
      </c>
      <c r="IL21" s="32">
        <v>-262203</v>
      </c>
      <c r="IM21" s="123">
        <f t="shared" si="24"/>
        <v>-4.5825609161661354E-2</v>
      </c>
      <c r="IN21" s="119">
        <f t="shared" si="25"/>
        <v>-6.7367851947229718E-2</v>
      </c>
      <c r="IO21" s="32">
        <v>-46366</v>
      </c>
      <c r="IP21" s="123">
        <f t="shared" si="26"/>
        <v>-3.7552928522601732E-2</v>
      </c>
      <c r="IQ21" s="119">
        <f t="shared" si="27"/>
        <v>-7.5951132989218184E-2</v>
      </c>
      <c r="IR21" s="32">
        <v>-59277</v>
      </c>
      <c r="IS21" s="123">
        <f t="shared" si="190"/>
        <v>-3.6356086886122657E-2</v>
      </c>
      <c r="IT21" s="119">
        <f t="shared" si="309"/>
        <v>-0.23536240857551949</v>
      </c>
      <c r="IU21" s="32">
        <f t="shared" si="191"/>
        <v>-105643</v>
      </c>
      <c r="IV21" s="123">
        <f t="shared" si="192"/>
        <v>-3.6871845703874855E-2</v>
      </c>
      <c r="IW21" s="119">
        <f t="shared" si="303"/>
        <v>-0.1727251370399373</v>
      </c>
      <c r="IX21" s="32">
        <v>-71408</v>
      </c>
      <c r="IY21" s="123">
        <f t="shared" si="193"/>
        <v>-4.7209466222568358E-2</v>
      </c>
      <c r="IZ21" s="119">
        <f t="shared" si="310"/>
        <v>3.7741058842336361E-2</v>
      </c>
      <c r="JA21" s="32">
        <f t="shared" si="311"/>
        <v>-177051</v>
      </c>
      <c r="JB21" s="123">
        <f t="shared" si="31"/>
        <v>-4.0443674078595289E-2</v>
      </c>
      <c r="JC21" s="119">
        <f t="shared" si="32"/>
        <v>-9.9027535354255014E-2</v>
      </c>
      <c r="JD21" s="32">
        <v>-78784</v>
      </c>
      <c r="JE21" s="123">
        <f t="shared" si="195"/>
        <v>-3.545068182176115E-2</v>
      </c>
      <c r="JF21" s="119">
        <f t="shared" si="312"/>
        <v>0.19929367350666749</v>
      </c>
      <c r="JG21" s="32">
        <f t="shared" si="313"/>
        <v>-255835</v>
      </c>
      <c r="JH21" s="123">
        <f t="shared" si="34"/>
        <v>-3.8762450051688824E-2</v>
      </c>
      <c r="JI21" s="119">
        <f t="shared" si="35"/>
        <v>-2.4286526088564964E-2</v>
      </c>
      <c r="JJ21" s="32">
        <v>-57423</v>
      </c>
      <c r="JK21" s="123">
        <f t="shared" si="197"/>
        <v>-4.1051058071130006E-2</v>
      </c>
      <c r="JL21" s="119">
        <f t="shared" si="314"/>
        <v>0.23847215632144247</v>
      </c>
      <c r="JM21" s="32">
        <v>-79119</v>
      </c>
      <c r="JN21" s="123">
        <f t="shared" si="198"/>
        <v>-4.4448102308330587E-2</v>
      </c>
      <c r="JO21" s="119">
        <f t="shared" si="315"/>
        <v>0.33473353914671788</v>
      </c>
      <c r="JP21" s="32">
        <f t="shared" si="358"/>
        <v>-136542</v>
      </c>
      <c r="JQ21" s="123">
        <f t="shared" si="199"/>
        <v>-4.2953269264042027E-2</v>
      </c>
      <c r="JR21" s="119">
        <f t="shared" si="316"/>
        <v>0.29248506763344473</v>
      </c>
      <c r="JS21" s="32">
        <v>-68260</v>
      </c>
      <c r="JT21" s="119">
        <f t="shared" si="37"/>
        <v>-3.9884052280478491E-2</v>
      </c>
      <c r="JU21" s="119">
        <f t="shared" si="38"/>
        <v>-4.4084696392561074E-2</v>
      </c>
      <c r="JV21" s="32">
        <f t="shared" si="39"/>
        <v>-204802</v>
      </c>
      <c r="JW21" s="119">
        <f t="shared" si="40"/>
        <v>-4.1879136112202273E-2</v>
      </c>
      <c r="JX21" s="119">
        <f t="shared" si="41"/>
        <v>0.15674014831884597</v>
      </c>
      <c r="JY21" s="32">
        <v>-75871</v>
      </c>
      <c r="JZ21" s="119">
        <f t="shared" si="42"/>
        <v>-2.9236005089548777E-2</v>
      </c>
      <c r="KA21" s="119">
        <f t="shared" si="43"/>
        <v>-3.6974512591389064E-2</v>
      </c>
      <c r="KB21" s="32">
        <f t="shared" si="317"/>
        <v>-280673</v>
      </c>
      <c r="KC21" s="119">
        <f t="shared" si="45"/>
        <v>-3.7495893691119803E-2</v>
      </c>
      <c r="KD21" s="119">
        <f t="shared" si="46"/>
        <v>9.7086012468974081E-2</v>
      </c>
      <c r="KE21" s="548">
        <v>-72516</v>
      </c>
      <c r="KF21" s="119">
        <f t="shared" si="47"/>
        <v>-4.3940116473180933E-2</v>
      </c>
      <c r="KG21" s="119">
        <f t="shared" si="48"/>
        <v>0.26283893213520715</v>
      </c>
      <c r="KH21" s="548">
        <v>-98455</v>
      </c>
      <c r="KI21" s="123">
        <f t="shared" si="200"/>
        <v>-4.8755208297224781E-2</v>
      </c>
      <c r="KJ21" s="119">
        <f t="shared" si="359"/>
        <v>0.24439135985035199</v>
      </c>
      <c r="KK21" s="32">
        <f t="shared" si="360"/>
        <v>-170971</v>
      </c>
      <c r="KL21" s="123">
        <f t="shared" si="201"/>
        <v>-4.6589772328120664E-2</v>
      </c>
      <c r="KM21" s="119">
        <f>(KK21/JP21)-1</f>
        <v>0.25214952175887273</v>
      </c>
      <c r="KN21" s="548">
        <v>-101371</v>
      </c>
      <c r="KO21" s="549">
        <f t="shared" si="50"/>
        <v>-5.2471525795010569E-2</v>
      </c>
      <c r="KP21" s="549">
        <f t="shared" si="362"/>
        <v>0.48507178435394072</v>
      </c>
      <c r="KQ21" s="548">
        <f t="shared" si="356"/>
        <v>-272342</v>
      </c>
      <c r="KR21" s="549">
        <f t="shared" si="53"/>
        <v>-4.8618305191252195E-2</v>
      </c>
      <c r="KS21" s="549">
        <f t="shared" si="363"/>
        <v>0.32978193572328385</v>
      </c>
      <c r="KT21" s="548">
        <v>-108707</v>
      </c>
      <c r="KU21" s="549">
        <f t="shared" si="55"/>
        <v>-3.7836688295189304E-2</v>
      </c>
      <c r="KV21" s="549">
        <f t="shared" si="364"/>
        <v>0.43278723095781002</v>
      </c>
      <c r="KW21" s="548">
        <f t="shared" si="357"/>
        <v>-381049</v>
      </c>
      <c r="KX21" s="549">
        <f t="shared" si="58"/>
        <v>-4.4963162677397278E-2</v>
      </c>
      <c r="KY21" s="549">
        <f t="shared" si="365"/>
        <v>0.35762613432713519</v>
      </c>
      <c r="KZ21" s="548">
        <v>-199325</v>
      </c>
      <c r="LA21" s="549">
        <f t="shared" si="60"/>
        <v>-0.12858184210865836</v>
      </c>
      <c r="LB21" s="549">
        <f t="shared" si="366"/>
        <v>1.7487037343482816</v>
      </c>
      <c r="LC21" s="548">
        <v>-133866</v>
      </c>
      <c r="LD21" s="123">
        <f t="shared" si="202"/>
        <v>-0.24806721567871676</v>
      </c>
      <c r="LE21" s="119">
        <f t="shared" si="319"/>
        <v>0.35966685287694888</v>
      </c>
      <c r="LF21" s="32">
        <f t="shared" si="367"/>
        <v>-333191</v>
      </c>
      <c r="LG21" s="123">
        <f t="shared" si="203"/>
        <v>-0.15943556753321825</v>
      </c>
      <c r="LH21" s="119">
        <f t="shared" si="320"/>
        <v>0.94881588105585157</v>
      </c>
      <c r="LI21" s="548">
        <v>-91399</v>
      </c>
      <c r="LJ21" s="123">
        <f t="shared" si="204"/>
        <v>-5.5353177119386726E-2</v>
      </c>
      <c r="LK21" s="119">
        <f t="shared" si="321"/>
        <v>-9.8371329078336012E-2</v>
      </c>
      <c r="LL21" s="32">
        <f t="shared" si="62"/>
        <v>-424590</v>
      </c>
      <c r="LM21" s="123">
        <f t="shared" si="205"/>
        <v>-0.11349599693986628</v>
      </c>
      <c r="LN21" s="119">
        <f t="shared" si="322"/>
        <v>0.55903239309397734</v>
      </c>
      <c r="LO21" s="548">
        <v>11954</v>
      </c>
      <c r="LP21" s="123">
        <f t="shared" si="206"/>
        <v>4.0944553935903993E-3</v>
      </c>
      <c r="LQ21" s="119">
        <f t="shared" si="323"/>
        <v>-1.1099653196206316</v>
      </c>
      <c r="LR21" s="32">
        <f t="shared" si="63"/>
        <v>-412636</v>
      </c>
      <c r="LS21" s="123">
        <f t="shared" si="207"/>
        <v>-6.1952045853125803E-2</v>
      </c>
      <c r="LT21" s="119">
        <f t="shared" si="324"/>
        <v>8.2894850793467478E-2</v>
      </c>
    </row>
    <row r="22" spans="1:332" ht="16.5" customHeight="1">
      <c r="A22" s="114"/>
      <c r="B22" s="127" t="s">
        <v>122</v>
      </c>
      <c r="C22" s="116" t="s">
        <v>123</v>
      </c>
      <c r="D22" s="121">
        <v>-2379</v>
      </c>
      <c r="E22" s="118">
        <f t="shared" si="255"/>
        <v>-1.201442336828071E-2</v>
      </c>
      <c r="F22" s="121">
        <v>-2775</v>
      </c>
      <c r="G22" s="118">
        <f t="shared" si="256"/>
        <v>-9.9409632166449335E-3</v>
      </c>
      <c r="H22" s="117">
        <f t="shared" si="325"/>
        <v>-5154</v>
      </c>
      <c r="I22" s="118">
        <f t="shared" si="257"/>
        <v>-1.0801408332634755E-2</v>
      </c>
      <c r="J22" s="121">
        <v>-3034</v>
      </c>
      <c r="K22" s="118">
        <f t="shared" si="258"/>
        <v>-1.1878800217686648E-2</v>
      </c>
      <c r="L22" s="117">
        <f t="shared" si="326"/>
        <v>-8188</v>
      </c>
      <c r="M22" s="118">
        <f t="shared" si="259"/>
        <v>-1.1177043106966815E-2</v>
      </c>
      <c r="N22" s="121">
        <v>-3290</v>
      </c>
      <c r="O22" s="118">
        <f t="shared" si="260"/>
        <v>-8.1463671906918476E-3</v>
      </c>
      <c r="P22" s="117">
        <f>L22+N22+1</f>
        <v>-11477</v>
      </c>
      <c r="Q22" s="118">
        <f t="shared" si="261"/>
        <v>-1.0099134661581756E-2</v>
      </c>
      <c r="R22" s="121">
        <v>-2910</v>
      </c>
      <c r="S22" s="118">
        <f t="shared" si="262"/>
        <v>-1.1593856451323731E-2</v>
      </c>
      <c r="T22" s="26">
        <f>R22/D22-1</f>
        <v>0.22320302648171508</v>
      </c>
      <c r="U22" s="121">
        <v>-4254</v>
      </c>
      <c r="V22" s="119">
        <f t="shared" si="263"/>
        <v>-1.1892348249554806E-2</v>
      </c>
      <c r="W22" s="26">
        <f>U22/F22-1</f>
        <v>0.53297297297297308</v>
      </c>
      <c r="X22" s="117">
        <f t="shared" si="327"/>
        <v>-7164</v>
      </c>
      <c r="Y22" s="119">
        <f t="shared" si="264"/>
        <v>-1.1769267164336033E-2</v>
      </c>
      <c r="Z22" s="26">
        <f>X22/H22-1</f>
        <v>0.38998835855646097</v>
      </c>
      <c r="AA22" s="121">
        <v>-4230</v>
      </c>
      <c r="AB22" s="119">
        <f t="shared" si="265"/>
        <v>-1.3197180857535965E-2</v>
      </c>
      <c r="AC22" s="26">
        <f t="shared" si="368"/>
        <v>0.39419907712590629</v>
      </c>
      <c r="AD22" s="117">
        <f t="shared" si="328"/>
        <v>-11394</v>
      </c>
      <c r="AE22" s="119">
        <f t="shared" si="266"/>
        <v>-1.2261804704340275E-2</v>
      </c>
      <c r="AF22" s="26">
        <f t="shared" si="369"/>
        <v>0.39154860771861255</v>
      </c>
      <c r="AG22" s="121">
        <v>-4706</v>
      </c>
      <c r="AH22" s="119">
        <f t="shared" si="267"/>
        <v>-9.2842670538728182E-3</v>
      </c>
      <c r="AI22" s="26">
        <f>AG22/N22-1</f>
        <v>0.43039513677811558</v>
      </c>
      <c r="AJ22" s="117">
        <f t="shared" si="329"/>
        <v>-16100</v>
      </c>
      <c r="AK22" s="119">
        <f t="shared" si="268"/>
        <v>-1.1210879427339922E-2</v>
      </c>
      <c r="AL22" s="26">
        <f>AJ22/P22-1</f>
        <v>0.40280561122244496</v>
      </c>
      <c r="AM22" s="120">
        <v>-5112</v>
      </c>
      <c r="AN22" s="119">
        <f t="shared" si="269"/>
        <v>-1.6474751283464338E-2</v>
      </c>
      <c r="AO22" s="119">
        <f>AM22/R22-1</f>
        <v>0.75670103092783503</v>
      </c>
      <c r="AP22" s="120">
        <v>-7000</v>
      </c>
      <c r="AQ22" s="119">
        <f t="shared" si="270"/>
        <v>-1.5753170325528011E-2</v>
      </c>
      <c r="AR22" s="119">
        <f>AP22/U22-1</f>
        <v>0.6455101081335215</v>
      </c>
      <c r="AS22" s="120">
        <f>AM22+AP22-1</f>
        <v>-12113</v>
      </c>
      <c r="AT22" s="119">
        <f t="shared" si="271"/>
        <v>-1.6051192078956018E-2</v>
      </c>
      <c r="AU22" s="119">
        <f>AS22/X22-1</f>
        <v>0.69081518704634282</v>
      </c>
      <c r="AV22" s="120">
        <v>-7056</v>
      </c>
      <c r="AW22" s="119">
        <f t="shared" si="272"/>
        <v>-1.7847115778610777E-2</v>
      </c>
      <c r="AX22" s="119">
        <f>AV22/AA22-1</f>
        <v>0.66808510638297869</v>
      </c>
      <c r="AY22" s="120">
        <f t="shared" si="331"/>
        <v>-19169</v>
      </c>
      <c r="AZ22" s="119">
        <f t="shared" si="273"/>
        <v>-1.6668608685519903E-2</v>
      </c>
      <c r="BA22" s="119">
        <f>AY22/AD22-1</f>
        <v>0.68237668948569419</v>
      </c>
      <c r="BB22" s="120">
        <v>-9905</v>
      </c>
      <c r="BC22" s="119">
        <f t="shared" si="274"/>
        <v>-1.6461090005018927E-2</v>
      </c>
      <c r="BD22" s="119">
        <f>BB22/AG22-1</f>
        <v>1.1047598810029751</v>
      </c>
      <c r="BE22" s="120">
        <f>BB22+AY22+1</f>
        <v>-29073</v>
      </c>
      <c r="BF22" s="119">
        <f t="shared" si="275"/>
        <v>-1.6596754747312367E-2</v>
      </c>
      <c r="BG22" s="119">
        <f>BE22/AJ22-1</f>
        <v>0.80577639751552788</v>
      </c>
      <c r="BH22" s="120">
        <v>-7829</v>
      </c>
      <c r="BI22" s="119">
        <f t="shared" si="276"/>
        <v>-2.0420832431276296E-2</v>
      </c>
      <c r="BJ22" s="119">
        <f>(BH22/AM22)-1</f>
        <v>0.53149452269170583</v>
      </c>
      <c r="BK22" s="120">
        <v>-10547</v>
      </c>
      <c r="BL22" s="119">
        <f t="shared" si="277"/>
        <v>-2.0670421718151637E-2</v>
      </c>
      <c r="BM22" s="119">
        <f>(BK22/AP22)-1</f>
        <v>0.50671428571428567</v>
      </c>
      <c r="BN22" s="120">
        <f>BK22+BH22+1</f>
        <v>-18375</v>
      </c>
      <c r="BO22" s="119">
        <f t="shared" si="278"/>
        <v>-2.056222436827811E-2</v>
      </c>
      <c r="BP22" s="119">
        <f>BN22/AS22-1</f>
        <v>0.5169652439527781</v>
      </c>
      <c r="BQ22" s="120">
        <v>-9061</v>
      </c>
      <c r="BR22" s="119">
        <f t="shared" si="279"/>
        <v>-2.017887286931502E-2</v>
      </c>
      <c r="BS22" s="119">
        <f>(BQ22/AV22)-1</f>
        <v>0.28415532879818595</v>
      </c>
      <c r="BT22" s="120">
        <f>BN22+BQ22</f>
        <v>-27436</v>
      </c>
      <c r="BU22" s="119">
        <f t="shared" si="280"/>
        <v>-2.0434002848069212E-2</v>
      </c>
      <c r="BV22" s="119">
        <f>BT22/AY22-1</f>
        <v>0.43126923678856488</v>
      </c>
      <c r="BW22" s="120">
        <v>-10648</v>
      </c>
      <c r="BX22" s="119">
        <f t="shared" si="281"/>
        <v>-1.7348857367235945E-2</v>
      </c>
      <c r="BY22" s="119">
        <f t="shared" si="121"/>
        <v>7.501261988894492E-2</v>
      </c>
      <c r="BZ22" s="120">
        <f t="shared" si="332"/>
        <v>-38084</v>
      </c>
      <c r="CA22" s="119">
        <f t="shared" si="282"/>
        <v>-1.9466147896517214E-2</v>
      </c>
      <c r="CB22" s="119">
        <f t="shared" si="123"/>
        <v>0.30994393423451316</v>
      </c>
      <c r="CC22" s="120">
        <v>-7767</v>
      </c>
      <c r="CD22" s="119">
        <f t="shared" si="283"/>
        <v>-2.1417403605138854E-2</v>
      </c>
      <c r="CE22" s="119">
        <f t="shared" si="125"/>
        <v>-7.9192744922723657E-3</v>
      </c>
      <c r="CF22" s="120">
        <v>-9636</v>
      </c>
      <c r="CG22" s="119">
        <f t="shared" si="284"/>
        <v>-1.7370550103473388E-2</v>
      </c>
      <c r="CH22" s="119">
        <f t="shared" si="127"/>
        <v>-8.6375272589361951E-2</v>
      </c>
      <c r="CI22" s="120">
        <f>CF22+CC22+1</f>
        <v>-17402</v>
      </c>
      <c r="CJ22" s="119">
        <f t="shared" si="285"/>
        <v>-1.8969238483507379E-2</v>
      </c>
      <c r="CK22" s="119">
        <f t="shared" si="129"/>
        <v>-5.2952380952380973E-2</v>
      </c>
      <c r="CL22" s="120">
        <v>-9667</v>
      </c>
      <c r="CM22" s="119">
        <f t="shared" si="286"/>
        <v>-1.9861113964621042E-2</v>
      </c>
      <c r="CN22" s="119">
        <f t="shared" si="131"/>
        <v>6.6880035316190245E-2</v>
      </c>
      <c r="CO22" s="121">
        <f t="shared" si="333"/>
        <v>-27069</v>
      </c>
      <c r="CP22" s="119">
        <f t="shared" si="287"/>
        <v>-1.9278390383666247E-2</v>
      </c>
      <c r="CQ22" s="119">
        <f t="shared" si="133"/>
        <v>-1.337658550809151E-2</v>
      </c>
      <c r="CR22" s="120">
        <v>-11431</v>
      </c>
      <c r="CS22" s="119">
        <f t="shared" si="288"/>
        <v>-1.6057977855134031E-2</v>
      </c>
      <c r="CT22" s="119">
        <f t="shared" si="135"/>
        <v>7.3534936138242024E-2</v>
      </c>
      <c r="CU22" s="122">
        <f>CO22+CR22-1</f>
        <v>-38501</v>
      </c>
      <c r="CV22" s="119">
        <f t="shared" si="289"/>
        <v>-1.8195454751678664E-2</v>
      </c>
      <c r="CW22" s="119">
        <f t="shared" si="137"/>
        <v>1.094948009662855E-2</v>
      </c>
      <c r="CX22" s="120">
        <v>-9571</v>
      </c>
      <c r="CY22" s="119">
        <f t="shared" si="290"/>
        <v>-2.1740118024922431E-2</v>
      </c>
      <c r="CZ22" s="119">
        <f t="shared" si="139"/>
        <v>0.23226470966911283</v>
      </c>
      <c r="DA22" s="120">
        <v>-11872</v>
      </c>
      <c r="DB22" s="119">
        <f t="shared" si="291"/>
        <v>-1.8844773480171877E-2</v>
      </c>
      <c r="DC22" s="119">
        <f t="shared" si="141"/>
        <v>0.23204649232046481</v>
      </c>
      <c r="DD22" s="32">
        <f t="shared" si="334"/>
        <v>-21443</v>
      </c>
      <c r="DE22" s="119">
        <f t="shared" si="292"/>
        <v>-2.0035786532864277E-2</v>
      </c>
      <c r="DF22" s="119">
        <f t="shared" si="143"/>
        <v>0.23221468796690026</v>
      </c>
      <c r="DG22" s="120">
        <v>-12363</v>
      </c>
      <c r="DH22" s="119">
        <f t="shared" si="293"/>
        <v>-2.1737525055385589E-2</v>
      </c>
      <c r="DI22" s="119">
        <f t="shared" si="145"/>
        <v>0.2788869349332781</v>
      </c>
      <c r="DJ22" s="32">
        <f t="shared" si="335"/>
        <v>-33806</v>
      </c>
      <c r="DK22" s="119">
        <f t="shared" si="294"/>
        <v>-2.0626306075443492E-2</v>
      </c>
      <c r="DL22" s="119">
        <f t="shared" si="147"/>
        <v>0.24888248550001846</v>
      </c>
      <c r="DM22" s="120">
        <v>-18540</v>
      </c>
      <c r="DN22" s="119">
        <f t="shared" si="295"/>
        <v>-2.2507948802307613E-2</v>
      </c>
      <c r="DO22" s="119">
        <f t="shared" si="149"/>
        <v>0.62190534511416318</v>
      </c>
      <c r="DP22" s="32">
        <v>-52346</v>
      </c>
      <c r="DQ22" s="119">
        <f t="shared" si="296"/>
        <v>-2.1255679273377858E-2</v>
      </c>
      <c r="DR22" s="119">
        <f t="shared" si="151"/>
        <v>0.3596010493233941</v>
      </c>
      <c r="DS22" s="32">
        <v>-17629</v>
      </c>
      <c r="DT22" s="119">
        <f t="shared" si="297"/>
        <v>-3.4052079651231297E-2</v>
      </c>
      <c r="DU22" s="119">
        <f t="shared" si="209"/>
        <v>0.84191829484902314</v>
      </c>
      <c r="DV22" s="32">
        <v>-20167</v>
      </c>
      <c r="DW22" s="119">
        <f t="shared" si="298"/>
        <v>-2.6901779890162514E-2</v>
      </c>
      <c r="DX22" s="119">
        <f t="shared" si="210"/>
        <v>0.69870283018867929</v>
      </c>
      <c r="DY22" s="32">
        <f t="shared" si="336"/>
        <v>-37796</v>
      </c>
      <c r="DZ22" s="119">
        <f t="shared" si="299"/>
        <v>-2.982262340613559E-2</v>
      </c>
      <c r="EA22" s="119">
        <f t="shared" si="211"/>
        <v>0.76262649815790695</v>
      </c>
      <c r="EB22" s="32">
        <v>-21205.325000000001</v>
      </c>
      <c r="EC22" s="119">
        <f t="shared" si="349"/>
        <v>-3.2272256177367613E-2</v>
      </c>
      <c r="ED22" s="119">
        <f t="shared" si="212"/>
        <v>0.71522486451508538</v>
      </c>
      <c r="EE22" s="32">
        <f t="shared" si="337"/>
        <v>-59001.324999999997</v>
      </c>
      <c r="EF22" s="119">
        <f t="shared" si="350"/>
        <v>-3.0659021656215119E-2</v>
      </c>
      <c r="EG22" s="119">
        <f t="shared" si="213"/>
        <v>0.7452915162988818</v>
      </c>
      <c r="EH22" s="32">
        <v>-27541</v>
      </c>
      <c r="EI22" s="119">
        <f t="shared" si="250"/>
        <v>-2.8329116007323747E-2</v>
      </c>
      <c r="EJ22" s="119">
        <f t="shared" si="214"/>
        <v>0.48549083063646181</v>
      </c>
      <c r="EK22" s="32">
        <v>-86542</v>
      </c>
      <c r="EL22" s="119">
        <f t="shared" si="215"/>
        <v>-2.9876921940318654E-2</v>
      </c>
      <c r="EM22" s="119">
        <f t="shared" si="232"/>
        <v>0.65326863561685711</v>
      </c>
      <c r="EN22" s="32">
        <v>-24735</v>
      </c>
      <c r="EO22" s="119">
        <f t="shared" si="216"/>
        <v>-3.9946769939873936E-2</v>
      </c>
      <c r="EP22" s="119">
        <f t="shared" si="217"/>
        <v>0.40308582449373187</v>
      </c>
      <c r="EQ22" s="32">
        <v>-29247</v>
      </c>
      <c r="ER22" s="119">
        <f t="shared" si="233"/>
        <v>-3.4200257492963376E-2</v>
      </c>
      <c r="ES22" s="119">
        <f t="shared" si="305"/>
        <v>0.45024049189269588</v>
      </c>
      <c r="ET22" s="32">
        <f>(EN22+EQ22)-1</f>
        <v>-53983</v>
      </c>
      <c r="EU22" s="119">
        <f t="shared" si="234"/>
        <v>-3.6614332378347873E-2</v>
      </c>
      <c r="EV22" s="119">
        <f t="shared" si="306"/>
        <v>0.42827283310403219</v>
      </c>
      <c r="EW22" s="32">
        <v>-25387</v>
      </c>
      <c r="EX22" s="119">
        <f t="shared" si="235"/>
        <v>-3.1604959788860396E-2</v>
      </c>
      <c r="EY22" s="119">
        <f t="shared" si="153"/>
        <v>0.19719928838628964</v>
      </c>
      <c r="EZ22" s="32">
        <f t="shared" ref="EZ22:EZ28" si="372">(ET22+EW22)</f>
        <v>-79370</v>
      </c>
      <c r="FA22" s="119">
        <f t="shared" si="236"/>
        <v>-3.4847641999640855E-2</v>
      </c>
      <c r="FB22" s="119">
        <f t="shared" si="154"/>
        <v>0.34522402674855179</v>
      </c>
      <c r="FC22" s="32">
        <v>-28405</v>
      </c>
      <c r="FD22" s="119">
        <f t="shared" si="219"/>
        <v>-2.3983984220640835E-2</v>
      </c>
      <c r="FE22" s="119">
        <f t="shared" si="155"/>
        <v>3.137140989797027E-2</v>
      </c>
      <c r="FF22" s="32">
        <v>-107775</v>
      </c>
      <c r="FG22" s="119">
        <f t="shared" si="220"/>
        <v>-3.1131208910559337E-2</v>
      </c>
      <c r="FH22" s="119">
        <f t="shared" si="156"/>
        <v>0.24534907905987846</v>
      </c>
      <c r="FI22" s="32">
        <v>-27545</v>
      </c>
      <c r="FJ22" s="119">
        <f t="shared" si="251"/>
        <v>-3.7902607704914201E-2</v>
      </c>
      <c r="FK22" s="119">
        <f t="shared" si="340"/>
        <v>0.11360420456842535</v>
      </c>
      <c r="FL22" s="32">
        <v>-30667</v>
      </c>
      <c r="FM22" s="119">
        <f t="shared" si="222"/>
        <v>-3.2376375497121523E-2</v>
      </c>
      <c r="FN22" s="119">
        <f t="shared" si="341"/>
        <v>4.85519882381098E-2</v>
      </c>
      <c r="FO22" s="32">
        <f t="shared" si="237"/>
        <v>-58212</v>
      </c>
      <c r="FP22" s="119">
        <f t="shared" si="252"/>
        <v>-3.4775564627996088E-2</v>
      </c>
      <c r="FQ22" s="119">
        <f t="shared" si="159"/>
        <v>7.8339477242835631E-2</v>
      </c>
      <c r="FR22" s="32">
        <v>-31322</v>
      </c>
      <c r="FS22" s="123">
        <f t="shared" si="244"/>
        <v>-3.4536749739226699E-2</v>
      </c>
      <c r="FT22" s="119">
        <f t="shared" si="354"/>
        <v>0.23378106905108909</v>
      </c>
      <c r="FU22" s="32">
        <v>-89534</v>
      </c>
      <c r="FV22" s="123">
        <f t="shared" si="370"/>
        <v>-3.4691644464696157E-2</v>
      </c>
      <c r="FW22" s="119">
        <f t="shared" si="224"/>
        <v>0.12805846037545665</v>
      </c>
      <c r="FX22" s="32">
        <v>-33864</v>
      </c>
      <c r="FY22" s="123">
        <f t="shared" si="253"/>
        <v>-2.5405227787305487E-2</v>
      </c>
      <c r="FZ22" s="119">
        <f t="shared" si="161"/>
        <v>0.19218447456433729</v>
      </c>
      <c r="GA22" s="32">
        <v>-123398</v>
      </c>
      <c r="GB22" s="123">
        <f t="shared" si="342"/>
        <v>-3.1528876345268762E-2</v>
      </c>
      <c r="GC22" s="119">
        <f t="shared" si="343"/>
        <v>0.14495940617026215</v>
      </c>
      <c r="GD22" s="32">
        <v>-29477.52</v>
      </c>
      <c r="GE22" s="119">
        <f t="shared" si="351"/>
        <v>-3.6190228307362904E-2</v>
      </c>
      <c r="GF22" s="119">
        <f t="shared" si="164"/>
        <v>7.0158649482664703E-2</v>
      </c>
      <c r="GG22" s="32">
        <v>-34028</v>
      </c>
      <c r="GH22" s="119">
        <f t="shared" si="225"/>
        <v>-3.0622805296625803E-2</v>
      </c>
      <c r="GI22" s="119">
        <f t="shared" si="165"/>
        <v>0.1095966348191868</v>
      </c>
      <c r="GJ22" s="32">
        <f t="shared" si="254"/>
        <v>-63505.520000000004</v>
      </c>
      <c r="GK22" s="123">
        <f t="shared" si="167"/>
        <v>-3.2977648809740183E-2</v>
      </c>
      <c r="GL22" s="119">
        <f t="shared" si="226"/>
        <v>9.0935202363773948E-2</v>
      </c>
      <c r="GM22" s="32">
        <v>-37435</v>
      </c>
      <c r="GN22" s="123">
        <f t="shared" si="168"/>
        <v>-3.5751429436410014E-2</v>
      </c>
      <c r="GO22" s="119">
        <f t="shared" si="169"/>
        <v>0.19516633676010464</v>
      </c>
      <c r="GP22" s="32">
        <f t="shared" si="170"/>
        <v>-100940.52</v>
      </c>
      <c r="GQ22" s="123">
        <f t="shared" si="171"/>
        <v>-3.3954638800728604E-2</v>
      </c>
      <c r="GR22" s="119">
        <f t="shared" si="172"/>
        <v>0.12739875354613894</v>
      </c>
      <c r="GS22" s="32">
        <v>-44477.508999999998</v>
      </c>
      <c r="GT22" s="123">
        <f t="shared" si="344"/>
        <v>-2.6636317251035598E-2</v>
      </c>
      <c r="GU22" s="119">
        <f t="shared" si="227"/>
        <v>0.3134156921804867</v>
      </c>
      <c r="GV22" s="32">
        <f t="shared" si="239"/>
        <v>-145418.02900000001</v>
      </c>
      <c r="GW22" s="123">
        <f t="shared" si="174"/>
        <v>-3.1322460072045651E-2</v>
      </c>
      <c r="GX22" s="119">
        <f t="shared" si="228"/>
        <v>0.1784472114620983</v>
      </c>
      <c r="GY22" s="32">
        <v>-37620.853289999897</v>
      </c>
      <c r="GZ22" s="123">
        <f t="shared" si="352"/>
        <v>-3.7215391598533869E-2</v>
      </c>
      <c r="HA22" s="119">
        <f t="shared" si="229"/>
        <v>0.27625571248869973</v>
      </c>
      <c r="HB22" s="32">
        <v>-40432.8753800001</v>
      </c>
      <c r="HC22" s="123">
        <f t="shared" si="371"/>
        <v>-2.9856815169698483E-2</v>
      </c>
      <c r="HD22" s="119">
        <f t="shared" si="249"/>
        <v>0.18822367991066469</v>
      </c>
      <c r="HE22" s="32">
        <f t="shared" si="177"/>
        <v>-78053.728669999997</v>
      </c>
      <c r="HF22" s="123">
        <f t="shared" si="240"/>
        <v>-3.3002002295019997E-2</v>
      </c>
      <c r="HG22" s="119">
        <f t="shared" si="245"/>
        <v>0.22908573412201005</v>
      </c>
      <c r="HH22" s="32">
        <v>-37366</v>
      </c>
      <c r="HI22" s="123">
        <f t="shared" si="353"/>
        <v>-2.9931950991897403E-2</v>
      </c>
      <c r="HJ22" s="119">
        <f t="shared" si="241"/>
        <v>-1.8431948711099544E-3</v>
      </c>
      <c r="HK22" s="32">
        <f t="shared" si="345"/>
        <v>-115419.72867</v>
      </c>
      <c r="HL22" s="123">
        <f t="shared" si="300"/>
        <v>-3.1941379783953776E-2</v>
      </c>
      <c r="HM22" s="119">
        <f t="shared" si="230"/>
        <v>0.1434429768144645</v>
      </c>
      <c r="HN22" s="32">
        <v>-44218</v>
      </c>
      <c r="HO22" s="123">
        <f t="shared" si="355"/>
        <v>-2.4065972702226993E-2</v>
      </c>
      <c r="HP22" s="119">
        <f t="shared" si="180"/>
        <v>-5.8346118259454682E-3</v>
      </c>
      <c r="HQ22" s="32">
        <v>-159640</v>
      </c>
      <c r="HR22" s="123">
        <f t="shared" si="181"/>
        <v>-2.9287164648755828E-2</v>
      </c>
      <c r="HS22" s="119">
        <f t="shared" si="182"/>
        <v>9.7800603527640861E-2</v>
      </c>
      <c r="HT22" s="32">
        <v>-41368</v>
      </c>
      <c r="HU22" s="123">
        <f t="shared" si="242"/>
        <v>-3.8440809256719333E-2</v>
      </c>
      <c r="HV22" s="119">
        <f t="shared" si="183"/>
        <v>9.9602916529172525E-2</v>
      </c>
      <c r="HW22" s="32">
        <v>-40828</v>
      </c>
      <c r="HX22" s="123">
        <f t="shared" si="184"/>
        <v>-2.7874878472411872E-2</v>
      </c>
      <c r="HY22" s="119">
        <f t="shared" si="307"/>
        <v>9.7723601471921828E-3</v>
      </c>
      <c r="HZ22" s="32">
        <f t="shared" si="185"/>
        <v>-82196</v>
      </c>
      <c r="IA22" s="123">
        <f t="shared" si="186"/>
        <v>-3.2349982446722263E-2</v>
      </c>
      <c r="IB22" s="119">
        <f t="shared" si="301"/>
        <v>5.3069486885283013E-2</v>
      </c>
      <c r="IC22" s="32">
        <v>-40858</v>
      </c>
      <c r="ID22" s="123">
        <f t="shared" si="187"/>
        <v>-3.2416230171260642E-2</v>
      </c>
      <c r="IE22" s="119">
        <f t="shared" si="308"/>
        <v>9.3453942086388686E-2</v>
      </c>
      <c r="IF22" s="32">
        <f t="shared" si="188"/>
        <v>-123054</v>
      </c>
      <c r="IG22" s="123">
        <f t="shared" si="189"/>
        <v>-3.2371948835831547E-2</v>
      </c>
      <c r="IH22" s="119">
        <f t="shared" si="302"/>
        <v>6.6143556374381962E-2</v>
      </c>
      <c r="II22" s="32">
        <v>-54845</v>
      </c>
      <c r="IJ22" s="123">
        <f t="shared" si="22"/>
        <v>-2.855760779462058E-2</v>
      </c>
      <c r="IK22" s="119">
        <f t="shared" si="23"/>
        <v>0.2403319914966755</v>
      </c>
      <c r="IL22" s="32">
        <v>-177899</v>
      </c>
      <c r="IM22" s="123">
        <f t="shared" si="24"/>
        <v>-3.1091673414302634E-2</v>
      </c>
      <c r="IN22" s="119">
        <f t="shared" si="25"/>
        <v>0.11437609621648703</v>
      </c>
      <c r="IO22" s="32">
        <v>-48785</v>
      </c>
      <c r="IP22" s="123">
        <f t="shared" si="26"/>
        <v>-3.9512134278892413E-2</v>
      </c>
      <c r="IQ22" s="119">
        <f t="shared" si="27"/>
        <v>0.17929317346741436</v>
      </c>
      <c r="IR22" s="32">
        <v>-56839</v>
      </c>
      <c r="IS22" s="123">
        <f t="shared" si="190"/>
        <v>-3.4860799678126858E-2</v>
      </c>
      <c r="IT22" s="119">
        <f t="shared" si="309"/>
        <v>0.39215734299990213</v>
      </c>
      <c r="IU22" s="32">
        <f t="shared" si="191"/>
        <v>-105624</v>
      </c>
      <c r="IV22" s="123">
        <f t="shared" si="192"/>
        <v>-3.6865214265271506E-2</v>
      </c>
      <c r="IW22" s="119">
        <f t="shared" si="303"/>
        <v>0.28502603533018633</v>
      </c>
      <c r="IX22" s="32">
        <v>-58469</v>
      </c>
      <c r="IY22" s="123">
        <f t="shared" si="193"/>
        <v>-3.8655196624570766E-2</v>
      </c>
      <c r="IZ22" s="119">
        <f t="shared" si="310"/>
        <v>0.43102941896323843</v>
      </c>
      <c r="JA22" s="32">
        <f t="shared" si="311"/>
        <v>-164093</v>
      </c>
      <c r="JB22" s="123">
        <f t="shared" si="31"/>
        <v>-3.7483684421883733E-2</v>
      </c>
      <c r="JC22" s="119">
        <f t="shared" si="32"/>
        <v>0.33350399011815957</v>
      </c>
      <c r="JD22" s="32">
        <v>-69772</v>
      </c>
      <c r="JE22" s="123">
        <f t="shared" si="195"/>
        <v>-3.139552411743398E-2</v>
      </c>
      <c r="JF22" s="119">
        <f t="shared" si="312"/>
        <v>0.27216701613638428</v>
      </c>
      <c r="JG22" s="32">
        <f t="shared" si="313"/>
        <v>-233865</v>
      </c>
      <c r="JH22" s="123">
        <f t="shared" si="34"/>
        <v>-3.5433698990905101E-2</v>
      </c>
      <c r="JI22" s="119">
        <f t="shared" si="35"/>
        <v>0.3145942360552898</v>
      </c>
      <c r="JJ22" s="32">
        <v>-62226</v>
      </c>
      <c r="JK22" s="123">
        <f t="shared" si="197"/>
        <v>-4.448466885279654E-2</v>
      </c>
      <c r="JL22" s="119">
        <f t="shared" si="314"/>
        <v>0.2755150148611254</v>
      </c>
      <c r="JM22" s="32">
        <v>-72174</v>
      </c>
      <c r="JN22" s="123">
        <f t="shared" si="198"/>
        <v>-4.0546484864589435E-2</v>
      </c>
      <c r="JO22" s="119">
        <f t="shared" si="315"/>
        <v>0.26979714632558638</v>
      </c>
      <c r="JP22" s="32">
        <f t="shared" si="358"/>
        <v>-134400</v>
      </c>
      <c r="JQ22" s="123">
        <f t="shared" si="199"/>
        <v>-4.2279440678232694E-2</v>
      </c>
      <c r="JR22" s="119">
        <f t="shared" si="316"/>
        <v>0.2724380822540331</v>
      </c>
      <c r="JS22" s="32">
        <v>-69896</v>
      </c>
      <c r="JT22" s="119">
        <f t="shared" si="37"/>
        <v>-4.0839960711929746E-2</v>
      </c>
      <c r="JU22" s="119">
        <f t="shared" si="38"/>
        <v>0.19543689818536314</v>
      </c>
      <c r="JV22" s="32">
        <f t="shared" ref="JV22:JV28" si="373">JS22+JP22</f>
        <v>-204296</v>
      </c>
      <c r="JW22" s="119">
        <f t="shared" si="40"/>
        <v>-4.1775666210185816E-2</v>
      </c>
      <c r="JX22" s="119">
        <f t="shared" si="41"/>
        <v>0.24500131023261207</v>
      </c>
      <c r="JY22" s="32">
        <v>-78766</v>
      </c>
      <c r="JZ22" s="119">
        <f t="shared" si="42"/>
        <v>-3.0351559579857901E-2</v>
      </c>
      <c r="KA22" s="119">
        <f t="shared" si="43"/>
        <v>0.12890557816889303</v>
      </c>
      <c r="KB22" s="32">
        <f t="shared" si="317"/>
        <v>-283062</v>
      </c>
      <c r="KC22" s="119">
        <f t="shared" si="45"/>
        <v>-3.7815046905102213E-2</v>
      </c>
      <c r="KD22" s="119">
        <f t="shared" si="46"/>
        <v>0.21036495414020906</v>
      </c>
      <c r="KE22" s="548">
        <v>-65655</v>
      </c>
      <c r="KF22" s="119">
        <f t="shared" si="47"/>
        <v>-3.9782783758711103E-2</v>
      </c>
      <c r="KG22" s="119">
        <f t="shared" si="48"/>
        <v>5.5105582875325521E-2</v>
      </c>
      <c r="KH22" s="548">
        <v>-76757</v>
      </c>
      <c r="KI22" s="123">
        <f t="shared" si="200"/>
        <v>-3.8010294279316265E-2</v>
      </c>
      <c r="KJ22" s="119">
        <f t="shared" si="359"/>
        <v>6.3499321085155325E-2</v>
      </c>
      <c r="KK22" s="32">
        <f t="shared" si="360"/>
        <v>-142412</v>
      </c>
      <c r="KL22" s="123">
        <f t="shared" si="201"/>
        <v>-3.8807415624827132E-2</v>
      </c>
      <c r="KM22" s="119">
        <f>(KK22/JP22)-1</f>
        <v>5.9613095238095326E-2</v>
      </c>
      <c r="KN22" s="548">
        <v>-81478</v>
      </c>
      <c r="KO22" s="549">
        <f t="shared" si="50"/>
        <v>-4.2174536886544191E-2</v>
      </c>
      <c r="KP22" s="549">
        <f t="shared" si="362"/>
        <v>0.16570333066269893</v>
      </c>
      <c r="KQ22" s="548">
        <f t="shared" si="356"/>
        <v>-223890</v>
      </c>
      <c r="KR22" s="549">
        <f t="shared" si="53"/>
        <v>-3.9968687713497937E-2</v>
      </c>
      <c r="KS22" s="549">
        <f t="shared" si="363"/>
        <v>9.5909856286956252E-2</v>
      </c>
      <c r="KT22" s="548">
        <v>-92209</v>
      </c>
      <c r="KU22" s="549">
        <f t="shared" si="55"/>
        <v>-3.209437470458306E-2</v>
      </c>
      <c r="KV22" s="549">
        <f t="shared" si="364"/>
        <v>0.17067008607774925</v>
      </c>
      <c r="KW22" s="548">
        <f t="shared" si="357"/>
        <v>-316099</v>
      </c>
      <c r="KX22" s="549">
        <f t="shared" si="58"/>
        <v>-3.7299168241256647E-2</v>
      </c>
      <c r="KY22" s="549">
        <f t="shared" si="365"/>
        <v>0.11671294628032025</v>
      </c>
      <c r="KZ22" s="548">
        <v>-87571</v>
      </c>
      <c r="LA22" s="549">
        <f t="shared" si="60"/>
        <v>-5.6490859126036977E-2</v>
      </c>
      <c r="LB22" s="549">
        <f t="shared" si="366"/>
        <v>0.33380549843880902</v>
      </c>
      <c r="LC22" s="548">
        <v>-74857</v>
      </c>
      <c r="LD22" s="123">
        <f t="shared" si="202"/>
        <v>-0.13871757999836928</v>
      </c>
      <c r="LE22" s="119">
        <f t="shared" si="319"/>
        <v>-2.4753442682752036E-2</v>
      </c>
      <c r="LF22" s="32">
        <f t="shared" si="367"/>
        <v>-162428</v>
      </c>
      <c r="LG22" s="123">
        <f t="shared" si="203"/>
        <v>-7.7723589062386356E-2</v>
      </c>
      <c r="LH22" s="119">
        <f t="shared" si="320"/>
        <v>0.14054995365559075</v>
      </c>
      <c r="LI22" s="548">
        <v>-91593</v>
      </c>
      <c r="LJ22" s="123">
        <f t="shared" si="204"/>
        <v>-5.5470667642928129E-2</v>
      </c>
      <c r="LK22" s="119">
        <f t="shared" si="321"/>
        <v>0.12414394069564794</v>
      </c>
      <c r="LL22" s="32">
        <f t="shared" si="62"/>
        <v>-254021</v>
      </c>
      <c r="LM22" s="123">
        <f t="shared" si="205"/>
        <v>-6.79016619295362E-2</v>
      </c>
      <c r="LN22" s="119">
        <f t="shared" si="322"/>
        <v>0.13457948099513151</v>
      </c>
      <c r="LO22" s="548">
        <v>-103393</v>
      </c>
      <c r="LP22" s="123">
        <f t="shared" si="206"/>
        <v>-3.5413922244394526E-2</v>
      </c>
      <c r="LQ22" s="119">
        <f t="shared" si="323"/>
        <v>0.12128967888167108</v>
      </c>
      <c r="LR22" s="32">
        <f t="shared" si="63"/>
        <v>-357414</v>
      </c>
      <c r="LS22" s="123">
        <f t="shared" si="207"/>
        <v>-5.3661165086296654E-2</v>
      </c>
      <c r="LT22" s="119">
        <f t="shared" si="324"/>
        <v>0.13070272288112261</v>
      </c>
    </row>
    <row r="23" spans="1:332" ht="16.5" customHeight="1">
      <c r="A23" s="105"/>
      <c r="B23" s="127" t="s">
        <v>124</v>
      </c>
      <c r="C23" s="116" t="s">
        <v>125</v>
      </c>
      <c r="D23" s="121">
        <v>-9771</v>
      </c>
      <c r="E23" s="118">
        <f t="shared" si="255"/>
        <v>-4.9345494212471974E-2</v>
      </c>
      <c r="F23" s="121">
        <v>-8075</v>
      </c>
      <c r="G23" s="118">
        <f t="shared" si="256"/>
        <v>-2.8927307378164988E-2</v>
      </c>
      <c r="H23" s="117">
        <f t="shared" si="325"/>
        <v>-17846</v>
      </c>
      <c r="I23" s="118">
        <f t="shared" si="257"/>
        <v>-3.7400452678346886E-2</v>
      </c>
      <c r="J23" s="121">
        <v>-8020</v>
      </c>
      <c r="K23" s="118">
        <f t="shared" si="258"/>
        <v>-3.1400124504234316E-2</v>
      </c>
      <c r="L23" s="117">
        <f t="shared" si="326"/>
        <v>-25866</v>
      </c>
      <c r="M23" s="118">
        <f t="shared" si="259"/>
        <v>-3.5308426600488961E-2</v>
      </c>
      <c r="N23" s="121">
        <v>-8159</v>
      </c>
      <c r="O23" s="118">
        <f t="shared" si="260"/>
        <v>-2.0202495413025767E-2</v>
      </c>
      <c r="P23" s="117">
        <f>L23+N23+1</f>
        <v>-34024</v>
      </c>
      <c r="Q23" s="118">
        <f t="shared" si="261"/>
        <v>-2.9939266160639334E-2</v>
      </c>
      <c r="R23" s="121">
        <v>-8642</v>
      </c>
      <c r="S23" s="118">
        <f t="shared" si="262"/>
        <v>-3.4430964760254187E-2</v>
      </c>
      <c r="T23" s="26">
        <f>R23/D23-1</f>
        <v>-0.1155460034796848</v>
      </c>
      <c r="U23" s="121">
        <v>-9384</v>
      </c>
      <c r="V23" s="119">
        <f t="shared" si="263"/>
        <v>-2.6233614474335285E-2</v>
      </c>
      <c r="W23" s="26">
        <f>U23/F23-1</f>
        <v>0.16210526315789475</v>
      </c>
      <c r="X23" s="117">
        <f t="shared" si="327"/>
        <v>-18026</v>
      </c>
      <c r="Y23" s="119">
        <f t="shared" si="264"/>
        <v>-2.9613736725896331E-2</v>
      </c>
      <c r="Z23" s="26">
        <f>X23/H23-1</f>
        <v>1.0086293847360706E-2</v>
      </c>
      <c r="AA23" s="121">
        <v>-10072</v>
      </c>
      <c r="AB23" s="119">
        <f t="shared" si="265"/>
        <v>-3.1423641985130556E-2</v>
      </c>
      <c r="AC23" s="26">
        <f t="shared" si="368"/>
        <v>0.25586034912718203</v>
      </c>
      <c r="AD23" s="117">
        <f t="shared" si="328"/>
        <v>-28098</v>
      </c>
      <c r="AE23" s="119">
        <f t="shared" si="266"/>
        <v>-3.0238036561572146E-2</v>
      </c>
      <c r="AF23" s="26">
        <f t="shared" si="369"/>
        <v>8.6290883785664629E-2</v>
      </c>
      <c r="AG23" s="121">
        <v>-10721</v>
      </c>
      <c r="AH23" s="119">
        <f t="shared" si="267"/>
        <v>-2.1151004480359219E-2</v>
      </c>
      <c r="AI23" s="26">
        <f>AG23/N23-1</f>
        <v>0.31400906973893861</v>
      </c>
      <c r="AJ23" s="117">
        <f t="shared" si="329"/>
        <v>-38819</v>
      </c>
      <c r="AK23" s="119">
        <f t="shared" si="268"/>
        <v>-2.7030753322354564E-2</v>
      </c>
      <c r="AL23" s="26">
        <f>AJ23/P23-1</f>
        <v>0.14092993181283808</v>
      </c>
      <c r="AM23" s="120">
        <v>-11703</v>
      </c>
      <c r="AN23" s="119">
        <f t="shared" si="269"/>
        <v>-3.7715965232860554E-2</v>
      </c>
      <c r="AO23" s="119">
        <f>AM23/R23-1</f>
        <v>0.35420041657023837</v>
      </c>
      <c r="AP23" s="120">
        <v>-12100</v>
      </c>
      <c r="AQ23" s="119">
        <f t="shared" si="270"/>
        <v>-2.7230480134126992E-2</v>
      </c>
      <c r="AR23" s="119">
        <f>AP23/U23-1</f>
        <v>0.28942881500426254</v>
      </c>
      <c r="AS23" s="120">
        <f>AM23+AP23</f>
        <v>-23803</v>
      </c>
      <c r="AT23" s="119">
        <f t="shared" si="271"/>
        <v>-3.1541857925814418E-2</v>
      </c>
      <c r="AU23" s="119">
        <f>AS23/X23-1</f>
        <v>0.32048152668367913</v>
      </c>
      <c r="AV23" s="120">
        <v>-12625</v>
      </c>
      <c r="AW23" s="119">
        <f t="shared" si="272"/>
        <v>-3.1933083433242783E-2</v>
      </c>
      <c r="AX23" s="119">
        <f>AV23/AA23-1</f>
        <v>0.25347498014297054</v>
      </c>
      <c r="AY23" s="120">
        <f t="shared" si="331"/>
        <v>-36428</v>
      </c>
      <c r="AZ23" s="119">
        <f t="shared" si="273"/>
        <v>-3.167635647118363E-2</v>
      </c>
      <c r="BA23" s="119">
        <f>AY23/AD23-1</f>
        <v>0.29646238166417538</v>
      </c>
      <c r="BB23" s="120">
        <v>-13279</v>
      </c>
      <c r="BC23" s="119">
        <f t="shared" si="274"/>
        <v>-2.2068330557965306E-2</v>
      </c>
      <c r="BD23" s="119">
        <f>BB23/AG23-1</f>
        <v>0.23859714578863911</v>
      </c>
      <c r="BE23" s="120">
        <f t="shared" ref="BE23:BE28" si="374">BB23+AY23</f>
        <v>-49707</v>
      </c>
      <c r="BF23" s="119">
        <f t="shared" si="275"/>
        <v>-2.8375980745869223E-2</v>
      </c>
      <c r="BG23" s="119">
        <f>BE23/AJ23-1</f>
        <v>0.28048120765604478</v>
      </c>
      <c r="BH23" s="120">
        <v>-14580</v>
      </c>
      <c r="BI23" s="119">
        <f t="shared" si="276"/>
        <v>-3.8029855262231238E-2</v>
      </c>
      <c r="BJ23" s="119">
        <f>(BH23/AM23)-1</f>
        <v>0.24583440143552937</v>
      </c>
      <c r="BK23" s="120">
        <v>-15314</v>
      </c>
      <c r="BL23" s="119">
        <f t="shared" si="277"/>
        <v>-3.0012974134045148E-2</v>
      </c>
      <c r="BM23" s="119">
        <f>(BK23/AP23)-1</f>
        <v>0.26561983471074391</v>
      </c>
      <c r="BN23" s="120">
        <f>BK23+BH23+1</f>
        <v>-29893</v>
      </c>
      <c r="BO23" s="119">
        <f t="shared" si="278"/>
        <v>-3.3451242070255106E-2</v>
      </c>
      <c r="BP23" s="119">
        <f>BN23/AS23-1</f>
        <v>0.25585010292820232</v>
      </c>
      <c r="BQ23" s="120">
        <v>-15975</v>
      </c>
      <c r="BR23" s="119">
        <f t="shared" si="279"/>
        <v>-3.5576370608907122E-2</v>
      </c>
      <c r="BS23" s="119">
        <f>(BQ23/AV23)-1</f>
        <v>0.26534653465346536</v>
      </c>
      <c r="BT23" s="120">
        <f>BN23+BQ23</f>
        <v>-45868</v>
      </c>
      <c r="BU23" s="119">
        <f t="shared" si="280"/>
        <v>-3.4161934780406716E-2</v>
      </c>
      <c r="BV23" s="119">
        <f>BT23/AY23-1</f>
        <v>0.25914131986384104</v>
      </c>
      <c r="BW23" s="120">
        <v>-16157</v>
      </c>
      <c r="BX23" s="119">
        <f t="shared" si="281"/>
        <v>-2.6324707783849662E-2</v>
      </c>
      <c r="BY23" s="119">
        <f t="shared" si="121"/>
        <v>0.21673318774004069</v>
      </c>
      <c r="BZ23" s="120">
        <v>-62026</v>
      </c>
      <c r="CA23" s="119">
        <f t="shared" si="282"/>
        <v>-3.1703793966741327E-2</v>
      </c>
      <c r="CB23" s="119">
        <f t="shared" si="123"/>
        <v>0.2478322972619551</v>
      </c>
      <c r="CC23" s="120">
        <v>-18139</v>
      </c>
      <c r="CD23" s="119">
        <f t="shared" si="283"/>
        <v>-5.0018061541600829E-2</v>
      </c>
      <c r="CE23" s="119">
        <f t="shared" si="125"/>
        <v>0.24410150891632365</v>
      </c>
      <c r="CF23" s="120">
        <v>-18342</v>
      </c>
      <c r="CG23" s="119">
        <f t="shared" si="284"/>
        <v>-3.3064614985254141E-2</v>
      </c>
      <c r="CH23" s="119">
        <f t="shared" si="127"/>
        <v>0.197727569544208</v>
      </c>
      <c r="CI23" s="120">
        <f>CF23+CC23+1</f>
        <v>-36480</v>
      </c>
      <c r="CJ23" s="119">
        <f t="shared" si="285"/>
        <v>-3.9765418910375196E-2</v>
      </c>
      <c r="CK23" s="119">
        <f t="shared" si="129"/>
        <v>0.22035259090757031</v>
      </c>
      <c r="CL23" s="120">
        <v>-18799</v>
      </c>
      <c r="CM23" s="119">
        <f t="shared" si="286"/>
        <v>-3.862305590368377E-2</v>
      </c>
      <c r="CN23" s="119">
        <f t="shared" si="131"/>
        <v>0.17677621283255096</v>
      </c>
      <c r="CO23" s="121">
        <f t="shared" si="333"/>
        <v>-55279</v>
      </c>
      <c r="CP23" s="119">
        <f t="shared" si="287"/>
        <v>-3.9369394584901053E-2</v>
      </c>
      <c r="CQ23" s="119">
        <f t="shared" si="133"/>
        <v>0.20517572163599906</v>
      </c>
      <c r="CR23" s="120">
        <v>-18793</v>
      </c>
      <c r="CS23" s="119">
        <f t="shared" si="288"/>
        <v>-2.6399928075543155E-2</v>
      </c>
      <c r="CT23" s="119">
        <f t="shared" si="135"/>
        <v>0.16314909946153366</v>
      </c>
      <c r="CU23" s="122">
        <v>-74073</v>
      </c>
      <c r="CV23" s="119">
        <f t="shared" si="289"/>
        <v>-3.5006673068779866E-2</v>
      </c>
      <c r="CW23" s="119">
        <f t="shared" si="137"/>
        <v>0.19422500241834073</v>
      </c>
      <c r="CX23" s="120">
        <v>-18795</v>
      </c>
      <c r="CY23" s="119">
        <f t="shared" si="290"/>
        <v>-4.269204035925369E-2</v>
      </c>
      <c r="CZ23" s="119">
        <f t="shared" si="139"/>
        <v>3.6165168972931205E-2</v>
      </c>
      <c r="DA23" s="120">
        <v>-17923</v>
      </c>
      <c r="DB23" s="119">
        <f t="shared" si="291"/>
        <v>-2.8449703090053954E-2</v>
      </c>
      <c r="DC23" s="119">
        <f t="shared" si="141"/>
        <v>-2.2843746592519865E-2</v>
      </c>
      <c r="DD23" s="32">
        <f t="shared" si="334"/>
        <v>-36718</v>
      </c>
      <c r="DE23" s="119">
        <f t="shared" si="292"/>
        <v>-3.4308352838395305E-2</v>
      </c>
      <c r="DF23" s="119">
        <f t="shared" si="143"/>
        <v>6.5241228070176405E-3</v>
      </c>
      <c r="DG23" s="120">
        <v>-18294</v>
      </c>
      <c r="DH23" s="119">
        <f t="shared" si="293"/>
        <v>-3.2165840278510389E-2</v>
      </c>
      <c r="DI23" s="119">
        <f t="shared" si="145"/>
        <v>-2.6863131017607289E-2</v>
      </c>
      <c r="DJ23" s="32">
        <f t="shared" si="335"/>
        <v>-55012</v>
      </c>
      <c r="DK23" s="119">
        <f t="shared" si="294"/>
        <v>-3.3564880489330221E-2</v>
      </c>
      <c r="DL23" s="119">
        <f t="shared" si="147"/>
        <v>-4.8300439588270239E-3</v>
      </c>
      <c r="DM23" s="120">
        <v>-20775</v>
      </c>
      <c r="DN23" s="119">
        <f t="shared" si="295"/>
        <v>-2.5221285672488707E-2</v>
      </c>
      <c r="DO23" s="119">
        <f t="shared" si="149"/>
        <v>0.10546480072367381</v>
      </c>
      <c r="DP23" s="32">
        <f>DJ23+DM23</f>
        <v>-75787</v>
      </c>
      <c r="DQ23" s="119">
        <f t="shared" si="296"/>
        <v>-3.0774159727419242E-2</v>
      </c>
      <c r="DR23" s="119">
        <f t="shared" si="151"/>
        <v>2.3139335520365067E-2</v>
      </c>
      <c r="DS23" s="32">
        <v>-21515</v>
      </c>
      <c r="DT23" s="119">
        <f t="shared" si="297"/>
        <v>-4.155825592468327E-2</v>
      </c>
      <c r="DU23" s="119">
        <f t="shared" si="209"/>
        <v>0.14471934025006661</v>
      </c>
      <c r="DV23" s="32">
        <v>-22579</v>
      </c>
      <c r="DW23" s="119">
        <f t="shared" si="298"/>
        <v>-3.0119268514899562E-2</v>
      </c>
      <c r="DX23" s="119">
        <f t="shared" si="210"/>
        <v>0.25977793896111145</v>
      </c>
      <c r="DY23" s="32">
        <f t="shared" si="336"/>
        <v>-44094</v>
      </c>
      <c r="DZ23" s="119">
        <f t="shared" si="299"/>
        <v>-3.4792008584774652E-2</v>
      </c>
      <c r="EA23" s="119">
        <f t="shared" si="211"/>
        <v>0.2008824010022332</v>
      </c>
      <c r="EB23" s="32">
        <v>-24173</v>
      </c>
      <c r="EC23" s="119">
        <f t="shared" si="349"/>
        <v>-3.6788742854707825E-2</v>
      </c>
      <c r="ED23" s="119">
        <f t="shared" si="212"/>
        <v>0.32136219525527498</v>
      </c>
      <c r="EE23" s="32">
        <f t="shared" si="337"/>
        <v>-68267</v>
      </c>
      <c r="EF23" s="119">
        <f t="shared" si="350"/>
        <v>-3.5473769977281654E-2</v>
      </c>
      <c r="EG23" s="119">
        <f t="shared" si="213"/>
        <v>0.24094742965171245</v>
      </c>
      <c r="EH23" s="32">
        <v>-29371</v>
      </c>
      <c r="EI23" s="119">
        <f t="shared" si="250"/>
        <v>-3.0211483470139276E-2</v>
      </c>
      <c r="EJ23" s="119">
        <f t="shared" si="214"/>
        <v>0.41376654632972332</v>
      </c>
      <c r="EK23" s="32">
        <v>-97637</v>
      </c>
      <c r="EL23" s="119">
        <f t="shared" si="215"/>
        <v>-3.3707252287754993E-2</v>
      </c>
      <c r="EM23" s="119">
        <f t="shared" si="232"/>
        <v>0.28830802116457965</v>
      </c>
      <c r="EN23" s="32">
        <v>-30147</v>
      </c>
      <c r="EO23" s="119">
        <f t="shared" si="216"/>
        <v>-4.8687094132903959E-2</v>
      </c>
      <c r="EP23" s="119">
        <f t="shared" si="217"/>
        <v>0.40120845921450154</v>
      </c>
      <c r="EQ23" s="32">
        <v>-31930</v>
      </c>
      <c r="ER23" s="119">
        <f t="shared" si="233"/>
        <v>-3.7337649049486124E-2</v>
      </c>
      <c r="ES23" s="119">
        <f t="shared" si="305"/>
        <v>0.41414588777182337</v>
      </c>
      <c r="ET23" s="32">
        <f t="shared" si="338"/>
        <v>-62077</v>
      </c>
      <c r="EU23" s="119">
        <f t="shared" si="234"/>
        <v>-4.2104142249424839E-2</v>
      </c>
      <c r="EV23" s="119">
        <f t="shared" si="306"/>
        <v>0.4078332652968657</v>
      </c>
      <c r="EW23" s="32">
        <v>-33749</v>
      </c>
      <c r="EX23" s="119">
        <f t="shared" si="235"/>
        <v>-4.2015038717227296E-2</v>
      </c>
      <c r="EY23" s="119">
        <f t="shared" si="153"/>
        <v>0.39614445869358383</v>
      </c>
      <c r="EZ23" s="32">
        <f t="shared" si="372"/>
        <v>-95826</v>
      </c>
      <c r="FA23" s="119">
        <f t="shared" si="236"/>
        <v>-4.2072699285089887E-2</v>
      </c>
      <c r="FB23" s="119">
        <f t="shared" si="154"/>
        <v>0.40369431789883836</v>
      </c>
      <c r="FC23" s="32">
        <v>-37124</v>
      </c>
      <c r="FD23" s="119">
        <f t="shared" si="219"/>
        <v>-3.1345940158671724E-2</v>
      </c>
      <c r="FE23" s="119">
        <f t="shared" si="155"/>
        <v>0.26396785945320222</v>
      </c>
      <c r="FF23" s="32">
        <v>-132949</v>
      </c>
      <c r="FG23" s="119">
        <f t="shared" si="220"/>
        <v>-3.8402812279749045E-2</v>
      </c>
      <c r="FH23" s="119">
        <f t="shared" si="156"/>
        <v>0.36166617163575276</v>
      </c>
      <c r="FI23" s="32">
        <v>-39291</v>
      </c>
      <c r="FJ23" s="119">
        <f t="shared" si="251"/>
        <v>-5.406539696256249E-2</v>
      </c>
      <c r="FK23" s="119">
        <f t="shared" si="340"/>
        <v>0.30331376256343923</v>
      </c>
      <c r="FL23" s="32">
        <v>-40586</v>
      </c>
      <c r="FM23" s="119">
        <f t="shared" si="222"/>
        <v>-4.2848259559988722E-2</v>
      </c>
      <c r="FN23" s="119">
        <f t="shared" si="341"/>
        <v>0.27109301597243962</v>
      </c>
      <c r="FO23" s="32">
        <f t="shared" si="237"/>
        <v>-79877</v>
      </c>
      <c r="FP23" s="119">
        <f t="shared" si="252"/>
        <v>-4.7718129866529985E-2</v>
      </c>
      <c r="FQ23" s="119">
        <f t="shared" si="159"/>
        <v>0.28674066079224181</v>
      </c>
      <c r="FR23" s="32">
        <v>-42276</v>
      </c>
      <c r="FS23" s="123">
        <f t="shared" si="244"/>
        <v>-4.6615019218937105E-2</v>
      </c>
      <c r="FT23" s="119">
        <f t="shared" si="354"/>
        <v>0.25265933805446084</v>
      </c>
      <c r="FU23" s="32">
        <v>-122153</v>
      </c>
      <c r="FV23" s="123">
        <f t="shared" si="370"/>
        <v>-4.7330493960909034E-2</v>
      </c>
      <c r="FW23" s="119">
        <f t="shared" si="224"/>
        <v>0.27473754513388848</v>
      </c>
      <c r="FX23" s="32">
        <v>-45284</v>
      </c>
      <c r="FY23" s="123">
        <f t="shared" si="253"/>
        <v>-3.3972665223256017E-2</v>
      </c>
      <c r="FZ23" s="119">
        <f t="shared" si="161"/>
        <v>0.21980390044176268</v>
      </c>
      <c r="GA23" s="32">
        <v>-167437</v>
      </c>
      <c r="GB23" s="123">
        <f t="shared" si="342"/>
        <v>-4.2781086149068594E-2</v>
      </c>
      <c r="GC23" s="119">
        <f t="shared" si="343"/>
        <v>0.25940774281867474</v>
      </c>
      <c r="GD23" s="32">
        <v>-48304.26</v>
      </c>
      <c r="GE23" s="119">
        <f t="shared" si="351"/>
        <v>-5.9304249394732583E-2</v>
      </c>
      <c r="GF23" s="119">
        <f t="shared" si="164"/>
        <v>0.229397571963045</v>
      </c>
      <c r="GG23" s="32">
        <v>-51633</v>
      </c>
      <c r="GH23" s="119">
        <f t="shared" si="225"/>
        <v>-4.6466066353611148E-2</v>
      </c>
      <c r="GI23" s="119">
        <f t="shared" si="165"/>
        <v>0.27218745380180365</v>
      </c>
      <c r="GJ23" s="32">
        <f t="shared" si="254"/>
        <v>-99937.260000000009</v>
      </c>
      <c r="GK23" s="123">
        <f t="shared" si="167"/>
        <v>-5.1896210963829521E-2</v>
      </c>
      <c r="GL23" s="119">
        <f t="shared" si="226"/>
        <v>0.25113937679181753</v>
      </c>
      <c r="GM23" s="32">
        <v>-55024</v>
      </c>
      <c r="GN23" s="123">
        <f t="shared" si="168"/>
        <v>-5.2549396375291164E-2</v>
      </c>
      <c r="GO23" s="119">
        <f t="shared" si="169"/>
        <v>0.30154224619169279</v>
      </c>
      <c r="GP23" s="32">
        <f>GJ23+GM23</f>
        <v>-154961.26</v>
      </c>
      <c r="GQ23" s="123">
        <f t="shared" si="171"/>
        <v>-5.2126278043800385E-2</v>
      </c>
      <c r="GR23" s="119">
        <f t="shared" si="172"/>
        <v>0.26858333401553791</v>
      </c>
      <c r="GS23" s="32">
        <v>-57769.084999999999</v>
      </c>
      <c r="GT23" s="123">
        <f t="shared" si="344"/>
        <v>-3.4596264718018306E-2</v>
      </c>
      <c r="GU23" s="119">
        <f t="shared" si="227"/>
        <v>0.27570632011306428</v>
      </c>
      <c r="GV23" s="32">
        <f t="shared" si="239"/>
        <v>-212730.345</v>
      </c>
      <c r="GW23" s="123">
        <f t="shared" si="174"/>
        <v>-4.5821262901142717E-2</v>
      </c>
      <c r="GX23" s="119">
        <f t="shared" si="228"/>
        <v>0.270509773825379</v>
      </c>
      <c r="GY23" s="32">
        <v>-61385.209040000002</v>
      </c>
      <c r="GZ23" s="123">
        <f t="shared" si="352"/>
        <v>-6.0723625144055514E-2</v>
      </c>
      <c r="HA23" s="119">
        <f t="shared" si="229"/>
        <v>0.27080321777002681</v>
      </c>
      <c r="HB23" s="32">
        <v>-63684.935679999799</v>
      </c>
      <c r="HC23" s="123">
        <f t="shared" si="371"/>
        <v>-4.7026815081086762E-2</v>
      </c>
      <c r="HD23" s="119">
        <f t="shared" si="249"/>
        <v>0.23341536769120141</v>
      </c>
      <c r="HE23" s="32">
        <f t="shared" si="177"/>
        <v>-125070.14471999981</v>
      </c>
      <c r="HF23" s="123">
        <f t="shared" si="240"/>
        <v>-5.2881076579168594E-2</v>
      </c>
      <c r="HG23" s="119">
        <f t="shared" si="245"/>
        <v>0.25148662991160453</v>
      </c>
      <c r="HH23" s="32">
        <v>-68235</v>
      </c>
      <c r="HI23" s="123">
        <f t="shared" si="353"/>
        <v>-5.46594946189616E-2</v>
      </c>
      <c r="HJ23" s="119">
        <f t="shared" si="241"/>
        <v>0.24009523117185227</v>
      </c>
      <c r="HK23" s="32">
        <f t="shared" si="345"/>
        <v>-193305.14471999981</v>
      </c>
      <c r="HL23" s="123">
        <f t="shared" si="300"/>
        <v>-5.349547354549037E-2</v>
      </c>
      <c r="HM23" s="119">
        <f t="shared" si="230"/>
        <v>0.24744174589184298</v>
      </c>
      <c r="HN23" s="32">
        <v>-71475</v>
      </c>
      <c r="HO23" s="123">
        <f t="shared" si="355"/>
        <v>-3.8900796030839797E-2</v>
      </c>
      <c r="HP23" s="119">
        <f t="shared" si="180"/>
        <v>0.23725345485392402</v>
      </c>
      <c r="HQ23" s="32">
        <f t="shared" si="346"/>
        <v>-264780.14471999981</v>
      </c>
      <c r="HR23" s="123">
        <f t="shared" si="181"/>
        <v>-4.8575918905888436E-2</v>
      </c>
      <c r="HS23" s="119">
        <f t="shared" si="182"/>
        <v>0.24467501202049857</v>
      </c>
      <c r="HT23" s="32">
        <v>-73366</v>
      </c>
      <c r="HU23" s="123">
        <f t="shared" si="242"/>
        <v>-6.8174637689239773E-2</v>
      </c>
      <c r="HV23" s="119">
        <f t="shared" si="183"/>
        <v>0.19517390503945409</v>
      </c>
      <c r="HW23" s="32">
        <v>-76912</v>
      </c>
      <c r="HX23" s="123">
        <f t="shared" si="184"/>
        <v>-5.2510841899435237E-2</v>
      </c>
      <c r="HY23" s="119">
        <f t="shared" si="307"/>
        <v>0.20769533923160033</v>
      </c>
      <c r="HZ23" s="32">
        <f t="shared" si="185"/>
        <v>-150278</v>
      </c>
      <c r="IA23" s="123">
        <f t="shared" si="186"/>
        <v>-5.9145100274083019E-2</v>
      </c>
      <c r="IB23" s="119">
        <f t="shared" si="301"/>
        <v>0.20154974103879186</v>
      </c>
      <c r="IC23" s="32">
        <v>-78601</v>
      </c>
      <c r="ID23" s="123">
        <f t="shared" si="187"/>
        <v>-6.2361057998219636E-2</v>
      </c>
      <c r="IE23" s="119">
        <f t="shared" si="308"/>
        <v>0.15191617205246577</v>
      </c>
      <c r="IF23" s="32">
        <f t="shared" si="188"/>
        <v>-228879</v>
      </c>
      <c r="IG23" s="123">
        <f t="shared" si="189"/>
        <v>-6.0211446012289629E-2</v>
      </c>
      <c r="IH23" s="119">
        <f t="shared" si="302"/>
        <v>0.1840295318136953</v>
      </c>
      <c r="II23" s="32">
        <v>-82382</v>
      </c>
      <c r="IJ23" s="123">
        <f t="shared" si="22"/>
        <v>-4.2896031458408833E-2</v>
      </c>
      <c r="IK23" s="119">
        <f t="shared" si="23"/>
        <v>0.15259881077299764</v>
      </c>
      <c r="IL23" s="32">
        <f t="shared" si="247"/>
        <v>-311261</v>
      </c>
      <c r="IM23" s="123">
        <f t="shared" si="24"/>
        <v>-5.4399548949736941E-2</v>
      </c>
      <c r="IN23" s="119">
        <f t="shared" si="25"/>
        <v>0.17554509356867687</v>
      </c>
      <c r="IO23" s="32">
        <v>-79114</v>
      </c>
      <c r="IP23" s="123">
        <f t="shared" si="26"/>
        <v>-6.4076314263406667E-2</v>
      </c>
      <c r="IQ23" s="119">
        <f t="shared" si="27"/>
        <v>7.8346918190987713E-2</v>
      </c>
      <c r="IR23" s="32">
        <v>-79710</v>
      </c>
      <c r="IS23" s="123">
        <f t="shared" si="190"/>
        <v>-4.8888163802028387E-2</v>
      </c>
      <c r="IT23" s="119">
        <f t="shared" si="309"/>
        <v>3.6379238610359854E-2</v>
      </c>
      <c r="IU23" s="32">
        <f t="shared" si="191"/>
        <v>-158824</v>
      </c>
      <c r="IV23" s="123">
        <f t="shared" si="192"/>
        <v>-5.5433242354649338E-2</v>
      </c>
      <c r="IW23" s="119">
        <f t="shared" si="303"/>
        <v>5.6867938088076775E-2</v>
      </c>
      <c r="IX23" s="32">
        <v>-82769</v>
      </c>
      <c r="IY23" s="123">
        <f t="shared" si="193"/>
        <v>-5.4720483836205473E-2</v>
      </c>
      <c r="IZ23" s="119">
        <f t="shared" si="310"/>
        <v>5.3027315174107192E-2</v>
      </c>
      <c r="JA23" s="32">
        <f t="shared" si="311"/>
        <v>-241593</v>
      </c>
      <c r="JB23" s="123">
        <f t="shared" si="31"/>
        <v>-5.5186971842407388E-2</v>
      </c>
      <c r="JC23" s="119">
        <f t="shared" si="32"/>
        <v>5.5549001874352744E-2</v>
      </c>
      <c r="JD23" s="32">
        <v>-87459</v>
      </c>
      <c r="JE23" s="123">
        <f t="shared" si="195"/>
        <v>-3.9354198586634449E-2</v>
      </c>
      <c r="JF23" s="119">
        <f t="shared" si="312"/>
        <v>6.1627539996601088E-2</v>
      </c>
      <c r="JG23" s="32">
        <f t="shared" si="313"/>
        <v>-329052</v>
      </c>
      <c r="JH23" s="123">
        <f t="shared" si="34"/>
        <v>-4.9855812200865053E-2</v>
      </c>
      <c r="JI23" s="119">
        <f t="shared" si="35"/>
        <v>5.7157819322048109E-2</v>
      </c>
      <c r="JJ23" s="32">
        <v>-73848</v>
      </c>
      <c r="JK23" s="123">
        <f t="shared" si="197"/>
        <v>-5.2793106184574272E-2</v>
      </c>
      <c r="JL23" s="119">
        <f t="shared" si="314"/>
        <v>-6.6562176100310899E-2</v>
      </c>
      <c r="JM23" s="32">
        <v>-76281</v>
      </c>
      <c r="JN23" s="123">
        <f t="shared" si="198"/>
        <v>-4.2853748052702451E-2</v>
      </c>
      <c r="JO23" s="119">
        <f t="shared" si="315"/>
        <v>-4.3018441851712441E-2</v>
      </c>
      <c r="JP23" s="32">
        <f t="shared" si="358"/>
        <v>-150129</v>
      </c>
      <c r="JQ23" s="123">
        <f t="shared" si="199"/>
        <v>-4.7227456470107114E-2</v>
      </c>
      <c r="JR23" s="119">
        <f t="shared" si="316"/>
        <v>-5.4746134085528642E-2</v>
      </c>
      <c r="JS23" s="32">
        <v>-81285</v>
      </c>
      <c r="JT23" s="119">
        <f t="shared" si="37"/>
        <v>-4.7494509077332173E-2</v>
      </c>
      <c r="JU23" s="119">
        <f t="shared" si="38"/>
        <v>-1.7929418018823418E-2</v>
      </c>
      <c r="JV23" s="32">
        <f t="shared" si="373"/>
        <v>-231414</v>
      </c>
      <c r="JW23" s="119">
        <f t="shared" si="40"/>
        <v>-4.7320916808767377E-2</v>
      </c>
      <c r="JX23" s="119">
        <f t="shared" si="41"/>
        <v>-4.213284325290878E-2</v>
      </c>
      <c r="JY23" s="32">
        <v>-83160</v>
      </c>
      <c r="JZ23" s="119">
        <f t="shared" si="42"/>
        <v>-3.2044736239760598E-2</v>
      </c>
      <c r="KA23" s="119">
        <f t="shared" si="43"/>
        <v>-4.9154460947415379E-2</v>
      </c>
      <c r="KB23" s="32">
        <f t="shared" si="317"/>
        <v>-314574</v>
      </c>
      <c r="KC23" s="119">
        <f t="shared" si="45"/>
        <v>-4.2024823413688961E-2</v>
      </c>
      <c r="KD23" s="119">
        <f t="shared" si="46"/>
        <v>-4.3999124758396846E-2</v>
      </c>
      <c r="KE23" s="548">
        <v>-162480</v>
      </c>
      <c r="KF23" s="119">
        <f t="shared" si="47"/>
        <v>-9.8452619071135172E-2</v>
      </c>
      <c r="KG23" s="119">
        <f t="shared" si="48"/>
        <v>1.2001949951251221</v>
      </c>
      <c r="KH23" s="548">
        <v>-164860</v>
      </c>
      <c r="KI23" s="123">
        <f t="shared" si="200"/>
        <v>-8.1639161443100683E-2</v>
      </c>
      <c r="KJ23" s="119">
        <f t="shared" si="359"/>
        <v>1.1612197008429361</v>
      </c>
      <c r="KK23" s="32">
        <f t="shared" si="360"/>
        <v>-327340</v>
      </c>
      <c r="KL23" s="123">
        <f t="shared" si="201"/>
        <v>-8.9200484724818924E-2</v>
      </c>
      <c r="KM23" s="119">
        <f>(KK23/JP23)-1</f>
        <v>1.1803915299509087</v>
      </c>
      <c r="KN23" s="548">
        <v>-167151</v>
      </c>
      <c r="KO23" s="549">
        <f t="shared" si="50"/>
        <v>-8.6520484242651366E-2</v>
      </c>
      <c r="KP23" s="549">
        <f t="shared" si="362"/>
        <v>1.0563572614873591</v>
      </c>
      <c r="KQ23" s="548">
        <f t="shared" si="356"/>
        <v>-494491</v>
      </c>
      <c r="KR23" s="549">
        <f t="shared" si="53"/>
        <v>-8.827619079072449E-2</v>
      </c>
      <c r="KS23" s="549">
        <f t="shared" si="363"/>
        <v>1.1368240469461659</v>
      </c>
      <c r="KT23" s="548">
        <v>-167262</v>
      </c>
      <c r="KU23" s="549">
        <f t="shared" si="55"/>
        <v>-5.8217411552429502E-2</v>
      </c>
      <c r="KV23" s="549">
        <f t="shared" si="364"/>
        <v>1.0113275613275614</v>
      </c>
      <c r="KW23" s="548">
        <f t="shared" si="357"/>
        <v>-661753</v>
      </c>
      <c r="KX23" s="549">
        <f t="shared" si="58"/>
        <v>-7.8085778446487675E-2</v>
      </c>
      <c r="KY23" s="549">
        <f t="shared" si="365"/>
        <v>1.103648108235264</v>
      </c>
      <c r="KZ23" s="548">
        <v>-181578</v>
      </c>
      <c r="LA23" s="549">
        <f t="shared" si="60"/>
        <v>-0.11713349417487001</v>
      </c>
      <c r="LB23" s="549">
        <f t="shared" si="366"/>
        <v>0.11754062038404722</v>
      </c>
      <c r="LC23" s="548">
        <v>-183013</v>
      </c>
      <c r="LD23" s="123">
        <f t="shared" si="202"/>
        <v>-0.33914156950240532</v>
      </c>
      <c r="LE23" s="119">
        <f t="shared" si="319"/>
        <v>0.11011160985078239</v>
      </c>
      <c r="LF23" s="32">
        <f t="shared" si="367"/>
        <v>-364591</v>
      </c>
      <c r="LG23" s="123">
        <f t="shared" si="203"/>
        <v>-0.17446081377499262</v>
      </c>
      <c r="LH23" s="119">
        <f t="shared" si="320"/>
        <v>0.11379910796114134</v>
      </c>
      <c r="LI23" s="548">
        <v>-198282</v>
      </c>
      <c r="LJ23" s="123">
        <f t="shared" si="204"/>
        <v>-0.12008379375689272</v>
      </c>
      <c r="LK23" s="119">
        <f t="shared" si="321"/>
        <v>0.18624477269056117</v>
      </c>
      <c r="LL23" s="32">
        <f t="shared" si="62"/>
        <v>-562873</v>
      </c>
      <c r="LM23" s="123">
        <f t="shared" si="205"/>
        <v>-0.1504600491898852</v>
      </c>
      <c r="LN23" s="119">
        <f t="shared" si="322"/>
        <v>0.138287653364773</v>
      </c>
      <c r="LO23" s="548">
        <v>-196768</v>
      </c>
      <c r="LP23" s="123">
        <f t="shared" si="206"/>
        <v>-6.739650316931535E-2</v>
      </c>
      <c r="LQ23" s="119">
        <f t="shared" si="323"/>
        <v>0.17640587820305864</v>
      </c>
      <c r="LR23" s="32">
        <f t="shared" si="63"/>
        <v>-759641</v>
      </c>
      <c r="LS23" s="123">
        <f t="shared" si="207"/>
        <v>-0.11405043201251064</v>
      </c>
      <c r="LT23" s="119">
        <f t="shared" si="324"/>
        <v>0.14792226102488382</v>
      </c>
    </row>
    <row r="24" spans="1:332" ht="16.5" customHeight="1">
      <c r="A24" s="105"/>
      <c r="B24" s="127" t="s">
        <v>217</v>
      </c>
      <c r="C24" s="116" t="s">
        <v>218</v>
      </c>
      <c r="D24" s="128">
        <v>14</v>
      </c>
      <c r="E24" s="118">
        <f t="shared" si="255"/>
        <v>7.0702785689756177E-5</v>
      </c>
      <c r="F24" s="128">
        <v>-141</v>
      </c>
      <c r="G24" s="118">
        <f t="shared" si="256"/>
        <v>-5.0510840127817507E-4</v>
      </c>
      <c r="H24" s="117">
        <f t="shared" si="325"/>
        <v>-127</v>
      </c>
      <c r="I24" s="118">
        <f t="shared" si="257"/>
        <v>-2.6615810210411602E-4</v>
      </c>
      <c r="J24" s="128">
        <v>-1</v>
      </c>
      <c r="K24" s="118">
        <f t="shared" si="258"/>
        <v>-3.9152274942935556E-6</v>
      </c>
      <c r="L24" s="117">
        <f t="shared" si="326"/>
        <v>-128</v>
      </c>
      <c r="M24" s="118">
        <f t="shared" si="259"/>
        <v>-1.7472661427598343E-4</v>
      </c>
      <c r="N24" s="128">
        <v>-8208</v>
      </c>
      <c r="O24" s="118">
        <f t="shared" si="260"/>
        <v>-2.0323824286078627E-2</v>
      </c>
      <c r="P24" s="117">
        <v>-8336</v>
      </c>
      <c r="Q24" s="118">
        <f t="shared" si="261"/>
        <v>-7.3352258028182892E-3</v>
      </c>
      <c r="R24" s="128">
        <v>-1011</v>
      </c>
      <c r="S24" s="118">
        <f t="shared" si="262"/>
        <v>-4.0279686846351522E-3</v>
      </c>
      <c r="T24" s="26">
        <f>R24/D24-1</f>
        <v>-73.214285714285708</v>
      </c>
      <c r="U24" s="128">
        <v>-58</v>
      </c>
      <c r="V24" s="119">
        <f t="shared" si="263"/>
        <v>-1.6214297096243035E-4</v>
      </c>
      <c r="W24" s="26">
        <f>U24/F24-1</f>
        <v>-0.58865248226950362</v>
      </c>
      <c r="X24" s="117">
        <f t="shared" si="327"/>
        <v>-1069</v>
      </c>
      <c r="Y24" s="119">
        <f t="shared" si="264"/>
        <v>-1.7561902008201031E-3</v>
      </c>
      <c r="Z24" s="26">
        <f>X24/H24-1</f>
        <v>7.4173228346456686</v>
      </c>
      <c r="AA24" s="128">
        <v>-12</v>
      </c>
      <c r="AB24" s="119">
        <f t="shared" si="265"/>
        <v>-3.7438810943364438E-5</v>
      </c>
      <c r="AC24" s="26">
        <f t="shared" si="368"/>
        <v>11</v>
      </c>
      <c r="AD24" s="117">
        <f t="shared" si="328"/>
        <v>-1081</v>
      </c>
      <c r="AE24" s="119">
        <f t="shared" si="266"/>
        <v>-1.163332533385276E-3</v>
      </c>
      <c r="AF24" s="26">
        <f t="shared" si="369"/>
        <v>7.4453125</v>
      </c>
      <c r="AG24" s="128">
        <v>-12983</v>
      </c>
      <c r="AH24" s="119">
        <f t="shared" si="267"/>
        <v>-2.5613607981392009E-2</v>
      </c>
      <c r="AI24" s="26">
        <f>AG24/N24-1</f>
        <v>0.58174951267056541</v>
      </c>
      <c r="AJ24" s="117">
        <f t="shared" si="329"/>
        <v>-14064</v>
      </c>
      <c r="AK24" s="119">
        <f t="shared" si="268"/>
        <v>-9.7931557929260039E-3</v>
      </c>
      <c r="AL24" s="26"/>
      <c r="AM24" s="128">
        <v>-1401</v>
      </c>
      <c r="AN24" s="119">
        <f t="shared" si="269"/>
        <v>-4.5150873529212713E-3</v>
      </c>
      <c r="AO24" s="119">
        <f>AM24/R24-1</f>
        <v>0.3857566765578635</v>
      </c>
      <c r="AP24" s="128">
        <v>-3304</v>
      </c>
      <c r="AQ24" s="119">
        <f t="shared" si="270"/>
        <v>-7.4354963936492215E-3</v>
      </c>
      <c r="AR24" s="119">
        <f>AP24/U24-1</f>
        <v>55.96551724137931</v>
      </c>
      <c r="AS24" s="120">
        <f>AM24+AP24</f>
        <v>-4705</v>
      </c>
      <c r="AT24" s="119">
        <f t="shared" si="271"/>
        <v>-6.2346948511093911E-3</v>
      </c>
      <c r="AU24" s="119">
        <f>AS24/X24-1</f>
        <v>3.4013096351730585</v>
      </c>
      <c r="AV24" s="128">
        <v>-3364</v>
      </c>
      <c r="AW24" s="119">
        <f t="shared" si="272"/>
        <v>-8.5087439738161363E-3</v>
      </c>
      <c r="AX24" s="119">
        <f>AV24/AA24-1</f>
        <v>279.33333333333331</v>
      </c>
      <c r="AY24" s="120">
        <f t="shared" si="331"/>
        <v>-8069</v>
      </c>
      <c r="AZ24" s="119">
        <f t="shared" si="273"/>
        <v>-7.016485131381923E-3</v>
      </c>
      <c r="BA24" s="119">
        <f>AY24/AD24-1</f>
        <v>6.4643848288621646</v>
      </c>
      <c r="BB24" s="128">
        <v>-5033</v>
      </c>
      <c r="BC24" s="119">
        <f t="shared" si="274"/>
        <v>-8.3643277127976035E-3</v>
      </c>
      <c r="BD24" s="119">
        <f>BB24/AG24-1</f>
        <v>-0.6123392128167604</v>
      </c>
      <c r="BE24" s="120">
        <f t="shared" si="374"/>
        <v>-13102</v>
      </c>
      <c r="BF24" s="119">
        <f t="shared" si="275"/>
        <v>-7.4794716988025537E-3</v>
      </c>
      <c r="BG24" s="119">
        <f>BE24/AJ24-1</f>
        <v>-6.8401592718998816E-2</v>
      </c>
      <c r="BH24" s="128">
        <v>-2049</v>
      </c>
      <c r="BI24" s="119">
        <f t="shared" si="276"/>
        <v>-5.3445249267703573E-3</v>
      </c>
      <c r="BJ24" s="119">
        <f>(BH24/AM24)-1</f>
        <v>0.46252676659528902</v>
      </c>
      <c r="BK24" s="128">
        <v>-355</v>
      </c>
      <c r="BL24" s="119">
        <f t="shared" si="277"/>
        <v>-6.9574283776844897E-4</v>
      </c>
      <c r="BM24" s="119">
        <f>(BK24/AP24)-1</f>
        <v>-0.89255447941888622</v>
      </c>
      <c r="BN24" s="120">
        <f>BK24+BH24+1</f>
        <v>-2403</v>
      </c>
      <c r="BO24" s="119">
        <f t="shared" si="278"/>
        <v>-2.6890353826923702E-3</v>
      </c>
      <c r="BP24" s="119">
        <f>BN24/AS24-1</f>
        <v>-0.48926673751328376</v>
      </c>
      <c r="BQ24" s="128">
        <v>-1486</v>
      </c>
      <c r="BR24" s="119">
        <f t="shared" si="279"/>
        <v>-3.3093262425562429E-3</v>
      </c>
      <c r="BS24" s="119">
        <f>(BQ24/AV24)-1</f>
        <v>-0.55826397146254458</v>
      </c>
      <c r="BT24" s="120">
        <f>BN24+BQ24</f>
        <v>-3889</v>
      </c>
      <c r="BU24" s="119">
        <f t="shared" si="280"/>
        <v>-2.8964804299512017E-3</v>
      </c>
      <c r="BV24" s="119">
        <f>BT24/AY24-1</f>
        <v>-0.51803197422233238</v>
      </c>
      <c r="BW24" s="128">
        <v>2552</v>
      </c>
      <c r="BX24" s="119">
        <f t="shared" si="281"/>
        <v>4.1579906086763839E-3</v>
      </c>
      <c r="BY24" s="119">
        <f t="shared" si="121"/>
        <v>-1.507053447248162</v>
      </c>
      <c r="BZ24" s="120">
        <v>-1338</v>
      </c>
      <c r="CA24" s="119">
        <f t="shared" si="282"/>
        <v>-6.8390153044690764E-4</v>
      </c>
      <c r="CB24" s="119">
        <f t="shared" si="123"/>
        <v>-0.89787818653640661</v>
      </c>
      <c r="CC24" s="128">
        <v>-1413</v>
      </c>
      <c r="CD24" s="119">
        <f t="shared" si="283"/>
        <v>-3.8963295086984935E-3</v>
      </c>
      <c r="CE24" s="119">
        <f t="shared" si="125"/>
        <v>-0.31039531478770133</v>
      </c>
      <c r="CF24" s="128">
        <v>-3681</v>
      </c>
      <c r="CG24" s="119">
        <f t="shared" si="284"/>
        <v>-6.6356366677963411E-3</v>
      </c>
      <c r="CH24" s="119">
        <f t="shared" si="127"/>
        <v>9.3690140845070431</v>
      </c>
      <c r="CI24" s="120">
        <f>CF24+CC24+1</f>
        <v>-5093</v>
      </c>
      <c r="CJ24" s="119">
        <f t="shared" si="285"/>
        <v>-5.5516797837319321E-3</v>
      </c>
      <c r="CK24" s="119">
        <f t="shared" si="129"/>
        <v>1.1194340407823553</v>
      </c>
      <c r="CL24" s="128">
        <v>-2876</v>
      </c>
      <c r="CM24" s="119">
        <f t="shared" si="286"/>
        <v>-5.9088200850574242E-3</v>
      </c>
      <c r="CN24" s="119">
        <f t="shared" si="131"/>
        <v>0.93539703903095561</v>
      </c>
      <c r="CO24" s="121">
        <f t="shared" si="333"/>
        <v>-7969</v>
      </c>
      <c r="CP24" s="119">
        <f t="shared" si="287"/>
        <v>-5.6754772236667899E-3</v>
      </c>
      <c r="CQ24" s="119">
        <f t="shared" si="133"/>
        <v>1.0491128824890716</v>
      </c>
      <c r="CR24" s="128">
        <v>-11121</v>
      </c>
      <c r="CS24" s="119">
        <f t="shared" si="288"/>
        <v>-1.562249774533685E-2</v>
      </c>
      <c r="CT24" s="119">
        <f t="shared" si="135"/>
        <v>-5.3577586206896548</v>
      </c>
      <c r="CU24" s="122">
        <v>-19091</v>
      </c>
      <c r="CV24" s="119">
        <f t="shared" si="289"/>
        <v>-9.0223481640554111E-3</v>
      </c>
      <c r="CW24" s="119">
        <f t="shared" si="137"/>
        <v>13.268310911808669</v>
      </c>
      <c r="CX24" s="128">
        <v>-2708</v>
      </c>
      <c r="CY24" s="119">
        <f t="shared" si="290"/>
        <v>-6.1511064268613457E-3</v>
      </c>
      <c r="CZ24" s="119">
        <f t="shared" si="139"/>
        <v>0.91648973814578905</v>
      </c>
      <c r="DA24" s="128">
        <v>-5611</v>
      </c>
      <c r="DB24" s="119">
        <f t="shared" si="291"/>
        <v>-8.9065047167490221E-3</v>
      </c>
      <c r="DC24" s="119">
        <f t="shared" si="141"/>
        <v>0.52431404509644119</v>
      </c>
      <c r="DD24" s="32">
        <f t="shared" si="334"/>
        <v>-8319</v>
      </c>
      <c r="DE24" s="119">
        <f t="shared" si="292"/>
        <v>-7.7730591879353597E-3</v>
      </c>
      <c r="DF24" s="119">
        <f t="shared" si="143"/>
        <v>0.63341841743569605</v>
      </c>
      <c r="DG24" s="128">
        <v>-5325</v>
      </c>
      <c r="DH24" s="119">
        <f t="shared" si="293"/>
        <v>-9.3628019833315746E-3</v>
      </c>
      <c r="DI24" s="119">
        <f t="shared" si="145"/>
        <v>0.85152990264255912</v>
      </c>
      <c r="DJ24" s="32">
        <f t="shared" si="335"/>
        <v>-13644</v>
      </c>
      <c r="DK24" s="119">
        <f t="shared" si="294"/>
        <v>-8.3247151420857545E-3</v>
      </c>
      <c r="DL24" s="119">
        <f t="shared" si="147"/>
        <v>0.71213452126992105</v>
      </c>
      <c r="DM24" s="128">
        <v>-8228</v>
      </c>
      <c r="DN24" s="119">
        <f t="shared" si="295"/>
        <v>-9.9889645493736259E-3</v>
      </c>
      <c r="DO24" s="119">
        <f t="shared" si="149"/>
        <v>-0.26013847675568746</v>
      </c>
      <c r="DP24" s="32">
        <f>DJ24+DM24</f>
        <v>-21872</v>
      </c>
      <c r="DQ24" s="119">
        <f t="shared" si="296"/>
        <v>-8.881370440288092E-3</v>
      </c>
      <c r="DR24" s="119">
        <f t="shared" si="151"/>
        <v>0.14567073490126248</v>
      </c>
      <c r="DS24" s="32">
        <v>-2256</v>
      </c>
      <c r="DT24" s="119">
        <f t="shared" si="297"/>
        <v>-4.3576772189674855E-3</v>
      </c>
      <c r="DU24" s="119">
        <f t="shared" si="209"/>
        <v>-0.1669128508124077</v>
      </c>
      <c r="DV24" s="32">
        <v>-3413</v>
      </c>
      <c r="DW24" s="119">
        <f t="shared" si="298"/>
        <v>-4.5527730830130743E-3</v>
      </c>
      <c r="DX24" s="119">
        <f t="shared" si="210"/>
        <v>-0.39173052931741226</v>
      </c>
      <c r="DY24" s="32">
        <f t="shared" si="336"/>
        <v>-5669</v>
      </c>
      <c r="DZ24" s="119">
        <f t="shared" si="299"/>
        <v>-4.4730778942052773E-3</v>
      </c>
      <c r="EA24" s="119">
        <f t="shared" si="211"/>
        <v>-0.31854790239211439</v>
      </c>
      <c r="EB24" s="32">
        <v>-46.103759999999994</v>
      </c>
      <c r="EC24" s="119">
        <f t="shared" si="349"/>
        <v>-7.0165034181738484E-5</v>
      </c>
      <c r="ED24" s="119">
        <f t="shared" si="212"/>
        <v>-0.99134201690140844</v>
      </c>
      <c r="EE24" s="32">
        <f t="shared" si="337"/>
        <v>-5715.10376</v>
      </c>
      <c r="EF24" s="119">
        <f t="shared" si="350"/>
        <v>-2.9697551698263801E-3</v>
      </c>
      <c r="EG24" s="119">
        <f t="shared" si="213"/>
        <v>-0.5811269598358253</v>
      </c>
      <c r="EH24" s="32">
        <v>766</v>
      </c>
      <c r="EI24" s="119">
        <f t="shared" si="250"/>
        <v>7.8791993252278381E-4</v>
      </c>
      <c r="EJ24" s="119">
        <f t="shared" si="214"/>
        <v>-1.0930967428293632</v>
      </c>
      <c r="EK24" s="32">
        <v>-4949</v>
      </c>
      <c r="EL24" s="119">
        <f t="shared" si="215"/>
        <v>-1.7085448300551988E-3</v>
      </c>
      <c r="EM24" s="119">
        <f t="shared" si="232"/>
        <v>-0.77372896854425743</v>
      </c>
      <c r="EN24" s="32">
        <v>-2729</v>
      </c>
      <c r="EO24" s="119">
        <f t="shared" si="216"/>
        <v>-4.4073068593457028E-3</v>
      </c>
      <c r="EP24" s="119">
        <f t="shared" si="217"/>
        <v>0.20966312056737579</v>
      </c>
      <c r="EQ24" s="32">
        <v>-6298</v>
      </c>
      <c r="ER24" s="119">
        <f t="shared" si="233"/>
        <v>-7.3646261733060952E-3</v>
      </c>
      <c r="ES24" s="119">
        <f t="shared" si="305"/>
        <v>0.84529739232346901</v>
      </c>
      <c r="ET24" s="32">
        <f t="shared" si="338"/>
        <v>-9027</v>
      </c>
      <c r="EU24" s="119">
        <f t="shared" si="234"/>
        <v>-6.1226233884620392E-3</v>
      </c>
      <c r="EV24" s="119">
        <f t="shared" si="306"/>
        <v>0.59234432880578591</v>
      </c>
      <c r="EW24" s="32">
        <v>-6416</v>
      </c>
      <c r="EX24" s="119">
        <f t="shared" si="235"/>
        <v>-7.9874511366182805E-3</v>
      </c>
      <c r="EY24" s="119">
        <f t="shared" si="153"/>
        <v>138.16435449082681</v>
      </c>
      <c r="EZ24" s="32">
        <f t="shared" si="372"/>
        <v>-15443</v>
      </c>
      <c r="FA24" s="119">
        <f t="shared" si="236"/>
        <v>-6.7802965276610016E-3</v>
      </c>
      <c r="FB24" s="119">
        <f t="shared" si="154"/>
        <v>1.7021381673042453</v>
      </c>
      <c r="FC24" s="32">
        <v>-12103</v>
      </c>
      <c r="FD24" s="119">
        <f t="shared" si="219"/>
        <v>-1.0219262841838269E-2</v>
      </c>
      <c r="FE24" s="119">
        <f t="shared" si="155"/>
        <v>-16.800261096605745</v>
      </c>
      <c r="FF24" s="32">
        <v>-27547</v>
      </c>
      <c r="FG24" s="119">
        <f t="shared" si="220"/>
        <v>-7.9570532299622181E-3</v>
      </c>
      <c r="FH24" s="119">
        <f t="shared" si="156"/>
        <v>4.5661749848454232</v>
      </c>
      <c r="FI24" s="32">
        <v>-3216</v>
      </c>
      <c r="FJ24" s="119">
        <f t="shared" si="251"/>
        <v>-4.4252962925759327E-3</v>
      </c>
      <c r="FK24" s="119">
        <f t="shared" si="340"/>
        <v>0.17845364602418479</v>
      </c>
      <c r="FL24" s="32">
        <v>-8079</v>
      </c>
      <c r="FM24" s="119">
        <f t="shared" si="222"/>
        <v>-8.5293226478378968E-3</v>
      </c>
      <c r="FN24" s="119">
        <f t="shared" si="341"/>
        <v>0.28278818672594475</v>
      </c>
      <c r="FO24" s="32">
        <f t="shared" si="237"/>
        <v>-11295</v>
      </c>
      <c r="FP24" s="119">
        <f t="shared" si="252"/>
        <v>-6.7475778614927472E-3</v>
      </c>
      <c r="FQ24" s="119">
        <f t="shared" si="159"/>
        <v>0.25124626121635085</v>
      </c>
      <c r="FR24" s="32">
        <v>-64</v>
      </c>
      <c r="FS24" s="123">
        <f t="shared" si="244"/>
        <v>-7.0568673242784905E-5</v>
      </c>
      <c r="FT24" s="119">
        <f t="shared" si="354"/>
        <v>-0.9900249376558603</v>
      </c>
      <c r="FU24" s="32">
        <v>-11360</v>
      </c>
      <c r="FV24" s="123">
        <f t="shared" si="370"/>
        <v>-4.401647207976281E-3</v>
      </c>
      <c r="FW24" s="119">
        <f t="shared" si="224"/>
        <v>-0.26439163374991903</v>
      </c>
      <c r="FX24" s="32">
        <v>-22674</v>
      </c>
      <c r="FY24" s="123">
        <f t="shared" si="253"/>
        <v>-1.7010339441571126E-2</v>
      </c>
      <c r="FZ24" s="119">
        <f t="shared" si="161"/>
        <v>0.8734198132694373</v>
      </c>
      <c r="GA24" s="32">
        <v>-34034</v>
      </c>
      <c r="GB24" s="123">
        <f t="shared" si="342"/>
        <v>-8.6958765744572612E-3</v>
      </c>
      <c r="GC24" s="119">
        <f t="shared" si="343"/>
        <v>0.23548843794242558</v>
      </c>
      <c r="GD24" s="32">
        <v>-4374.54</v>
      </c>
      <c r="GE24" s="119">
        <f t="shared" si="351"/>
        <v>-5.3707232270452637E-3</v>
      </c>
      <c r="GF24" s="119">
        <f t="shared" si="164"/>
        <v>0.36024253731343281</v>
      </c>
      <c r="GG24" s="32">
        <v>-17383</v>
      </c>
      <c r="GH24" s="119">
        <f t="shared" si="225"/>
        <v>-1.5643476680123614E-2</v>
      </c>
      <c r="GI24" s="119">
        <f t="shared" si="165"/>
        <v>1.1516276766926601</v>
      </c>
      <c r="GJ24" s="32">
        <f t="shared" si="254"/>
        <v>-21757.54</v>
      </c>
      <c r="GK24" s="123">
        <f t="shared" si="167"/>
        <v>-1.1298427492348294E-2</v>
      </c>
      <c r="GL24" s="119">
        <f t="shared" si="226"/>
        <v>0.92629836210712702</v>
      </c>
      <c r="GM24" s="32">
        <v>-10089</v>
      </c>
      <c r="GN24" s="123">
        <f t="shared" si="168"/>
        <v>-9.6352657027899205E-3</v>
      </c>
      <c r="GO24" s="119">
        <f t="shared" si="169"/>
        <v>156.640625</v>
      </c>
      <c r="GP24" s="32">
        <f t="shared" si="170"/>
        <v>-31846.54</v>
      </c>
      <c r="GQ24" s="123">
        <f t="shared" si="171"/>
        <v>-1.0712623263214371E-2</v>
      </c>
      <c r="GR24" s="119">
        <f t="shared" si="172"/>
        <v>1.8033926056338028</v>
      </c>
      <c r="GS24" s="32">
        <v>-31056.179</v>
      </c>
      <c r="GT24" s="123">
        <f t="shared" si="344"/>
        <v>-1.8598663797672426E-2</v>
      </c>
      <c r="GU24" s="119">
        <f t="shared" si="227"/>
        <v>0.36968241157272641</v>
      </c>
      <c r="GV24" s="32">
        <f t="shared" si="239"/>
        <v>-62902.718999999997</v>
      </c>
      <c r="GW24" s="123">
        <f t="shared" si="174"/>
        <v>-1.3548993325309113E-2</v>
      </c>
      <c r="GX24" s="119">
        <f t="shared" si="228"/>
        <v>0.84823173884938585</v>
      </c>
      <c r="GY24" s="32">
        <v>-6793.0967899999996</v>
      </c>
      <c r="GZ24" s="123">
        <f t="shared" si="352"/>
        <v>-6.7198836575509818E-3</v>
      </c>
      <c r="HA24" s="119">
        <f t="shared" si="229"/>
        <v>0.5528711110196729</v>
      </c>
      <c r="HB24" s="32">
        <v>-16521.555369999998</v>
      </c>
      <c r="HC24" s="123">
        <f t="shared" si="371"/>
        <v>-1.2199998648674592E-2</v>
      </c>
      <c r="HD24" s="119">
        <f t="shared" si="249"/>
        <v>-4.9556729563366653E-2</v>
      </c>
      <c r="HE24" s="32">
        <f t="shared" si="177"/>
        <v>-23314.652159999998</v>
      </c>
      <c r="HF24" s="123">
        <f t="shared" si="240"/>
        <v>-9.8576995257325089E-3</v>
      </c>
      <c r="HG24" s="119">
        <f t="shared" si="245"/>
        <v>7.1566553939461652E-2</v>
      </c>
      <c r="HH24" s="32">
        <v>-8931</v>
      </c>
      <c r="HI24" s="123">
        <f t="shared" si="353"/>
        <v>-7.1541576381907532E-3</v>
      </c>
      <c r="HJ24" s="119">
        <f t="shared" si="241"/>
        <v>-0.11477847160273569</v>
      </c>
      <c r="HK24" s="32">
        <f t="shared" si="345"/>
        <v>-32245.652159999998</v>
      </c>
      <c r="HL24" s="123">
        <f t="shared" si="300"/>
        <v>-8.92369644160791E-3</v>
      </c>
      <c r="HM24" s="119">
        <f t="shared" si="230"/>
        <v>1.2532355477235413E-2</v>
      </c>
      <c r="HN24" s="32">
        <v>-32040</v>
      </c>
      <c r="HO24" s="123">
        <f t="shared" si="355"/>
        <v>-1.7438006363457253E-2</v>
      </c>
      <c r="HP24" s="119">
        <f t="shared" si="180"/>
        <v>3.1678752238000651E-2</v>
      </c>
      <c r="HQ24" s="32">
        <f t="shared" si="346"/>
        <v>-64285.652159999998</v>
      </c>
      <c r="HR24" s="123">
        <f t="shared" si="181"/>
        <v>-1.17936887958066E-2</v>
      </c>
      <c r="HS24" s="119">
        <f t="shared" si="182"/>
        <v>2.1985268395154689E-2</v>
      </c>
      <c r="HT24" s="32">
        <v>-4304</v>
      </c>
      <c r="HU24" s="123">
        <f t="shared" si="242"/>
        <v>-3.9994498897921102E-3</v>
      </c>
      <c r="HV24" s="119">
        <f t="shared" si="183"/>
        <v>-0.36641562264564753</v>
      </c>
      <c r="HW24" s="32">
        <v>-9920</v>
      </c>
      <c r="HX24" s="123">
        <f t="shared" si="184"/>
        <v>-6.7727734507280731E-3</v>
      </c>
      <c r="HY24" s="119">
        <f t="shared" si="307"/>
        <v>-0.39957226920578959</v>
      </c>
      <c r="HZ24" s="32">
        <f t="shared" si="185"/>
        <v>-14224</v>
      </c>
      <c r="IA24" s="123">
        <f t="shared" si="186"/>
        <v>-5.5981574568370407E-3</v>
      </c>
      <c r="IB24" s="119">
        <f t="shared" si="301"/>
        <v>-0.38991154993924637</v>
      </c>
      <c r="IC24" s="32">
        <v>-3100</v>
      </c>
      <c r="ID24" s="123">
        <f t="shared" si="187"/>
        <v>-2.4595015304446619E-3</v>
      </c>
      <c r="IE24" s="119">
        <f t="shared" si="308"/>
        <v>-0.65289441271974025</v>
      </c>
      <c r="IF24" s="32">
        <f t="shared" si="188"/>
        <v>-17324</v>
      </c>
      <c r="IG24" s="123">
        <f t="shared" si="189"/>
        <v>-4.5574434120950616E-3</v>
      </c>
      <c r="IH24" s="119">
        <f t="shared" si="302"/>
        <v>-0.46274927503280483</v>
      </c>
      <c r="II24" s="32">
        <v>-29931</v>
      </c>
      <c r="IJ24" s="123">
        <f t="shared" si="22"/>
        <v>-1.5584971444995689E-2</v>
      </c>
      <c r="IK24" s="119">
        <f t="shared" si="23"/>
        <v>-6.5823970037453217E-2</v>
      </c>
      <c r="IL24" s="32">
        <f t="shared" si="247"/>
        <v>-47255</v>
      </c>
      <c r="IM24" s="123">
        <f t="shared" si="24"/>
        <v>-8.2588267904421669E-3</v>
      </c>
      <c r="IN24" s="119">
        <f t="shared" si="25"/>
        <v>-0.26492151184237123</v>
      </c>
      <c r="IO24" s="32">
        <v>-9722</v>
      </c>
      <c r="IP24" s="123">
        <f t="shared" si="26"/>
        <v>-7.8740795215617929E-3</v>
      </c>
      <c r="IQ24" s="119">
        <f t="shared" si="27"/>
        <v>1.2588289962825279</v>
      </c>
      <c r="IR24" s="32">
        <v>-21190</v>
      </c>
      <c r="IS24" s="123">
        <f t="shared" si="190"/>
        <v>-1.2996364207313782E-2</v>
      </c>
      <c r="IT24" s="119">
        <f t="shared" si="309"/>
        <v>1.1360887096774195</v>
      </c>
      <c r="IU24" s="32">
        <f t="shared" si="191"/>
        <v>-30912</v>
      </c>
      <c r="IV24" s="123">
        <f t="shared" si="192"/>
        <v>-1.0789001584564802E-2</v>
      </c>
      <c r="IW24" s="119">
        <f t="shared" si="303"/>
        <v>1.173228346456693</v>
      </c>
      <c r="IX24" s="32">
        <v>-10657</v>
      </c>
      <c r="IY24" s="123">
        <f t="shared" si="193"/>
        <v>-7.0455870705510727E-3</v>
      </c>
      <c r="IZ24" s="119">
        <f t="shared" si="310"/>
        <v>2.4377419354838707</v>
      </c>
      <c r="JA24" s="32">
        <f t="shared" si="311"/>
        <v>-41569</v>
      </c>
      <c r="JB24" s="123">
        <f t="shared" si="31"/>
        <v>-9.4955865133386844E-3</v>
      </c>
      <c r="JC24" s="119">
        <f t="shared" si="32"/>
        <v>1.3995035788501502</v>
      </c>
      <c r="JD24" s="32">
        <v>-36077</v>
      </c>
      <c r="JE24" s="123">
        <f t="shared" si="195"/>
        <v>-1.6233680037617753E-2</v>
      </c>
      <c r="JF24" s="119">
        <f t="shared" si="312"/>
        <v>0.20533894624302573</v>
      </c>
      <c r="JG24" s="32">
        <f t="shared" si="313"/>
        <v>-77646</v>
      </c>
      <c r="JH24" s="123">
        <f t="shared" si="34"/>
        <v>-1.1764415332981924E-2</v>
      </c>
      <c r="JI24" s="119">
        <f t="shared" si="35"/>
        <v>0.64312771135329605</v>
      </c>
      <c r="JJ24" s="32">
        <v>-8508</v>
      </c>
      <c r="JK24" s="123">
        <f t="shared" si="197"/>
        <v>-6.0822736894480273E-3</v>
      </c>
      <c r="JL24" s="119">
        <f t="shared" si="314"/>
        <v>-0.12487142563258591</v>
      </c>
      <c r="JM24" s="32">
        <v>-5846</v>
      </c>
      <c r="JN24" s="123">
        <f t="shared" si="198"/>
        <v>-3.2842124659626716E-3</v>
      </c>
      <c r="JO24" s="119">
        <f t="shared" si="315"/>
        <v>-0.72411514865502591</v>
      </c>
      <c r="JP24" s="32">
        <f t="shared" si="358"/>
        <v>-14354</v>
      </c>
      <c r="JQ24" s="123">
        <f t="shared" si="199"/>
        <v>-4.5154694307689884E-3</v>
      </c>
      <c r="JR24" s="119">
        <f t="shared" si="316"/>
        <v>-0.53564958592132506</v>
      </c>
      <c r="JS24" s="32">
        <v>-8761</v>
      </c>
      <c r="JT24" s="119">
        <f t="shared" si="37"/>
        <v>-5.1190181955650758E-3</v>
      </c>
      <c r="JU24" s="119">
        <f t="shared" si="38"/>
        <v>-0.17791123205404902</v>
      </c>
      <c r="JV24" s="32">
        <f t="shared" si="373"/>
        <v>-23115</v>
      </c>
      <c r="JW24" s="119">
        <f t="shared" si="40"/>
        <v>-4.7266932512063141E-3</v>
      </c>
      <c r="JX24" s="119">
        <f t="shared" si="41"/>
        <v>-0.44393658736077368</v>
      </c>
      <c r="JY24" s="32">
        <v>-36721</v>
      </c>
      <c r="JZ24" s="119">
        <f t="shared" si="42"/>
        <v>-1.4150009132518626E-2</v>
      </c>
      <c r="KA24" s="119">
        <f t="shared" si="43"/>
        <v>1.7850708207445276E-2</v>
      </c>
      <c r="KB24" s="32">
        <f t="shared" si="317"/>
        <v>-59836</v>
      </c>
      <c r="KC24" s="119">
        <f t="shared" si="45"/>
        <v>-7.9936591510471073E-3</v>
      </c>
      <c r="KD24" s="119">
        <f t="shared" si="46"/>
        <v>-0.22937433995312062</v>
      </c>
      <c r="KE24" s="548">
        <v>-12961</v>
      </c>
      <c r="KF24" s="119">
        <f t="shared" si="47"/>
        <v>-7.8535474875737494E-3</v>
      </c>
      <c r="KG24" s="119">
        <f t="shared" si="48"/>
        <v>0.52338975082275496</v>
      </c>
      <c r="KH24" s="548">
        <v>-18677</v>
      </c>
      <c r="KI24" s="123">
        <f t="shared" si="200"/>
        <v>-9.2489058490403467E-3</v>
      </c>
      <c r="KJ24" s="119">
        <f t="shared" si="359"/>
        <v>2.1948340745809101</v>
      </c>
      <c r="KK24" s="32">
        <f t="shared" si="360"/>
        <v>-31638</v>
      </c>
      <c r="KL24" s="123">
        <f t="shared" si="201"/>
        <v>-8.6213873517560369E-3</v>
      </c>
      <c r="KM24" s="119">
        <f>(KK24/JP24)-1</f>
        <v>1.2041242859133341</v>
      </c>
      <c r="KN24" s="548">
        <v>-14281</v>
      </c>
      <c r="KO24" s="549">
        <f t="shared" si="50"/>
        <v>-7.3921127332131076E-3</v>
      </c>
      <c r="KP24" s="549">
        <f t="shared" si="362"/>
        <v>0.63006506106608828</v>
      </c>
      <c r="KQ24" s="548">
        <f t="shared" si="356"/>
        <v>-45919</v>
      </c>
      <c r="KR24" s="549">
        <f t="shared" si="53"/>
        <v>-8.197428072339594E-3</v>
      </c>
      <c r="KS24" s="549">
        <f t="shared" si="363"/>
        <v>0.98654553320354754</v>
      </c>
      <c r="KT24" s="548">
        <v>-50833</v>
      </c>
      <c r="KU24" s="549">
        <f t="shared" si="55"/>
        <v>-1.7692994711558208E-2</v>
      </c>
      <c r="KV24" s="549">
        <f t="shared" si="364"/>
        <v>0.38430325971514945</v>
      </c>
      <c r="KW24" s="548">
        <f t="shared" si="357"/>
        <v>-96752</v>
      </c>
      <c r="KX24" s="549">
        <f t="shared" si="58"/>
        <v>-1.1416578748044325E-2</v>
      </c>
      <c r="KY24" s="549">
        <f t="shared" si="365"/>
        <v>0.61695300488000537</v>
      </c>
      <c r="KZ24" s="548">
        <v>-28</v>
      </c>
      <c r="LA24" s="549">
        <f t="shared" si="60"/>
        <v>-1.8062418557844895E-5</v>
      </c>
      <c r="LB24" s="549">
        <f t="shared" si="366"/>
        <v>-0.99783967286474806</v>
      </c>
      <c r="LC24" s="548">
        <v>1471</v>
      </c>
      <c r="LD24" s="123">
        <f t="shared" si="202"/>
        <v>2.7259115403716581E-3</v>
      </c>
      <c r="LE24" s="119">
        <f t="shared" si="319"/>
        <v>-1.0787599721582695</v>
      </c>
      <c r="LF24" s="32">
        <f t="shared" si="367"/>
        <v>1443</v>
      </c>
      <c r="LG24" s="123">
        <f t="shared" si="203"/>
        <v>6.904914116840909E-4</v>
      </c>
      <c r="LH24" s="119">
        <f t="shared" si="320"/>
        <v>-1.0456097098425943</v>
      </c>
      <c r="LI24" s="548">
        <v>-49</v>
      </c>
      <c r="LJ24" s="123">
        <f t="shared" si="204"/>
        <v>-2.9675441513035695E-5</v>
      </c>
      <c r="LK24" s="119">
        <f t="shared" si="321"/>
        <v>-0.99656886772634967</v>
      </c>
      <c r="LL24" s="32">
        <f t="shared" si="62"/>
        <v>1394</v>
      </c>
      <c r="LM24" s="123">
        <f t="shared" si="205"/>
        <v>3.726263447894995E-4</v>
      </c>
      <c r="LN24" s="119">
        <f t="shared" si="322"/>
        <v>-1.0303578039591454</v>
      </c>
      <c r="LO24" s="548">
        <v>-23920</v>
      </c>
      <c r="LP24" s="123">
        <f t="shared" si="206"/>
        <v>-8.1930209983840027E-3</v>
      </c>
      <c r="LQ24" s="119">
        <f t="shared" si="323"/>
        <v>-0.52943953730844129</v>
      </c>
      <c r="LR24" s="32">
        <f t="shared" si="63"/>
        <v>-22526</v>
      </c>
      <c r="LS24" s="123">
        <f t="shared" si="207"/>
        <v>-3.3819923246820732E-3</v>
      </c>
      <c r="LT24" s="119">
        <f t="shared" si="324"/>
        <v>-0.76717793947411939</v>
      </c>
    </row>
    <row r="25" spans="1:332" ht="16.5" customHeight="1">
      <c r="A25" s="105"/>
      <c r="B25" s="127" t="s">
        <v>126</v>
      </c>
      <c r="C25" s="116" t="s">
        <v>1</v>
      </c>
      <c r="D25" s="128">
        <v>355</v>
      </c>
      <c r="E25" s="118">
        <f t="shared" si="255"/>
        <v>1.7928206371331031E-3</v>
      </c>
      <c r="F25" s="128">
        <v>766</v>
      </c>
      <c r="G25" s="118">
        <f t="shared" si="256"/>
        <v>2.7440640807027098E-3</v>
      </c>
      <c r="H25" s="117">
        <f t="shared" si="325"/>
        <v>1121</v>
      </c>
      <c r="I25" s="118">
        <f t="shared" si="257"/>
        <v>2.3493167910134966E-3</v>
      </c>
      <c r="J25" s="128">
        <v>747</v>
      </c>
      <c r="K25" s="118">
        <f t="shared" si="258"/>
        <v>2.9246749382372864E-3</v>
      </c>
      <c r="L25" s="117">
        <f t="shared" si="326"/>
        <v>1868</v>
      </c>
      <c r="M25" s="118">
        <f t="shared" si="259"/>
        <v>2.549916527090133E-3</v>
      </c>
      <c r="N25" s="128">
        <v>977</v>
      </c>
      <c r="O25" s="118">
        <f t="shared" si="260"/>
        <v>2.4191491627069709E-3</v>
      </c>
      <c r="P25" s="117">
        <f>L25+N25-1</f>
        <v>2844</v>
      </c>
      <c r="Q25" s="118">
        <f t="shared" si="261"/>
        <v>2.5025650411726508E-3</v>
      </c>
      <c r="R25" s="128">
        <v>1990</v>
      </c>
      <c r="S25" s="118">
        <f t="shared" si="262"/>
        <v>7.9284447897368469E-3</v>
      </c>
      <c r="T25" s="26">
        <f>R25/D25-1</f>
        <v>4.605633802816901</v>
      </c>
      <c r="U25" s="128">
        <v>559</v>
      </c>
      <c r="V25" s="119">
        <f t="shared" si="263"/>
        <v>1.5627227718620442E-3</v>
      </c>
      <c r="W25" s="26">
        <f>U25/F25-1</f>
        <v>-0.27023498694516968</v>
      </c>
      <c r="X25" s="117">
        <f t="shared" si="327"/>
        <v>2549</v>
      </c>
      <c r="Y25" s="119">
        <f t="shared" si="264"/>
        <v>4.1875854273998531E-3</v>
      </c>
      <c r="Z25" s="26">
        <f>X25/H25-1</f>
        <v>1.2738626226583407</v>
      </c>
      <c r="AA25" s="128">
        <v>746</v>
      </c>
      <c r="AB25" s="119">
        <f t="shared" si="265"/>
        <v>2.3274460803124892E-3</v>
      </c>
      <c r="AC25" s="26">
        <f t="shared" si="368"/>
        <v>-1.3386880856760541E-3</v>
      </c>
      <c r="AD25" s="117">
        <f t="shared" si="328"/>
        <v>3295</v>
      </c>
      <c r="AE25" s="119">
        <f t="shared" si="266"/>
        <v>3.545958092048552E-3</v>
      </c>
      <c r="AF25" s="26">
        <f t="shared" si="369"/>
        <v>0.7639186295503213</v>
      </c>
      <c r="AG25" s="128">
        <v>2059</v>
      </c>
      <c r="AH25" s="119">
        <f t="shared" si="267"/>
        <v>4.062113443247797E-3</v>
      </c>
      <c r="AI25" s="26">
        <f>AG25/N25-1</f>
        <v>1.1074718526100309</v>
      </c>
      <c r="AJ25" s="117">
        <f t="shared" si="329"/>
        <v>5354</v>
      </c>
      <c r="AK25" s="119">
        <f t="shared" si="268"/>
        <v>3.7281396555265806E-3</v>
      </c>
      <c r="AL25" s="26">
        <f t="shared" ref="AL25:AL30" si="375">AJ25/P25-1</f>
        <v>0.88255977496483817</v>
      </c>
      <c r="AM25" s="128">
        <v>-1205</v>
      </c>
      <c r="AN25" s="119">
        <f t="shared" si="269"/>
        <v>-3.8834263099715429E-3</v>
      </c>
      <c r="AO25" s="119">
        <f>AM25/R25-1</f>
        <v>-1.6055276381909547</v>
      </c>
      <c r="AP25" s="128">
        <v>64</v>
      </c>
      <c r="AQ25" s="119">
        <f t="shared" si="270"/>
        <v>1.4402898583339897E-4</v>
      </c>
      <c r="AR25" s="119">
        <f>AP25/U25-1</f>
        <v>-0.88550983899821112</v>
      </c>
      <c r="AS25" s="120">
        <f>AM25+AP25+1</f>
        <v>-1140</v>
      </c>
      <c r="AT25" s="119">
        <f t="shared" si="271"/>
        <v>-1.51063807231981E-3</v>
      </c>
      <c r="AU25" s="119">
        <f>AS25/X25-1</f>
        <v>-1.4472342094939192</v>
      </c>
      <c r="AV25" s="128">
        <v>9985</v>
      </c>
      <c r="AW25" s="119">
        <f t="shared" si="272"/>
        <v>2.5255591135123105E-2</v>
      </c>
      <c r="AX25" s="119">
        <f>AV25/AA25-1</f>
        <v>12.384718498659517</v>
      </c>
      <c r="AY25" s="120">
        <f>AV25+AS25-1</f>
        <v>8844</v>
      </c>
      <c r="AZ25" s="119">
        <f t="shared" si="273"/>
        <v>7.6903946588104755E-3</v>
      </c>
      <c r="BA25" s="119">
        <f>AY25/AD25-1</f>
        <v>1.6840667678300454</v>
      </c>
      <c r="BB25" s="128">
        <v>542</v>
      </c>
      <c r="BC25" s="119">
        <f t="shared" si="274"/>
        <v>9.0074818603940029E-4</v>
      </c>
      <c r="BD25" s="119">
        <f>BB25/AG25-1</f>
        <v>-0.73676542010684798</v>
      </c>
      <c r="BE25" s="120">
        <f t="shared" si="374"/>
        <v>9386</v>
      </c>
      <c r="BF25" s="119">
        <f t="shared" si="275"/>
        <v>5.3581377930820313E-3</v>
      </c>
      <c r="BG25" s="119">
        <f>BE25/AJ25-1</f>
        <v>0.75308180799402313</v>
      </c>
      <c r="BH25" s="128">
        <v>584</v>
      </c>
      <c r="BI25" s="119">
        <f t="shared" si="276"/>
        <v>1.5232808966490429E-3</v>
      </c>
      <c r="BJ25" s="119">
        <f>(BH25/AM25)-1</f>
        <v>-1.4846473029045644</v>
      </c>
      <c r="BK25" s="128">
        <v>307</v>
      </c>
      <c r="BL25" s="119">
        <f t="shared" si="277"/>
        <v>6.016705667462361E-4</v>
      </c>
      <c r="BM25" s="119">
        <f>(BK25/AP25)-1</f>
        <v>3.796875</v>
      </c>
      <c r="BN25" s="120">
        <f>BK25+BH25+1</f>
        <v>892</v>
      </c>
      <c r="BO25" s="119">
        <f t="shared" si="278"/>
        <v>9.9817709586416735E-4</v>
      </c>
      <c r="BP25" s="119">
        <f>BN25/AS25-1</f>
        <v>-1.7824561403508772</v>
      </c>
      <c r="BQ25" s="128">
        <v>-2011</v>
      </c>
      <c r="BR25" s="119">
        <f t="shared" si="279"/>
        <v>-4.4785027414405145E-3</v>
      </c>
      <c r="BS25" s="119">
        <f>(BQ25/AV25)-1</f>
        <v>-1.2014021031547322</v>
      </c>
      <c r="BT25" s="120">
        <f>BN25+BQ25</f>
        <v>-1119</v>
      </c>
      <c r="BU25" s="119">
        <f t="shared" si="280"/>
        <v>-8.3341774263702613E-4</v>
      </c>
      <c r="BV25" s="119">
        <f>BT25/AY25-1</f>
        <v>-1.1265264586160109</v>
      </c>
      <c r="BW25" s="128">
        <v>-550</v>
      </c>
      <c r="BX25" s="119">
        <f t="shared" si="281"/>
        <v>-8.9611866566301375E-4</v>
      </c>
      <c r="BY25" s="119">
        <f t="shared" si="121"/>
        <v>-2.0147601476014758</v>
      </c>
      <c r="BZ25" s="120">
        <v>-1670</v>
      </c>
      <c r="CA25" s="119">
        <f t="shared" si="282"/>
        <v>-8.5359907013926443E-4</v>
      </c>
      <c r="CB25" s="119">
        <f t="shared" si="123"/>
        <v>-1.177924568506286</v>
      </c>
      <c r="CC25" s="128">
        <v>1073</v>
      </c>
      <c r="CD25" s="119">
        <f t="shared" si="283"/>
        <v>2.9587838378156289E-3</v>
      </c>
      <c r="CE25" s="119">
        <f t="shared" si="125"/>
        <v>0.83732876712328763</v>
      </c>
      <c r="CF25" s="128">
        <v>835</v>
      </c>
      <c r="CG25" s="119">
        <f t="shared" si="284"/>
        <v>1.5052313549605936E-3</v>
      </c>
      <c r="CH25" s="119">
        <f t="shared" si="127"/>
        <v>1.7198697068403908</v>
      </c>
      <c r="CI25" s="120">
        <f>CF25+CC25</f>
        <v>1908</v>
      </c>
      <c r="CJ25" s="119">
        <f t="shared" si="285"/>
        <v>2.0798360548518607E-3</v>
      </c>
      <c r="CK25" s="119">
        <f t="shared" si="129"/>
        <v>1.1390134529147984</v>
      </c>
      <c r="CL25" s="128">
        <v>-16</v>
      </c>
      <c r="CM25" s="119">
        <f t="shared" si="286"/>
        <v>-3.2872434409220719E-5</v>
      </c>
      <c r="CN25" s="119">
        <f t="shared" si="131"/>
        <v>-0.99204375932371958</v>
      </c>
      <c r="CO25" s="121">
        <f t="shared" si="333"/>
        <v>1892</v>
      </c>
      <c r="CP25" s="119">
        <f t="shared" si="287"/>
        <v>1.3474718166868573E-3</v>
      </c>
      <c r="CQ25" s="119">
        <f t="shared" si="133"/>
        <v>-2.6907953529937445</v>
      </c>
      <c r="CR25" s="128">
        <v>-177</v>
      </c>
      <c r="CS25" s="119">
        <f t="shared" si="288"/>
        <v>-2.4864509494871168E-4</v>
      </c>
      <c r="CT25" s="119">
        <f t="shared" si="135"/>
        <v>-0.67818181818181822</v>
      </c>
      <c r="CU25" s="129">
        <v>1715</v>
      </c>
      <c r="CV25" s="119">
        <f t="shared" si="289"/>
        <v>8.1050375052930859E-4</v>
      </c>
      <c r="CW25" s="119">
        <f t="shared" si="137"/>
        <v>-2.0269461077844309</v>
      </c>
      <c r="CX25" s="128">
        <v>1008</v>
      </c>
      <c r="CY25" s="119">
        <f t="shared" si="290"/>
        <v>2.2896289801610918E-3</v>
      </c>
      <c r="CZ25" s="119">
        <f t="shared" si="139"/>
        <v>-6.0577819198508909E-2</v>
      </c>
      <c r="DA25" s="128">
        <v>699</v>
      </c>
      <c r="DB25" s="119">
        <f t="shared" si="291"/>
        <v>1.109543182500012E-3</v>
      </c>
      <c r="DC25" s="119">
        <f t="shared" si="141"/>
        <v>-0.16287425149700596</v>
      </c>
      <c r="DD25" s="32">
        <f t="shared" si="334"/>
        <v>1707</v>
      </c>
      <c r="DE25" s="119">
        <f t="shared" si="292"/>
        <v>1.5949768041598341E-3</v>
      </c>
      <c r="DF25" s="119">
        <f t="shared" si="143"/>
        <v>-0.10534591194968557</v>
      </c>
      <c r="DG25" s="128">
        <v>7592</v>
      </c>
      <c r="DH25" s="119">
        <f t="shared" si="293"/>
        <v>1.3348806132855082E-2</v>
      </c>
      <c r="DI25" s="119">
        <f t="shared" si="145"/>
        <v>-475.5</v>
      </c>
      <c r="DJ25" s="32">
        <f t="shared" si="335"/>
        <v>9299</v>
      </c>
      <c r="DK25" s="119">
        <f t="shared" si="294"/>
        <v>5.6736679937155841E-3</v>
      </c>
      <c r="DL25" s="119">
        <f t="shared" si="147"/>
        <v>3.9149048625792808</v>
      </c>
      <c r="DM25" s="128">
        <v>468</v>
      </c>
      <c r="DN25" s="119">
        <f t="shared" si="295"/>
        <v>5.6816181442718246E-4</v>
      </c>
      <c r="DO25" s="119">
        <f t="shared" si="149"/>
        <v>-3.6440677966101696</v>
      </c>
      <c r="DP25" s="37">
        <f>DJ25+DM25</f>
        <v>9767</v>
      </c>
      <c r="DQ25" s="119">
        <f t="shared" si="296"/>
        <v>3.9659996840843911E-3</v>
      </c>
      <c r="DR25" s="119">
        <f t="shared" si="151"/>
        <v>4.6950437317784255</v>
      </c>
      <c r="DS25" s="32">
        <v>697</v>
      </c>
      <c r="DT25" s="119">
        <f t="shared" si="297"/>
        <v>1.3463213748317099E-3</v>
      </c>
      <c r="DU25" s="119">
        <f t="shared" si="209"/>
        <v>-0.30853174603174605</v>
      </c>
      <c r="DV25" s="32">
        <v>-551</v>
      </c>
      <c r="DW25" s="119">
        <f t="shared" si="298"/>
        <v>-7.3500672978031166E-4</v>
      </c>
      <c r="DX25" s="119">
        <f t="shared" si="210"/>
        <v>-1.7882689556509299</v>
      </c>
      <c r="DY25" s="32">
        <f t="shared" si="336"/>
        <v>146</v>
      </c>
      <c r="DZ25" s="119">
        <f t="shared" si="299"/>
        <v>1.1520010099734883E-4</v>
      </c>
      <c r="EA25" s="119">
        <f t="shared" si="211"/>
        <v>-0.91446983011130634</v>
      </c>
      <c r="EB25" s="32">
        <v>3344</v>
      </c>
      <c r="EC25" s="119">
        <f t="shared" si="349"/>
        <v>5.0892134243223008E-3</v>
      </c>
      <c r="ED25" s="119">
        <f t="shared" si="212"/>
        <v>-0.55953635405690205</v>
      </c>
      <c r="EE25" s="32">
        <f t="shared" si="337"/>
        <v>3490</v>
      </c>
      <c r="EF25" s="119">
        <f t="shared" si="350"/>
        <v>1.8135183503114678E-3</v>
      </c>
      <c r="EG25" s="119">
        <f t="shared" si="213"/>
        <v>-0.62469082697064193</v>
      </c>
      <c r="EH25" s="32">
        <v>5092</v>
      </c>
      <c r="EI25" s="119">
        <f t="shared" si="250"/>
        <v>5.2377131806867041E-3</v>
      </c>
      <c r="EJ25" s="119">
        <f t="shared" si="214"/>
        <v>9.8803418803418808</v>
      </c>
      <c r="EK25" s="32">
        <v>8583</v>
      </c>
      <c r="EL25" s="119">
        <f t="shared" si="215"/>
        <v>2.9631117955877494E-3</v>
      </c>
      <c r="EM25" s="119">
        <f t="shared" si="232"/>
        <v>-0.1212245315859527</v>
      </c>
      <c r="EN25" s="32">
        <v>-1410</v>
      </c>
      <c r="EO25" s="119">
        <f t="shared" si="216"/>
        <v>-2.2771354604900849E-3</v>
      </c>
      <c r="EP25" s="119">
        <f t="shared" si="217"/>
        <v>-3.0229555236728838</v>
      </c>
      <c r="EQ25" s="32">
        <v>2290</v>
      </c>
      <c r="ER25" s="119">
        <f t="shared" si="233"/>
        <v>2.6778332703828131E-3</v>
      </c>
      <c r="ES25" s="119">
        <f t="shared" si="305"/>
        <v>-5.1560798548094375</v>
      </c>
      <c r="ET25" s="32">
        <f>(EN25+EQ25)</f>
        <v>880</v>
      </c>
      <c r="EU25" s="119">
        <f t="shared" si="234"/>
        <v>5.9686591135998609E-4</v>
      </c>
      <c r="EV25" s="119">
        <f t="shared" si="306"/>
        <v>5.0273972602739727</v>
      </c>
      <c r="EW25" s="32">
        <v>707</v>
      </c>
      <c r="EX25" s="119">
        <f t="shared" si="235"/>
        <v>8.8016333441227001E-4</v>
      </c>
      <c r="EY25" s="119">
        <f t="shared" si="153"/>
        <v>-0.78857655502392343</v>
      </c>
      <c r="EZ25" s="32">
        <f t="shared" si="372"/>
        <v>1587</v>
      </c>
      <c r="FA25" s="119">
        <f t="shared" si="236"/>
        <v>6.9677721876565499E-4</v>
      </c>
      <c r="FB25" s="119">
        <f t="shared" si="154"/>
        <v>-0.54527220630372497</v>
      </c>
      <c r="FC25" s="32">
        <v>8996</v>
      </c>
      <c r="FD25" s="119">
        <f t="shared" si="219"/>
        <v>7.5958430575210328E-3</v>
      </c>
      <c r="FE25" s="119">
        <f t="shared" si="155"/>
        <v>0.76669285153181455</v>
      </c>
      <c r="FF25" s="32">
        <v>10587</v>
      </c>
      <c r="FG25" s="119">
        <f t="shared" si="220"/>
        <v>3.058094258743602E-3</v>
      </c>
      <c r="FH25" s="119">
        <f t="shared" si="156"/>
        <v>0.23348479552603996</v>
      </c>
      <c r="FI25" s="32">
        <v>2688</v>
      </c>
      <c r="FJ25" s="119">
        <f t="shared" si="251"/>
        <v>3.6987551102127198E-3</v>
      </c>
      <c r="FK25" s="119">
        <f t="shared" si="340"/>
        <v>-2.9063829787234043</v>
      </c>
      <c r="FL25" s="32">
        <v>284</v>
      </c>
      <c r="FM25" s="119">
        <f t="shared" si="222"/>
        <v>2.9983013145017486E-4</v>
      </c>
      <c r="FN25" s="119">
        <f t="shared" si="341"/>
        <v>-0.87598253275109172</v>
      </c>
      <c r="FO25" s="32">
        <f t="shared" si="237"/>
        <v>2972</v>
      </c>
      <c r="FP25" s="119">
        <f t="shared" si="252"/>
        <v>1.7754582916650239E-3</v>
      </c>
      <c r="FQ25" s="119">
        <f t="shared" si="159"/>
        <v>2.3772727272727274</v>
      </c>
      <c r="FR25" s="32">
        <v>655</v>
      </c>
      <c r="FS25" s="123">
        <f t="shared" si="244"/>
        <v>7.2222626521912679E-4</v>
      </c>
      <c r="FT25" s="119">
        <f t="shared" si="354"/>
        <v>-7.3550212164073536E-2</v>
      </c>
      <c r="FU25" s="32">
        <v>3622</v>
      </c>
      <c r="FV25" s="123">
        <f t="shared" si="370"/>
        <v>1.4034125164868036E-3</v>
      </c>
      <c r="FW25" s="119">
        <f t="shared" si="224"/>
        <v>1.2822936357908001</v>
      </c>
      <c r="FX25" s="32">
        <v>27870</v>
      </c>
      <c r="FY25" s="123">
        <f t="shared" si="253"/>
        <v>2.0908448453585044E-2</v>
      </c>
      <c r="FZ25" s="119">
        <f t="shared" si="161"/>
        <v>2.0980435749221877</v>
      </c>
      <c r="GA25" s="32">
        <v>31497</v>
      </c>
      <c r="GB25" s="123">
        <f t="shared" si="342"/>
        <v>8.047658942988787E-3</v>
      </c>
      <c r="GC25" s="119">
        <f t="shared" si="343"/>
        <v>1.9750637574383676</v>
      </c>
      <c r="GD25" s="32">
        <v>2191.84</v>
      </c>
      <c r="GE25" s="119">
        <f t="shared" si="351"/>
        <v>2.6909723074807616E-3</v>
      </c>
      <c r="GF25" s="119">
        <f t="shared" si="164"/>
        <v>-0.18458333333333332</v>
      </c>
      <c r="GG25" s="32">
        <v>1834</v>
      </c>
      <c r="GH25" s="119">
        <f t="shared" si="225"/>
        <v>1.6504709331730259E-3</v>
      </c>
      <c r="GI25" s="119">
        <f t="shared" si="165"/>
        <v>5.457746478873239</v>
      </c>
      <c r="GJ25" s="32">
        <f t="shared" si="254"/>
        <v>4025.84</v>
      </c>
      <c r="GK25" s="123">
        <f t="shared" si="167"/>
        <v>2.0905700431112823E-3</v>
      </c>
      <c r="GL25" s="119">
        <f t="shared" si="226"/>
        <v>0.35458950201884254</v>
      </c>
      <c r="GM25" s="32">
        <v>3811</v>
      </c>
      <c r="GN25" s="123">
        <f t="shared" si="168"/>
        <v>3.6396072547658226E-3</v>
      </c>
      <c r="GO25" s="119">
        <f t="shared" si="169"/>
        <v>4.8183206106870227</v>
      </c>
      <c r="GP25" s="32">
        <f t="shared" si="170"/>
        <v>7836.84</v>
      </c>
      <c r="GQ25" s="123">
        <f t="shared" si="171"/>
        <v>2.6361769439973361E-3</v>
      </c>
      <c r="GR25" s="119">
        <f t="shared" si="172"/>
        <v>1.1636775262286032</v>
      </c>
      <c r="GS25" s="32">
        <v>3239.1</v>
      </c>
      <c r="GT25" s="123">
        <f t="shared" si="344"/>
        <v>1.9398050193824795E-3</v>
      </c>
      <c r="GU25" s="119">
        <f t="shared" si="227"/>
        <v>-0.88377825618945105</v>
      </c>
      <c r="GV25" s="32">
        <f t="shared" si="239"/>
        <v>11075.94</v>
      </c>
      <c r="GW25" s="123">
        <f t="shared" si="174"/>
        <v>2.385713042571725E-3</v>
      </c>
      <c r="GX25" s="119">
        <f t="shared" si="228"/>
        <v>-0.64834936660634346</v>
      </c>
      <c r="GY25" s="32">
        <v>6501.8794900000103</v>
      </c>
      <c r="GZ25" s="123">
        <f t="shared" si="352"/>
        <v>6.4318049747995694E-3</v>
      </c>
      <c r="HA25" s="119">
        <f t="shared" si="229"/>
        <v>1.9664024244470446</v>
      </c>
      <c r="HB25" s="32">
        <v>13019.435009999999</v>
      </c>
      <c r="HC25" s="123">
        <f t="shared" si="371"/>
        <v>9.6139307693102923E-3</v>
      </c>
      <c r="HD25" s="119">
        <f t="shared" si="249"/>
        <v>6.0989285768811339</v>
      </c>
      <c r="HE25" s="32">
        <f t="shared" si="177"/>
        <v>19521.314500000008</v>
      </c>
      <c r="HF25" s="123">
        <f t="shared" si="240"/>
        <v>8.2538333133907339E-3</v>
      </c>
      <c r="HG25" s="119">
        <f t="shared" si="245"/>
        <v>3.849004058780281</v>
      </c>
      <c r="HH25" s="32">
        <v>3843</v>
      </c>
      <c r="HI25" s="123">
        <f t="shared" si="353"/>
        <v>3.0784265819692159E-3</v>
      </c>
      <c r="HJ25" s="119">
        <f t="shared" si="241"/>
        <v>8.396746260823873E-3</v>
      </c>
      <c r="HK25" s="32">
        <v>23366</v>
      </c>
      <c r="HL25" s="123">
        <f t="shared" si="300"/>
        <v>6.4663319575612027E-3</v>
      </c>
      <c r="HM25" s="119">
        <f t="shared" si="230"/>
        <v>1.9815588936357003</v>
      </c>
      <c r="HN25" s="32">
        <v>3930</v>
      </c>
      <c r="HO25" s="123">
        <f t="shared" si="355"/>
        <v>2.1389314921469102E-3</v>
      </c>
      <c r="HP25" s="119">
        <f t="shared" si="180"/>
        <v>0.21329999073816808</v>
      </c>
      <c r="HQ25" s="32">
        <v>27296</v>
      </c>
      <c r="HR25" s="123">
        <f t="shared" si="181"/>
        <v>5.0076575184943564E-3</v>
      </c>
      <c r="HS25" s="119">
        <f t="shared" si="182"/>
        <v>1.4644409413557673</v>
      </c>
      <c r="HT25" s="32">
        <v>9048</v>
      </c>
      <c r="HU25" s="123">
        <f t="shared" si="242"/>
        <v>8.4077654746373184E-3</v>
      </c>
      <c r="HV25" s="119">
        <f t="shared" si="183"/>
        <v>0.3915976163378545</v>
      </c>
      <c r="HW25" s="32">
        <v>13111</v>
      </c>
      <c r="HX25" s="123">
        <f t="shared" si="184"/>
        <v>8.95139442666288E-3</v>
      </c>
      <c r="HY25" s="119">
        <f t="shared" si="307"/>
        <v>7.032946508790161E-3</v>
      </c>
      <c r="HZ25" s="32">
        <f t="shared" si="185"/>
        <v>22159</v>
      </c>
      <c r="IA25" s="123">
        <f t="shared" si="186"/>
        <v>8.7211453238225534E-3</v>
      </c>
      <c r="IB25" s="119">
        <f t="shared" si="301"/>
        <v>0.13511823192029371</v>
      </c>
      <c r="IC25" s="32">
        <v>14747</v>
      </c>
      <c r="ID25" s="123">
        <f t="shared" si="187"/>
        <v>1.1700086796602397E-2</v>
      </c>
      <c r="IE25" s="119">
        <f t="shared" si="308"/>
        <v>2.8373666406453291</v>
      </c>
      <c r="IF25" s="32">
        <f t="shared" si="188"/>
        <v>36906</v>
      </c>
      <c r="IG25" s="123">
        <f t="shared" si="189"/>
        <v>9.7089013257204062E-3</v>
      </c>
      <c r="IH25" s="119">
        <f t="shared" si="302"/>
        <v>0.57947445005563636</v>
      </c>
      <c r="II25" s="32">
        <v>34463</v>
      </c>
      <c r="IJ25" s="123">
        <f t="shared" si="22"/>
        <v>1.7944768664892131E-2</v>
      </c>
      <c r="IK25" s="119">
        <f t="shared" si="23"/>
        <v>7.7692111959287526</v>
      </c>
      <c r="IL25" s="32">
        <v>71458</v>
      </c>
      <c r="IM25" s="123">
        <f t="shared" si="24"/>
        <v>1.2488821178529601E-2</v>
      </c>
      <c r="IN25" s="119">
        <f t="shared" si="25"/>
        <v>1.6178927315357563</v>
      </c>
      <c r="IO25" s="205">
        <v>482.76788999996097</v>
      </c>
      <c r="IP25" s="123">
        <f t="shared" si="26"/>
        <v>3.9100522076900728E-4</v>
      </c>
      <c r="IQ25" s="119">
        <f t="shared" si="27"/>
        <v>-0.94664369031830675</v>
      </c>
      <c r="IR25" s="205">
        <v>3163.9908700000415</v>
      </c>
      <c r="IS25" s="123">
        <f t="shared" si="190"/>
        <v>1.9405558138337014E-3</v>
      </c>
      <c r="IT25" s="119">
        <f t="shared" si="309"/>
        <v>-0.75867661734421166</v>
      </c>
      <c r="IU25" s="32">
        <f t="shared" si="191"/>
        <v>3646.7587600000024</v>
      </c>
      <c r="IV25" s="123">
        <f t="shared" si="192"/>
        <v>1.2728029904297878E-3</v>
      </c>
      <c r="IW25" s="119">
        <f t="shared" si="303"/>
        <v>-0.83542764745701503</v>
      </c>
      <c r="IX25" s="205">
        <v>4518.4292900000037</v>
      </c>
      <c r="IY25" s="123">
        <f t="shared" si="193"/>
        <v>2.9872372135519645E-3</v>
      </c>
      <c r="IZ25" s="119">
        <f t="shared" si="310"/>
        <v>-0.69360349291381274</v>
      </c>
      <c r="JA25" s="32">
        <f t="shared" si="311"/>
        <v>8165.1880500000061</v>
      </c>
      <c r="JB25" s="123">
        <f t="shared" si="31"/>
        <v>1.8651699469906481E-3</v>
      </c>
      <c r="JC25" s="119">
        <f t="shared" si="32"/>
        <v>-0.77875716550154428</v>
      </c>
      <c r="JD25" s="32">
        <v>-1379.5645099998947</v>
      </c>
      <c r="JE25" s="123">
        <f t="shared" si="195"/>
        <v>-6.2076693867536674E-4</v>
      </c>
      <c r="JF25" s="119">
        <f t="shared" si="312"/>
        <v>-1.0400303081565707</v>
      </c>
      <c r="JG25" s="32">
        <f t="shared" si="313"/>
        <v>6785.6235400001115</v>
      </c>
      <c r="JH25" s="123">
        <f t="shared" si="34"/>
        <v>1.0281134072305128E-3</v>
      </c>
      <c r="JI25" s="119">
        <f t="shared" si="35"/>
        <v>-0.90504039379775381</v>
      </c>
      <c r="JJ25" s="205">
        <f>2301+JJ18</f>
        <v>-749</v>
      </c>
      <c r="JK25" s="123">
        <f t="shared" si="197"/>
        <v>-5.3545169174853936E-4</v>
      </c>
      <c r="JL25" s="119">
        <f>(JJ25/IO25)-1</f>
        <v>-2.5514702106638874</v>
      </c>
      <c r="JM25" s="205">
        <f>11677+JM18</f>
        <v>8586</v>
      </c>
      <c r="JN25" s="123">
        <f t="shared" si="198"/>
        <v>4.8235115006424042E-3</v>
      </c>
      <c r="JO25" s="119">
        <f>(JM25/IR25)-1</f>
        <v>1.7136614335425966</v>
      </c>
      <c r="JP25" s="32">
        <f t="shared" si="358"/>
        <v>7837</v>
      </c>
      <c r="JQ25" s="123">
        <f t="shared" si="199"/>
        <v>2.4653569687151013E-3</v>
      </c>
      <c r="JR25" s="119">
        <f>(JP25/IU25)-1</f>
        <v>1.1490316513286429</v>
      </c>
      <c r="JS25" s="205">
        <f>27087+JS18</f>
        <v>24010</v>
      </c>
      <c r="JT25" s="119">
        <f t="shared" si="37"/>
        <v>1.4028949534929513E-2</v>
      </c>
      <c r="JU25" s="119">
        <f t="shared" si="38"/>
        <v>4.3137934576375718</v>
      </c>
      <c r="JV25" s="32">
        <f t="shared" si="373"/>
        <v>31847</v>
      </c>
      <c r="JW25" s="119">
        <f t="shared" si="40"/>
        <v>6.5122647618934661E-3</v>
      </c>
      <c r="JX25" s="119">
        <f t="shared" si="41"/>
        <v>2.9003388293059551</v>
      </c>
      <c r="JY25" s="32">
        <v>-2024</v>
      </c>
      <c r="JZ25" s="119">
        <f t="shared" si="42"/>
        <v>-7.7992479736983464E-4</v>
      </c>
      <c r="KA25" s="119">
        <f t="shared" si="43"/>
        <v>0.46712965238584925</v>
      </c>
      <c r="KB25" s="32">
        <f t="shared" si="317"/>
        <v>29823</v>
      </c>
      <c r="KC25" s="119">
        <f t="shared" si="45"/>
        <v>3.9841382589357226E-3</v>
      </c>
      <c r="KD25" s="119">
        <f t="shared" si="46"/>
        <v>3.3950271959825686</v>
      </c>
      <c r="KE25" s="550">
        <v>28122</v>
      </c>
      <c r="KF25" s="119">
        <f t="shared" si="47"/>
        <v>1.704015604085711E-2</v>
      </c>
      <c r="KG25" s="119">
        <f t="shared" si="48"/>
        <v>-38.546061415220294</v>
      </c>
      <c r="KH25" s="550">
        <v>9834</v>
      </c>
      <c r="KI25" s="123">
        <f t="shared" si="200"/>
        <v>4.8698259955808091E-3</v>
      </c>
      <c r="KJ25" s="119">
        <f>(KH25/JM25)-1</f>
        <v>0.14535290006988122</v>
      </c>
      <c r="KK25" s="32">
        <f t="shared" si="360"/>
        <v>37956</v>
      </c>
      <c r="KL25" s="123">
        <f t="shared" si="201"/>
        <v>1.0343048812290668E-2</v>
      </c>
      <c r="KM25" s="119">
        <f>(KK25/JP25)-1</f>
        <v>3.843179788184254</v>
      </c>
      <c r="KN25" s="550">
        <v>2308</v>
      </c>
      <c r="KO25" s="549">
        <f t="shared" si="50"/>
        <v>1.194663972288765E-3</v>
      </c>
      <c r="KP25" s="549">
        <f t="shared" si="362"/>
        <v>-0.90387338608912948</v>
      </c>
      <c r="KQ25" s="548">
        <f t="shared" si="356"/>
        <v>40264</v>
      </c>
      <c r="KR25" s="549">
        <f t="shared" si="53"/>
        <v>7.1879013895050281E-3</v>
      </c>
      <c r="KS25" s="549">
        <f t="shared" si="363"/>
        <v>0.26429491003862227</v>
      </c>
      <c r="KT25" s="550">
        <v>21305</v>
      </c>
      <c r="KU25" s="549">
        <f t="shared" si="55"/>
        <v>7.4154437536589936E-3</v>
      </c>
      <c r="KV25" s="549">
        <f t="shared" si="364"/>
        <v>-11.526185770750988</v>
      </c>
      <c r="KW25" s="548">
        <f t="shared" si="357"/>
        <v>61569</v>
      </c>
      <c r="KX25" s="549">
        <f t="shared" si="58"/>
        <v>7.2650419313124385E-3</v>
      </c>
      <c r="KY25" s="549">
        <f t="shared" si="365"/>
        <v>1.0644804345639272</v>
      </c>
      <c r="KZ25" s="550">
        <v>3918</v>
      </c>
      <c r="LA25" s="549">
        <f t="shared" si="60"/>
        <v>2.5274484253441534E-3</v>
      </c>
      <c r="LB25" s="549">
        <f t="shared" si="366"/>
        <v>-0.86067847237038619</v>
      </c>
      <c r="LC25" s="550">
        <v>742921</v>
      </c>
      <c r="LD25" s="123">
        <f t="shared" si="202"/>
        <v>1.3767076325523131</v>
      </c>
      <c r="LE25" s="119">
        <f>(LC25/KH25)-1</f>
        <v>74.546166361602602</v>
      </c>
      <c r="LF25" s="32">
        <f t="shared" si="367"/>
        <v>746839</v>
      </c>
      <c r="LG25" s="123">
        <f t="shared" si="203"/>
        <v>0.35737069675033589</v>
      </c>
      <c r="LH25" s="119">
        <f>(LF25/KK25)-1</f>
        <v>18.676441142375381</v>
      </c>
      <c r="LI25" s="550">
        <v>3606</v>
      </c>
      <c r="LJ25" s="123">
        <f t="shared" si="204"/>
        <v>2.1838702468572799E-3</v>
      </c>
      <c r="LK25" s="119">
        <f>(LI25/KN25)-1</f>
        <v>0.56239168110918536</v>
      </c>
      <c r="LL25" s="32">
        <f t="shared" si="62"/>
        <v>750445</v>
      </c>
      <c r="LM25" s="123">
        <f t="shared" si="205"/>
        <v>0.2005994098389928</v>
      </c>
      <c r="LN25" s="119">
        <f>(LL25/KQ25)-1</f>
        <v>17.638113451221937</v>
      </c>
      <c r="LO25" s="550">
        <v>-1320</v>
      </c>
      <c r="LP25" s="123">
        <f t="shared" si="206"/>
        <v>-4.5212323235229444E-4</v>
      </c>
      <c r="LQ25" s="119">
        <f>(LO25/KT25)-1</f>
        <v>-1.0619572870218259</v>
      </c>
      <c r="LR25" s="32">
        <f t="shared" si="63"/>
        <v>749125</v>
      </c>
      <c r="LS25" s="123">
        <f t="shared" si="207"/>
        <v>0.11247158839685066</v>
      </c>
      <c r="LT25" s="119">
        <f>(LR25/KW25)-1</f>
        <v>11.167243255534441</v>
      </c>
    </row>
    <row r="26" spans="1:332" ht="16.5" customHeight="1">
      <c r="A26" s="105"/>
      <c r="B26" s="127" t="s">
        <v>223</v>
      </c>
      <c r="C26" s="116" t="s">
        <v>127</v>
      </c>
      <c r="D26" s="117">
        <v>0</v>
      </c>
      <c r="E26" s="118">
        <f t="shared" si="255"/>
        <v>0</v>
      </c>
      <c r="F26" s="117">
        <v>0</v>
      </c>
      <c r="G26" s="118">
        <f t="shared" si="256"/>
        <v>0</v>
      </c>
      <c r="H26" s="117">
        <f t="shared" si="325"/>
        <v>0</v>
      </c>
      <c r="I26" s="118">
        <f t="shared" si="257"/>
        <v>0</v>
      </c>
      <c r="J26" s="117">
        <v>10</v>
      </c>
      <c r="K26" s="118">
        <f t="shared" si="258"/>
        <v>3.9152274942935559E-5</v>
      </c>
      <c r="L26" s="117">
        <f t="shared" si="326"/>
        <v>10</v>
      </c>
      <c r="M26" s="118">
        <f t="shared" si="259"/>
        <v>1.3650516740311205E-5</v>
      </c>
      <c r="N26" s="117">
        <v>0</v>
      </c>
      <c r="O26" s="118">
        <f t="shared" si="260"/>
        <v>0</v>
      </c>
      <c r="P26" s="117">
        <f>L26+N26</f>
        <v>10</v>
      </c>
      <c r="Q26" s="118">
        <f t="shared" si="261"/>
        <v>8.799455137737872E-6</v>
      </c>
      <c r="R26" s="117">
        <v>0</v>
      </c>
      <c r="S26" s="118">
        <f t="shared" si="262"/>
        <v>0</v>
      </c>
      <c r="T26" s="26">
        <v>0</v>
      </c>
      <c r="U26" s="117">
        <v>0</v>
      </c>
      <c r="V26" s="119">
        <f t="shared" si="263"/>
        <v>0</v>
      </c>
      <c r="W26" s="26">
        <v>0</v>
      </c>
      <c r="X26" s="117">
        <f t="shared" si="327"/>
        <v>0</v>
      </c>
      <c r="Y26" s="119">
        <f t="shared" si="264"/>
        <v>0</v>
      </c>
      <c r="Z26" s="26">
        <v>0</v>
      </c>
      <c r="AA26" s="117">
        <v>0</v>
      </c>
      <c r="AB26" s="119">
        <f t="shared" si="265"/>
        <v>0</v>
      </c>
      <c r="AC26" s="26">
        <f t="shared" si="368"/>
        <v>-1</v>
      </c>
      <c r="AD26" s="117">
        <f t="shared" si="328"/>
        <v>0</v>
      </c>
      <c r="AE26" s="119">
        <f t="shared" si="266"/>
        <v>0</v>
      </c>
      <c r="AF26" s="26">
        <f t="shared" si="369"/>
        <v>-1</v>
      </c>
      <c r="AG26" s="117">
        <v>0</v>
      </c>
      <c r="AH26" s="119">
        <f t="shared" si="267"/>
        <v>0</v>
      </c>
      <c r="AI26" s="26">
        <v>0</v>
      </c>
      <c r="AJ26" s="117">
        <f t="shared" si="329"/>
        <v>0</v>
      </c>
      <c r="AK26" s="119">
        <f t="shared" si="268"/>
        <v>0</v>
      </c>
      <c r="AL26" s="26">
        <f t="shared" si="375"/>
        <v>-1</v>
      </c>
      <c r="AM26" s="120">
        <v>0</v>
      </c>
      <c r="AN26" s="119">
        <f t="shared" si="269"/>
        <v>0</v>
      </c>
      <c r="AO26" s="119">
        <v>0</v>
      </c>
      <c r="AP26" s="120">
        <v>0</v>
      </c>
      <c r="AQ26" s="119">
        <f t="shared" si="270"/>
        <v>0</v>
      </c>
      <c r="AR26" s="119">
        <v>0</v>
      </c>
      <c r="AS26" s="120">
        <f>AM26+AP26</f>
        <v>0</v>
      </c>
      <c r="AT26" s="119">
        <f t="shared" si="271"/>
        <v>0</v>
      </c>
      <c r="AU26" s="119">
        <v>0</v>
      </c>
      <c r="AV26" s="120">
        <v>0</v>
      </c>
      <c r="AW26" s="119">
        <f t="shared" si="272"/>
        <v>0</v>
      </c>
      <c r="AX26" s="119">
        <v>0</v>
      </c>
      <c r="AY26" s="120">
        <f>AV26+AS26</f>
        <v>0</v>
      </c>
      <c r="AZ26" s="119">
        <f t="shared" si="273"/>
        <v>0</v>
      </c>
      <c r="BA26" s="119">
        <v>0</v>
      </c>
      <c r="BB26" s="120">
        <v>0</v>
      </c>
      <c r="BC26" s="119">
        <f t="shared" si="274"/>
        <v>0</v>
      </c>
      <c r="BD26" s="119">
        <v>0</v>
      </c>
      <c r="BE26" s="120">
        <f t="shared" si="374"/>
        <v>0</v>
      </c>
      <c r="BF26" s="119">
        <f t="shared" si="275"/>
        <v>0</v>
      </c>
      <c r="BG26" s="119">
        <v>0</v>
      </c>
      <c r="BH26" s="120">
        <v>0</v>
      </c>
      <c r="BI26" s="119">
        <f t="shared" si="276"/>
        <v>0</v>
      </c>
      <c r="BJ26" s="119">
        <v>0</v>
      </c>
      <c r="BK26" s="120">
        <v>0</v>
      </c>
      <c r="BL26" s="119">
        <f t="shared" si="277"/>
        <v>0</v>
      </c>
      <c r="BM26" s="119">
        <v>0</v>
      </c>
      <c r="BN26" s="120">
        <f>BK26+BH26</f>
        <v>0</v>
      </c>
      <c r="BO26" s="119">
        <f t="shared" si="278"/>
        <v>0</v>
      </c>
      <c r="BP26" s="119">
        <v>0</v>
      </c>
      <c r="BQ26" s="120">
        <v>0</v>
      </c>
      <c r="BR26" s="119">
        <f t="shared" si="279"/>
        <v>0</v>
      </c>
      <c r="BS26" s="119">
        <v>0</v>
      </c>
      <c r="BT26" s="120">
        <f>BN26+BQ26</f>
        <v>0</v>
      </c>
      <c r="BU26" s="119">
        <f t="shared" si="280"/>
        <v>0</v>
      </c>
      <c r="BV26" s="119">
        <v>0</v>
      </c>
      <c r="BW26" s="120">
        <v>0</v>
      </c>
      <c r="BX26" s="119">
        <f t="shared" si="281"/>
        <v>0</v>
      </c>
      <c r="BY26" s="119">
        <v>0</v>
      </c>
      <c r="BZ26" s="120">
        <f>BT26+BW26</f>
        <v>0</v>
      </c>
      <c r="CA26" s="119">
        <f t="shared" si="282"/>
        <v>0</v>
      </c>
      <c r="CB26" s="119">
        <v>0</v>
      </c>
      <c r="CC26" s="120">
        <v>0</v>
      </c>
      <c r="CD26" s="119">
        <f t="shared" si="283"/>
        <v>0</v>
      </c>
      <c r="CE26" s="119">
        <v>0</v>
      </c>
      <c r="CF26" s="120">
        <v>0</v>
      </c>
      <c r="CG26" s="119">
        <f t="shared" si="284"/>
        <v>0</v>
      </c>
      <c r="CH26" s="119">
        <v>0</v>
      </c>
      <c r="CI26" s="120">
        <f>CF26+CC26</f>
        <v>0</v>
      </c>
      <c r="CJ26" s="119">
        <f t="shared" si="285"/>
        <v>0</v>
      </c>
      <c r="CK26" s="119">
        <v>0</v>
      </c>
      <c r="CL26" s="120">
        <v>0</v>
      </c>
      <c r="CM26" s="119">
        <f t="shared" si="286"/>
        <v>0</v>
      </c>
      <c r="CN26" s="119">
        <v>0</v>
      </c>
      <c r="CO26" s="121">
        <f t="shared" si="333"/>
        <v>0</v>
      </c>
      <c r="CP26" s="119">
        <f t="shared" si="287"/>
        <v>0</v>
      </c>
      <c r="CQ26" s="119">
        <v>0</v>
      </c>
      <c r="CR26" s="120">
        <v>0</v>
      </c>
      <c r="CS26" s="119">
        <f t="shared" si="288"/>
        <v>0</v>
      </c>
      <c r="CT26" s="119">
        <v>0</v>
      </c>
      <c r="CU26" s="122">
        <f>CO26+CR26</f>
        <v>0</v>
      </c>
      <c r="CV26" s="119">
        <f t="shared" si="289"/>
        <v>0</v>
      </c>
      <c r="CW26" s="119">
        <v>0</v>
      </c>
      <c r="CX26" s="120">
        <v>0</v>
      </c>
      <c r="CY26" s="119">
        <f t="shared" si="290"/>
        <v>0</v>
      </c>
      <c r="CZ26" s="119">
        <v>0</v>
      </c>
      <c r="DA26" s="120">
        <v>0</v>
      </c>
      <c r="DB26" s="119">
        <f t="shared" si="291"/>
        <v>0</v>
      </c>
      <c r="DC26" s="119">
        <v>0</v>
      </c>
      <c r="DD26" s="32">
        <f t="shared" si="334"/>
        <v>0</v>
      </c>
      <c r="DE26" s="119">
        <f t="shared" si="292"/>
        <v>0</v>
      </c>
      <c r="DF26" s="119">
        <v>0</v>
      </c>
      <c r="DG26" s="120">
        <v>0</v>
      </c>
      <c r="DH26" s="119">
        <f t="shared" si="293"/>
        <v>0</v>
      </c>
      <c r="DI26" s="119">
        <v>0</v>
      </c>
      <c r="DJ26" s="32">
        <f t="shared" si="335"/>
        <v>0</v>
      </c>
      <c r="DK26" s="119">
        <f t="shared" si="294"/>
        <v>0</v>
      </c>
      <c r="DL26" s="119">
        <v>0</v>
      </c>
      <c r="DM26" s="120">
        <v>0</v>
      </c>
      <c r="DN26" s="119">
        <f t="shared" si="295"/>
        <v>0</v>
      </c>
      <c r="DO26" s="119">
        <v>0</v>
      </c>
      <c r="DP26" s="32">
        <f>DJ26+DM26</f>
        <v>0</v>
      </c>
      <c r="DQ26" s="119">
        <f t="shared" si="296"/>
        <v>0</v>
      </c>
      <c r="DR26" s="119">
        <v>0</v>
      </c>
      <c r="DS26" s="93">
        <v>0</v>
      </c>
      <c r="DT26" s="119" t="s">
        <v>112</v>
      </c>
      <c r="DU26" s="119" t="s">
        <v>112</v>
      </c>
      <c r="DV26" s="93">
        <v>0</v>
      </c>
      <c r="DW26" s="119">
        <f t="shared" si="298"/>
        <v>0</v>
      </c>
      <c r="DX26" s="119">
        <v>0</v>
      </c>
      <c r="DY26" s="32">
        <f t="shared" si="336"/>
        <v>0</v>
      </c>
      <c r="DZ26" s="119">
        <f t="shared" si="299"/>
        <v>0</v>
      </c>
      <c r="EA26" s="119">
        <v>0</v>
      </c>
      <c r="EB26" s="93">
        <v>0</v>
      </c>
      <c r="EC26" s="119">
        <f t="shared" si="349"/>
        <v>0</v>
      </c>
      <c r="ED26" s="119">
        <v>0</v>
      </c>
      <c r="EE26" s="32">
        <f t="shared" si="337"/>
        <v>0</v>
      </c>
      <c r="EF26" s="119">
        <f t="shared" si="350"/>
        <v>0</v>
      </c>
      <c r="EG26" s="119">
        <v>0</v>
      </c>
      <c r="EH26" s="32">
        <v>0</v>
      </c>
      <c r="EI26" s="119">
        <f t="shared" si="250"/>
        <v>0</v>
      </c>
      <c r="EJ26" s="119">
        <v>0</v>
      </c>
      <c r="EK26" s="32">
        <v>0</v>
      </c>
      <c r="EL26" s="119">
        <f t="shared" si="215"/>
        <v>0</v>
      </c>
      <c r="EM26" s="119">
        <v>0</v>
      </c>
      <c r="EN26" s="32">
        <v>0</v>
      </c>
      <c r="EO26" s="119">
        <f t="shared" si="216"/>
        <v>0</v>
      </c>
      <c r="EP26" s="119">
        <v>0</v>
      </c>
      <c r="EQ26" s="93">
        <v>0</v>
      </c>
      <c r="ER26" s="119">
        <f t="shared" si="233"/>
        <v>0</v>
      </c>
      <c r="ES26" s="119">
        <v>0</v>
      </c>
      <c r="ET26" s="32">
        <f t="shared" si="338"/>
        <v>0</v>
      </c>
      <c r="EU26" s="119">
        <f t="shared" si="234"/>
        <v>0</v>
      </c>
      <c r="EV26" s="119">
        <v>0</v>
      </c>
      <c r="EW26" s="93">
        <v>0</v>
      </c>
      <c r="EX26" s="119">
        <f t="shared" si="235"/>
        <v>0</v>
      </c>
      <c r="EY26" s="119">
        <v>0</v>
      </c>
      <c r="EZ26" s="32">
        <f t="shared" si="372"/>
        <v>0</v>
      </c>
      <c r="FA26" s="119">
        <f t="shared" si="236"/>
        <v>0</v>
      </c>
      <c r="FB26" s="119">
        <v>0</v>
      </c>
      <c r="FC26" s="93">
        <v>0</v>
      </c>
      <c r="FD26" s="119">
        <f t="shared" si="219"/>
        <v>0</v>
      </c>
      <c r="FE26" s="119">
        <v>0</v>
      </c>
      <c r="FF26" s="32">
        <v>0</v>
      </c>
      <c r="FG26" s="119">
        <f t="shared" si="220"/>
        <v>0</v>
      </c>
      <c r="FH26" s="119">
        <v>0</v>
      </c>
      <c r="FI26" s="93" t="s">
        <v>112</v>
      </c>
      <c r="FJ26" s="119">
        <v>0</v>
      </c>
      <c r="FK26" s="119">
        <v>0</v>
      </c>
      <c r="FL26" s="93" t="s">
        <v>112</v>
      </c>
      <c r="FM26" s="119">
        <v>0</v>
      </c>
      <c r="FN26" s="119">
        <v>0</v>
      </c>
      <c r="FO26" s="93" t="s">
        <v>112</v>
      </c>
      <c r="FP26" s="119">
        <v>0</v>
      </c>
      <c r="FQ26" s="119">
        <v>0</v>
      </c>
      <c r="FR26" s="93">
        <v>0</v>
      </c>
      <c r="FS26" s="123">
        <f t="shared" si="244"/>
        <v>0</v>
      </c>
      <c r="FT26" s="119">
        <v>0</v>
      </c>
      <c r="FU26" s="93">
        <v>0</v>
      </c>
      <c r="FV26" s="123">
        <f t="shared" si="370"/>
        <v>0</v>
      </c>
      <c r="FW26" s="119">
        <v>0</v>
      </c>
      <c r="FX26" s="93">
        <v>0</v>
      </c>
      <c r="FY26" s="123">
        <f t="shared" si="253"/>
        <v>0</v>
      </c>
      <c r="FZ26" s="119" t="s">
        <v>112</v>
      </c>
      <c r="GA26" s="93">
        <v>0</v>
      </c>
      <c r="GB26" s="123">
        <f t="shared" si="342"/>
        <v>0</v>
      </c>
      <c r="GC26" s="119" t="s">
        <v>112</v>
      </c>
      <c r="GD26" s="93">
        <v>0</v>
      </c>
      <c r="GE26" s="119">
        <f t="shared" si="351"/>
        <v>0</v>
      </c>
      <c r="GF26" s="119">
        <v>0</v>
      </c>
      <c r="GG26" s="93">
        <v>0</v>
      </c>
      <c r="GH26" s="119">
        <f t="shared" si="225"/>
        <v>0</v>
      </c>
      <c r="GI26" s="119" t="s">
        <v>112</v>
      </c>
      <c r="GJ26" s="93" t="s">
        <v>112</v>
      </c>
      <c r="GK26" s="123" t="s">
        <v>112</v>
      </c>
      <c r="GL26" s="119">
        <v>0</v>
      </c>
      <c r="GM26" s="93">
        <v>0</v>
      </c>
      <c r="GN26" s="123">
        <f t="shared" si="168"/>
        <v>0</v>
      </c>
      <c r="GO26" s="119" t="s">
        <v>112</v>
      </c>
      <c r="GP26" s="93" t="s">
        <v>112</v>
      </c>
      <c r="GQ26" s="123" t="s">
        <v>354</v>
      </c>
      <c r="GR26" s="119">
        <v>0</v>
      </c>
      <c r="GS26" s="93">
        <v>0</v>
      </c>
      <c r="GT26" s="123">
        <f t="shared" si="344"/>
        <v>0</v>
      </c>
      <c r="GU26" s="119" t="s">
        <v>112</v>
      </c>
      <c r="GV26" s="93" t="s">
        <v>112</v>
      </c>
      <c r="GW26" s="123" t="s">
        <v>112</v>
      </c>
      <c r="GX26" s="119" t="s">
        <v>112</v>
      </c>
      <c r="GY26" s="120" t="str">
        <f>GV26</f>
        <v>-</v>
      </c>
      <c r="GZ26" s="123" t="s">
        <v>112</v>
      </c>
      <c r="HA26" s="119" t="s">
        <v>112</v>
      </c>
      <c r="HB26" s="93">
        <v>0</v>
      </c>
      <c r="HC26" s="123">
        <f t="shared" si="371"/>
        <v>0</v>
      </c>
      <c r="HD26" s="119" t="s">
        <v>112</v>
      </c>
      <c r="HE26" s="93">
        <v>0</v>
      </c>
      <c r="HF26" s="123">
        <f>(HE26/$HB$8)</f>
        <v>0</v>
      </c>
      <c r="HG26" s="119" t="s">
        <v>112</v>
      </c>
      <c r="HH26" s="93">
        <v>0</v>
      </c>
      <c r="HI26" s="123">
        <f t="shared" si="353"/>
        <v>0</v>
      </c>
      <c r="HJ26" s="119" t="s">
        <v>112</v>
      </c>
      <c r="HK26" s="93" t="s">
        <v>112</v>
      </c>
      <c r="HL26" s="123" t="s">
        <v>112</v>
      </c>
      <c r="HM26" s="119" t="s">
        <v>112</v>
      </c>
      <c r="HN26" s="93">
        <v>0</v>
      </c>
      <c r="HO26" s="123">
        <f t="shared" si="355"/>
        <v>0</v>
      </c>
      <c r="HP26" s="119" t="s">
        <v>112</v>
      </c>
      <c r="HQ26" s="93" t="s">
        <v>112</v>
      </c>
      <c r="HR26" s="123" t="s">
        <v>112</v>
      </c>
      <c r="HS26" s="119" t="s">
        <v>112</v>
      </c>
      <c r="HT26" s="120">
        <v>0</v>
      </c>
      <c r="HU26" s="123" t="s">
        <v>112</v>
      </c>
      <c r="HV26" s="119" t="s">
        <v>112</v>
      </c>
      <c r="HW26" s="93">
        <v>0</v>
      </c>
      <c r="HX26" s="123">
        <f t="shared" si="184"/>
        <v>0</v>
      </c>
      <c r="HY26" s="119" t="s">
        <v>112</v>
      </c>
      <c r="HZ26" s="93">
        <v>0</v>
      </c>
      <c r="IA26" s="123">
        <f>(HZ26/$HB$8)</f>
        <v>0</v>
      </c>
      <c r="IB26" s="119" t="s">
        <v>112</v>
      </c>
      <c r="IC26" s="93">
        <v>0</v>
      </c>
      <c r="ID26" s="123">
        <f t="shared" si="187"/>
        <v>0</v>
      </c>
      <c r="IE26" s="119" t="s">
        <v>112</v>
      </c>
      <c r="IF26" s="93">
        <v>0</v>
      </c>
      <c r="IG26" s="123">
        <f>(IF26/$HB$8)</f>
        <v>0</v>
      </c>
      <c r="IH26" s="119" t="s">
        <v>112</v>
      </c>
      <c r="II26" s="93">
        <v>0</v>
      </c>
      <c r="IJ26" s="123">
        <f t="shared" si="22"/>
        <v>0</v>
      </c>
      <c r="IK26" s="119" t="s">
        <v>112</v>
      </c>
      <c r="IL26" s="32">
        <f t="shared" si="247"/>
        <v>0</v>
      </c>
      <c r="IM26" s="123">
        <f>(IL26/$HB$8)</f>
        <v>0</v>
      </c>
      <c r="IN26" s="119" t="s">
        <v>112</v>
      </c>
      <c r="IO26" s="120">
        <v>0</v>
      </c>
      <c r="IP26" s="123" t="s">
        <v>112</v>
      </c>
      <c r="IQ26" s="119" t="s">
        <v>112</v>
      </c>
      <c r="IR26" s="93">
        <v>0</v>
      </c>
      <c r="IS26" s="123">
        <f t="shared" si="190"/>
        <v>0</v>
      </c>
      <c r="IT26" s="119" t="s">
        <v>112</v>
      </c>
      <c r="IU26" s="93">
        <v>0</v>
      </c>
      <c r="IV26" s="123">
        <f>(IU26/$HB$8)</f>
        <v>0</v>
      </c>
      <c r="IW26" s="119" t="s">
        <v>112</v>
      </c>
      <c r="IX26" s="93">
        <v>0</v>
      </c>
      <c r="IY26" s="123">
        <f t="shared" si="193"/>
        <v>0</v>
      </c>
      <c r="IZ26" s="119" t="s">
        <v>112</v>
      </c>
      <c r="JA26" s="93">
        <v>0</v>
      </c>
      <c r="JB26" s="123">
        <f>(JA26/$HB$8)</f>
        <v>0</v>
      </c>
      <c r="JC26" s="119" t="s">
        <v>112</v>
      </c>
      <c r="JD26" s="93">
        <v>0</v>
      </c>
      <c r="JE26" s="123">
        <f t="shared" si="195"/>
        <v>0</v>
      </c>
      <c r="JF26" s="119" t="s">
        <v>112</v>
      </c>
      <c r="JG26" s="93">
        <v>0</v>
      </c>
      <c r="JH26" s="123">
        <f>(JG26/$HB$8)</f>
        <v>0</v>
      </c>
      <c r="JI26" s="119" t="s">
        <v>112</v>
      </c>
      <c r="JJ26" s="93">
        <v>0</v>
      </c>
      <c r="JK26" s="123">
        <f t="shared" si="197"/>
        <v>0</v>
      </c>
      <c r="JL26" s="119" t="s">
        <v>112</v>
      </c>
      <c r="JM26" s="93">
        <v>0</v>
      </c>
      <c r="JN26" s="123">
        <f t="shared" si="198"/>
        <v>0</v>
      </c>
      <c r="JO26" s="119" t="s">
        <v>112</v>
      </c>
      <c r="JP26" s="93">
        <f t="shared" si="358"/>
        <v>0</v>
      </c>
      <c r="JQ26" s="123">
        <f t="shared" si="199"/>
        <v>0</v>
      </c>
      <c r="JR26" s="119" t="s">
        <v>112</v>
      </c>
      <c r="JS26" s="93">
        <v>0</v>
      </c>
      <c r="JT26" s="119">
        <f t="shared" si="37"/>
        <v>0</v>
      </c>
      <c r="JU26" s="119" t="s">
        <v>112</v>
      </c>
      <c r="JV26" s="93">
        <f t="shared" si="373"/>
        <v>0</v>
      </c>
      <c r="JW26" s="119">
        <f t="shared" si="40"/>
        <v>0</v>
      </c>
      <c r="JX26" s="119" t="s">
        <v>112</v>
      </c>
      <c r="JY26" s="93">
        <v>0</v>
      </c>
      <c r="JZ26" s="119">
        <f t="shared" si="42"/>
        <v>0</v>
      </c>
      <c r="KA26" s="119" t="s">
        <v>112</v>
      </c>
      <c r="KB26" s="93">
        <f t="shared" si="317"/>
        <v>0</v>
      </c>
      <c r="KC26" s="119">
        <f t="shared" si="45"/>
        <v>0</v>
      </c>
      <c r="KD26" s="119" t="s">
        <v>112</v>
      </c>
      <c r="KE26" s="552">
        <v>0</v>
      </c>
      <c r="KF26" s="119" t="s">
        <v>112</v>
      </c>
      <c r="KG26" s="119" t="s">
        <v>112</v>
      </c>
      <c r="KH26" s="552">
        <v>0</v>
      </c>
      <c r="KI26" s="123">
        <f t="shared" si="200"/>
        <v>0</v>
      </c>
      <c r="KJ26" s="119" t="s">
        <v>112</v>
      </c>
      <c r="KK26" s="93" t="s">
        <v>112</v>
      </c>
      <c r="KL26" s="123" t="s">
        <v>112</v>
      </c>
      <c r="KM26" s="119" t="s">
        <v>112</v>
      </c>
      <c r="KN26" s="93">
        <v>0</v>
      </c>
      <c r="KO26" s="119">
        <f t="shared" si="50"/>
        <v>0</v>
      </c>
      <c r="KP26" s="119" t="s">
        <v>112</v>
      </c>
      <c r="KQ26" s="93">
        <v>0</v>
      </c>
      <c r="KR26" s="119">
        <f t="shared" si="53"/>
        <v>0</v>
      </c>
      <c r="KS26" s="119" t="s">
        <v>112</v>
      </c>
      <c r="KT26" s="93">
        <v>0</v>
      </c>
      <c r="KU26" s="119">
        <f t="shared" si="55"/>
        <v>0</v>
      </c>
      <c r="KV26" s="119" t="s">
        <v>112</v>
      </c>
      <c r="KW26" s="32">
        <f t="shared" si="357"/>
        <v>0</v>
      </c>
      <c r="KX26" s="119">
        <f t="shared" si="58"/>
        <v>0</v>
      </c>
      <c r="KY26" s="119" t="s">
        <v>112</v>
      </c>
      <c r="KZ26" s="93">
        <v>0</v>
      </c>
      <c r="LA26" s="119">
        <f t="shared" si="60"/>
        <v>0</v>
      </c>
      <c r="LB26" s="119" t="s">
        <v>112</v>
      </c>
      <c r="LC26" s="93">
        <v>0</v>
      </c>
      <c r="LD26" s="123">
        <f t="shared" si="202"/>
        <v>0</v>
      </c>
      <c r="LE26" s="119" t="s">
        <v>112</v>
      </c>
      <c r="LF26" s="93">
        <v>0</v>
      </c>
      <c r="LG26" s="123" t="s">
        <v>112</v>
      </c>
      <c r="LH26" s="119" t="s">
        <v>112</v>
      </c>
      <c r="LI26" s="93">
        <v>0</v>
      </c>
      <c r="LJ26" s="123" t="s">
        <v>112</v>
      </c>
      <c r="LK26" s="119" t="s">
        <v>112</v>
      </c>
      <c r="LL26" s="93">
        <f t="shared" si="62"/>
        <v>0</v>
      </c>
      <c r="LM26" s="123" t="s">
        <v>112</v>
      </c>
      <c r="LN26" s="119" t="s">
        <v>112</v>
      </c>
      <c r="LO26" s="93">
        <v>0</v>
      </c>
      <c r="LP26" s="123" t="s">
        <v>112</v>
      </c>
      <c r="LQ26" s="119" t="s">
        <v>112</v>
      </c>
      <c r="LR26" s="93">
        <f t="shared" si="63"/>
        <v>0</v>
      </c>
      <c r="LS26" s="123" t="s">
        <v>112</v>
      </c>
      <c r="LT26" s="119" t="s">
        <v>112</v>
      </c>
    </row>
    <row r="27" spans="1:332" ht="16.5" customHeight="1">
      <c r="A27" s="114"/>
      <c r="B27" s="127" t="s">
        <v>147</v>
      </c>
      <c r="C27" s="116" t="s">
        <v>152</v>
      </c>
      <c r="D27" s="121">
        <v>-7665</v>
      </c>
      <c r="E27" s="118">
        <f t="shared" si="255"/>
        <v>-3.8709775165141506E-2</v>
      </c>
      <c r="F27" s="121">
        <v>19938</v>
      </c>
      <c r="G27" s="118">
        <f t="shared" si="256"/>
        <v>7.1424477338186201E-2</v>
      </c>
      <c r="H27" s="117">
        <f t="shared" si="325"/>
        <v>12273</v>
      </c>
      <c r="I27" s="118">
        <f t="shared" si="257"/>
        <v>2.5720932182077289E-2</v>
      </c>
      <c r="J27" s="121">
        <v>1234</v>
      </c>
      <c r="K27" s="118">
        <f t="shared" si="258"/>
        <v>4.831390727958248E-3</v>
      </c>
      <c r="L27" s="117">
        <f t="shared" si="326"/>
        <v>13507</v>
      </c>
      <c r="M27" s="118">
        <f t="shared" si="259"/>
        <v>1.8437752961138344E-2</v>
      </c>
      <c r="N27" s="121">
        <v>3820</v>
      </c>
      <c r="O27" s="118">
        <f t="shared" si="260"/>
        <v>9.4586998992227528E-3</v>
      </c>
      <c r="P27" s="117">
        <f>L27+N27</f>
        <v>17327</v>
      </c>
      <c r="Q27" s="118">
        <f t="shared" si="261"/>
        <v>1.524681591715841E-2</v>
      </c>
      <c r="R27" s="121">
        <v>-388</v>
      </c>
      <c r="S27" s="118">
        <f t="shared" si="262"/>
        <v>-1.5458475268431643E-3</v>
      </c>
      <c r="T27" s="26">
        <f>R27/D27-1</f>
        <v>-0.94938030006523155</v>
      </c>
      <c r="U27" s="121">
        <v>-1397</v>
      </c>
      <c r="V27" s="119">
        <f t="shared" si="263"/>
        <v>-3.9054091454226759E-3</v>
      </c>
      <c r="W27" s="26">
        <f>U27/F27-1</f>
        <v>-1.0700672083458722</v>
      </c>
      <c r="X27" s="117">
        <f t="shared" si="327"/>
        <v>-1785</v>
      </c>
      <c r="Y27" s="119">
        <f t="shared" si="264"/>
        <v>-2.9324597834086848E-3</v>
      </c>
      <c r="Z27" s="26">
        <f>X27/H27-1</f>
        <v>-1.1454412124175017</v>
      </c>
      <c r="AA27" s="121">
        <v>-452</v>
      </c>
      <c r="AB27" s="119">
        <f t="shared" si="265"/>
        <v>-1.4101952122000606E-3</v>
      </c>
      <c r="AC27" s="26">
        <f t="shared" si="368"/>
        <v>-1.366288492706645</v>
      </c>
      <c r="AD27" s="117">
        <f t="shared" si="328"/>
        <v>-2237</v>
      </c>
      <c r="AE27" s="119">
        <f t="shared" si="266"/>
        <v>-2.4073773146927502E-3</v>
      </c>
      <c r="AF27" s="26">
        <f t="shared" si="369"/>
        <v>-1.1656178277929963</v>
      </c>
      <c r="AG27" s="121">
        <v>-1097</v>
      </c>
      <c r="AH27" s="119">
        <f t="shared" si="267"/>
        <v>-2.1642245979809779E-3</v>
      </c>
      <c r="AI27" s="26">
        <f>AG27/N27-1</f>
        <v>-1.28717277486911</v>
      </c>
      <c r="AJ27" s="117">
        <f t="shared" si="329"/>
        <v>-3334</v>
      </c>
      <c r="AK27" s="119">
        <f t="shared" si="268"/>
        <v>-2.3215572677485283E-3</v>
      </c>
      <c r="AL27" s="26">
        <f t="shared" si="375"/>
        <v>-1.1924164598603335</v>
      </c>
      <c r="AM27" s="120">
        <v>-3098</v>
      </c>
      <c r="AN27" s="119">
        <f t="shared" si="269"/>
        <v>-9.9841117911135605E-3</v>
      </c>
      <c r="AO27" s="119">
        <f>AM27/R27-1</f>
        <v>6.9845360824742269</v>
      </c>
      <c r="AP27" s="120">
        <v>-3754</v>
      </c>
      <c r="AQ27" s="119">
        <f t="shared" si="270"/>
        <v>-8.4482002002903081E-3</v>
      </c>
      <c r="AR27" s="119">
        <f>AP27/U27-1</f>
        <v>1.6871868289191125</v>
      </c>
      <c r="AS27" s="120">
        <f>AM27+AP27</f>
        <v>-6852</v>
      </c>
      <c r="AT27" s="119">
        <f t="shared" si="271"/>
        <v>-9.0797298873116997E-3</v>
      </c>
      <c r="AU27" s="119">
        <f>AS27/X27-1</f>
        <v>2.8386554621848741</v>
      </c>
      <c r="AV27" s="120">
        <v>-2734</v>
      </c>
      <c r="AW27" s="119">
        <f t="shared" si="272"/>
        <v>-6.9152514935830311E-3</v>
      </c>
      <c r="AX27" s="119">
        <f>AV27/AA27-1</f>
        <v>5.0486725663716818</v>
      </c>
      <c r="AY27" s="120">
        <f>AV27+AS27</f>
        <v>-9586</v>
      </c>
      <c r="AZ27" s="119">
        <f t="shared" si="273"/>
        <v>-8.3356086837807798E-3</v>
      </c>
      <c r="BA27" s="119">
        <f>AY27/AD27-1</f>
        <v>3.2852033974072414</v>
      </c>
      <c r="BB27" s="120">
        <v>-3671</v>
      </c>
      <c r="BC27" s="119">
        <f t="shared" si="274"/>
        <v>-6.1008239685436134E-3</v>
      </c>
      <c r="BD27" s="119">
        <f>BB27/AG27-1</f>
        <v>2.3463992707383774</v>
      </c>
      <c r="BE27" s="120">
        <f t="shared" si="374"/>
        <v>-13257</v>
      </c>
      <c r="BF27" s="119">
        <f t="shared" si="275"/>
        <v>-7.5679557556880975E-3</v>
      </c>
      <c r="BG27" s="119">
        <f>BE27/AJ27-1</f>
        <v>2.9763047390521895</v>
      </c>
      <c r="BH27" s="120">
        <v>-579</v>
      </c>
      <c r="BI27" s="119">
        <f t="shared" si="276"/>
        <v>-1.5102391081503353E-3</v>
      </c>
      <c r="BJ27" s="119">
        <f>(BH27/AM27)-1</f>
        <v>-0.81310522918011618</v>
      </c>
      <c r="BK27" s="120">
        <v>-2342</v>
      </c>
      <c r="BL27" s="119">
        <f t="shared" si="277"/>
        <v>-4.5899428902921339E-3</v>
      </c>
      <c r="BM27" s="119">
        <f>(BK27/AP27)-1</f>
        <v>-0.37613212573255195</v>
      </c>
      <c r="BN27" s="120">
        <f>BK27+BH27-1</f>
        <v>-2922</v>
      </c>
      <c r="BO27" s="119">
        <f t="shared" si="278"/>
        <v>-3.2698133117882253E-3</v>
      </c>
      <c r="BP27" s="119">
        <f>BN27/AS27-1</f>
        <v>-0.5735551663747811</v>
      </c>
      <c r="BQ27" s="120">
        <v>167</v>
      </c>
      <c r="BR27" s="119">
        <f t="shared" si="279"/>
        <v>3.7190947678794926E-4</v>
      </c>
      <c r="BS27" s="119">
        <f>(BQ27/AV27)-1</f>
        <v>-1.0610826627651793</v>
      </c>
      <c r="BT27" s="120">
        <f>BN27+BQ27+1</f>
        <v>-2754</v>
      </c>
      <c r="BU27" s="119">
        <f t="shared" si="280"/>
        <v>-2.0511460797340213E-3</v>
      </c>
      <c r="BV27" s="119">
        <f>BT27/AY27-1</f>
        <v>-0.71270602962653873</v>
      </c>
      <c r="BW27" s="120">
        <v>6924</v>
      </c>
      <c r="BX27" s="119">
        <f t="shared" si="281"/>
        <v>1.1281319347364923E-2</v>
      </c>
      <c r="BY27" s="119">
        <f>(BW27/BB27)-1</f>
        <v>-2.8861345682375372</v>
      </c>
      <c r="BZ27" s="120">
        <f>BT27+BW27</f>
        <v>4170</v>
      </c>
      <c r="CA27" s="119">
        <f t="shared" si="282"/>
        <v>2.1314419895094206E-3</v>
      </c>
      <c r="CB27" s="119">
        <f>(BZ27/BE27)-1</f>
        <v>-1.314550803349174</v>
      </c>
      <c r="CC27" s="120">
        <v>-33</v>
      </c>
      <c r="CD27" s="119">
        <f t="shared" si="283"/>
        <v>-9.0997079820983925E-5</v>
      </c>
      <c r="CE27" s="119">
        <f>(CC27/BH27)-1</f>
        <v>-0.94300518134715028</v>
      </c>
      <c r="CF27" s="120">
        <v>2305</v>
      </c>
      <c r="CG27" s="119">
        <f t="shared" si="284"/>
        <v>4.1551596086037944E-3</v>
      </c>
      <c r="CH27" s="119">
        <f>(CF27/BK27)-1</f>
        <v>-1.9842015371477371</v>
      </c>
      <c r="CI27" s="120">
        <f>CF27+CC27</f>
        <v>2272</v>
      </c>
      <c r="CJ27" s="119">
        <f t="shared" si="285"/>
        <v>2.4766181952952976E-3</v>
      </c>
      <c r="CK27" s="119">
        <f>(CI27/BN27)-1</f>
        <v>-1.7775496235455168</v>
      </c>
      <c r="CL27" s="120">
        <v>1571</v>
      </c>
      <c r="CM27" s="119">
        <f t="shared" si="286"/>
        <v>3.227662153555359E-3</v>
      </c>
      <c r="CN27" s="119">
        <f>(CL27/BQ27)-1</f>
        <v>8.4071856287425142</v>
      </c>
      <c r="CO27" s="121">
        <f t="shared" si="333"/>
        <v>3843</v>
      </c>
      <c r="CP27" s="119">
        <f t="shared" si="287"/>
        <v>2.7369631033443936E-3</v>
      </c>
      <c r="CQ27" s="119">
        <f>(CO27/BT27)-1</f>
        <v>-2.3954248366013071</v>
      </c>
      <c r="CR27" s="120">
        <v>3775</v>
      </c>
      <c r="CS27" s="119">
        <f t="shared" si="288"/>
        <v>5.3030239176914493E-3</v>
      </c>
      <c r="CT27" s="119">
        <f>(CR27/BW27)-1</f>
        <v>-0.45479491623339108</v>
      </c>
      <c r="CU27" s="122">
        <v>7617</v>
      </c>
      <c r="CV27" s="119">
        <f t="shared" si="289"/>
        <v>3.5997708850039321E-3</v>
      </c>
      <c r="CW27" s="119">
        <f>(CU27/BZ27)-1</f>
        <v>0.82661870503597124</v>
      </c>
      <c r="CX27" s="120">
        <v>5452</v>
      </c>
      <c r="CY27" s="119">
        <f t="shared" si="290"/>
        <v>1.2383985317299874E-2</v>
      </c>
      <c r="CZ27" s="119">
        <f>CX27/CC27-1</f>
        <v>-166.21212121212122</v>
      </c>
      <c r="DA27" s="120">
        <v>7078</v>
      </c>
      <c r="DB27" s="119">
        <f t="shared" si="291"/>
        <v>1.1235116803626729E-2</v>
      </c>
      <c r="DC27" s="119">
        <f>DA27/CF27-1</f>
        <v>2.070715835140998</v>
      </c>
      <c r="DD27" s="32">
        <f t="shared" si="334"/>
        <v>12530</v>
      </c>
      <c r="DE27" s="119">
        <f t="shared" si="292"/>
        <v>1.170770905455344E-2</v>
      </c>
      <c r="DF27" s="119">
        <f>DD27/CI27-1</f>
        <v>4.514964788732394</v>
      </c>
      <c r="DG27" s="120">
        <v>8586</v>
      </c>
      <c r="DH27" s="119">
        <f t="shared" si="293"/>
        <v>1.5096529169743644E-2</v>
      </c>
      <c r="DI27" s="119">
        <f>DG27/CL27-1</f>
        <v>4.4653087205601532</v>
      </c>
      <c r="DJ27" s="32">
        <f t="shared" si="335"/>
        <v>21116</v>
      </c>
      <c r="DK27" s="119">
        <f t="shared" si="294"/>
        <v>1.2883662044875609E-2</v>
      </c>
      <c r="DL27" s="119">
        <f>DJ27/CO27-1</f>
        <v>4.494665625813167</v>
      </c>
      <c r="DM27" s="120">
        <v>6181</v>
      </c>
      <c r="DN27" s="119">
        <f t="shared" si="295"/>
        <v>7.5038636217402022E-3</v>
      </c>
      <c r="DO27" s="119">
        <f>DM27/CR27-1</f>
        <v>0.63735099337748347</v>
      </c>
      <c r="DP27" s="32">
        <f>DJ27+DM27</f>
        <v>27297</v>
      </c>
      <c r="DQ27" s="119">
        <f t="shared" si="296"/>
        <v>1.108425241900805E-2</v>
      </c>
      <c r="DR27" s="119">
        <f>DP27/CU27-1</f>
        <v>2.5836943678613626</v>
      </c>
      <c r="DS27" s="32">
        <v>5770</v>
      </c>
      <c r="DT27" s="119">
        <f>DS27/$DS$8</f>
        <v>1.1145300333972692E-2</v>
      </c>
      <c r="DU27" s="119">
        <f>(DS27/CX27)-1</f>
        <v>5.8327219369038952E-2</v>
      </c>
      <c r="DV27" s="32">
        <v>1380</v>
      </c>
      <c r="DW27" s="119">
        <f t="shared" si="298"/>
        <v>1.8408517007201999E-3</v>
      </c>
      <c r="DX27" s="119">
        <f>(DV27/DA27)-1</f>
        <v>-0.80502966939813503</v>
      </c>
      <c r="DY27" s="32">
        <f t="shared" si="336"/>
        <v>7150</v>
      </c>
      <c r="DZ27" s="119">
        <f t="shared" si="299"/>
        <v>5.6416487817194799E-3</v>
      </c>
      <c r="EA27" s="119">
        <f>(DY27/DD27)-1</f>
        <v>-0.42936951316839589</v>
      </c>
      <c r="EB27" s="32">
        <v>1667</v>
      </c>
      <c r="EC27" s="119">
        <f t="shared" si="349"/>
        <v>2.5369972423281324E-3</v>
      </c>
      <c r="ED27" s="119">
        <f>(EB27/DG27)-1</f>
        <v>-0.80584672723037509</v>
      </c>
      <c r="EE27" s="32">
        <f t="shared" si="337"/>
        <v>8817</v>
      </c>
      <c r="EF27" s="119">
        <f t="shared" si="350"/>
        <v>4.5816020901708341E-3</v>
      </c>
      <c r="EG27" s="119">
        <f>(EE27/DJ27)-1</f>
        <v>-0.58244932752415224</v>
      </c>
      <c r="EH27" s="32">
        <v>-6057</v>
      </c>
      <c r="EI27" s="119">
        <f t="shared" si="250"/>
        <v>-6.2303277170894277E-3</v>
      </c>
      <c r="EJ27" s="119">
        <f t="shared" si="214"/>
        <v>-1.9799385212748746</v>
      </c>
      <c r="EK27" s="32">
        <v>2760</v>
      </c>
      <c r="EL27" s="119">
        <f t="shared" si="215"/>
        <v>9.5283567002472198E-4</v>
      </c>
      <c r="EM27" s="119">
        <f t="shared" si="232"/>
        <v>-0.89888998791075947</v>
      </c>
      <c r="EN27" s="32">
        <v>-4007</v>
      </c>
      <c r="EO27" s="119">
        <f t="shared" si="216"/>
        <v>-6.4712636809813968E-3</v>
      </c>
      <c r="EP27" s="119">
        <f t="shared" si="217"/>
        <v>-1.6944540727902946</v>
      </c>
      <c r="EQ27" s="32">
        <v>-6518</v>
      </c>
      <c r="ER27" s="119">
        <f t="shared" si="233"/>
        <v>-7.6218852647839197E-3</v>
      </c>
      <c r="ES27" s="119">
        <f>(EQ27/DV27)-1</f>
        <v>-5.7231884057971012</v>
      </c>
      <c r="ET27" s="32">
        <f t="shared" si="338"/>
        <v>-10525</v>
      </c>
      <c r="EU27" s="119">
        <f t="shared" si="234"/>
        <v>-7.1386519512089252E-3</v>
      </c>
      <c r="EV27" s="119">
        <f>(ET27/DY27)-1</f>
        <v>-2.4720279720279721</v>
      </c>
      <c r="EW27" s="32">
        <v>-14867</v>
      </c>
      <c r="EX27" s="119">
        <f t="shared" si="235"/>
        <v>-1.8508328561113462E-2</v>
      </c>
      <c r="EY27" s="119">
        <f>(EW27/EB27)-1</f>
        <v>-9.9184163167366535</v>
      </c>
      <c r="EZ27" s="32">
        <f t="shared" si="372"/>
        <v>-25392</v>
      </c>
      <c r="FA27" s="119">
        <f t="shared" si="236"/>
        <v>-1.114843550025048E-2</v>
      </c>
      <c r="FB27" s="119">
        <f>(EZ27/EE27)-1</f>
        <v>-3.8798911194283772</v>
      </c>
      <c r="FC27" s="32">
        <v>-25038</v>
      </c>
      <c r="FD27" s="119">
        <f t="shared" si="219"/>
        <v>-2.1141031399979061E-2</v>
      </c>
      <c r="FE27" s="119">
        <f>(FC27/EH27)-1</f>
        <v>3.1337295690936111</v>
      </c>
      <c r="FF27" s="32">
        <v>-50430</v>
      </c>
      <c r="FG27" s="119">
        <f t="shared" si="220"/>
        <v>-1.4566892742839316E-2</v>
      </c>
      <c r="FH27" s="119">
        <f>(FF27/EK27)-1</f>
        <v>-19.271739130434781</v>
      </c>
      <c r="FI27" s="32">
        <v>-17730</v>
      </c>
      <c r="FJ27" s="119">
        <f t="shared" si="251"/>
        <v>-2.4396922657764702E-2</v>
      </c>
      <c r="FK27" s="119">
        <f>(FI27/EN27)-1</f>
        <v>3.4247566758173198</v>
      </c>
      <c r="FL27" s="32">
        <v>-19426</v>
      </c>
      <c r="FM27" s="119">
        <f t="shared" si="222"/>
        <v>-2.0508803287151749E-2</v>
      </c>
      <c r="FN27" s="119">
        <f>(FL27/EQ27)-1</f>
        <v>1.9803620742559067</v>
      </c>
      <c r="FO27" s="32">
        <f t="shared" si="237"/>
        <v>-37156</v>
      </c>
      <c r="FP27" s="119">
        <f t="shared" si="252"/>
        <v>-2.2196813016522755E-2</v>
      </c>
      <c r="FQ27" s="119">
        <f>(FO27/ET27)-1</f>
        <v>2.5302612826603323</v>
      </c>
      <c r="FR27" s="32">
        <v>-9933</v>
      </c>
      <c r="FS27" s="123">
        <f t="shared" si="244"/>
        <v>-1.0952478614384101E-2</v>
      </c>
      <c r="FT27" s="119">
        <f>(FR27/EW27)-1</f>
        <v>-0.33187596690657162</v>
      </c>
      <c r="FU27" s="32">
        <v>-47088</v>
      </c>
      <c r="FV27" s="123">
        <f t="shared" si="370"/>
        <v>-1.8245137652217174E-2</v>
      </c>
      <c r="FW27" s="119">
        <f>(FU27/EZ27)-1</f>
        <v>0.85444234404536856</v>
      </c>
      <c r="FX27" s="32">
        <v>-20635</v>
      </c>
      <c r="FY27" s="123">
        <f t="shared" si="253"/>
        <v>-1.5480654246133025E-2</v>
      </c>
      <c r="FZ27" s="119">
        <f>(FX27/FC27)-1</f>
        <v>-0.17585270389008711</v>
      </c>
      <c r="GA27" s="32">
        <v>-67724</v>
      </c>
      <c r="GB27" s="123">
        <f t="shared" si="342"/>
        <v>-1.7303859232783204E-2</v>
      </c>
      <c r="GC27" s="119">
        <f>(GA27/FF27)-1</f>
        <v>0.34293079516161007</v>
      </c>
      <c r="GD27" s="32">
        <v>-15246</v>
      </c>
      <c r="GE27" s="119">
        <f t="shared" si="351"/>
        <v>-1.8717864351344846E-2</v>
      </c>
      <c r="GF27" s="119">
        <f>(GD27/FI27)-1</f>
        <v>-0.14010152284263955</v>
      </c>
      <c r="GG27" s="32">
        <v>-21291</v>
      </c>
      <c r="GH27" s="119">
        <f t="shared" si="225"/>
        <v>-1.9160401656590456E-2</v>
      </c>
      <c r="GI27" s="119">
        <f t="shared" si="165"/>
        <v>9.6005353649747827E-2</v>
      </c>
      <c r="GJ27" s="32">
        <f>GD27+GG27</f>
        <v>-36537</v>
      </c>
      <c r="GK27" s="123">
        <f t="shared" si="167"/>
        <v>-1.8973222399587892E-2</v>
      </c>
      <c r="GL27" s="119">
        <f>(GJ27/FO27)-1</f>
        <v>-1.6659489719022536E-2</v>
      </c>
      <c r="GM27" s="32">
        <v>-22374</v>
      </c>
      <c r="GN27" s="123">
        <f t="shared" si="168"/>
        <v>-2.1367770327507352E-2</v>
      </c>
      <c r="GO27" s="119">
        <f>(GM27/FR27)-1</f>
        <v>1.2524916943521593</v>
      </c>
      <c r="GP27" s="32">
        <f>GJ27+GM27</f>
        <v>-58911</v>
      </c>
      <c r="GQ27" s="123">
        <f t="shared" si="171"/>
        <v>-1.9816637821855117E-2</v>
      </c>
      <c r="GR27" s="119">
        <f>(GP27/FU27)-1</f>
        <v>0.25108307849133538</v>
      </c>
      <c r="GS27" s="32">
        <v>-34963</v>
      </c>
      <c r="GT27" s="123">
        <f t="shared" si="344"/>
        <v>-2.0938347964764792E-2</v>
      </c>
      <c r="GU27" s="119">
        <f>(GS27/FX27)-1</f>
        <v>0.69435425248364435</v>
      </c>
      <c r="GV27" s="32">
        <f>GP27+GS27</f>
        <v>-93874</v>
      </c>
      <c r="GW27" s="123">
        <f>(GV27/$GV$8)</f>
        <v>-2.0220083004998047E-2</v>
      </c>
      <c r="GX27" s="119">
        <f t="shared" si="228"/>
        <v>0.38612604098990011</v>
      </c>
      <c r="GY27" s="32">
        <v>-27985</v>
      </c>
      <c r="GZ27" s="123">
        <f t="shared" si="352"/>
        <v>-2.7683389471705767E-2</v>
      </c>
      <c r="HA27" s="119">
        <f t="shared" si="229"/>
        <v>0.83556342647251736</v>
      </c>
      <c r="HB27" s="32">
        <v>-25785</v>
      </c>
      <c r="HC27" s="123">
        <f>(HB27/$HB$8)</f>
        <v>-1.9040396506934589E-2</v>
      </c>
      <c r="HD27" s="119">
        <f>(HB27/GG27)-1</f>
        <v>0.21107510215584058</v>
      </c>
      <c r="HE27" s="32">
        <f>GY27+HB27</f>
        <v>-53770</v>
      </c>
      <c r="HF27" s="123">
        <f>(HE27/$HE$8)</f>
        <v>-2.2734566223038905E-2</v>
      </c>
      <c r="HG27" s="119">
        <f>(HE27/GJ27)-1</f>
        <v>0.47165886635465415</v>
      </c>
      <c r="HH27" s="32">
        <v>-26923</v>
      </c>
      <c r="HI27" s="123">
        <f>(HH27/$HH$8)</f>
        <v>-2.1566609124735153E-2</v>
      </c>
      <c r="HJ27" s="119">
        <f t="shared" si="241"/>
        <v>0.20331634933404841</v>
      </c>
      <c r="HK27" s="32">
        <f>HE27+HH27</f>
        <v>-80693</v>
      </c>
      <c r="HL27" s="123">
        <f t="shared" si="300"/>
        <v>-2.2331067561905595E-2</v>
      </c>
      <c r="HM27" s="119">
        <f t="shared" si="230"/>
        <v>0.36974419038889161</v>
      </c>
      <c r="HN27" s="32">
        <v>-23893</v>
      </c>
      <c r="HO27" s="123">
        <f t="shared" si="355"/>
        <v>-1.3003941511925224E-2</v>
      </c>
      <c r="HP27" s="119">
        <f>(HN27/GS27)-1</f>
        <v>-0.31662042730886941</v>
      </c>
      <c r="HQ27" s="32">
        <f>HK27+HN27</f>
        <v>-104586</v>
      </c>
      <c r="HR27" s="123">
        <f>(HQ27/HQ$8)</f>
        <v>-1.9187092219711707E-2</v>
      </c>
      <c r="HS27" s="119">
        <f>(HQ27/GV27)-1</f>
        <v>0.11411040330655986</v>
      </c>
      <c r="HT27" s="32">
        <v>-24080</v>
      </c>
      <c r="HU27" s="123">
        <f>HT27/HT$8</f>
        <v>-2.2376104401996753E-2</v>
      </c>
      <c r="HV27" s="119">
        <f>HT27/GY27-1</f>
        <v>-0.13953903877077001</v>
      </c>
      <c r="HW27" s="32">
        <v>-27109</v>
      </c>
      <c r="HX27" s="123">
        <f t="shared" si="184"/>
        <v>-1.8508378576188238E-2</v>
      </c>
      <c r="HY27" s="119">
        <f>(HW27/HB27)-1</f>
        <v>5.134768276129531E-2</v>
      </c>
      <c r="HZ27" s="32">
        <f>HT27+HW27</f>
        <v>-51189</v>
      </c>
      <c r="IA27" s="123">
        <f>(HZ27/HZ$8)</f>
        <v>-2.0146518704867215E-2</v>
      </c>
      <c r="IB27" s="119">
        <f>(HZ27/HE27)-1</f>
        <v>-4.8000743909243027E-2</v>
      </c>
      <c r="IC27" s="32">
        <v>-26239</v>
      </c>
      <c r="ID27" s="123">
        <f t="shared" si="187"/>
        <v>-2.08176969862379E-2</v>
      </c>
      <c r="IE27" s="119">
        <f>(IC27/HH27)-1</f>
        <v>-2.5405786873676783E-2</v>
      </c>
      <c r="IF27" s="32">
        <f>HZ27+IC27</f>
        <v>-77428</v>
      </c>
      <c r="IG27" s="123">
        <f>(IF27/IF$8)</f>
        <v>-2.0369067681349367E-2</v>
      </c>
      <c r="IH27" s="119">
        <f>(IF27/HK27)-1</f>
        <v>-4.0461997942820349E-2</v>
      </c>
      <c r="II27" s="32">
        <v>-25885</v>
      </c>
      <c r="IJ27" s="123">
        <f t="shared" si="22"/>
        <v>-1.3478232797224063E-2</v>
      </c>
      <c r="IK27" s="119">
        <f>(II27/HN27)-1</f>
        <v>8.3371698823923257E-2</v>
      </c>
      <c r="IL27" s="32">
        <v>-103310</v>
      </c>
      <c r="IM27" s="123">
        <f>(IL27/IL$8)</f>
        <v>-1.8055642698562697E-2</v>
      </c>
      <c r="IN27" s="119">
        <f>(IL27/HQ27)-1</f>
        <v>-1.220048572466681E-2</v>
      </c>
      <c r="IO27" s="32">
        <v>-24934</v>
      </c>
      <c r="IP27" s="123">
        <f>IO27/IO$8</f>
        <v>-2.0194640895970142E-2</v>
      </c>
      <c r="IQ27" s="119">
        <f>IO27/HT27-1</f>
        <v>3.5465116279069786E-2</v>
      </c>
      <c r="IR27" s="32">
        <v>-22443</v>
      </c>
      <c r="IS27" s="123">
        <f t="shared" si="190"/>
        <v>-1.376486087327717E-2</v>
      </c>
      <c r="IT27" s="119">
        <f>(IR27/HW27)-1</f>
        <v>-0.1721199601608322</v>
      </c>
      <c r="IU27" s="32">
        <f>IO27+IR27</f>
        <v>-47377</v>
      </c>
      <c r="IV27" s="123">
        <f>(IU27/IU$8)</f>
        <v>-1.6535666668993487E-2</v>
      </c>
      <c r="IW27" s="119">
        <f>(IU27/HZ27)-1</f>
        <v>-7.4469124225907901E-2</v>
      </c>
      <c r="IX27" s="32">
        <v>-21305</v>
      </c>
      <c r="IY27" s="123">
        <f t="shared" si="193"/>
        <v>-1.4085224034727466E-2</v>
      </c>
      <c r="IZ27" s="119">
        <f>(IX27/IC27)-1</f>
        <v>-0.18804070277068485</v>
      </c>
      <c r="JA27" s="32">
        <f>IU27+IX27</f>
        <v>-68682</v>
      </c>
      <c r="JB27" s="123">
        <f>(JA27/JA$8)</f>
        <v>-1.5688995956340723E-2</v>
      </c>
      <c r="JC27" s="119">
        <f>(JA27/IF27)-1</f>
        <v>-0.11295655318489439</v>
      </c>
      <c r="JD27" s="32">
        <v>-14419</v>
      </c>
      <c r="JE27" s="123">
        <f t="shared" si="195"/>
        <v>-6.4881623323006449E-3</v>
      </c>
      <c r="JF27" s="119">
        <f>(JD27/II27)-1</f>
        <v>-0.4429592428047131</v>
      </c>
      <c r="JG27" s="32">
        <f>JA27+JD27</f>
        <v>-83101</v>
      </c>
      <c r="JH27" s="123">
        <f>(JG27/JG$8)</f>
        <v>-1.2590921342839692E-2</v>
      </c>
      <c r="JI27" s="119">
        <f>(JG27/IL27)-1</f>
        <v>-0.19561513890233273</v>
      </c>
      <c r="JJ27" s="32">
        <f>-13881</f>
        <v>-13881</v>
      </c>
      <c r="JK27" s="123">
        <f t="shared" si="197"/>
        <v>-9.9233710723117142E-3</v>
      </c>
      <c r="JL27" s="119">
        <f>(JJ27/IO27)-1</f>
        <v>-0.44329028635597978</v>
      </c>
      <c r="JM27" s="32">
        <v>-13318.022140000099</v>
      </c>
      <c r="JN27" s="123">
        <f t="shared" si="198"/>
        <v>-7.4819046072793667E-3</v>
      </c>
      <c r="JO27" s="119">
        <f>(JM27/IR27)-1</f>
        <v>-0.40658458583967838</v>
      </c>
      <c r="JP27" s="32">
        <f t="shared" si="358"/>
        <v>-27199.022140000099</v>
      </c>
      <c r="JQ27" s="123">
        <f t="shared" si="199"/>
        <v>-8.5562458562058914E-3</v>
      </c>
      <c r="JR27" s="119">
        <f>(JP27/IU27)-1</f>
        <v>-0.42590239694366261</v>
      </c>
      <c r="JS27" s="32">
        <v>-17462</v>
      </c>
      <c r="JT27" s="119">
        <f t="shared" si="37"/>
        <v>-1.0202978624695509E-2</v>
      </c>
      <c r="JU27" s="119">
        <f t="shared" si="38"/>
        <v>-0.18038019244308845</v>
      </c>
      <c r="JV27" s="32">
        <f t="shared" si="373"/>
        <v>-44661.022140000103</v>
      </c>
      <c r="JW27" s="119">
        <f t="shared" si="40"/>
        <v>-9.1325525390921151E-3</v>
      </c>
      <c r="JX27" s="119">
        <f t="shared" si="41"/>
        <v>-0.3497419682012739</v>
      </c>
      <c r="JY27" s="32">
        <v>-8967</v>
      </c>
      <c r="JZ27" s="119">
        <f t="shared" si="42"/>
        <v>-3.4553288824186301E-3</v>
      </c>
      <c r="KA27" s="119">
        <f t="shared" ref="KA27" si="376">(JY27/JD27)-1</f>
        <v>-0.37811221305222276</v>
      </c>
      <c r="KB27" s="32">
        <f t="shared" si="317"/>
        <v>-53628.022140000103</v>
      </c>
      <c r="KC27" s="119">
        <f t="shared" si="45"/>
        <v>-7.1643179679786199E-3</v>
      </c>
      <c r="KD27" s="119">
        <f t="shared" ref="KD27" si="377">(KB27/JG27)-1</f>
        <v>-0.35466453905488382</v>
      </c>
      <c r="KE27" s="32">
        <v>-45121</v>
      </c>
      <c r="KF27" s="119">
        <f t="shared" si="47"/>
        <v>-2.7340476520856045E-2</v>
      </c>
      <c r="KG27" s="119">
        <f t="shared" si="48"/>
        <v>2.2505583171241264</v>
      </c>
      <c r="KH27" s="32">
        <v>-53581</v>
      </c>
      <c r="KI27" s="123">
        <f t="shared" si="200"/>
        <v>-2.6533470273460983E-2</v>
      </c>
      <c r="KJ27" s="119">
        <f>(KH27/JM27)-1</f>
        <v>3.0231949937274694</v>
      </c>
      <c r="KK27" s="32">
        <f t="shared" si="360"/>
        <v>-98702</v>
      </c>
      <c r="KL27" s="123">
        <f t="shared" si="201"/>
        <v>-2.6896395928725721E-2</v>
      </c>
      <c r="KM27" s="119">
        <f>(KK27/JP27)-1</f>
        <v>2.6288804609208514</v>
      </c>
      <c r="KN27" s="32">
        <v>-40636</v>
      </c>
      <c r="KO27" s="119">
        <f t="shared" si="50"/>
        <v>-2.1033953716605828E-2</v>
      </c>
      <c r="KP27" s="119">
        <f t="shared" ref="KP27" si="378">(KN27/JS27)-1</f>
        <v>1.3271102966441415</v>
      </c>
      <c r="KQ27" s="32">
        <f t="shared" si="356"/>
        <v>-139338</v>
      </c>
      <c r="KR27" s="119">
        <f t="shared" si="53"/>
        <v>-2.4874523241874918E-2</v>
      </c>
      <c r="KS27" s="119">
        <f t="shared" ref="KS27" si="379">(KQ27/JV27)-1</f>
        <v>2.119901724667506</v>
      </c>
      <c r="KT27" s="32">
        <v>-45057</v>
      </c>
      <c r="KU27" s="119">
        <f t="shared" si="55"/>
        <v>-1.5682593250814985E-2</v>
      </c>
      <c r="KV27" s="119">
        <f t="shared" ref="KV27" si="380">(KT27/JY27)-1</f>
        <v>4.0247574439611906</v>
      </c>
      <c r="KW27" s="32">
        <f t="shared" ref="KW27:KW28" si="381">KT27+KQ27</f>
        <v>-184395</v>
      </c>
      <c r="KX27" s="119">
        <f t="shared" si="58"/>
        <v>-2.1758310301033913E-2</v>
      </c>
      <c r="KY27" s="119">
        <f t="shared" ref="KY27" si="382">(KW27/KB27)-1</f>
        <v>2.4384076205276148</v>
      </c>
      <c r="KZ27" s="32">
        <v>-49767</v>
      </c>
      <c r="LA27" s="119">
        <f t="shared" si="60"/>
        <v>-3.2104013727438103E-2</v>
      </c>
      <c r="LB27" s="119">
        <f t="shared" ref="LB27" si="383">(KZ27/KE27)-1</f>
        <v>0.10296757607322538</v>
      </c>
      <c r="LC27" s="32">
        <v>493605</v>
      </c>
      <c r="LD27" s="123">
        <f t="shared" si="202"/>
        <v>0.9146999088274318</v>
      </c>
      <c r="LE27" s="119">
        <f>(LC27/KH27)-1</f>
        <v>-10.212314066553443</v>
      </c>
      <c r="LF27" s="32">
        <f t="shared" ref="LF27" si="384">LC27+KZ27</f>
        <v>443838</v>
      </c>
      <c r="LG27" s="123">
        <f t="shared" ref="LG27" si="385">(LF27/LF$8)</f>
        <v>0.21238137711645427</v>
      </c>
      <c r="LH27" s="119">
        <f>(LF27/KK27)-1</f>
        <v>-5.496747786265729</v>
      </c>
      <c r="LI27" s="32">
        <v>-57386</v>
      </c>
      <c r="LJ27" s="123">
        <f t="shared" ref="LJ27" si="386">(LI27/LI$8)</f>
        <v>-3.4754181360552375E-2</v>
      </c>
      <c r="LK27" s="119">
        <f>(LI27/KN27)-1</f>
        <v>0.41219608229156424</v>
      </c>
      <c r="LL27" s="32">
        <f t="shared" si="62"/>
        <v>386452</v>
      </c>
      <c r="LM27" s="123">
        <f t="shared" ref="LM27" si="387">(LL27/LL$8)</f>
        <v>0.10330143199181611</v>
      </c>
      <c r="LN27" s="119">
        <f>(LL27/KQ27)-1</f>
        <v>-3.7734860554909644</v>
      </c>
      <c r="LO27" s="32">
        <v>-42570</v>
      </c>
      <c r="LP27" s="123">
        <f t="shared" ref="LP27" si="388">(LO27/LO$8)</f>
        <v>-1.4580974243361496E-2</v>
      </c>
      <c r="LQ27" s="119">
        <f>(LO27/KT27)-1</f>
        <v>-5.5196750782342319E-2</v>
      </c>
      <c r="LR27" s="32">
        <f t="shared" si="63"/>
        <v>343882</v>
      </c>
      <c r="LS27" s="123">
        <f t="shared" ref="LS27" si="389">(LR27/LR$8)</f>
        <v>5.1629507440127884E-2</v>
      </c>
      <c r="LT27" s="119">
        <f>(LR27/KW27)-1</f>
        <v>-2.8649204154125654</v>
      </c>
    </row>
    <row r="28" spans="1:332" ht="16.5" customHeight="1">
      <c r="A28" s="105"/>
      <c r="B28" s="127" t="s">
        <v>128</v>
      </c>
      <c r="C28" s="116" t="s">
        <v>129</v>
      </c>
      <c r="D28" s="121">
        <v>0</v>
      </c>
      <c r="E28" s="118">
        <f t="shared" si="255"/>
        <v>0</v>
      </c>
      <c r="F28" s="121">
        <v>-2263</v>
      </c>
      <c r="G28" s="118">
        <f t="shared" si="256"/>
        <v>-8.1068107240603558E-3</v>
      </c>
      <c r="H28" s="117">
        <f t="shared" si="325"/>
        <v>-2263</v>
      </c>
      <c r="I28" s="118">
        <f t="shared" si="257"/>
        <v>-4.7426439768631064E-3</v>
      </c>
      <c r="J28" s="121">
        <v>-16350</v>
      </c>
      <c r="K28" s="118">
        <f t="shared" si="258"/>
        <v>-6.4013969531699633E-2</v>
      </c>
      <c r="L28" s="117">
        <f t="shared" si="326"/>
        <v>-18613</v>
      </c>
      <c r="M28" s="118">
        <f t="shared" si="259"/>
        <v>-2.5407706808741246E-2</v>
      </c>
      <c r="N28" s="121">
        <v>50</v>
      </c>
      <c r="O28" s="118">
        <f t="shared" si="260"/>
        <v>1.2380497250291561E-4</v>
      </c>
      <c r="P28" s="117">
        <f>L28+N28</f>
        <v>-18563</v>
      </c>
      <c r="Q28" s="118">
        <f t="shared" si="261"/>
        <v>-1.633442857218281E-2</v>
      </c>
      <c r="R28" s="121">
        <v>0</v>
      </c>
      <c r="S28" s="118">
        <f t="shared" si="262"/>
        <v>0</v>
      </c>
      <c r="T28" s="26">
        <v>0</v>
      </c>
      <c r="U28" s="121">
        <v>0</v>
      </c>
      <c r="V28" s="119">
        <f t="shared" si="263"/>
        <v>0</v>
      </c>
      <c r="W28" s="26">
        <f>U28/F28-1</f>
        <v>-1</v>
      </c>
      <c r="X28" s="117">
        <f t="shared" si="327"/>
        <v>0</v>
      </c>
      <c r="Y28" s="119">
        <f t="shared" si="264"/>
        <v>0</v>
      </c>
      <c r="Z28" s="26">
        <f>X28/H28-1</f>
        <v>-1</v>
      </c>
      <c r="AA28" s="121">
        <v>0</v>
      </c>
      <c r="AB28" s="119">
        <f t="shared" si="265"/>
        <v>0</v>
      </c>
      <c r="AC28" s="26">
        <f t="shared" si="368"/>
        <v>-1</v>
      </c>
      <c r="AD28" s="117">
        <f t="shared" si="328"/>
        <v>0</v>
      </c>
      <c r="AE28" s="119">
        <f t="shared" si="266"/>
        <v>0</v>
      </c>
      <c r="AF28" s="26">
        <f t="shared" si="369"/>
        <v>-1</v>
      </c>
      <c r="AG28" s="121">
        <v>0</v>
      </c>
      <c r="AH28" s="119">
        <f t="shared" si="267"/>
        <v>0</v>
      </c>
      <c r="AI28" s="26">
        <f>AG28/N28-1</f>
        <v>-1</v>
      </c>
      <c r="AJ28" s="117">
        <f t="shared" si="329"/>
        <v>0</v>
      </c>
      <c r="AK28" s="119">
        <f t="shared" si="268"/>
        <v>0</v>
      </c>
      <c r="AL28" s="26">
        <f t="shared" si="375"/>
        <v>-1</v>
      </c>
      <c r="AM28" s="120">
        <v>0</v>
      </c>
      <c r="AN28" s="119">
        <f t="shared" si="269"/>
        <v>0</v>
      </c>
      <c r="AO28" s="119">
        <v>0</v>
      </c>
      <c r="AP28" s="120">
        <v>0</v>
      </c>
      <c r="AQ28" s="119">
        <f t="shared" si="270"/>
        <v>0</v>
      </c>
      <c r="AR28" s="119">
        <v>0</v>
      </c>
      <c r="AS28" s="120">
        <f>AM28+AP28</f>
        <v>0</v>
      </c>
      <c r="AT28" s="119">
        <f t="shared" si="271"/>
        <v>0</v>
      </c>
      <c r="AU28" s="119">
        <v>0</v>
      </c>
      <c r="AV28" s="120">
        <v>0</v>
      </c>
      <c r="AW28" s="119">
        <f t="shared" si="272"/>
        <v>0</v>
      </c>
      <c r="AX28" s="119">
        <v>0</v>
      </c>
      <c r="AY28" s="120">
        <f>AV28+AS28</f>
        <v>0</v>
      </c>
      <c r="AZ28" s="119">
        <f t="shared" si="273"/>
        <v>0</v>
      </c>
      <c r="BA28" s="119">
        <v>0</v>
      </c>
      <c r="BB28" s="120">
        <v>0</v>
      </c>
      <c r="BC28" s="119">
        <f t="shared" si="274"/>
        <v>0</v>
      </c>
      <c r="BD28" s="119">
        <v>0</v>
      </c>
      <c r="BE28" s="120">
        <f t="shared" si="374"/>
        <v>0</v>
      </c>
      <c r="BF28" s="119">
        <f t="shared" si="275"/>
        <v>0</v>
      </c>
      <c r="BG28" s="119">
        <v>0</v>
      </c>
      <c r="BH28" s="120">
        <v>0</v>
      </c>
      <c r="BI28" s="119">
        <f t="shared" si="276"/>
        <v>0</v>
      </c>
      <c r="BJ28" s="119">
        <v>0</v>
      </c>
      <c r="BK28" s="120">
        <v>0</v>
      </c>
      <c r="BL28" s="119">
        <f t="shared" si="277"/>
        <v>0</v>
      </c>
      <c r="BM28" s="119">
        <v>0</v>
      </c>
      <c r="BN28" s="120">
        <f>BK28+BH28</f>
        <v>0</v>
      </c>
      <c r="BO28" s="119">
        <f t="shared" si="278"/>
        <v>0</v>
      </c>
      <c r="BP28" s="119">
        <v>0</v>
      </c>
      <c r="BQ28" s="120">
        <v>0</v>
      </c>
      <c r="BR28" s="119">
        <f t="shared" si="279"/>
        <v>0</v>
      </c>
      <c r="BS28" s="119">
        <v>0</v>
      </c>
      <c r="BT28" s="120">
        <f>BN28+BQ28</f>
        <v>0</v>
      </c>
      <c r="BU28" s="119">
        <f t="shared" si="280"/>
        <v>0</v>
      </c>
      <c r="BV28" s="119">
        <v>0</v>
      </c>
      <c r="BW28" s="120">
        <v>0</v>
      </c>
      <c r="BX28" s="119">
        <f t="shared" si="281"/>
        <v>0</v>
      </c>
      <c r="BY28" s="119">
        <v>0</v>
      </c>
      <c r="BZ28" s="120">
        <f>BT28+BW28</f>
        <v>0</v>
      </c>
      <c r="CA28" s="119">
        <f t="shared" si="282"/>
        <v>0</v>
      </c>
      <c r="CB28" s="119">
        <v>0</v>
      </c>
      <c r="CC28" s="120">
        <v>0</v>
      </c>
      <c r="CD28" s="119">
        <f t="shared" si="283"/>
        <v>0</v>
      </c>
      <c r="CE28" s="119">
        <v>0</v>
      </c>
      <c r="CF28" s="120">
        <v>0</v>
      </c>
      <c r="CG28" s="119">
        <f t="shared" si="284"/>
        <v>0</v>
      </c>
      <c r="CH28" s="119">
        <v>0</v>
      </c>
      <c r="CI28" s="120">
        <f>CF28+CC28</f>
        <v>0</v>
      </c>
      <c r="CJ28" s="119">
        <f t="shared" si="285"/>
        <v>0</v>
      </c>
      <c r="CK28" s="119">
        <v>0</v>
      </c>
      <c r="CL28" s="120">
        <v>0</v>
      </c>
      <c r="CM28" s="119">
        <f t="shared" si="286"/>
        <v>0</v>
      </c>
      <c r="CN28" s="119">
        <v>0</v>
      </c>
      <c r="CO28" s="121">
        <f t="shared" si="333"/>
        <v>0</v>
      </c>
      <c r="CP28" s="119">
        <f t="shared" si="287"/>
        <v>0</v>
      </c>
      <c r="CQ28" s="119">
        <v>0</v>
      </c>
      <c r="CR28" s="120">
        <v>0</v>
      </c>
      <c r="CS28" s="119">
        <f t="shared" si="288"/>
        <v>0</v>
      </c>
      <c r="CT28" s="119">
        <v>0</v>
      </c>
      <c r="CU28" s="122">
        <f>CO28+CR28</f>
        <v>0</v>
      </c>
      <c r="CV28" s="119">
        <f t="shared" si="289"/>
        <v>0</v>
      </c>
      <c r="CW28" s="119">
        <v>0</v>
      </c>
      <c r="CX28" s="120">
        <v>0</v>
      </c>
      <c r="CY28" s="119">
        <f t="shared" si="290"/>
        <v>0</v>
      </c>
      <c r="CZ28" s="119">
        <v>0</v>
      </c>
      <c r="DA28" s="120">
        <v>0</v>
      </c>
      <c r="DB28" s="119">
        <f t="shared" si="291"/>
        <v>0</v>
      </c>
      <c r="DC28" s="119">
        <v>0</v>
      </c>
      <c r="DD28" s="32">
        <f t="shared" si="334"/>
        <v>0</v>
      </c>
      <c r="DE28" s="119">
        <f t="shared" si="292"/>
        <v>0</v>
      </c>
      <c r="DF28" s="119">
        <v>0</v>
      </c>
      <c r="DG28" s="120">
        <v>0</v>
      </c>
      <c r="DH28" s="119">
        <f t="shared" si="293"/>
        <v>0</v>
      </c>
      <c r="DI28" s="119">
        <v>0</v>
      </c>
      <c r="DJ28" s="120">
        <v>0</v>
      </c>
      <c r="DK28" s="119">
        <f t="shared" si="294"/>
        <v>0</v>
      </c>
      <c r="DL28" s="119">
        <v>0</v>
      </c>
      <c r="DM28" s="120">
        <v>0</v>
      </c>
      <c r="DN28" s="119">
        <f>DM28/$DG$8</f>
        <v>0</v>
      </c>
      <c r="DO28" s="119">
        <v>0</v>
      </c>
      <c r="DP28" s="120">
        <v>0</v>
      </c>
      <c r="DQ28" s="119">
        <f t="shared" si="296"/>
        <v>0</v>
      </c>
      <c r="DR28" s="119">
        <v>0</v>
      </c>
      <c r="DS28" s="93">
        <v>0</v>
      </c>
      <c r="DT28" s="119" t="s">
        <v>112</v>
      </c>
      <c r="DU28" s="119" t="s">
        <v>112</v>
      </c>
      <c r="DV28" s="93">
        <v>0</v>
      </c>
      <c r="DW28" s="119">
        <f t="shared" si="298"/>
        <v>0</v>
      </c>
      <c r="DX28" s="119">
        <v>0</v>
      </c>
      <c r="DY28" s="32">
        <f t="shared" si="336"/>
        <v>0</v>
      </c>
      <c r="DZ28" s="119">
        <f t="shared" si="299"/>
        <v>0</v>
      </c>
      <c r="EA28" s="119">
        <v>0</v>
      </c>
      <c r="EB28" s="93">
        <v>0</v>
      </c>
      <c r="EC28" s="119">
        <f t="shared" si="349"/>
        <v>0</v>
      </c>
      <c r="ED28" s="119">
        <v>0</v>
      </c>
      <c r="EE28" s="32">
        <f t="shared" si="337"/>
        <v>0</v>
      </c>
      <c r="EF28" s="119">
        <f t="shared" si="350"/>
        <v>0</v>
      </c>
      <c r="EG28" s="119">
        <v>0</v>
      </c>
      <c r="EH28" s="32">
        <v>0</v>
      </c>
      <c r="EI28" s="119">
        <f t="shared" si="250"/>
        <v>0</v>
      </c>
      <c r="EJ28" s="119">
        <v>0</v>
      </c>
      <c r="EK28" s="32">
        <v>0</v>
      </c>
      <c r="EL28" s="119">
        <f t="shared" si="215"/>
        <v>0</v>
      </c>
      <c r="EM28" s="119">
        <v>0</v>
      </c>
      <c r="EN28" s="32">
        <v>0</v>
      </c>
      <c r="EO28" s="119">
        <f t="shared" si="216"/>
        <v>0</v>
      </c>
      <c r="EP28" s="119">
        <v>0</v>
      </c>
      <c r="EQ28" s="93">
        <v>0</v>
      </c>
      <c r="ER28" s="119">
        <f t="shared" si="233"/>
        <v>0</v>
      </c>
      <c r="ES28" s="119">
        <v>0</v>
      </c>
      <c r="ET28" s="32">
        <f t="shared" si="338"/>
        <v>0</v>
      </c>
      <c r="EU28" s="119">
        <f t="shared" si="234"/>
        <v>0</v>
      </c>
      <c r="EV28" s="119">
        <v>0</v>
      </c>
      <c r="EW28" s="93">
        <v>0</v>
      </c>
      <c r="EX28" s="119">
        <f t="shared" si="235"/>
        <v>0</v>
      </c>
      <c r="EY28" s="119">
        <v>0</v>
      </c>
      <c r="EZ28" s="32">
        <f t="shared" si="372"/>
        <v>0</v>
      </c>
      <c r="FA28" s="119">
        <f t="shared" si="236"/>
        <v>0</v>
      </c>
      <c r="FB28" s="119">
        <v>0</v>
      </c>
      <c r="FC28" s="93">
        <v>0</v>
      </c>
      <c r="FD28" s="119">
        <f t="shared" si="219"/>
        <v>0</v>
      </c>
      <c r="FE28" s="119">
        <v>0</v>
      </c>
      <c r="FF28" s="32">
        <v>0</v>
      </c>
      <c r="FG28" s="119">
        <f t="shared" si="220"/>
        <v>0</v>
      </c>
      <c r="FH28" s="119">
        <v>0</v>
      </c>
      <c r="FI28" s="93" t="s">
        <v>112</v>
      </c>
      <c r="FJ28" s="119">
        <v>0</v>
      </c>
      <c r="FK28" s="119">
        <v>0</v>
      </c>
      <c r="FL28" s="93" t="s">
        <v>112</v>
      </c>
      <c r="FM28" s="119" t="s">
        <v>112</v>
      </c>
      <c r="FN28" s="119">
        <v>0</v>
      </c>
      <c r="FO28" s="93" t="s">
        <v>112</v>
      </c>
      <c r="FP28" s="119" t="s">
        <v>112</v>
      </c>
      <c r="FQ28" s="119">
        <v>0</v>
      </c>
      <c r="FR28" s="93">
        <v>0</v>
      </c>
      <c r="FS28" s="123">
        <f t="shared" si="244"/>
        <v>0</v>
      </c>
      <c r="FT28" s="119">
        <v>0</v>
      </c>
      <c r="FU28" s="93">
        <v>0</v>
      </c>
      <c r="FV28" s="123">
        <f t="shared" ref="FV28:FV35" si="390">(FU28/$FU$8)</f>
        <v>0</v>
      </c>
      <c r="FW28" s="119">
        <v>0</v>
      </c>
      <c r="FX28" s="93">
        <v>0</v>
      </c>
      <c r="FY28" s="123">
        <f t="shared" si="253"/>
        <v>0</v>
      </c>
      <c r="FZ28" s="119" t="s">
        <v>112</v>
      </c>
      <c r="GA28" s="93">
        <v>0</v>
      </c>
      <c r="GB28" s="123">
        <f t="shared" si="342"/>
        <v>0</v>
      </c>
      <c r="GC28" s="119" t="s">
        <v>112</v>
      </c>
      <c r="GD28" s="93">
        <v>0</v>
      </c>
      <c r="GE28" s="119">
        <f t="shared" si="351"/>
        <v>0</v>
      </c>
      <c r="GF28" s="119">
        <v>0</v>
      </c>
      <c r="GG28" s="93">
        <v>0</v>
      </c>
      <c r="GH28" s="119">
        <f t="shared" si="225"/>
        <v>0</v>
      </c>
      <c r="GI28" s="119" t="s">
        <v>112</v>
      </c>
      <c r="GJ28" s="93" t="s">
        <v>112</v>
      </c>
      <c r="GK28" s="123" t="s">
        <v>112</v>
      </c>
      <c r="GL28" s="119">
        <v>0</v>
      </c>
      <c r="GM28" s="93">
        <v>0</v>
      </c>
      <c r="GN28" s="123">
        <f t="shared" si="168"/>
        <v>0</v>
      </c>
      <c r="GO28" s="119" t="s">
        <v>112</v>
      </c>
      <c r="GP28" s="93" t="s">
        <v>112</v>
      </c>
      <c r="GQ28" s="123" t="s">
        <v>354</v>
      </c>
      <c r="GR28" s="119">
        <v>0</v>
      </c>
      <c r="GS28" s="93">
        <v>0</v>
      </c>
      <c r="GT28" s="123">
        <f t="shared" si="344"/>
        <v>0</v>
      </c>
      <c r="GU28" s="119" t="s">
        <v>112</v>
      </c>
      <c r="GV28" s="93" t="s">
        <v>112</v>
      </c>
      <c r="GW28" s="123" t="s">
        <v>112</v>
      </c>
      <c r="GX28" s="119" t="s">
        <v>112</v>
      </c>
      <c r="GY28" s="93">
        <v>0</v>
      </c>
      <c r="GZ28" s="123" t="s">
        <v>112</v>
      </c>
      <c r="HA28" s="119" t="s">
        <v>112</v>
      </c>
      <c r="HB28" s="93">
        <v>0</v>
      </c>
      <c r="HC28" s="123">
        <f t="shared" si="371"/>
        <v>0</v>
      </c>
      <c r="HD28" s="119" t="s">
        <v>112</v>
      </c>
      <c r="HE28" s="93">
        <v>0</v>
      </c>
      <c r="HF28" s="123">
        <f>(HE28/$HB$8)</f>
        <v>0</v>
      </c>
      <c r="HG28" s="119" t="s">
        <v>112</v>
      </c>
      <c r="HH28" s="93">
        <v>0</v>
      </c>
      <c r="HI28" s="123">
        <f t="shared" si="353"/>
        <v>0</v>
      </c>
      <c r="HJ28" s="119" t="s">
        <v>112</v>
      </c>
      <c r="HK28" s="93" t="s">
        <v>112</v>
      </c>
      <c r="HL28" s="123" t="s">
        <v>112</v>
      </c>
      <c r="HM28" s="119" t="s">
        <v>112</v>
      </c>
      <c r="HN28" s="93">
        <v>0</v>
      </c>
      <c r="HO28" s="123">
        <f t="shared" si="355"/>
        <v>0</v>
      </c>
      <c r="HP28" s="119" t="s">
        <v>112</v>
      </c>
      <c r="HQ28" s="93" t="s">
        <v>112</v>
      </c>
      <c r="HR28" s="123" t="s">
        <v>112</v>
      </c>
      <c r="HS28" s="119" t="s">
        <v>112</v>
      </c>
      <c r="HT28" s="93">
        <v>0</v>
      </c>
      <c r="HU28" s="123" t="s">
        <v>112</v>
      </c>
      <c r="HV28" s="119" t="s">
        <v>112</v>
      </c>
      <c r="HW28" s="93">
        <v>0</v>
      </c>
      <c r="HX28" s="123">
        <f t="shared" si="184"/>
        <v>0</v>
      </c>
      <c r="HY28" s="119" t="s">
        <v>112</v>
      </c>
      <c r="HZ28" s="93">
        <v>0</v>
      </c>
      <c r="IA28" s="123">
        <f>(HZ28/$HB$8)</f>
        <v>0</v>
      </c>
      <c r="IB28" s="119" t="s">
        <v>112</v>
      </c>
      <c r="IC28" s="93">
        <v>0</v>
      </c>
      <c r="ID28" s="123">
        <f t="shared" si="187"/>
        <v>0</v>
      </c>
      <c r="IE28" s="119" t="s">
        <v>112</v>
      </c>
      <c r="IF28" s="93">
        <v>0</v>
      </c>
      <c r="IG28" s="123">
        <f>(IF28/$HB$8)</f>
        <v>0</v>
      </c>
      <c r="IH28" s="119" t="s">
        <v>112</v>
      </c>
      <c r="II28" s="93">
        <v>0</v>
      </c>
      <c r="IJ28" s="123">
        <f t="shared" si="22"/>
        <v>0</v>
      </c>
      <c r="IK28" s="119" t="s">
        <v>112</v>
      </c>
      <c r="IL28" s="32">
        <f t="shared" si="247"/>
        <v>0</v>
      </c>
      <c r="IM28" s="123">
        <f>(IL28/$HB$8)</f>
        <v>0</v>
      </c>
      <c r="IN28" s="119" t="s">
        <v>112</v>
      </c>
      <c r="IO28" s="93">
        <v>0</v>
      </c>
      <c r="IP28" s="123" t="s">
        <v>112</v>
      </c>
      <c r="IQ28" s="119" t="s">
        <v>112</v>
      </c>
      <c r="IR28" s="93">
        <v>0</v>
      </c>
      <c r="IS28" s="123">
        <f t="shared" si="190"/>
        <v>0</v>
      </c>
      <c r="IT28" s="119" t="s">
        <v>112</v>
      </c>
      <c r="IU28" s="93">
        <v>0</v>
      </c>
      <c r="IV28" s="123">
        <f>(IU28/$HB$8)</f>
        <v>0</v>
      </c>
      <c r="IW28" s="119" t="s">
        <v>112</v>
      </c>
      <c r="IX28" s="93">
        <v>0</v>
      </c>
      <c r="IY28" s="123">
        <f t="shared" si="193"/>
        <v>0</v>
      </c>
      <c r="IZ28" s="119" t="s">
        <v>112</v>
      </c>
      <c r="JA28" s="93">
        <v>0</v>
      </c>
      <c r="JB28" s="123">
        <f>(JA28/$HB$8)</f>
        <v>0</v>
      </c>
      <c r="JC28" s="119" t="s">
        <v>112</v>
      </c>
      <c r="JD28" s="93">
        <v>0</v>
      </c>
      <c r="JE28" s="123">
        <f t="shared" si="195"/>
        <v>0</v>
      </c>
      <c r="JF28" s="119" t="s">
        <v>112</v>
      </c>
      <c r="JG28" s="93">
        <v>0</v>
      </c>
      <c r="JH28" s="123">
        <f>(JG28/$HB$8)</f>
        <v>0</v>
      </c>
      <c r="JI28" s="119" t="s">
        <v>112</v>
      </c>
      <c r="JJ28" s="93">
        <v>0</v>
      </c>
      <c r="JK28" s="123">
        <f t="shared" si="197"/>
        <v>0</v>
      </c>
      <c r="JL28" s="119" t="s">
        <v>112</v>
      </c>
      <c r="JM28" s="93">
        <v>0</v>
      </c>
      <c r="JN28" s="123">
        <f t="shared" si="198"/>
        <v>0</v>
      </c>
      <c r="JO28" s="119" t="s">
        <v>112</v>
      </c>
      <c r="JP28" s="93">
        <f t="shared" si="36"/>
        <v>0</v>
      </c>
      <c r="JQ28" s="123">
        <f t="shared" si="199"/>
        <v>0</v>
      </c>
      <c r="JR28" s="119" t="s">
        <v>112</v>
      </c>
      <c r="JS28" s="93">
        <v>0</v>
      </c>
      <c r="JT28" s="119">
        <f t="shared" si="37"/>
        <v>0</v>
      </c>
      <c r="JU28" s="119" t="s">
        <v>112</v>
      </c>
      <c r="JV28" s="93">
        <f t="shared" si="373"/>
        <v>0</v>
      </c>
      <c r="JW28" s="119">
        <f t="shared" si="40"/>
        <v>0</v>
      </c>
      <c r="JX28" s="119" t="s">
        <v>112</v>
      </c>
      <c r="JY28" s="93">
        <v>0</v>
      </c>
      <c r="JZ28" s="119">
        <f t="shared" si="42"/>
        <v>0</v>
      </c>
      <c r="KA28" s="119" t="s">
        <v>112</v>
      </c>
      <c r="KB28" s="93">
        <f t="shared" si="317"/>
        <v>0</v>
      </c>
      <c r="KC28" s="119">
        <f t="shared" si="45"/>
        <v>0</v>
      </c>
      <c r="KD28" s="119" t="s">
        <v>112</v>
      </c>
      <c r="KE28" s="93">
        <v>0</v>
      </c>
      <c r="KF28" s="119" t="s">
        <v>112</v>
      </c>
      <c r="KG28" s="119" t="s">
        <v>112</v>
      </c>
      <c r="KH28" s="93">
        <v>0</v>
      </c>
      <c r="KI28" s="123">
        <f t="shared" si="200"/>
        <v>0</v>
      </c>
      <c r="KJ28" s="119" t="s">
        <v>112</v>
      </c>
      <c r="KK28" s="93" t="s">
        <v>112</v>
      </c>
      <c r="KL28" s="123" t="s">
        <v>112</v>
      </c>
      <c r="KM28" s="119" t="s">
        <v>112</v>
      </c>
      <c r="KN28" s="93">
        <v>0</v>
      </c>
      <c r="KO28" s="119">
        <f t="shared" si="50"/>
        <v>0</v>
      </c>
      <c r="KP28" s="119" t="s">
        <v>112</v>
      </c>
      <c r="KQ28" s="93">
        <v>0</v>
      </c>
      <c r="KR28" s="119">
        <f t="shared" si="53"/>
        <v>0</v>
      </c>
      <c r="KS28" s="119" t="s">
        <v>112</v>
      </c>
      <c r="KT28" s="93">
        <v>0</v>
      </c>
      <c r="KU28" s="119">
        <f t="shared" si="55"/>
        <v>0</v>
      </c>
      <c r="KV28" s="119" t="s">
        <v>112</v>
      </c>
      <c r="KW28" s="32">
        <f t="shared" si="381"/>
        <v>0</v>
      </c>
      <c r="KX28" s="119">
        <f t="shared" si="58"/>
        <v>0</v>
      </c>
      <c r="KY28" s="119" t="s">
        <v>112</v>
      </c>
      <c r="KZ28" s="93">
        <v>0</v>
      </c>
      <c r="LA28" s="119">
        <f t="shared" si="60"/>
        <v>0</v>
      </c>
      <c r="LB28" s="119" t="s">
        <v>112</v>
      </c>
      <c r="LC28" s="93">
        <v>0</v>
      </c>
      <c r="LD28" s="123">
        <f t="shared" si="202"/>
        <v>0</v>
      </c>
      <c r="LE28" s="119" t="s">
        <v>112</v>
      </c>
      <c r="LF28" s="93">
        <v>0</v>
      </c>
      <c r="LG28" s="123" t="s">
        <v>112</v>
      </c>
      <c r="LH28" s="119" t="s">
        <v>112</v>
      </c>
      <c r="LI28" s="93">
        <v>0</v>
      </c>
      <c r="LJ28" s="123" t="s">
        <v>112</v>
      </c>
      <c r="LK28" s="119" t="s">
        <v>112</v>
      </c>
      <c r="LL28" s="93">
        <f t="shared" si="62"/>
        <v>0</v>
      </c>
      <c r="LM28" s="123" t="s">
        <v>112</v>
      </c>
      <c r="LN28" s="119" t="s">
        <v>112</v>
      </c>
      <c r="LO28" s="93">
        <v>0</v>
      </c>
      <c r="LP28" s="123" t="s">
        <v>112</v>
      </c>
      <c r="LQ28" s="119" t="s">
        <v>112</v>
      </c>
      <c r="LR28" s="93">
        <f t="shared" si="63"/>
        <v>0</v>
      </c>
      <c r="LS28" s="123" t="s">
        <v>112</v>
      </c>
      <c r="LT28" s="119" t="s">
        <v>112</v>
      </c>
    </row>
    <row r="29" spans="1:332" ht="16.5" customHeight="1">
      <c r="A29" s="114"/>
      <c r="B29" s="124" t="s">
        <v>153</v>
      </c>
      <c r="C29" s="124" t="s">
        <v>130</v>
      </c>
      <c r="D29" s="48">
        <f>D13+D15</f>
        <v>3965</v>
      </c>
      <c r="E29" s="125">
        <f t="shared" si="255"/>
        <v>2.0024038947134518E-2</v>
      </c>
      <c r="F29" s="48">
        <f>F13+F15</f>
        <v>49627</v>
      </c>
      <c r="G29" s="125">
        <f t="shared" si="256"/>
        <v>0.17778024560448222</v>
      </c>
      <c r="H29" s="48">
        <f>H13+H15</f>
        <v>53592</v>
      </c>
      <c r="I29" s="125">
        <f t="shared" si="257"/>
        <v>0.1123145276217621</v>
      </c>
      <c r="J29" s="48">
        <f>J13+J15</f>
        <v>-100</v>
      </c>
      <c r="K29" s="125">
        <f t="shared" si="258"/>
        <v>-3.9152274942935559E-4</v>
      </c>
      <c r="L29" s="48">
        <f>L13+L15</f>
        <v>53492</v>
      </c>
      <c r="M29" s="125">
        <f t="shared" si="259"/>
        <v>7.3019344147272694E-2</v>
      </c>
      <c r="N29" s="48">
        <f>N13+N15</f>
        <v>56520</v>
      </c>
      <c r="O29" s="125">
        <f t="shared" si="260"/>
        <v>0.13994914091729579</v>
      </c>
      <c r="P29" s="48">
        <f>P13+P15</f>
        <v>110013</v>
      </c>
      <c r="Q29" s="125">
        <f t="shared" si="261"/>
        <v>9.6805445806795648E-2</v>
      </c>
      <c r="R29" s="48">
        <f>R13+R15</f>
        <v>20722</v>
      </c>
      <c r="S29" s="125">
        <f t="shared" si="262"/>
        <v>8.2559413534134152E-2</v>
      </c>
      <c r="T29" s="49">
        <f>R29/D29-1</f>
        <v>4.2262295081967212</v>
      </c>
      <c r="U29" s="48">
        <f>U13+U15</f>
        <v>35986</v>
      </c>
      <c r="V29" s="126">
        <f t="shared" si="263"/>
        <v>0.10060132677679343</v>
      </c>
      <c r="W29" s="49">
        <f>U29/F29-1</f>
        <v>-0.27487053418502028</v>
      </c>
      <c r="X29" s="48">
        <f>X13+X15</f>
        <v>56708</v>
      </c>
      <c r="Y29" s="126">
        <f t="shared" si="264"/>
        <v>9.3161865208705716E-2</v>
      </c>
      <c r="Z29" s="49">
        <f>X29/H29-1</f>
        <v>5.8143006418868382E-2</v>
      </c>
      <c r="AA29" s="48">
        <f>AA13+AA15</f>
        <v>22555</v>
      </c>
      <c r="AB29" s="126">
        <f t="shared" si="265"/>
        <v>7.0369365068965406E-2</v>
      </c>
      <c r="AC29" s="49">
        <f t="shared" si="368"/>
        <v>-226.55</v>
      </c>
      <c r="AD29" s="48">
        <f>AD13+AD15</f>
        <v>79263</v>
      </c>
      <c r="AE29" s="126">
        <f t="shared" si="266"/>
        <v>8.5299932094095421E-2</v>
      </c>
      <c r="AF29" s="49">
        <f t="shared" si="369"/>
        <v>0.48177297539819031</v>
      </c>
      <c r="AG29" s="48">
        <f>AG13+AG15</f>
        <v>59439</v>
      </c>
      <c r="AH29" s="126">
        <f t="shared" si="267"/>
        <v>0.11726467263390276</v>
      </c>
      <c r="AI29" s="49">
        <f>AG29/N29-1</f>
        <v>5.164543524416132E-2</v>
      </c>
      <c r="AJ29" s="48">
        <f>AJ13+AJ15</f>
        <v>138701</v>
      </c>
      <c r="AK29" s="126">
        <f t="shared" si="268"/>
        <v>9.6581378102576068E-2</v>
      </c>
      <c r="AL29" s="49">
        <f t="shared" si="375"/>
        <v>0.26076918182396636</v>
      </c>
      <c r="AM29" s="48">
        <f>AM13+AM15</f>
        <v>24057</v>
      </c>
      <c r="AN29" s="126">
        <f t="shared" si="269"/>
        <v>7.752994750123271E-2</v>
      </c>
      <c r="AO29" s="126">
        <f>AM29/R29-1</f>
        <v>0.16094006370041503</v>
      </c>
      <c r="AP29" s="48">
        <f>AP13+AP15</f>
        <v>59380</v>
      </c>
      <c r="AQ29" s="126">
        <f t="shared" si="270"/>
        <v>0.13363189341855047</v>
      </c>
      <c r="AR29" s="126">
        <f>AP29/U29-1</f>
        <v>0.65008614461179337</v>
      </c>
      <c r="AS29" s="48">
        <f>AS13+AS15</f>
        <v>83434</v>
      </c>
      <c r="AT29" s="126">
        <f t="shared" si="271"/>
        <v>0.11056015519818511</v>
      </c>
      <c r="AU29" s="126">
        <f>AS29/X29-1</f>
        <v>0.47129152853212952</v>
      </c>
      <c r="AV29" s="48">
        <f>AV13+AV15</f>
        <v>54370</v>
      </c>
      <c r="AW29" s="126">
        <f t="shared" si="272"/>
        <v>0.13752093039726021</v>
      </c>
      <c r="AX29" s="126">
        <f>AV29/AA29-1</f>
        <v>1.4105519840390159</v>
      </c>
      <c r="AY29" s="48">
        <f>AY13+AY15</f>
        <v>137806</v>
      </c>
      <c r="AZ29" s="126">
        <f t="shared" si="273"/>
        <v>0.11983067914428272</v>
      </c>
      <c r="BA29" s="126">
        <f>AY29/AD29-1</f>
        <v>0.73859177674324727</v>
      </c>
      <c r="BB29" s="48">
        <f>BB13+BB15</f>
        <v>79264</v>
      </c>
      <c r="BC29" s="126">
        <f t="shared" si="274"/>
        <v>0.13172860556868454</v>
      </c>
      <c r="BD29" s="126">
        <f t="shared" ref="BD29:BD35" si="391">BB29/AG29-1</f>
        <v>0.33353522098285637</v>
      </c>
      <c r="BE29" s="48">
        <f>BE13+BE15</f>
        <v>217071</v>
      </c>
      <c r="BF29" s="126">
        <f t="shared" si="275"/>
        <v>0.12391821104646383</v>
      </c>
      <c r="BG29" s="126">
        <f t="shared" ref="BG29:BG35" si="392">BE29/AJ29-1</f>
        <v>0.56502837037944942</v>
      </c>
      <c r="BH29" s="48">
        <f>BH13+BH15</f>
        <v>37209</v>
      </c>
      <c r="BI29" s="126">
        <f t="shared" si="276"/>
        <v>9.7054381649681915E-2</v>
      </c>
      <c r="BJ29" s="126">
        <f>(BH29/AM29)-1</f>
        <v>0.54670158373862088</v>
      </c>
      <c r="BK29" s="48">
        <f>BK13+BK15</f>
        <v>64992</v>
      </c>
      <c r="BL29" s="126">
        <f t="shared" si="277"/>
        <v>0.12737385496407616</v>
      </c>
      <c r="BM29" s="126">
        <f>(BK29/AP29)-1</f>
        <v>9.4509936005388928E-2</v>
      </c>
      <c r="BN29" s="48">
        <f>BN13+BN15</f>
        <v>102202</v>
      </c>
      <c r="BO29" s="126">
        <f t="shared" si="278"/>
        <v>0.11436737169451752</v>
      </c>
      <c r="BP29" s="126">
        <f>BN29/AS29-1</f>
        <v>0.22494426732507122</v>
      </c>
      <c r="BQ29" s="48">
        <f>BQ13+BQ15</f>
        <v>42818</v>
      </c>
      <c r="BR29" s="126">
        <f t="shared" si="279"/>
        <v>9.5355808246146173E-2</v>
      </c>
      <c r="BS29" s="126">
        <f>(BQ29/AV29)-1</f>
        <v>-0.21247011219422474</v>
      </c>
      <c r="BT29" s="48">
        <f>BT13+BT15</f>
        <v>145021</v>
      </c>
      <c r="BU29" s="126">
        <f t="shared" si="280"/>
        <v>0.10800989674259531</v>
      </c>
      <c r="BV29" s="126">
        <f>BT29/AY29-1</f>
        <v>5.2356210905185607E-2</v>
      </c>
      <c r="BW29" s="48">
        <f>BW13+BW15</f>
        <v>83173</v>
      </c>
      <c r="BX29" s="126">
        <f t="shared" si="281"/>
        <v>0.13551432323489063</v>
      </c>
      <c r="BY29" s="126">
        <f>(BW29/BB29)-1</f>
        <v>4.9316209123940302E-2</v>
      </c>
      <c r="BZ29" s="48">
        <f>BZ13+BZ15</f>
        <v>228193</v>
      </c>
      <c r="CA29" s="126">
        <f t="shared" si="282"/>
        <v>0.11663792371993363</v>
      </c>
      <c r="CB29" s="126">
        <f>(BZ29/BE29)-1</f>
        <v>5.1236692142202278E-2</v>
      </c>
      <c r="CC29" s="48">
        <f>CC13+CC15</f>
        <v>16367.279695342848</v>
      </c>
      <c r="CD29" s="126">
        <f t="shared" si="283"/>
        <v>4.5132565360287355E-2</v>
      </c>
      <c r="CE29" s="126">
        <f>(CC29/BH29)-1</f>
        <v>-0.56012578420965764</v>
      </c>
      <c r="CF29" s="48">
        <f>CF13+CF15</f>
        <v>72626.940966587921</v>
      </c>
      <c r="CG29" s="126">
        <f t="shared" si="284"/>
        <v>0.13092257336261098</v>
      </c>
      <c r="CH29" s="126">
        <f>(CF29/BK29)-1</f>
        <v>0.11747508872765766</v>
      </c>
      <c r="CI29" s="48">
        <f>CI13+CI15</f>
        <v>88998.22066193074</v>
      </c>
      <c r="CJ29" s="126">
        <f t="shared" si="285"/>
        <v>9.7013473873346634E-2</v>
      </c>
      <c r="CK29" s="126">
        <f>(CI29/BN29)-1</f>
        <v>-0.12919296430665994</v>
      </c>
      <c r="CL29" s="48">
        <f>CL13+CL15</f>
        <v>46512.640550408512</v>
      </c>
      <c r="CM29" s="126">
        <f t="shared" si="286"/>
        <v>9.5561482855810231E-2</v>
      </c>
      <c r="CN29" s="126">
        <f>(CL29/BQ29)-1</f>
        <v>8.6287088383588895E-2</v>
      </c>
      <c r="CO29" s="48">
        <f>CO13+CO15</f>
        <v>135511.86121233925</v>
      </c>
      <c r="CP29" s="126">
        <f t="shared" si="287"/>
        <v>9.6510789540384806E-2</v>
      </c>
      <c r="CQ29" s="126">
        <f>(CO29/BT29)-1</f>
        <v>-6.5570771044612508E-2</v>
      </c>
      <c r="CR29" s="48">
        <f>CR13+CR15</f>
        <v>136704.23646145535</v>
      </c>
      <c r="CS29" s="126">
        <f t="shared" si="288"/>
        <v>0.1920386319483034</v>
      </c>
      <c r="CT29" s="126">
        <f>(CR29/BW29)-1</f>
        <v>0.64361314923659552</v>
      </c>
      <c r="CU29" s="48">
        <f>CU13+CU15</f>
        <v>272211</v>
      </c>
      <c r="CV29" s="126">
        <f t="shared" si="289"/>
        <v>0.12864608538503416</v>
      </c>
      <c r="CW29" s="126">
        <f>(CU29/BZ29)-1</f>
        <v>0.19289811694486692</v>
      </c>
      <c r="CX29" s="48">
        <f>CX13+CX15</f>
        <v>55939</v>
      </c>
      <c r="CY29" s="126">
        <f t="shared" si="290"/>
        <v>0.12706305111233265</v>
      </c>
      <c r="CZ29" s="126">
        <f>CX29/CC29-1</f>
        <v>2.4177334927512057</v>
      </c>
      <c r="DA29" s="48">
        <f>DA13+DA15</f>
        <v>137031</v>
      </c>
      <c r="DB29" s="126">
        <f t="shared" si="291"/>
        <v>0.21751332166117185</v>
      </c>
      <c r="DC29" s="126">
        <f>DA29/CF29-1</f>
        <v>0.88677917830851793</v>
      </c>
      <c r="DD29" s="48">
        <f>DD13+DD15</f>
        <v>192970</v>
      </c>
      <c r="DE29" s="126">
        <f t="shared" si="292"/>
        <v>0.18030619443393273</v>
      </c>
      <c r="DF29" s="126">
        <f>DD29/CI29-1</f>
        <v>1.168245595976769</v>
      </c>
      <c r="DG29" s="48">
        <f>DG13+DG15</f>
        <v>87076</v>
      </c>
      <c r="DH29" s="126">
        <f t="shared" si="293"/>
        <v>0.1531033512677146</v>
      </c>
      <c r="DI29" s="126">
        <f>DG29/CL29-1</f>
        <v>0.87209324109712849</v>
      </c>
      <c r="DJ29" s="48">
        <f>DJ13+DJ15</f>
        <v>280046</v>
      </c>
      <c r="DK29" s="126">
        <f t="shared" si="294"/>
        <v>0.17086654768986714</v>
      </c>
      <c r="DL29" s="126">
        <f>DJ29/CO29-1</f>
        <v>1.0665792462342769</v>
      </c>
      <c r="DM29" s="48">
        <f>DM13+DM15</f>
        <v>159198</v>
      </c>
      <c r="DN29" s="126">
        <f t="shared" ref="DN29:DN35" si="393">DM29/$DM$8</f>
        <v>0.19326971054097988</v>
      </c>
      <c r="DO29" s="126">
        <f>DM29/CR29-1</f>
        <v>0.16454328059457701</v>
      </c>
      <c r="DP29" s="48">
        <f>DP13+DP15</f>
        <v>439245</v>
      </c>
      <c r="DQ29" s="126">
        <f t="shared" si="296"/>
        <v>0.17836034926135438</v>
      </c>
      <c r="DR29" s="126">
        <f>DP29/CU29-1</f>
        <v>0.61361958186847709</v>
      </c>
      <c r="DS29" s="48">
        <f>DS13+DS15</f>
        <v>64687</v>
      </c>
      <c r="DT29" s="126">
        <f>DS29/$DS$8</f>
        <v>0.12494905419474722</v>
      </c>
      <c r="DU29" s="126">
        <f>(DS29/CX29)-1</f>
        <v>0.15638463326123109</v>
      </c>
      <c r="DV29" s="48">
        <f>(DV13+DV15)</f>
        <v>152921</v>
      </c>
      <c r="DW29" s="126">
        <f t="shared" si="298"/>
        <v>0.2039890455984302</v>
      </c>
      <c r="DX29" s="126">
        <f>(DV29/DA29)-1</f>
        <v>0.11595916252526806</v>
      </c>
      <c r="DY29" s="48">
        <f>(DY13+DY15)</f>
        <v>217608</v>
      </c>
      <c r="DZ29" s="126">
        <f t="shared" si="299"/>
        <v>0.17170180532761015</v>
      </c>
      <c r="EA29" s="126">
        <f>(DY29/DD29)-1</f>
        <v>0.12767787739026781</v>
      </c>
      <c r="EB29" s="48">
        <f>(EB13+EB15)</f>
        <v>78476.632239999948</v>
      </c>
      <c r="EC29" s="126">
        <f t="shared" ref="EC29:EC35" si="394">(EB29/$EB$8)</f>
        <v>0.11943311312542225</v>
      </c>
      <c r="ED29" s="126">
        <f>(EB29/DG29)-1</f>
        <v>-9.8757037071064979E-2</v>
      </c>
      <c r="EE29" s="48">
        <f>(EE13+EE15)</f>
        <v>296084.63224000006</v>
      </c>
      <c r="EF29" s="126">
        <f t="shared" ref="EF29:EF35" si="395">(EE29/$EE$8)</f>
        <v>0.15385527616402939</v>
      </c>
      <c r="EG29" s="126">
        <f>(EE29/DJ29)-1</f>
        <v>5.7271420552338137E-2</v>
      </c>
      <c r="EH29" s="48">
        <f>(EH13+EH15)</f>
        <v>183591</v>
      </c>
      <c r="EI29" s="126">
        <f t="shared" si="250"/>
        <v>0.18884465839659323</v>
      </c>
      <c r="EJ29" s="126">
        <f t="shared" si="214"/>
        <v>0.15322428673727062</v>
      </c>
      <c r="EK29" s="48">
        <f>(EK13+EK15)</f>
        <v>479676</v>
      </c>
      <c r="EL29" s="126">
        <f t="shared" si="215"/>
        <v>0.16559869668651395</v>
      </c>
      <c r="EM29" s="126">
        <f t="shared" si="232"/>
        <v>9.2046579926920113E-2</v>
      </c>
      <c r="EN29" s="48">
        <f>(EN13+EN15)</f>
        <v>45359</v>
      </c>
      <c r="EO29" s="126">
        <f t="shared" si="216"/>
        <v>7.3254317271184227E-2</v>
      </c>
      <c r="EP29" s="126">
        <f t="shared" si="217"/>
        <v>-0.29879264767263902</v>
      </c>
      <c r="EQ29" s="48">
        <f>(EQ13+EQ15)</f>
        <v>147941</v>
      </c>
      <c r="ER29" s="126">
        <f t="shared" si="233"/>
        <v>0.17299621478327676</v>
      </c>
      <c r="ES29" s="126">
        <f>(EQ29/DV29)-1</f>
        <v>-3.256583464664764E-2</v>
      </c>
      <c r="ET29" s="48">
        <f>(ET13+ET15)</f>
        <v>193299</v>
      </c>
      <c r="EU29" s="126">
        <f t="shared" si="234"/>
        <v>0.13110634522724313</v>
      </c>
      <c r="EV29" s="126">
        <f>(ET29/DY29)-1</f>
        <v>-0.11171004742472701</v>
      </c>
      <c r="EW29" s="48">
        <f>(EW13+EW15)</f>
        <v>95567</v>
      </c>
      <c r="EX29" s="126">
        <f t="shared" si="235"/>
        <v>0.11897393123023678</v>
      </c>
      <c r="EY29" s="126">
        <f>(EW29/EB29)-1</f>
        <v>0.2177765185913394</v>
      </c>
      <c r="EZ29" s="48">
        <f>(EZ13+EZ15)</f>
        <v>288866</v>
      </c>
      <c r="FA29" s="126">
        <f t="shared" si="236"/>
        <v>0.12682750351352218</v>
      </c>
      <c r="FB29" s="126">
        <f>(EZ29/EE29)-1</f>
        <v>-2.4380300272216715E-2</v>
      </c>
      <c r="FC29" s="48">
        <f>(FC13+FC15)</f>
        <v>226076</v>
      </c>
      <c r="FD29" s="126">
        <f t="shared" si="219"/>
        <v>0.19088904124856881</v>
      </c>
      <c r="FE29" s="126">
        <f>(FC29/EH29)-1</f>
        <v>0.23141112581771428</v>
      </c>
      <c r="FF29" s="48">
        <f>(FF13+FF15)</f>
        <v>514943</v>
      </c>
      <c r="FG29" s="126">
        <f t="shared" si="220"/>
        <v>0.1487431974950606</v>
      </c>
      <c r="FH29" s="126">
        <f>(FF29/EK29)-1</f>
        <v>7.3522544384125865E-2</v>
      </c>
      <c r="FI29" s="48">
        <f>(FI13+FI15)</f>
        <v>28468</v>
      </c>
      <c r="FJ29" s="126">
        <f t="shared" si="251"/>
        <v>3.9172678749083222E-2</v>
      </c>
      <c r="FK29" s="126">
        <f>(FI29/EN29)-1</f>
        <v>-0.37238475275028105</v>
      </c>
      <c r="FL29" s="48">
        <f>(FL13+FL15)</f>
        <v>138449</v>
      </c>
      <c r="FM29" s="126">
        <f t="shared" si="222"/>
        <v>0.14616613334206077</v>
      </c>
      <c r="FN29" s="126">
        <f>(FL29/EQ29)-1</f>
        <v>-6.4160712716555879E-2</v>
      </c>
      <c r="FO29" s="48">
        <f t="shared" si="237"/>
        <v>166917</v>
      </c>
      <c r="FP29" s="126">
        <f t="shared" si="252"/>
        <v>9.9715400965629475E-2</v>
      </c>
      <c r="FQ29" s="126">
        <f>(FO29/ET29)-1</f>
        <v>-0.13648285816274275</v>
      </c>
      <c r="FR29" s="48">
        <f>(FR13+FR15)</f>
        <v>100730</v>
      </c>
      <c r="FS29" s="49">
        <f t="shared" si="244"/>
        <v>0.11106847587102693</v>
      </c>
      <c r="FT29" s="126">
        <f>(FR29/EW29)-1</f>
        <v>5.4024924921782569E-2</v>
      </c>
      <c r="FU29" s="48">
        <f>FO29+FR29</f>
        <v>267647</v>
      </c>
      <c r="FV29" s="49">
        <f t="shared" si="390"/>
        <v>0.10370490055222074</v>
      </c>
      <c r="FW29" s="126">
        <f>(FU29/EZ29)-1</f>
        <v>-7.3456204606980435E-2</v>
      </c>
      <c r="FX29" s="48">
        <f>FX13+FX15</f>
        <v>321186</v>
      </c>
      <c r="FY29" s="49">
        <f t="shared" si="253"/>
        <v>0.24095805256595501</v>
      </c>
      <c r="FZ29" s="126">
        <f>(FX29/FC29)-1</f>
        <v>0.42069923388594987</v>
      </c>
      <c r="GA29" s="48">
        <f>GA13+GA15</f>
        <v>588834</v>
      </c>
      <c r="GB29" s="49">
        <f t="shared" ref="GB29:GB36" si="396">(GA29/$GA$8)</f>
        <v>0.15045036689322347</v>
      </c>
      <c r="GC29" s="126">
        <f>(GA29/FF29)-1</f>
        <v>0.14349355171349054</v>
      </c>
      <c r="GD29" s="48">
        <f>(GD13+GD15)</f>
        <v>68627.22000000003</v>
      </c>
      <c r="GE29" s="126">
        <f t="shared" ref="GE29:GE36" si="397">(GD29/$GD$8)</f>
        <v>8.4255214139439899E-2</v>
      </c>
      <c r="GF29" s="126">
        <f>(GD29/FI29)-1</f>
        <v>1.4106793592805968</v>
      </c>
      <c r="GG29" s="48">
        <f>(GG13+GG15)</f>
        <v>168178</v>
      </c>
      <c r="GH29" s="126">
        <f t="shared" si="225"/>
        <v>0.15134836455789158</v>
      </c>
      <c r="GI29" s="126">
        <f t="shared" si="165"/>
        <v>0.21472888933831236</v>
      </c>
      <c r="GJ29" s="48">
        <f t="shared" ref="GJ29:GJ35" si="398">GD29+GG29</f>
        <v>236805.22000000003</v>
      </c>
      <c r="GK29" s="49">
        <f t="shared" si="167"/>
        <v>0.12297008797775788</v>
      </c>
      <c r="GL29" s="126">
        <f>(GJ29/FO29)-1</f>
        <v>0.41870043195120954</v>
      </c>
      <c r="GM29" s="48">
        <f>(GM13+GM15)</f>
        <v>119625</v>
      </c>
      <c r="GN29" s="49">
        <f t="shared" si="168"/>
        <v>0.11424508471565509</v>
      </c>
      <c r="GO29" s="126">
        <f>(GM29/FR29)-1</f>
        <v>0.18758066117343386</v>
      </c>
      <c r="GP29" s="48">
        <f t="shared" ref="GP29:GP35" si="399">GJ29+GM29</f>
        <v>356430.22000000003</v>
      </c>
      <c r="GQ29" s="49">
        <f t="shared" si="171"/>
        <v>0.11989693908614929</v>
      </c>
      <c r="GR29" s="126">
        <f>(GP29/FU29)-1</f>
        <v>0.33171759817969204</v>
      </c>
      <c r="GS29" s="48">
        <f>(GS13+GS15)</f>
        <v>365144.61600000004</v>
      </c>
      <c r="GT29" s="49">
        <f t="shared" si="344"/>
        <v>0.21867474264989908</v>
      </c>
      <c r="GU29" s="126">
        <f>(GS29/FX29)-1</f>
        <v>0.13686342493134829</v>
      </c>
      <c r="GV29" s="48">
        <f t="shared" ref="GV29:GV35" si="400">GP29+GS29</f>
        <v>721574.83600000013</v>
      </c>
      <c r="GW29" s="49">
        <f t="shared" ref="GW29:GW36" si="401">(GV29/$GV$8)</f>
        <v>0.15542432492743311</v>
      </c>
      <c r="GX29" s="126">
        <f>(GV29/GA29)-1</f>
        <v>0.22542997856781399</v>
      </c>
      <c r="GY29" s="48">
        <f>(GY13+GY15)</f>
        <v>102966.3139200001</v>
      </c>
      <c r="GZ29" s="49">
        <f t="shared" si="352"/>
        <v>0.10185658641105169</v>
      </c>
      <c r="HA29" s="126">
        <f t="shared" si="229"/>
        <v>0.50037133836981962</v>
      </c>
      <c r="HB29" s="48">
        <f>(HB13+HB15)</f>
        <v>229145.64064000011</v>
      </c>
      <c r="HC29" s="49">
        <f>(HB29/$HB$8)</f>
        <v>0.16920782841268747</v>
      </c>
      <c r="HD29" s="126">
        <f>(HB29/GG29)-1</f>
        <v>0.36251852584761446</v>
      </c>
      <c r="HE29" s="48">
        <f>GY29+HB29</f>
        <v>332111.95456000022</v>
      </c>
      <c r="HF29" s="49">
        <f t="shared" si="240"/>
        <v>0.14042070344815349</v>
      </c>
      <c r="HG29" s="126">
        <f>(HE29/GJ29)-1</f>
        <v>0.40246889219756299</v>
      </c>
      <c r="HH29" s="48">
        <f>(HH13+HH15)</f>
        <v>129877</v>
      </c>
      <c r="HI29" s="49">
        <f t="shared" ref="HI29:HI36" si="402">(HH29/$HH$8)</f>
        <v>0.10403768128712355</v>
      </c>
      <c r="HJ29" s="126">
        <f t="shared" si="241"/>
        <v>8.5701149425287282E-2</v>
      </c>
      <c r="HK29" s="48">
        <f>(HK13+HK15)</f>
        <v>461990.64006000012</v>
      </c>
      <c r="HL29" s="49">
        <f t="shared" si="300"/>
        <v>0.12785178635256927</v>
      </c>
      <c r="HM29" s="126">
        <f t="shared" si="230"/>
        <v>0.29616012935154634</v>
      </c>
      <c r="HN29" s="48">
        <f>(HN13+HN15)</f>
        <v>389378</v>
      </c>
      <c r="HO29" s="49">
        <f t="shared" si="355"/>
        <v>0.21192184899470221</v>
      </c>
      <c r="HP29" s="126">
        <f>(HN29/GS29)-1</f>
        <v>6.6366537908914225E-2</v>
      </c>
      <c r="HQ29" s="48">
        <f>(HQ13+HQ15)</f>
        <v>851366.36873000022</v>
      </c>
      <c r="HR29" s="49">
        <f t="shared" ref="HR29:HR36" si="403">(HQ29/HQ$8)</f>
        <v>0.15618959544856478</v>
      </c>
      <c r="HS29" s="126">
        <f>(HQ29/GV29)-1</f>
        <v>0.17987258736666933</v>
      </c>
      <c r="HT29" s="48">
        <f>(HT13+HT15)</f>
        <v>81616</v>
      </c>
      <c r="HU29" s="49">
        <f t="shared" ref="HU29:HU36" si="404">HT29/HT$8</f>
        <v>7.5840869471485328E-2</v>
      </c>
      <c r="HV29" s="126">
        <f>HT29/GY29-1</f>
        <v>-0.20735241563166251</v>
      </c>
      <c r="HW29" s="48">
        <f>(HW13+HW15)</f>
        <v>246312</v>
      </c>
      <c r="HX29" s="49">
        <f t="shared" si="184"/>
        <v>0.16816687239876343</v>
      </c>
      <c r="HY29" s="126">
        <f>(HW29/HB29)-1</f>
        <v>7.4914623346333364E-2</v>
      </c>
      <c r="HZ29" s="48">
        <f>HT29+HW29</f>
        <v>327928</v>
      </c>
      <c r="IA29" s="49">
        <f>(HZ29/HZ$8)</f>
        <v>0.1290630327970794</v>
      </c>
      <c r="IB29" s="126">
        <f>(HZ29/HE29)-1</f>
        <v>-1.2598024559348775E-2</v>
      </c>
      <c r="IC29" s="48">
        <f>(IC13+IC15)</f>
        <v>118884</v>
      </c>
      <c r="ID29" s="49">
        <f t="shared" si="187"/>
        <v>9.4321090304962316E-2</v>
      </c>
      <c r="IE29" s="126">
        <f>(IC29/HH29)-1</f>
        <v>-8.4641622458171972E-2</v>
      </c>
      <c r="IF29" s="48">
        <f>HZ29+IC29</f>
        <v>446812</v>
      </c>
      <c r="IG29" s="49">
        <f>(IF29/IF$8)</f>
        <v>0.11754331596888816</v>
      </c>
      <c r="IH29" s="126">
        <f>(IF29/HK29)-1</f>
        <v>-3.2854864890831559E-2</v>
      </c>
      <c r="II29" s="48">
        <f>(II13+II15)</f>
        <v>453679</v>
      </c>
      <c r="IJ29" s="49">
        <f t="shared" si="22"/>
        <v>0.23622913568521597</v>
      </c>
      <c r="IK29" s="126">
        <f>(II29/HN29)-1</f>
        <v>0.16513773248617025</v>
      </c>
      <c r="IL29" s="48">
        <f>(IL13+IL15)</f>
        <v>900496</v>
      </c>
      <c r="IM29" s="49">
        <f>(IL29/IL$8)</f>
        <v>0.15738102824010178</v>
      </c>
      <c r="IN29" s="126">
        <f>(IL29/HQ29)-1</f>
        <v>5.7706802939946344E-2</v>
      </c>
      <c r="IO29" s="48">
        <f>(IO13+IO15)</f>
        <v>79533</v>
      </c>
      <c r="IP29" s="49">
        <f t="shared" ref="IP29:IP36" si="405">IO29/IO$8</f>
        <v>6.441567235017219E-2</v>
      </c>
      <c r="IQ29" s="126">
        <f>IO29/HT29-1</f>
        <v>-2.5521956479121699E-2</v>
      </c>
      <c r="IR29" s="48">
        <f>(IR13+IR15)</f>
        <v>272990.00000000012</v>
      </c>
      <c r="IS29" s="49">
        <f t="shared" si="190"/>
        <v>0.16743168782230256</v>
      </c>
      <c r="IT29" s="126">
        <f>(IR29/HW29)-1</f>
        <v>0.1083097859625195</v>
      </c>
      <c r="IU29" s="48">
        <f>IO29+IR29</f>
        <v>352523.00000000012</v>
      </c>
      <c r="IV29" s="49">
        <f>(IU29/IU$8)</f>
        <v>0.12303866477728841</v>
      </c>
      <c r="IW29" s="126">
        <f>(IU29/HZ29)-1</f>
        <v>7.5001219779952111E-2</v>
      </c>
      <c r="IX29" s="48">
        <f>(IX13+IX15)</f>
        <v>188034</v>
      </c>
      <c r="IY29" s="49">
        <f t="shared" si="193"/>
        <v>0.12431358911738767</v>
      </c>
      <c r="IZ29" s="126">
        <f>(IX29/IC29)-1</f>
        <v>0.58165943272433629</v>
      </c>
      <c r="JA29" s="48">
        <f t="shared" ref="JA29:JA36" si="406">IU29+IX29</f>
        <v>540557.00000000012</v>
      </c>
      <c r="JB29" s="49">
        <f>(JA29/JA$8)</f>
        <v>0.12347917339581949</v>
      </c>
      <c r="JC29" s="126">
        <f>(JA29/IF29)-1</f>
        <v>0.20980859958998432</v>
      </c>
      <c r="JD29" s="48">
        <f>(JD13+JD15)</f>
        <v>495482</v>
      </c>
      <c r="JE29" s="49">
        <f t="shared" si="195"/>
        <v>0.22295357852368322</v>
      </c>
      <c r="JF29" s="126">
        <f>(JD29/II29)-1</f>
        <v>9.2142241540825065E-2</v>
      </c>
      <c r="JG29" s="48">
        <f t="shared" ref="JG29:JG36" si="407">JA29+JD29</f>
        <v>1036039.0000000001</v>
      </c>
      <c r="JH29" s="49">
        <f>(JG29/JG$8)</f>
        <v>0.15697386983447004</v>
      </c>
      <c r="JI29" s="126">
        <f>(JG29/IL29)-1</f>
        <v>0.15052037987953315</v>
      </c>
      <c r="JJ29" s="48">
        <f>(JJ13+JJ15)</f>
        <v>156697</v>
      </c>
      <c r="JK29" s="49">
        <f t="shared" si="197"/>
        <v>0.11202092622419341</v>
      </c>
      <c r="JL29" s="126">
        <f>(JJ29/IO29)-1</f>
        <v>0.97021362201853312</v>
      </c>
      <c r="JM29" s="48">
        <f>(JM13+JM15)</f>
        <v>339875.97785999987</v>
      </c>
      <c r="JN29" s="49">
        <f t="shared" si="198"/>
        <v>0.1909382352666891</v>
      </c>
      <c r="JO29" s="126">
        <f>(JM29/IR29)-1</f>
        <v>0.24501255672368849</v>
      </c>
      <c r="JP29" s="48">
        <f t="shared" si="36"/>
        <v>496572.97785999987</v>
      </c>
      <c r="JQ29" s="49">
        <f t="shared" si="199"/>
        <v>0.15621151607027695</v>
      </c>
      <c r="JR29" s="126">
        <f>(JP29/IU29)-1</f>
        <v>0.40862575735483841</v>
      </c>
      <c r="JS29" s="48">
        <f>(JS13+JS15)</f>
        <v>242295</v>
      </c>
      <c r="JT29" s="126">
        <f t="shared" si="37"/>
        <v>0.14157202530469581</v>
      </c>
      <c r="JU29" s="126">
        <f t="shared" si="38"/>
        <v>0.28857015220651583</v>
      </c>
      <c r="JV29" s="48">
        <f t="shared" si="39"/>
        <v>738867.97785999987</v>
      </c>
      <c r="JW29" s="126">
        <f t="shared" si="40"/>
        <v>0.15108813690172257</v>
      </c>
      <c r="JX29" s="126">
        <f t="shared" si="41"/>
        <v>0.36686413802799644</v>
      </c>
      <c r="JY29" s="48">
        <f>(JY13+JY15)+1</f>
        <v>645751</v>
      </c>
      <c r="JZ29" s="126">
        <f t="shared" si="42"/>
        <v>0.24883261750314628</v>
      </c>
      <c r="KA29" s="126">
        <f t="shared" ref="KA29:KA30" si="408">(JY29/JD29)-1</f>
        <v>0.30327842383779835</v>
      </c>
      <c r="KB29" s="48">
        <f t="shared" si="44"/>
        <v>1384618.97786</v>
      </c>
      <c r="KC29" s="126">
        <f t="shared" si="45"/>
        <v>0.18497513475305971</v>
      </c>
      <c r="KD29" s="126">
        <f t="shared" ref="KD29:KD30" si="409">(KB29/JG29)-1</f>
        <v>0.33645449433853347</v>
      </c>
      <c r="KE29" s="48">
        <f>(KE13+KE15)</f>
        <v>203255</v>
      </c>
      <c r="KF29" s="126">
        <f t="shared" si="47"/>
        <v>0.12315969405036668</v>
      </c>
      <c r="KG29" s="126">
        <f t="shared" si="48"/>
        <v>0.29712119568338902</v>
      </c>
      <c r="KH29" s="48">
        <f>(KH13+KH15)</f>
        <v>320573</v>
      </c>
      <c r="KI29" s="49">
        <f t="shared" si="200"/>
        <v>0.15874870133021421</v>
      </c>
      <c r="KJ29" s="126">
        <f>(KH29/JM29)-1</f>
        <v>-5.6794181164374846E-2</v>
      </c>
      <c r="KK29" s="48">
        <f t="shared" si="360"/>
        <v>523828</v>
      </c>
      <c r="KL29" s="49">
        <f t="shared" si="201"/>
        <v>0.14274366564560534</v>
      </c>
      <c r="KM29" s="126">
        <f>(KK29/JP29)-1</f>
        <v>5.4886236978614278E-2</v>
      </c>
      <c r="KN29" s="48">
        <f>(KN13+KN15)</f>
        <v>251332</v>
      </c>
      <c r="KO29" s="126">
        <f t="shared" si="50"/>
        <v>0.13009414449015594</v>
      </c>
      <c r="KP29" s="126">
        <f t="shared" ref="KP29:KP30" si="410">(KN29/JS29)-1</f>
        <v>3.7297509234610615E-2</v>
      </c>
      <c r="KQ29" s="48">
        <f>KN29+KK29</f>
        <v>775160</v>
      </c>
      <c r="KR29" s="126">
        <f t="shared" si="53"/>
        <v>0.13838102625394194</v>
      </c>
      <c r="KS29" s="126">
        <f t="shared" ref="KS29:KS30" si="411">(KQ29/JV29)-1</f>
        <v>4.9118412527652922E-2</v>
      </c>
      <c r="KT29" s="48">
        <f>(KT13+KT15)</f>
        <v>746446</v>
      </c>
      <c r="KU29" s="126">
        <f t="shared" si="55"/>
        <v>0.25980888655919931</v>
      </c>
      <c r="KV29" s="126">
        <f t="shared" ref="KV29:KV30" si="412">(KT29/JY29)-1</f>
        <v>0.15593471787112989</v>
      </c>
      <c r="KW29" s="48">
        <f>KT29+KQ29</f>
        <v>1521606</v>
      </c>
      <c r="KX29" s="126">
        <f t="shared" si="58"/>
        <v>0.17954703491914104</v>
      </c>
      <c r="KY29" s="126">
        <f t="shared" ref="KY29:KY30" si="413">(KW29/KB29)-1</f>
        <v>9.8934814797729143E-2</v>
      </c>
      <c r="KZ29" s="48">
        <f>(KZ13+KZ15)</f>
        <v>-17600</v>
      </c>
      <c r="LA29" s="126">
        <f t="shared" si="60"/>
        <v>-1.1353520236359648E-2</v>
      </c>
      <c r="LB29" s="126">
        <f t="shared" ref="LB29:LB30" si="414">(KZ29/KE29)-1</f>
        <v>-1.0865907357752578</v>
      </c>
      <c r="LC29" s="48">
        <f>(LC13+LC15)</f>
        <v>923249</v>
      </c>
      <c r="LD29" s="49">
        <f t="shared" si="202"/>
        <v>1.7108736259256239</v>
      </c>
      <c r="LE29" s="126">
        <f>(LC29/KH29)-1</f>
        <v>1.8799961319262697</v>
      </c>
      <c r="LF29" s="48">
        <f t="shared" ref="LF29:LF35" si="415">LC29+KZ29</f>
        <v>905649</v>
      </c>
      <c r="LG29" s="49">
        <f t="shared" ref="LG29:LG36" si="416">(LF29/LF$8)</f>
        <v>0.43336303291773054</v>
      </c>
      <c r="LH29" s="126">
        <f>(LF29/KK29)-1</f>
        <v>0.72890528952251499</v>
      </c>
      <c r="LI29" s="48">
        <f>(LI13+LI15)</f>
        <v>-173759</v>
      </c>
      <c r="LJ29" s="49">
        <f t="shared" ref="LJ29:LJ36" si="417">(LI29/LI$8)</f>
        <v>-0.10523214371150141</v>
      </c>
      <c r="LK29" s="126">
        <f>(LI29/KN29)-1</f>
        <v>-1.6913524740184298</v>
      </c>
      <c r="LL29" s="48">
        <f t="shared" si="62"/>
        <v>731890</v>
      </c>
      <c r="LM29" s="49">
        <f t="shared" ref="LM29:LM36" si="418">(LL29/LL$8)</f>
        <v>0.19563952330558596</v>
      </c>
      <c r="LN29" s="126">
        <f>(LL29/KQ29)-1</f>
        <v>-5.5820733783992993E-2</v>
      </c>
      <c r="LO29" s="48">
        <f>(LO13+LO15)</f>
        <v>490767</v>
      </c>
      <c r="LP29" s="49">
        <f t="shared" ref="LP29:LP36" si="419">(LO29/LO$8)</f>
        <v>0.16809633513018066</v>
      </c>
      <c r="LQ29" s="126">
        <f>(LO29/KT29)-1</f>
        <v>-0.34252846153640049</v>
      </c>
      <c r="LR29" s="48">
        <f t="shared" si="63"/>
        <v>1222657</v>
      </c>
      <c r="LS29" s="49">
        <f t="shared" ref="LS29:LS36" si="420">(LR29/LR$8)</f>
        <v>0.18356639393229199</v>
      </c>
      <c r="LT29" s="126">
        <f>(LR29/KW29)-1</f>
        <v>-0.19646938826476767</v>
      </c>
    </row>
    <row r="30" spans="1:332" ht="16.5" customHeight="1">
      <c r="A30" s="114"/>
      <c r="B30" s="116" t="s">
        <v>1248</v>
      </c>
      <c r="C30" s="116" t="s">
        <v>131</v>
      </c>
      <c r="D30" s="121">
        <v>-59</v>
      </c>
      <c r="E30" s="118">
        <f t="shared" si="255"/>
        <v>-2.9796173969254389E-4</v>
      </c>
      <c r="F30" s="121">
        <v>-250</v>
      </c>
      <c r="G30" s="118">
        <f t="shared" si="256"/>
        <v>-8.9558227176981381E-4</v>
      </c>
      <c r="H30" s="117">
        <f>D30+F30</f>
        <v>-309</v>
      </c>
      <c r="I30" s="118">
        <f t="shared" si="257"/>
        <v>-6.4758152401710113E-4</v>
      </c>
      <c r="J30" s="121">
        <v>-225</v>
      </c>
      <c r="K30" s="118">
        <f t="shared" si="258"/>
        <v>-8.8092618621605004E-4</v>
      </c>
      <c r="L30" s="117">
        <f>H30+J30</f>
        <v>-534</v>
      </c>
      <c r="M30" s="118">
        <f t="shared" si="259"/>
        <v>-7.2893759393261829E-4</v>
      </c>
      <c r="N30" s="121">
        <v>-58</v>
      </c>
      <c r="O30" s="118">
        <f t="shared" si="260"/>
        <v>-1.436137681033821E-4</v>
      </c>
      <c r="P30" s="117">
        <v>-593</v>
      </c>
      <c r="Q30" s="118">
        <f t="shared" si="261"/>
        <v>-5.2180768966785581E-4</v>
      </c>
      <c r="R30" s="121">
        <v>-316</v>
      </c>
      <c r="S30" s="118">
        <f t="shared" si="262"/>
        <v>-1.2589892228928863E-3</v>
      </c>
      <c r="T30" s="26">
        <f>R30/D30-1</f>
        <v>4.3559322033898304</v>
      </c>
      <c r="U30" s="121">
        <v>-29</v>
      </c>
      <c r="V30" s="119">
        <f t="shared" si="263"/>
        <v>-8.1071485481215176E-5</v>
      </c>
      <c r="W30" s="26">
        <f>U30/F30-1</f>
        <v>-0.88400000000000001</v>
      </c>
      <c r="X30" s="117">
        <f>R30+U30</f>
        <v>-345</v>
      </c>
      <c r="Y30" s="119">
        <f t="shared" si="264"/>
        <v>-5.667779413310903E-4</v>
      </c>
      <c r="Z30" s="26">
        <f>X30/H30-1</f>
        <v>0.11650485436893199</v>
      </c>
      <c r="AA30" s="121">
        <v>-127</v>
      </c>
      <c r="AB30" s="119">
        <f t="shared" si="265"/>
        <v>-3.9622741581727365E-4</v>
      </c>
      <c r="AC30" s="26">
        <f t="shared" si="368"/>
        <v>-0.43555555555555558</v>
      </c>
      <c r="AD30" s="117">
        <f>X30+AA30</f>
        <v>-472</v>
      </c>
      <c r="AE30" s="119">
        <f t="shared" si="266"/>
        <v>-5.0794908025703089E-4</v>
      </c>
      <c r="AF30" s="26">
        <f t="shared" si="369"/>
        <v>-0.11610486891385763</v>
      </c>
      <c r="AG30" s="121">
        <v>-479</v>
      </c>
      <c r="AH30" s="119">
        <f t="shared" si="267"/>
        <v>-9.4499870777838501E-4</v>
      </c>
      <c r="AI30" s="26">
        <f>AG30/N30-1</f>
        <v>7.2586206896551726</v>
      </c>
      <c r="AJ30" s="117">
        <f>AD30+AG30</f>
        <v>-951</v>
      </c>
      <c r="AK30" s="119">
        <f t="shared" si="268"/>
        <v>-6.622078469192712E-4</v>
      </c>
      <c r="AL30" s="26">
        <f t="shared" si="375"/>
        <v>0.60370994940978084</v>
      </c>
      <c r="AM30" s="33">
        <v>62</v>
      </c>
      <c r="AN30" s="119">
        <f t="shared" si="269"/>
        <v>1.9981114623919972E-4</v>
      </c>
      <c r="AO30" s="119">
        <f>AM30/R30-1</f>
        <v>-1.1962025316455696</v>
      </c>
      <c r="AP30" s="33">
        <v>-520</v>
      </c>
      <c r="AQ30" s="119">
        <f t="shared" si="270"/>
        <v>-1.1702355098963666E-3</v>
      </c>
      <c r="AR30" s="119">
        <f>AP30/U30-1</f>
        <v>16.931034482758619</v>
      </c>
      <c r="AS30" s="120">
        <f>AM30+AP30</f>
        <v>-458</v>
      </c>
      <c r="AT30" s="119">
        <f t="shared" si="271"/>
        <v>-6.0690547116006401E-4</v>
      </c>
      <c r="AU30" s="119">
        <f>AS30/X30-1</f>
        <v>0.327536231884058</v>
      </c>
      <c r="AV30" s="33">
        <v>-2085</v>
      </c>
      <c r="AW30" s="119">
        <f t="shared" si="272"/>
        <v>-5.2737013036286097E-3</v>
      </c>
      <c r="AX30" s="119">
        <f>AV30/AA30-1</f>
        <v>15.41732283464567</v>
      </c>
      <c r="AY30" s="120">
        <f>AV30+AS30</f>
        <v>-2543</v>
      </c>
      <c r="AZ30" s="119">
        <f t="shared" si="273"/>
        <v>-2.2112928106462052E-3</v>
      </c>
      <c r="BA30" s="119">
        <f>AY30/AD30-1</f>
        <v>4.3877118644067794</v>
      </c>
      <c r="BB30" s="33">
        <v>-1433</v>
      </c>
      <c r="BC30" s="119">
        <f t="shared" si="274"/>
        <v>-2.3814984328311079E-3</v>
      </c>
      <c r="BD30" s="119">
        <f t="shared" si="391"/>
        <v>1.9916492693110648</v>
      </c>
      <c r="BE30" s="120">
        <f>BB30+AY30</f>
        <v>-3976</v>
      </c>
      <c r="BF30" s="119">
        <f t="shared" si="275"/>
        <v>-2.2697587753349835E-3</v>
      </c>
      <c r="BG30" s="119">
        <f t="shared" si="392"/>
        <v>3.1808622502628809</v>
      </c>
      <c r="BH30" s="33">
        <v>3</v>
      </c>
      <c r="BI30" s="119">
        <f t="shared" si="276"/>
        <v>7.8250730992245347E-6</v>
      </c>
      <c r="BJ30" s="119">
        <f>(BH30/AM30)-1</f>
        <v>-0.95161290322580649</v>
      </c>
      <c r="BK30" s="33">
        <v>-67</v>
      </c>
      <c r="BL30" s="119">
        <f t="shared" si="277"/>
        <v>-1.3130921163517206E-4</v>
      </c>
      <c r="BM30" s="119">
        <f>(BK30/AP30)-1</f>
        <v>-0.87115384615384617</v>
      </c>
      <c r="BN30" s="120">
        <f>BK30+BH30</f>
        <v>-64</v>
      </c>
      <c r="BO30" s="119">
        <f t="shared" si="278"/>
        <v>-7.1618087595635326E-5</v>
      </c>
      <c r="BP30" s="119">
        <f>BN30/AS30-1</f>
        <v>-0.86026200873362446</v>
      </c>
      <c r="BQ30" s="33">
        <v>-194</v>
      </c>
      <c r="BR30" s="119">
        <f t="shared" si="279"/>
        <v>-4.3203855387342606E-4</v>
      </c>
      <c r="BS30" s="119">
        <f>(BQ30/AV30)-1</f>
        <v>-0.90695443645083929</v>
      </c>
      <c r="BT30" s="120">
        <f>BN30+BQ30</f>
        <v>-258</v>
      </c>
      <c r="BU30" s="119">
        <f t="shared" si="280"/>
        <v>-1.9215529722998455E-4</v>
      </c>
      <c r="BV30" s="119">
        <f>BT30/AY30-1</f>
        <v>-0.89854502556036175</v>
      </c>
      <c r="BW30" s="33">
        <v>-33</v>
      </c>
      <c r="BX30" s="119">
        <f t="shared" si="281"/>
        <v>-5.3767119939780827E-5</v>
      </c>
      <c r="BY30" s="119">
        <f>(BW30/BB30)-1</f>
        <v>-0.97697138869504541</v>
      </c>
      <c r="BZ30" s="120">
        <v>-292</v>
      </c>
      <c r="CA30" s="119">
        <f t="shared" si="282"/>
        <v>-1.4925205298243425E-4</v>
      </c>
      <c r="CB30" s="119">
        <f>(BZ30/BE30)-1</f>
        <v>-0.92655935613682094</v>
      </c>
      <c r="CC30" s="33">
        <v>59</v>
      </c>
      <c r="CD30" s="119">
        <f t="shared" si="283"/>
        <v>1.6269174877085006E-4</v>
      </c>
      <c r="CE30" s="119">
        <f>(CC30/BH30)-1</f>
        <v>18.666666666666668</v>
      </c>
      <c r="CF30" s="33">
        <v>-152</v>
      </c>
      <c r="CG30" s="119">
        <f t="shared" si="284"/>
        <v>-2.7400618677126971E-4</v>
      </c>
      <c r="CH30" s="119">
        <f>(CF30/BK30)-1</f>
        <v>1.2686567164179103</v>
      </c>
      <c r="CI30" s="120">
        <f>CF30+CC30</f>
        <v>-93</v>
      </c>
      <c r="CJ30" s="119">
        <f t="shared" si="285"/>
        <v>-1.013756567616473E-4</v>
      </c>
      <c r="CK30" s="119">
        <f>(CI30/BN30)-1</f>
        <v>0.453125</v>
      </c>
      <c r="CL30" s="33">
        <v>-50</v>
      </c>
      <c r="CM30" s="119">
        <f t="shared" si="286"/>
        <v>-1.0272635752881475E-4</v>
      </c>
      <c r="CN30" s="119">
        <f>(CL30/BQ30)-1</f>
        <v>-0.74226804123711343</v>
      </c>
      <c r="CO30" s="121">
        <f>CI30+CL30</f>
        <v>-143</v>
      </c>
      <c r="CP30" s="119">
        <f t="shared" si="287"/>
        <v>-1.0184380009842526E-4</v>
      </c>
      <c r="CQ30" s="119">
        <f>(CO30/BT30)-1</f>
        <v>-0.44573643410852715</v>
      </c>
      <c r="CR30" s="33">
        <v>-200</v>
      </c>
      <c r="CS30" s="119">
        <f t="shared" si="288"/>
        <v>-2.809549095465669E-4</v>
      </c>
      <c r="CT30" s="119">
        <f>(CR30/BW30)-1</f>
        <v>5.0606060606060606</v>
      </c>
      <c r="CU30" s="122">
        <v>-345</v>
      </c>
      <c r="CV30" s="119">
        <f t="shared" si="289"/>
        <v>-1.6304594398403E-4</v>
      </c>
      <c r="CW30" s="119">
        <f>(CU30/BZ30)-1</f>
        <v>0.18150684931506844</v>
      </c>
      <c r="CX30" s="33">
        <v>-377</v>
      </c>
      <c r="CY30" s="119">
        <f t="shared" si="290"/>
        <v>-8.5633941023882101E-4</v>
      </c>
      <c r="CZ30" s="119">
        <f>CX30/CC30-1</f>
        <v>-7.3898305084745761</v>
      </c>
      <c r="DA30" s="33">
        <v>-410</v>
      </c>
      <c r="DB30" s="119">
        <f t="shared" si="291"/>
        <v>-6.5080501405580097E-4</v>
      </c>
      <c r="DC30" s="119">
        <f>DA30/CF30-1</f>
        <v>1.6973684210526314</v>
      </c>
      <c r="DD30" s="32">
        <f>CX30+DA30</f>
        <v>-787</v>
      </c>
      <c r="DE30" s="119">
        <f t="shared" si="292"/>
        <v>-7.353525160361977E-4</v>
      </c>
      <c r="DF30" s="119">
        <f>DD30/CI30-1</f>
        <v>7.4623655913978499</v>
      </c>
      <c r="DG30" s="33">
        <v>-338</v>
      </c>
      <c r="DH30" s="119">
        <f t="shared" si="293"/>
        <v>-5.9429616344902766E-4</v>
      </c>
      <c r="DI30" s="119">
        <f>DG30/CL30-1</f>
        <v>5.76</v>
      </c>
      <c r="DJ30" s="32">
        <f>DD30+DG30</f>
        <v>-1125</v>
      </c>
      <c r="DK30" s="119">
        <f t="shared" si="294"/>
        <v>-6.8640461263899698E-4</v>
      </c>
      <c r="DL30" s="119">
        <f>DJ30/CO30-1</f>
        <v>6.8671328671328675</v>
      </c>
      <c r="DM30" s="33">
        <v>705</v>
      </c>
      <c r="DN30" s="119">
        <f t="shared" si="393"/>
        <v>8.5588478455376842E-4</v>
      </c>
      <c r="DO30" s="119">
        <f>DM30/CR30-1</f>
        <v>-4.5250000000000004</v>
      </c>
      <c r="DP30" s="33">
        <v>-420</v>
      </c>
      <c r="DQ30" s="119">
        <f t="shared" si="296"/>
        <v>-1.7054570157831926E-4</v>
      </c>
      <c r="DR30" s="119">
        <f>DP30/CU30-1</f>
        <v>0.21739130434782616</v>
      </c>
      <c r="DS30" s="33">
        <v>142</v>
      </c>
      <c r="DT30" s="119">
        <f>DS30/$DS$8</f>
        <v>2.742864206974215E-4</v>
      </c>
      <c r="DU30" s="119">
        <f>(DS30/CX30)-1</f>
        <v>-1.3766578249336869</v>
      </c>
      <c r="DV30" s="33">
        <v>-49</v>
      </c>
      <c r="DW30" s="119">
        <f t="shared" si="298"/>
        <v>-6.5363574880644774E-5</v>
      </c>
      <c r="DX30" s="119">
        <f>(DV30/DA30)-1</f>
        <v>-0.88048780487804879</v>
      </c>
      <c r="DY30" s="33">
        <f>(DS30+DV30)</f>
        <v>93</v>
      </c>
      <c r="DZ30" s="119">
        <f t="shared" si="299"/>
        <v>7.338088625173589E-5</v>
      </c>
      <c r="EA30" s="119">
        <f>(DY30/DD30)-1</f>
        <v>-1.1181702668360864</v>
      </c>
      <c r="EB30" s="33">
        <v>-180.07400000000001</v>
      </c>
      <c r="EC30" s="119">
        <f t="shared" si="394"/>
        <v>-2.7405353414216926E-4</v>
      </c>
      <c r="ED30" s="119">
        <f>(EB30/DG30)-1</f>
        <v>-0.46723668639053251</v>
      </c>
      <c r="EE30" s="33">
        <f>(DY30+EB30)</f>
        <v>-87.074000000000012</v>
      </c>
      <c r="EF30" s="119">
        <f t="shared" si="395"/>
        <v>-4.5246503391123429E-5</v>
      </c>
      <c r="EG30" s="119">
        <f>(EE30/DJ30)-1</f>
        <v>-0.92260088888888891</v>
      </c>
      <c r="EH30" s="33">
        <v>-574</v>
      </c>
      <c r="EI30" s="119">
        <f t="shared" si="250"/>
        <v>-5.9042564134213825E-4</v>
      </c>
      <c r="EJ30" s="119">
        <f t="shared" si="214"/>
        <v>-1.8141843971631206</v>
      </c>
      <c r="EK30" s="33">
        <v>-661</v>
      </c>
      <c r="EL30" s="119">
        <f t="shared" si="215"/>
        <v>-2.2819723836461637E-4</v>
      </c>
      <c r="EM30" s="119">
        <f t="shared" si="232"/>
        <v>0.57380952380952377</v>
      </c>
      <c r="EN30" s="33">
        <v>-138</v>
      </c>
      <c r="EO30" s="119">
        <f t="shared" si="216"/>
        <v>-2.2286857698413596E-4</v>
      </c>
      <c r="EP30" s="119">
        <f t="shared" si="217"/>
        <v>-1.971830985915493</v>
      </c>
      <c r="EQ30" s="33">
        <v>16</v>
      </c>
      <c r="ER30" s="119">
        <f t="shared" si="233"/>
        <v>1.8709752107478171E-5</v>
      </c>
      <c r="ES30" s="119">
        <f>(EQ30/DV30)-1</f>
        <v>-1.3265306122448979</v>
      </c>
      <c r="ET30" s="33">
        <f>(EN30+EQ30)</f>
        <v>-122</v>
      </c>
      <c r="EU30" s="119">
        <f t="shared" si="234"/>
        <v>-8.2747319529452619E-5</v>
      </c>
      <c r="EV30" s="119">
        <f>(ET30/DY30)-1</f>
        <v>-2.311827956989247</v>
      </c>
      <c r="EW30" s="33">
        <v>-117</v>
      </c>
      <c r="EX30" s="119">
        <f t="shared" si="235"/>
        <v>-1.4565644996638696E-4</v>
      </c>
      <c r="EY30" s="119">
        <f>(EW30/EB30)-1</f>
        <v>-0.35026711240934283</v>
      </c>
      <c r="EZ30" s="33">
        <f>(ET30+EW30)</f>
        <v>-239</v>
      </c>
      <c r="FA30" s="119">
        <f t="shared" si="236"/>
        <v>-1.0493368322935825E-4</v>
      </c>
      <c r="FB30" s="119">
        <f>(EZ30/EE30)-1</f>
        <v>1.7447917862967128</v>
      </c>
      <c r="FC30" s="33">
        <v>-46</v>
      </c>
      <c r="FD30" s="119">
        <f t="shared" si="219"/>
        <v>-3.8840460276341429E-5</v>
      </c>
      <c r="FE30" s="119">
        <f>(FC30/EH30)-1</f>
        <v>-0.91986062717770034</v>
      </c>
      <c r="FF30" s="33">
        <v>-285</v>
      </c>
      <c r="FG30" s="119">
        <f t="shared" si="220"/>
        <v>-8.2323308183803392E-5</v>
      </c>
      <c r="FH30" s="119">
        <f>(FF30/EK30)-1</f>
        <v>-0.56883509833585477</v>
      </c>
      <c r="FI30" s="33">
        <v>-21</v>
      </c>
      <c r="FJ30" s="119">
        <f t="shared" si="251"/>
        <v>-2.8896524298536873E-5</v>
      </c>
      <c r="FK30" s="119">
        <f>(FI30/EN30)-1</f>
        <v>-0.84782608695652173</v>
      </c>
      <c r="FL30" s="33">
        <v>-471</v>
      </c>
      <c r="FM30" s="119">
        <f t="shared" si="222"/>
        <v>-4.9725349265152246E-4</v>
      </c>
      <c r="FN30" s="119">
        <f>(FL30/EQ30)-1</f>
        <v>-30.4375</v>
      </c>
      <c r="FO30" s="33">
        <f t="shared" si="237"/>
        <v>-492</v>
      </c>
      <c r="FP30" s="119">
        <f t="shared" si="252"/>
        <v>-2.9391839821641714E-4</v>
      </c>
      <c r="FQ30" s="119">
        <f>(FO30/ET30)-1</f>
        <v>3.0327868852459012</v>
      </c>
      <c r="FR30" s="33">
        <v>26</v>
      </c>
      <c r="FS30" s="123">
        <f t="shared" ref="FS30:FS36" si="421">(FR30/$FR$8)</f>
        <v>2.8668523504881369E-5</v>
      </c>
      <c r="FT30" s="119">
        <f>(FR30/EW30)-1</f>
        <v>-1.2222222222222223</v>
      </c>
      <c r="FU30" s="33">
        <v>-465</v>
      </c>
      <c r="FV30" s="123">
        <f t="shared" si="390"/>
        <v>-1.8017305912931079E-4</v>
      </c>
      <c r="FW30" s="119">
        <f>(FU30/EZ30)-1</f>
        <v>0.94560669456066937</v>
      </c>
      <c r="FX30" s="33">
        <v>-56</v>
      </c>
      <c r="FY30" s="123">
        <f t="shared" si="253"/>
        <v>-4.2011952400457932E-5</v>
      </c>
      <c r="FZ30" s="119">
        <f>(FX30/FC30)-1</f>
        <v>0.21739130434782616</v>
      </c>
      <c r="GA30" s="33">
        <v>-521</v>
      </c>
      <c r="GB30" s="123">
        <f t="shared" si="396"/>
        <v>-1.3311840204772383E-4</v>
      </c>
      <c r="GC30" s="119">
        <f>(GA30/FF30)-1</f>
        <v>0.8280701754385964</v>
      </c>
      <c r="GD30" s="33">
        <v>-136.77000000000001</v>
      </c>
      <c r="GE30" s="119">
        <f t="shared" si="397"/>
        <v>-1.6791567016485865E-4</v>
      </c>
      <c r="GF30" s="119">
        <f>(GD30/FI30)-1</f>
        <v>5.5128571428571433</v>
      </c>
      <c r="GG30" s="33">
        <v>-61</v>
      </c>
      <c r="GH30" s="119">
        <f t="shared" si="225"/>
        <v>-5.4895707155700427E-5</v>
      </c>
      <c r="GI30" s="119">
        <f t="shared" si="165"/>
        <v>-0.87048832271762211</v>
      </c>
      <c r="GJ30" s="33">
        <f t="shared" si="398"/>
        <v>-197.77</v>
      </c>
      <c r="GK30" s="123">
        <f t="shared" si="167"/>
        <v>-1.0269957013346739E-4</v>
      </c>
      <c r="GL30" s="119">
        <f>(GJ30/FO30)-1</f>
        <v>-0.59802845528455284</v>
      </c>
      <c r="GM30" s="33">
        <v>-98</v>
      </c>
      <c r="GN30" s="123">
        <f t="shared" si="168"/>
        <v>-9.3592629484925375E-5</v>
      </c>
      <c r="GO30" s="119">
        <f>(GM30/FR30)-1</f>
        <v>-4.7692307692307692</v>
      </c>
      <c r="GP30" s="33">
        <f t="shared" si="399"/>
        <v>-295.77</v>
      </c>
      <c r="GQ30" s="123">
        <f t="shared" si="171"/>
        <v>-9.9491894019284805E-5</v>
      </c>
      <c r="GR30" s="119">
        <f>(GP30/FU30)-1</f>
        <v>-0.36393548387096775</v>
      </c>
      <c r="GS30" s="33">
        <v>-1444.5619999999999</v>
      </c>
      <c r="GT30" s="123">
        <f t="shared" si="344"/>
        <v>-8.6510716507955706E-4</v>
      </c>
      <c r="GU30" s="119">
        <f>(GS30/FX30)-1</f>
        <v>24.795749999999998</v>
      </c>
      <c r="GV30" s="33">
        <f t="shared" si="400"/>
        <v>-1740.3319999999999</v>
      </c>
      <c r="GW30" s="123">
        <f t="shared" si="401"/>
        <v>-3.7486053109758038E-4</v>
      </c>
      <c r="GX30" s="119">
        <f>(GV30/GA30)-1</f>
        <v>2.3403685220729362</v>
      </c>
      <c r="GY30" s="33">
        <v>-378.03440999999998</v>
      </c>
      <c r="GZ30" s="123">
        <f t="shared" si="352"/>
        <v>-3.7396011455195641E-4</v>
      </c>
      <c r="HA30" s="119">
        <f t="shared" si="229"/>
        <v>1.7640155735906995</v>
      </c>
      <c r="HB30" s="33">
        <v>-1057</v>
      </c>
      <c r="HC30" s="123">
        <f t="shared" si="371"/>
        <v>-7.8051964738529611E-4</v>
      </c>
      <c r="HD30" s="119">
        <f>(HB30/GG30)-1</f>
        <v>16.327868852459016</v>
      </c>
      <c r="HE30" s="33">
        <f>GY30+HB30</f>
        <v>-1435.03441</v>
      </c>
      <c r="HF30" s="123">
        <f t="shared" si="240"/>
        <v>-6.0674883441481431E-4</v>
      </c>
      <c r="HG30" s="119">
        <f>(HE30/GJ30)-1</f>
        <v>6.2560773120291246</v>
      </c>
      <c r="HH30" s="33">
        <v>-144</v>
      </c>
      <c r="HI30" s="123">
        <f t="shared" si="402"/>
        <v>-1.1535087894966617E-4</v>
      </c>
      <c r="HJ30" s="119">
        <f>(HH30/GM30)-1</f>
        <v>0.46938775510204089</v>
      </c>
      <c r="HK30" s="33">
        <f>HE30+HH30</f>
        <v>-1579.03441</v>
      </c>
      <c r="HL30" s="123">
        <f t="shared" si="300"/>
        <v>-4.3698368002532734E-4</v>
      </c>
      <c r="HM30" s="119">
        <f>(HK30/GP30)-1</f>
        <v>4.3387240423301892</v>
      </c>
      <c r="HN30" s="33">
        <v>-11178</v>
      </c>
      <c r="HO30" s="123">
        <f t="shared" si="355"/>
        <v>-6.0837089616331205E-3</v>
      </c>
      <c r="HP30" s="119">
        <f>(HN30/GS30)-1</f>
        <v>6.7379856316309032</v>
      </c>
      <c r="HQ30" s="33">
        <f>HK30+HN30</f>
        <v>-12757.03441</v>
      </c>
      <c r="HR30" s="123">
        <f t="shared" si="403"/>
        <v>-2.3403743873434833E-3</v>
      </c>
      <c r="HS30" s="119">
        <f>(HQ30/GV30)-1</f>
        <v>6.3302303296152695</v>
      </c>
      <c r="HT30" s="33">
        <v>-153</v>
      </c>
      <c r="HU30" s="123">
        <f t="shared" si="404"/>
        <v>-1.4217375305255412E-4</v>
      </c>
      <c r="HV30" s="119">
        <f>HT30/GY30-1</f>
        <v>-0.59527493806714582</v>
      </c>
      <c r="HW30" s="33">
        <v>-962</v>
      </c>
      <c r="HX30" s="123">
        <f t="shared" si="184"/>
        <v>-6.567951672984281E-4</v>
      </c>
      <c r="HY30" s="119">
        <f>(HW30/HB30)-1</f>
        <v>-8.987701040681173E-2</v>
      </c>
      <c r="HZ30" s="33">
        <f>HT30+HW30</f>
        <v>-1115</v>
      </c>
      <c r="IA30" s="123">
        <f>(HZ30/HZ$8)</f>
        <v>-4.3883194350205994E-4</v>
      </c>
      <c r="IB30" s="119">
        <f>(HZ30/HE30)-1</f>
        <v>-0.22301514707232695</v>
      </c>
      <c r="IC30" s="33">
        <v>-12228</v>
      </c>
      <c r="ID30" s="123">
        <f t="shared" si="187"/>
        <v>-9.7015434562184918E-3</v>
      </c>
      <c r="IE30" s="119">
        <f>(IC30/HH30)-1</f>
        <v>83.916666666666671</v>
      </c>
      <c r="IF30" s="33">
        <f>HZ30+IC30</f>
        <v>-13343</v>
      </c>
      <c r="IG30" s="123">
        <f>(IF30/IF$8)</f>
        <v>-3.5101574375193028E-3</v>
      </c>
      <c r="IH30" s="119">
        <f>(IF30/HK30)-1</f>
        <v>7.450100843590862</v>
      </c>
      <c r="II30" s="33">
        <v>-8035</v>
      </c>
      <c r="IJ30" s="123">
        <f t="shared" si="22"/>
        <v>-4.1837975864668859E-3</v>
      </c>
      <c r="IK30" s="119">
        <f>(II30/HN30)-1</f>
        <v>-0.28117731257827872</v>
      </c>
      <c r="IL30" s="33">
        <v>-21381</v>
      </c>
      <c r="IM30" s="123">
        <f>(IL30/IL$8)</f>
        <v>-3.7367892414864874E-3</v>
      </c>
      <c r="IN30" s="119">
        <f>(IL30/HQ30)-1</f>
        <v>0.67601648728326968</v>
      </c>
      <c r="IO30" s="33">
        <v>-431</v>
      </c>
      <c r="IP30" s="123">
        <f t="shared" si="405"/>
        <v>-3.4907717278267152E-4</v>
      </c>
      <c r="IQ30" s="119">
        <f>IO30/HT30-1</f>
        <v>1.8169934640522878</v>
      </c>
      <c r="IR30" s="33">
        <v>-725</v>
      </c>
      <c r="IS30" s="123">
        <f t="shared" si="190"/>
        <v>-4.4466088014641304E-4</v>
      </c>
      <c r="IT30" s="119">
        <f>(IR30/HW30)-1</f>
        <v>-0.24636174636174635</v>
      </c>
      <c r="IU30" s="33">
        <f>IO30+IR30</f>
        <v>-1156</v>
      </c>
      <c r="IV30" s="123">
        <f>(IU30/IU$8)</f>
        <v>-4.0347068555114234E-4</v>
      </c>
      <c r="IW30" s="119">
        <f>(IU30/HZ30)-1</f>
        <v>3.6771300448430466E-2</v>
      </c>
      <c r="IX30" s="33">
        <v>-3411</v>
      </c>
      <c r="IY30" s="123">
        <f t="shared" si="193"/>
        <v>-2.2550903160035384E-3</v>
      </c>
      <c r="IZ30" s="119">
        <f>(IX30/IC30)-1</f>
        <v>-0.72105004906771342</v>
      </c>
      <c r="JA30" s="33">
        <f t="shared" si="406"/>
        <v>-4567</v>
      </c>
      <c r="JB30" s="123">
        <f>(JA30/JA$8)</f>
        <v>-1.0432375954778266E-3</v>
      </c>
      <c r="JC30" s="119">
        <f>(JA30/IF30)-1</f>
        <v>-0.65772315071573106</v>
      </c>
      <c r="JD30" s="33">
        <v>-16783</v>
      </c>
      <c r="JE30" s="123">
        <f t="shared" si="195"/>
        <v>-7.5518987740482504E-3</v>
      </c>
      <c r="JF30" s="119">
        <f>(JD30/II30)-1</f>
        <v>1.0887367766023646</v>
      </c>
      <c r="JG30" s="33">
        <f t="shared" si="407"/>
        <v>-21350</v>
      </c>
      <c r="JH30" s="123">
        <f>(JG30/JG$8)</f>
        <v>-3.2348127058594656E-3</v>
      </c>
      <c r="JI30" s="119">
        <f>(JG30/IL30)-1</f>
        <v>-1.4498854122819704E-3</v>
      </c>
      <c r="JJ30" s="33">
        <v>-523</v>
      </c>
      <c r="JK30" s="123">
        <f t="shared" si="197"/>
        <v>-3.7388682881773838E-4</v>
      </c>
      <c r="JL30" s="119">
        <f>(JJ30/IO30)-1</f>
        <v>0.21345707656612523</v>
      </c>
      <c r="JM30" s="33">
        <v>-1220.03514</v>
      </c>
      <c r="JN30" s="123">
        <f t="shared" si="198"/>
        <v>-6.8540106323990982E-4</v>
      </c>
      <c r="JO30" s="119">
        <f>(JM30/IR30)-1</f>
        <v>0.68280708965517234</v>
      </c>
      <c r="JP30" s="33">
        <f t="shared" si="36"/>
        <v>-1743.03514</v>
      </c>
      <c r="JQ30" s="123">
        <f t="shared" si="199"/>
        <v>-5.4832255060792423E-4</v>
      </c>
      <c r="JR30" s="119">
        <f>(JP30/IU30)-1</f>
        <v>0.50781586505190313</v>
      </c>
      <c r="JS30" s="33">
        <v>-1268.56825</v>
      </c>
      <c r="JT30" s="119">
        <f t="shared" si="37"/>
        <v>-7.4121949024839016E-4</v>
      </c>
      <c r="JU30" s="119">
        <f t="shared" si="38"/>
        <v>-0.62809491351509816</v>
      </c>
      <c r="JV30" s="33">
        <v>-3011</v>
      </c>
      <c r="JW30" s="119">
        <f t="shared" si="40"/>
        <v>-6.1570726278962627E-4</v>
      </c>
      <c r="JX30" s="119">
        <f t="shared" si="41"/>
        <v>-0.34070505802496165</v>
      </c>
      <c r="JY30" s="33">
        <v>-3119</v>
      </c>
      <c r="JZ30" s="119">
        <f t="shared" si="42"/>
        <v>-1.2018702781603332E-3</v>
      </c>
      <c r="KA30" s="119">
        <f t="shared" si="408"/>
        <v>-0.81415718286361205</v>
      </c>
      <c r="KB30" s="33">
        <f t="shared" si="44"/>
        <v>-6130</v>
      </c>
      <c r="KC30" s="119">
        <f t="shared" si="45"/>
        <v>-8.1892390193058972E-4</v>
      </c>
      <c r="KD30" s="119">
        <f t="shared" si="409"/>
        <v>-0.71288056206089001</v>
      </c>
      <c r="KE30" s="551">
        <v>-500</v>
      </c>
      <c r="KF30" s="119">
        <f t="shared" si="47"/>
        <v>-3.029684240249113E-4</v>
      </c>
      <c r="KG30" s="119">
        <f t="shared" si="48"/>
        <v>-4.3977055449330837E-2</v>
      </c>
      <c r="KH30" s="551">
        <v>-289</v>
      </c>
      <c r="KI30" s="123">
        <f t="shared" si="200"/>
        <v>-1.4311365799500242E-4</v>
      </c>
      <c r="KJ30" s="119">
        <f>(KH30/JM30)-1</f>
        <v>-0.7631215769735944</v>
      </c>
      <c r="KK30" s="33">
        <f t="shared" si="360"/>
        <v>-789</v>
      </c>
      <c r="KL30" s="123">
        <f t="shared" si="201"/>
        <v>-2.1500330679990876E-4</v>
      </c>
      <c r="KM30" s="119">
        <f>(KK30/JP30)-1</f>
        <v>-0.54734131177642231</v>
      </c>
      <c r="KN30" s="551">
        <v>-1926</v>
      </c>
      <c r="KO30" s="549">
        <f t="shared" si="50"/>
        <v>-9.9693362678863139E-4</v>
      </c>
      <c r="KP30" s="549">
        <f t="shared" si="410"/>
        <v>0.51824704740954997</v>
      </c>
      <c r="KQ30" s="551">
        <f>KN30+KK30</f>
        <v>-2715</v>
      </c>
      <c r="KR30" s="549">
        <f t="shared" si="53"/>
        <v>-4.8467991934497695E-4</v>
      </c>
      <c r="KS30" s="549">
        <f t="shared" si="411"/>
        <v>-9.8306210561275309E-2</v>
      </c>
      <c r="KT30" s="551">
        <v>-21053</v>
      </c>
      <c r="KU30" s="549">
        <f t="shared" si="55"/>
        <v>-7.3277323325877863E-3</v>
      </c>
      <c r="KV30" s="549">
        <f t="shared" si="412"/>
        <v>5.7499198461045209</v>
      </c>
      <c r="KW30" s="551">
        <f>KT30+KQ30</f>
        <v>-23768</v>
      </c>
      <c r="KX30" s="549">
        <f t="shared" si="58"/>
        <v>-2.8045853696411186E-3</v>
      </c>
      <c r="KY30" s="549">
        <f t="shared" si="413"/>
        <v>2.8773246329526918</v>
      </c>
      <c r="KZ30" s="551">
        <v>168</v>
      </c>
      <c r="LA30" s="549">
        <f t="shared" si="60"/>
        <v>1.0837451134706937E-4</v>
      </c>
      <c r="LB30" s="549">
        <f t="shared" si="414"/>
        <v>-1.3360000000000001</v>
      </c>
      <c r="LC30" s="551">
        <v>-9905</v>
      </c>
      <c r="LD30" s="123">
        <f t="shared" si="202"/>
        <v>-1.8354965198763611E-2</v>
      </c>
      <c r="LE30" s="119">
        <f>(LC30/KH30)-1</f>
        <v>33.273356401384085</v>
      </c>
      <c r="LF30" s="33">
        <f t="shared" si="415"/>
        <v>-9737</v>
      </c>
      <c r="LG30" s="123">
        <f t="shared" si="416"/>
        <v>-4.6592618680304865E-3</v>
      </c>
      <c r="LH30" s="119">
        <f>(LF30/KK30)-1</f>
        <v>11.340937896070976</v>
      </c>
      <c r="LI30" s="551">
        <v>-10240</v>
      </c>
      <c r="LJ30" s="123">
        <f t="shared" si="417"/>
        <v>-6.2015616549690924E-3</v>
      </c>
      <c r="LK30" s="119">
        <f>(LI30/KN30)-1</f>
        <v>4.3167185877466254</v>
      </c>
      <c r="LL30" s="33">
        <f t="shared" si="62"/>
        <v>-19977</v>
      </c>
      <c r="LM30" s="123">
        <f t="shared" si="418"/>
        <v>-5.3399974819654458E-3</v>
      </c>
      <c r="LN30" s="119">
        <f>(LL30/KQ30)-1</f>
        <v>6.358011049723757</v>
      </c>
      <c r="LO30" s="551">
        <v>-556</v>
      </c>
      <c r="LP30" s="123">
        <f t="shared" si="419"/>
        <v>-1.9043978574839068E-4</v>
      </c>
      <c r="LQ30" s="119">
        <f>(LO30/KT30)-1</f>
        <v>-0.97359046216691203</v>
      </c>
      <c r="LR30" s="33">
        <f t="shared" si="63"/>
        <v>-20533</v>
      </c>
      <c r="LS30" s="123">
        <f t="shared" si="420"/>
        <v>-3.0827687295878988E-3</v>
      </c>
      <c r="LT30" s="119">
        <f>(LR30/KW30)-1</f>
        <v>-0.13610737125546957</v>
      </c>
    </row>
    <row r="31" spans="1:332" ht="16.5" customHeight="1">
      <c r="A31" s="114"/>
      <c r="B31" s="116" t="s">
        <v>208</v>
      </c>
      <c r="C31" s="116" t="s">
        <v>163</v>
      </c>
      <c r="D31" s="121">
        <v>0</v>
      </c>
      <c r="E31" s="118">
        <f t="shared" si="255"/>
        <v>0</v>
      </c>
      <c r="F31" s="121">
        <v>0</v>
      </c>
      <c r="G31" s="118">
        <f t="shared" si="256"/>
        <v>0</v>
      </c>
      <c r="H31" s="117">
        <f>D31+F31</f>
        <v>0</v>
      </c>
      <c r="I31" s="118">
        <f t="shared" si="257"/>
        <v>0</v>
      </c>
      <c r="J31" s="121">
        <v>0</v>
      </c>
      <c r="K31" s="118">
        <f t="shared" si="258"/>
        <v>0</v>
      </c>
      <c r="L31" s="117">
        <f>H31+J31</f>
        <v>0</v>
      </c>
      <c r="M31" s="118">
        <f t="shared" si="259"/>
        <v>0</v>
      </c>
      <c r="N31" s="121">
        <v>0</v>
      </c>
      <c r="O31" s="118">
        <f t="shared" si="260"/>
        <v>0</v>
      </c>
      <c r="P31" s="117">
        <v>0</v>
      </c>
      <c r="Q31" s="118"/>
      <c r="R31" s="121">
        <v>0</v>
      </c>
      <c r="S31" s="118">
        <f t="shared" si="262"/>
        <v>0</v>
      </c>
      <c r="T31" s="26">
        <v>0</v>
      </c>
      <c r="U31" s="121">
        <v>-1748</v>
      </c>
      <c r="V31" s="119">
        <f t="shared" si="263"/>
        <v>-4.8866536765918662E-3</v>
      </c>
      <c r="W31" s="26">
        <v>1</v>
      </c>
      <c r="X31" s="117">
        <f>R31+U31</f>
        <v>-1748</v>
      </c>
      <c r="Y31" s="119">
        <f t="shared" si="264"/>
        <v>-2.8716749027441909E-3</v>
      </c>
      <c r="Z31" s="26">
        <v>1</v>
      </c>
      <c r="AA31" s="121">
        <v>0</v>
      </c>
      <c r="AB31" s="119">
        <f t="shared" si="265"/>
        <v>0</v>
      </c>
      <c r="AC31" s="26">
        <v>0</v>
      </c>
      <c r="AD31" s="117">
        <f>X31+AA31</f>
        <v>-1748</v>
      </c>
      <c r="AE31" s="119">
        <f t="shared" si="266"/>
        <v>-1.8811334582400209E-3</v>
      </c>
      <c r="AF31" s="26">
        <v>1</v>
      </c>
      <c r="AG31" s="121">
        <v>-2332</v>
      </c>
      <c r="AH31" s="119">
        <f t="shared" si="267"/>
        <v>-4.6007035209586506E-3</v>
      </c>
      <c r="AI31" s="26">
        <v>1</v>
      </c>
      <c r="AJ31" s="117">
        <f>AD31+AG31</f>
        <v>-4080</v>
      </c>
      <c r="AK31" s="119">
        <f t="shared" si="268"/>
        <v>-2.8410178921457691E-3</v>
      </c>
      <c r="AL31" s="26">
        <v>1</v>
      </c>
      <c r="AM31" s="33">
        <v>0</v>
      </c>
      <c r="AN31" s="119">
        <f t="shared" si="269"/>
        <v>0</v>
      </c>
      <c r="AO31" s="119">
        <v>0</v>
      </c>
      <c r="AP31" s="33">
        <v>0</v>
      </c>
      <c r="AQ31" s="119">
        <f t="shared" si="270"/>
        <v>0</v>
      </c>
      <c r="AR31" s="119">
        <f>AP31/U31-1</f>
        <v>-1</v>
      </c>
      <c r="AS31" s="120">
        <f>AM31+AP31</f>
        <v>0</v>
      </c>
      <c r="AT31" s="119">
        <f t="shared" si="271"/>
        <v>0</v>
      </c>
      <c r="AU31" s="119">
        <f>AS31/X31-1</f>
        <v>-1</v>
      </c>
      <c r="AV31" s="33">
        <v>0</v>
      </c>
      <c r="AW31" s="119">
        <f t="shared" si="272"/>
        <v>0</v>
      </c>
      <c r="AX31" s="119">
        <v>0</v>
      </c>
      <c r="AY31" s="120">
        <f>AV31+AS31</f>
        <v>0</v>
      </c>
      <c r="AZ31" s="119">
        <f t="shared" si="273"/>
        <v>0</v>
      </c>
      <c r="BA31" s="119">
        <f>AY31/AD31-1</f>
        <v>-1</v>
      </c>
      <c r="BB31" s="33">
        <v>0</v>
      </c>
      <c r="BC31" s="119">
        <f t="shared" si="274"/>
        <v>0</v>
      </c>
      <c r="BD31" s="119">
        <f t="shared" si="391"/>
        <v>-1</v>
      </c>
      <c r="BE31" s="120">
        <f>BB31+AY31</f>
        <v>0</v>
      </c>
      <c r="BF31" s="119">
        <f t="shared" si="275"/>
        <v>0</v>
      </c>
      <c r="BG31" s="119">
        <f t="shared" si="392"/>
        <v>-1</v>
      </c>
      <c r="BH31" s="33">
        <v>0</v>
      </c>
      <c r="BI31" s="119">
        <f t="shared" si="276"/>
        <v>0</v>
      </c>
      <c r="BJ31" s="119">
        <v>0</v>
      </c>
      <c r="BK31" s="33">
        <v>0</v>
      </c>
      <c r="BL31" s="119">
        <f t="shared" si="277"/>
        <v>0</v>
      </c>
      <c r="BM31" s="119">
        <v>0</v>
      </c>
      <c r="BN31" s="120">
        <v>0</v>
      </c>
      <c r="BO31" s="119">
        <f t="shared" si="278"/>
        <v>0</v>
      </c>
      <c r="BP31" s="119">
        <v>0</v>
      </c>
      <c r="BQ31" s="33">
        <v>0</v>
      </c>
      <c r="BR31" s="119">
        <f t="shared" si="279"/>
        <v>0</v>
      </c>
      <c r="BS31" s="119">
        <v>0</v>
      </c>
      <c r="BT31" s="120">
        <v>0</v>
      </c>
      <c r="BU31" s="119">
        <f t="shared" si="280"/>
        <v>0</v>
      </c>
      <c r="BV31" s="119">
        <v>0</v>
      </c>
      <c r="BW31" s="33">
        <v>0</v>
      </c>
      <c r="BX31" s="119">
        <f t="shared" si="281"/>
        <v>0</v>
      </c>
      <c r="BY31" s="119">
        <v>0</v>
      </c>
      <c r="BZ31" s="120">
        <f>BT31+BW31</f>
        <v>0</v>
      </c>
      <c r="CA31" s="119">
        <f t="shared" si="282"/>
        <v>0</v>
      </c>
      <c r="CB31" s="119">
        <v>0</v>
      </c>
      <c r="CC31" s="33">
        <v>0</v>
      </c>
      <c r="CD31" s="119">
        <f t="shared" si="283"/>
        <v>0</v>
      </c>
      <c r="CE31" s="119">
        <v>0</v>
      </c>
      <c r="CF31" s="33">
        <v>0</v>
      </c>
      <c r="CG31" s="119">
        <f t="shared" si="284"/>
        <v>0</v>
      </c>
      <c r="CH31" s="119">
        <v>0</v>
      </c>
      <c r="CI31" s="120">
        <f>CF31+CC31</f>
        <v>0</v>
      </c>
      <c r="CJ31" s="119">
        <f t="shared" si="285"/>
        <v>0</v>
      </c>
      <c r="CK31" s="119">
        <v>0</v>
      </c>
      <c r="CL31" s="33">
        <v>0</v>
      </c>
      <c r="CM31" s="119">
        <f t="shared" si="286"/>
        <v>0</v>
      </c>
      <c r="CN31" s="119">
        <v>0</v>
      </c>
      <c r="CO31" s="121">
        <f>CI31+CL31</f>
        <v>0</v>
      </c>
      <c r="CP31" s="119">
        <f t="shared" si="287"/>
        <v>0</v>
      </c>
      <c r="CQ31" s="119">
        <v>0</v>
      </c>
      <c r="CR31" s="33">
        <v>0</v>
      </c>
      <c r="CS31" s="119">
        <f t="shared" si="288"/>
        <v>0</v>
      </c>
      <c r="CT31" s="119">
        <v>0</v>
      </c>
      <c r="CU31" s="122">
        <v>0</v>
      </c>
      <c r="CV31" s="119">
        <f t="shared" si="289"/>
        <v>0</v>
      </c>
      <c r="CW31" s="119">
        <v>0</v>
      </c>
      <c r="CX31" s="33">
        <v>0</v>
      </c>
      <c r="CY31" s="119">
        <f t="shared" si="290"/>
        <v>0</v>
      </c>
      <c r="CZ31" s="119">
        <v>0</v>
      </c>
      <c r="DA31" s="33">
        <v>0</v>
      </c>
      <c r="DB31" s="119">
        <f t="shared" si="291"/>
        <v>0</v>
      </c>
      <c r="DC31" s="119">
        <v>0</v>
      </c>
      <c r="DD31" s="32">
        <f>CX31+DA31</f>
        <v>0</v>
      </c>
      <c r="DE31" s="119">
        <f t="shared" si="292"/>
        <v>0</v>
      </c>
      <c r="DF31" s="119">
        <v>0</v>
      </c>
      <c r="DG31" s="33">
        <v>0</v>
      </c>
      <c r="DH31" s="119">
        <f t="shared" si="293"/>
        <v>0</v>
      </c>
      <c r="DI31" s="119">
        <v>0</v>
      </c>
      <c r="DJ31" s="32">
        <f>DD31+DG31</f>
        <v>0</v>
      </c>
      <c r="DK31" s="119">
        <f t="shared" si="294"/>
        <v>0</v>
      </c>
      <c r="DL31" s="119">
        <v>0</v>
      </c>
      <c r="DM31" s="33">
        <v>0</v>
      </c>
      <c r="DN31" s="119">
        <f t="shared" si="393"/>
        <v>0</v>
      </c>
      <c r="DO31" s="119">
        <v>0</v>
      </c>
      <c r="DP31" s="33">
        <v>0</v>
      </c>
      <c r="DQ31" s="119">
        <f t="shared" si="296"/>
        <v>0</v>
      </c>
      <c r="DR31" s="119">
        <v>0</v>
      </c>
      <c r="DS31" s="33">
        <v>0</v>
      </c>
      <c r="DT31" s="119" t="s">
        <v>112</v>
      </c>
      <c r="DU31" s="119" t="s">
        <v>112</v>
      </c>
      <c r="DV31" s="33">
        <v>0</v>
      </c>
      <c r="DW31" s="119">
        <f t="shared" si="298"/>
        <v>0</v>
      </c>
      <c r="DX31" s="119">
        <v>0</v>
      </c>
      <c r="DY31" s="33">
        <f>(DS31+DV31)</f>
        <v>0</v>
      </c>
      <c r="DZ31" s="119">
        <f t="shared" si="299"/>
        <v>0</v>
      </c>
      <c r="EA31" s="119">
        <v>0</v>
      </c>
      <c r="EB31" s="33">
        <v>0</v>
      </c>
      <c r="EC31" s="119">
        <f t="shared" si="394"/>
        <v>0</v>
      </c>
      <c r="ED31" s="119">
        <v>0</v>
      </c>
      <c r="EE31" s="33">
        <f>(DY31+EB31)</f>
        <v>0</v>
      </c>
      <c r="EF31" s="119">
        <f t="shared" si="395"/>
        <v>0</v>
      </c>
      <c r="EG31" s="119">
        <v>0</v>
      </c>
      <c r="EH31" s="33">
        <v>0</v>
      </c>
      <c r="EI31" s="119">
        <f t="shared" si="250"/>
        <v>0</v>
      </c>
      <c r="EJ31" s="119">
        <v>0</v>
      </c>
      <c r="EK31" s="33">
        <v>0</v>
      </c>
      <c r="EL31" s="119">
        <f t="shared" si="215"/>
        <v>0</v>
      </c>
      <c r="EM31" s="119">
        <v>0</v>
      </c>
      <c r="EN31" s="33"/>
      <c r="EO31" s="119">
        <f t="shared" si="216"/>
        <v>0</v>
      </c>
      <c r="EP31" s="119">
        <v>0</v>
      </c>
      <c r="EQ31" s="93">
        <v>0</v>
      </c>
      <c r="ER31" s="119">
        <f t="shared" si="233"/>
        <v>0</v>
      </c>
      <c r="ES31" s="119">
        <v>0</v>
      </c>
      <c r="ET31" s="33">
        <f>(EN31+EQ31)</f>
        <v>0</v>
      </c>
      <c r="EU31" s="119">
        <f t="shared" si="234"/>
        <v>0</v>
      </c>
      <c r="EV31" s="119">
        <v>0</v>
      </c>
      <c r="EW31" s="93">
        <v>0</v>
      </c>
      <c r="EX31" s="119">
        <f t="shared" si="235"/>
        <v>0</v>
      </c>
      <c r="EY31" s="119">
        <v>0</v>
      </c>
      <c r="EZ31" s="33">
        <f>(ET31+EW31)</f>
        <v>0</v>
      </c>
      <c r="FA31" s="119">
        <f t="shared" si="236"/>
        <v>0</v>
      </c>
      <c r="FB31" s="119">
        <v>0</v>
      </c>
      <c r="FC31" s="93">
        <v>0</v>
      </c>
      <c r="FD31" s="119">
        <f t="shared" si="219"/>
        <v>0</v>
      </c>
      <c r="FE31" s="119">
        <v>0</v>
      </c>
      <c r="FF31" s="33">
        <v>0</v>
      </c>
      <c r="FG31" s="119">
        <f t="shared" si="220"/>
        <v>0</v>
      </c>
      <c r="FH31" s="119">
        <v>0</v>
      </c>
      <c r="FI31" s="33">
        <v>0</v>
      </c>
      <c r="FJ31" s="119">
        <f t="shared" si="251"/>
        <v>0</v>
      </c>
      <c r="FK31" s="119">
        <v>0</v>
      </c>
      <c r="FL31" s="33">
        <v>0</v>
      </c>
      <c r="FM31" s="119" t="s">
        <v>112</v>
      </c>
      <c r="FN31" s="119">
        <v>0</v>
      </c>
      <c r="FO31" s="33">
        <f t="shared" si="237"/>
        <v>0</v>
      </c>
      <c r="FP31" s="119">
        <f t="shared" si="252"/>
        <v>0</v>
      </c>
      <c r="FQ31" s="119">
        <v>0</v>
      </c>
      <c r="FR31" s="33">
        <v>0</v>
      </c>
      <c r="FS31" s="123">
        <f t="shared" si="421"/>
        <v>0</v>
      </c>
      <c r="FT31" s="119">
        <v>0</v>
      </c>
      <c r="FU31" s="33">
        <v>0</v>
      </c>
      <c r="FV31" s="123">
        <f t="shared" si="390"/>
        <v>0</v>
      </c>
      <c r="FW31" s="119">
        <v>0</v>
      </c>
      <c r="FX31" s="33">
        <v>0</v>
      </c>
      <c r="FY31" s="123">
        <f t="shared" si="253"/>
        <v>0</v>
      </c>
      <c r="FZ31" s="119" t="s">
        <v>112</v>
      </c>
      <c r="GA31" s="33">
        <v>0</v>
      </c>
      <c r="GB31" s="123">
        <f t="shared" si="396"/>
        <v>0</v>
      </c>
      <c r="GC31" s="119" t="s">
        <v>112</v>
      </c>
      <c r="GD31" s="33">
        <v>0</v>
      </c>
      <c r="GE31" s="119">
        <f t="shared" si="397"/>
        <v>0</v>
      </c>
      <c r="GF31" s="119">
        <v>0</v>
      </c>
      <c r="GG31" s="33">
        <v>0</v>
      </c>
      <c r="GH31" s="119">
        <f t="shared" si="225"/>
        <v>0</v>
      </c>
      <c r="GI31" s="119">
        <v>0</v>
      </c>
      <c r="GJ31" s="33">
        <f t="shared" si="398"/>
        <v>0</v>
      </c>
      <c r="GK31" s="123">
        <f t="shared" si="167"/>
        <v>0</v>
      </c>
      <c r="GL31" s="119">
        <v>0</v>
      </c>
      <c r="GM31" s="205">
        <v>0</v>
      </c>
      <c r="GN31" s="123">
        <f t="shared" si="168"/>
        <v>0</v>
      </c>
      <c r="GO31" s="119">
        <v>0</v>
      </c>
      <c r="GP31" s="33">
        <f t="shared" si="399"/>
        <v>0</v>
      </c>
      <c r="GQ31" s="123">
        <f t="shared" si="171"/>
        <v>0</v>
      </c>
      <c r="GR31" s="119">
        <v>0</v>
      </c>
      <c r="GS31" s="205">
        <v>0</v>
      </c>
      <c r="GT31" s="123">
        <f t="shared" si="344"/>
        <v>0</v>
      </c>
      <c r="GU31" s="119">
        <v>0</v>
      </c>
      <c r="GV31" s="33">
        <f t="shared" si="400"/>
        <v>0</v>
      </c>
      <c r="GW31" s="123">
        <f t="shared" si="401"/>
        <v>0</v>
      </c>
      <c r="GX31" s="119">
        <v>0</v>
      </c>
      <c r="GY31" s="205">
        <v>0</v>
      </c>
      <c r="GZ31" s="123">
        <f t="shared" si="352"/>
        <v>0</v>
      </c>
      <c r="HA31" s="119" t="s">
        <v>112</v>
      </c>
      <c r="HB31" s="33">
        <v>0</v>
      </c>
      <c r="HC31" s="123">
        <f t="shared" si="371"/>
        <v>0</v>
      </c>
      <c r="HD31" s="119" t="s">
        <v>112</v>
      </c>
      <c r="HE31" s="33">
        <v>0</v>
      </c>
      <c r="HF31" s="123">
        <f>(HE31/$HB$8)</f>
        <v>0</v>
      </c>
      <c r="HG31" s="119" t="s">
        <v>112</v>
      </c>
      <c r="HH31" s="205">
        <v>0</v>
      </c>
      <c r="HI31" s="123">
        <f t="shared" si="402"/>
        <v>0</v>
      </c>
      <c r="HJ31" s="119" t="s">
        <v>112</v>
      </c>
      <c r="HK31" s="33">
        <f>HE31+HH31</f>
        <v>0</v>
      </c>
      <c r="HL31" s="123">
        <f t="shared" si="300"/>
        <v>0</v>
      </c>
      <c r="HM31" s="119" t="s">
        <v>112</v>
      </c>
      <c r="HN31" s="205">
        <v>0</v>
      </c>
      <c r="HO31" s="123">
        <f t="shared" si="355"/>
        <v>0</v>
      </c>
      <c r="HP31" s="119" t="s">
        <v>112</v>
      </c>
      <c r="HQ31" s="33">
        <f>HK31+HN31</f>
        <v>0</v>
      </c>
      <c r="HR31" s="123">
        <f t="shared" si="403"/>
        <v>0</v>
      </c>
      <c r="HS31" s="119" t="s">
        <v>112</v>
      </c>
      <c r="HT31" s="205">
        <v>0</v>
      </c>
      <c r="HU31" s="123">
        <f t="shared" si="404"/>
        <v>0</v>
      </c>
      <c r="HV31" s="119" t="s">
        <v>112</v>
      </c>
      <c r="HW31" s="33">
        <v>0</v>
      </c>
      <c r="HX31" s="123">
        <f t="shared" si="184"/>
        <v>0</v>
      </c>
      <c r="HY31" s="119" t="s">
        <v>112</v>
      </c>
      <c r="HZ31" s="33">
        <v>0</v>
      </c>
      <c r="IA31" s="123">
        <f>(HZ31/$HB$8)</f>
        <v>0</v>
      </c>
      <c r="IB31" s="119" t="s">
        <v>112</v>
      </c>
      <c r="IC31" s="33">
        <v>0</v>
      </c>
      <c r="ID31" s="123">
        <f t="shared" si="187"/>
        <v>0</v>
      </c>
      <c r="IE31" s="119" t="s">
        <v>112</v>
      </c>
      <c r="IF31" s="33">
        <v>0</v>
      </c>
      <c r="IG31" s="123">
        <f>(IF31/$HB$8)</f>
        <v>0</v>
      </c>
      <c r="IH31" s="119" t="s">
        <v>112</v>
      </c>
      <c r="II31" s="33">
        <v>0</v>
      </c>
      <c r="IJ31" s="123">
        <f t="shared" si="22"/>
        <v>0</v>
      </c>
      <c r="IK31" s="119" t="s">
        <v>112</v>
      </c>
      <c r="IL31" s="32">
        <f t="shared" ref="IL31" si="422">IF31+II31</f>
        <v>0</v>
      </c>
      <c r="IM31" s="123">
        <f>(IL31/$HB$8)</f>
        <v>0</v>
      </c>
      <c r="IN31" s="119" t="s">
        <v>112</v>
      </c>
      <c r="IO31" s="205">
        <v>0</v>
      </c>
      <c r="IP31" s="123">
        <f t="shared" si="405"/>
        <v>0</v>
      </c>
      <c r="IQ31" s="119" t="s">
        <v>112</v>
      </c>
      <c r="IR31" s="33">
        <v>0</v>
      </c>
      <c r="IS31" s="123">
        <f t="shared" si="190"/>
        <v>0</v>
      </c>
      <c r="IT31" s="119" t="s">
        <v>112</v>
      </c>
      <c r="IU31" s="33">
        <v>0</v>
      </c>
      <c r="IV31" s="123">
        <f>(IU31/$HB$8)</f>
        <v>0</v>
      </c>
      <c r="IW31" s="119" t="s">
        <v>112</v>
      </c>
      <c r="IX31" s="33">
        <v>0</v>
      </c>
      <c r="IY31" s="123">
        <f t="shared" si="193"/>
        <v>0</v>
      </c>
      <c r="IZ31" s="119" t="s">
        <v>112</v>
      </c>
      <c r="JA31" s="33">
        <f t="shared" si="406"/>
        <v>0</v>
      </c>
      <c r="JB31" s="123">
        <f>(JA31/$HB$8)</f>
        <v>0</v>
      </c>
      <c r="JC31" s="119" t="s">
        <v>112</v>
      </c>
      <c r="JD31" s="33">
        <v>0</v>
      </c>
      <c r="JE31" s="123">
        <f t="shared" si="195"/>
        <v>0</v>
      </c>
      <c r="JF31" s="119" t="s">
        <v>112</v>
      </c>
      <c r="JG31" s="33">
        <f t="shared" si="407"/>
        <v>0</v>
      </c>
      <c r="JH31" s="123">
        <f>(JG31/$HB$8)</f>
        <v>0</v>
      </c>
      <c r="JI31" s="119" t="s">
        <v>112</v>
      </c>
      <c r="JJ31" s="33">
        <v>0</v>
      </c>
      <c r="JK31" s="123">
        <f t="shared" si="197"/>
        <v>0</v>
      </c>
      <c r="JL31" s="119" t="s">
        <v>112</v>
      </c>
      <c r="JM31" s="33">
        <v>0</v>
      </c>
      <c r="JN31" s="123">
        <f t="shared" si="198"/>
        <v>0</v>
      </c>
      <c r="JO31" s="119" t="s">
        <v>112</v>
      </c>
      <c r="JP31" s="33">
        <f t="shared" si="36"/>
        <v>0</v>
      </c>
      <c r="JQ31" s="123">
        <f t="shared" si="199"/>
        <v>0</v>
      </c>
      <c r="JR31" s="119" t="s">
        <v>112</v>
      </c>
      <c r="JS31" s="33">
        <v>0</v>
      </c>
      <c r="JT31" s="119">
        <f t="shared" si="37"/>
        <v>0</v>
      </c>
      <c r="JU31" s="119" t="s">
        <v>112</v>
      </c>
      <c r="JV31" s="33">
        <f t="shared" si="39"/>
        <v>0</v>
      </c>
      <c r="JW31" s="119">
        <f t="shared" si="40"/>
        <v>0</v>
      </c>
      <c r="JX31" s="119" t="s">
        <v>112</v>
      </c>
      <c r="JY31" s="33">
        <v>0</v>
      </c>
      <c r="JZ31" s="119">
        <f t="shared" si="42"/>
        <v>0</v>
      </c>
      <c r="KA31" s="119" t="s">
        <v>112</v>
      </c>
      <c r="KB31" s="33">
        <f t="shared" si="44"/>
        <v>0</v>
      </c>
      <c r="KC31" s="119">
        <f t="shared" si="45"/>
        <v>0</v>
      </c>
      <c r="KD31" s="119" t="s">
        <v>112</v>
      </c>
      <c r="KE31" s="33">
        <v>0</v>
      </c>
      <c r="KF31" s="119">
        <f t="shared" si="47"/>
        <v>0</v>
      </c>
      <c r="KG31" s="119" t="s">
        <v>112</v>
      </c>
      <c r="KH31" s="33">
        <v>0</v>
      </c>
      <c r="KI31" s="123">
        <f t="shared" si="200"/>
        <v>0</v>
      </c>
      <c r="KJ31" s="119" t="s">
        <v>112</v>
      </c>
      <c r="KK31" s="33">
        <f t="shared" si="360"/>
        <v>0</v>
      </c>
      <c r="KL31" s="123">
        <f t="shared" si="201"/>
        <v>0</v>
      </c>
      <c r="KM31" s="119" t="s">
        <v>112</v>
      </c>
      <c r="KN31" s="33">
        <v>0</v>
      </c>
      <c r="KO31" s="119">
        <f t="shared" si="50"/>
        <v>0</v>
      </c>
      <c r="KP31" s="119" t="s">
        <v>112</v>
      </c>
      <c r="KQ31" s="33">
        <f t="shared" ref="KQ31:KQ36" si="423">KN31+KK31</f>
        <v>0</v>
      </c>
      <c r="KR31" s="119">
        <f t="shared" si="53"/>
        <v>0</v>
      </c>
      <c r="KS31" s="119" t="s">
        <v>112</v>
      </c>
      <c r="KT31" s="33">
        <v>0</v>
      </c>
      <c r="KU31" s="119">
        <f t="shared" si="55"/>
        <v>0</v>
      </c>
      <c r="KV31" s="119" t="s">
        <v>112</v>
      </c>
      <c r="KW31" s="33">
        <f t="shared" ref="KW31:KW36" si="424">KT31+KQ31</f>
        <v>0</v>
      </c>
      <c r="KX31" s="119">
        <f t="shared" si="58"/>
        <v>0</v>
      </c>
      <c r="KY31" s="119" t="s">
        <v>112</v>
      </c>
      <c r="KZ31" s="33">
        <v>0</v>
      </c>
      <c r="LA31" s="119">
        <f t="shared" si="60"/>
        <v>0</v>
      </c>
      <c r="LB31" s="119" t="s">
        <v>112</v>
      </c>
      <c r="LC31" s="33"/>
      <c r="LD31" s="123">
        <f t="shared" si="202"/>
        <v>0</v>
      </c>
      <c r="LE31" s="119" t="s">
        <v>112</v>
      </c>
      <c r="LF31" s="33">
        <f t="shared" si="415"/>
        <v>0</v>
      </c>
      <c r="LG31" s="123">
        <f t="shared" si="416"/>
        <v>0</v>
      </c>
      <c r="LH31" s="119" t="s">
        <v>112</v>
      </c>
      <c r="LI31" s="33"/>
      <c r="LJ31" s="123">
        <f t="shared" si="417"/>
        <v>0</v>
      </c>
      <c r="LK31" s="119" t="s">
        <v>112</v>
      </c>
      <c r="LL31" s="33">
        <f t="shared" si="62"/>
        <v>0</v>
      </c>
      <c r="LM31" s="123">
        <f t="shared" si="418"/>
        <v>0</v>
      </c>
      <c r="LN31" s="119" t="s">
        <v>112</v>
      </c>
      <c r="LO31" s="33"/>
      <c r="LP31" s="123">
        <f t="shared" si="419"/>
        <v>0</v>
      </c>
      <c r="LQ31" s="119" t="s">
        <v>112</v>
      </c>
      <c r="LR31" s="33">
        <f t="shared" si="63"/>
        <v>0</v>
      </c>
      <c r="LS31" s="123">
        <f t="shared" si="420"/>
        <v>0</v>
      </c>
      <c r="LT31" s="119" t="s">
        <v>112</v>
      </c>
    </row>
    <row r="32" spans="1:332" ht="25.5">
      <c r="A32" s="114"/>
      <c r="B32" s="130" t="s">
        <v>211</v>
      </c>
      <c r="C32" s="130" t="s">
        <v>210</v>
      </c>
      <c r="D32" s="50">
        <f>D29+D30</f>
        <v>3906</v>
      </c>
      <c r="E32" s="125">
        <f t="shared" si="255"/>
        <v>1.9726077207441975E-2</v>
      </c>
      <c r="F32" s="131">
        <f>F29+F30</f>
        <v>49377</v>
      </c>
      <c r="G32" s="125">
        <f t="shared" si="256"/>
        <v>0.17688466333271238</v>
      </c>
      <c r="H32" s="131">
        <f>H29+H30</f>
        <v>53283</v>
      </c>
      <c r="I32" s="125">
        <f t="shared" si="257"/>
        <v>0.111666946097745</v>
      </c>
      <c r="J32" s="131">
        <f>J29+J30</f>
        <v>-325</v>
      </c>
      <c r="K32" s="125">
        <f t="shared" si="258"/>
        <v>-1.2724489356454056E-3</v>
      </c>
      <c r="L32" s="131">
        <f>L29+L30</f>
        <v>52958</v>
      </c>
      <c r="M32" s="125">
        <f t="shared" si="259"/>
        <v>7.2290406553340084E-2</v>
      </c>
      <c r="N32" s="131">
        <f>N29+N30</f>
        <v>56462</v>
      </c>
      <c r="O32" s="125">
        <f t="shared" si="260"/>
        <v>0.13980552714919242</v>
      </c>
      <c r="P32" s="131">
        <f>P29+P30</f>
        <v>109420</v>
      </c>
      <c r="Q32" s="125">
        <f>P32/$P$8</f>
        <v>9.6283638117127784E-2</v>
      </c>
      <c r="R32" s="131">
        <f>R29+R30+R31</f>
        <v>20406</v>
      </c>
      <c r="S32" s="125">
        <f t="shared" si="262"/>
        <v>8.1300424311241265E-2</v>
      </c>
      <c r="T32" s="49">
        <f>R32/D32-1</f>
        <v>4.2242703533026118</v>
      </c>
      <c r="U32" s="131">
        <f>U29+U30+U31</f>
        <v>34209</v>
      </c>
      <c r="V32" s="126">
        <f t="shared" si="263"/>
        <v>9.5633601614720343E-2</v>
      </c>
      <c r="W32" s="49">
        <f>U32/F32-1</f>
        <v>-0.30718755695971811</v>
      </c>
      <c r="X32" s="131">
        <f>X29+X30+X31</f>
        <v>54615</v>
      </c>
      <c r="Y32" s="126">
        <f t="shared" si="264"/>
        <v>8.9723412364630425E-2</v>
      </c>
      <c r="Z32" s="49">
        <f>X32/H32-1</f>
        <v>2.4998592421597854E-2</v>
      </c>
      <c r="AA32" s="131">
        <f>AA29+AA30+AA31</f>
        <v>22428</v>
      </c>
      <c r="AB32" s="126">
        <f t="shared" si="265"/>
        <v>6.9973137653148137E-2</v>
      </c>
      <c r="AC32" s="49">
        <f>AA32/J32-1</f>
        <v>-70.009230769230768</v>
      </c>
      <c r="AD32" s="131">
        <f>AD29+AD30+AD31</f>
        <v>77043</v>
      </c>
      <c r="AE32" s="126">
        <f t="shared" si="266"/>
        <v>8.2910849555598368E-2</v>
      </c>
      <c r="AF32" s="49">
        <f>AD32/L32-1</f>
        <v>0.45479436534612327</v>
      </c>
      <c r="AG32" s="131">
        <f>AG29+AG30+AG31</f>
        <v>56628</v>
      </c>
      <c r="AH32" s="126">
        <f t="shared" si="267"/>
        <v>0.11171897040516574</v>
      </c>
      <c r="AI32" s="49">
        <f>AG32/N32-1</f>
        <v>2.9400304629663143E-3</v>
      </c>
      <c r="AJ32" s="131">
        <f>AJ29+AJ30+AJ31</f>
        <v>133670</v>
      </c>
      <c r="AK32" s="126">
        <f t="shared" si="268"/>
        <v>9.3078152363511024E-2</v>
      </c>
      <c r="AL32" s="49">
        <f>AJ32/P32-1</f>
        <v>0.2216231036373606</v>
      </c>
      <c r="AM32" s="131">
        <f>AM29+AM30</f>
        <v>24119</v>
      </c>
      <c r="AN32" s="126">
        <f t="shared" si="269"/>
        <v>7.7729758647471905E-2</v>
      </c>
      <c r="AO32" s="126">
        <f>AM32/R32-1</f>
        <v>0.18195628736646086</v>
      </c>
      <c r="AP32" s="131">
        <f>AP29+AP30</f>
        <v>58860</v>
      </c>
      <c r="AQ32" s="126">
        <f t="shared" si="270"/>
        <v>0.13246165790865411</v>
      </c>
      <c r="AR32" s="126">
        <f>AP32/U32-1</f>
        <v>0.72059984214680339</v>
      </c>
      <c r="AS32" s="131">
        <f>AS29+AS30</f>
        <v>82976</v>
      </c>
      <c r="AT32" s="126">
        <f t="shared" si="271"/>
        <v>0.10995324972702505</v>
      </c>
      <c r="AU32" s="126">
        <f>AS32/X32-1</f>
        <v>0.51928957246177787</v>
      </c>
      <c r="AV32" s="131">
        <f>AV29+AV30</f>
        <v>52285</v>
      </c>
      <c r="AW32" s="126">
        <f t="shared" si="272"/>
        <v>0.1322472290936316</v>
      </c>
      <c r="AX32" s="126">
        <f>AV32/AA32-1</f>
        <v>1.3312377385411094</v>
      </c>
      <c r="AY32" s="131">
        <f>AY29+AY30</f>
        <v>135263</v>
      </c>
      <c r="AZ32" s="126">
        <f t="shared" si="273"/>
        <v>0.11761938633363651</v>
      </c>
      <c r="BA32" s="126">
        <f>AY32/AD32-1</f>
        <v>0.75568189193048041</v>
      </c>
      <c r="BB32" s="131">
        <f>BB29+BB30</f>
        <v>77831</v>
      </c>
      <c r="BC32" s="126">
        <f t="shared" si="274"/>
        <v>0.12934710713585343</v>
      </c>
      <c r="BD32" s="126">
        <f t="shared" si="391"/>
        <v>0.37442607897153346</v>
      </c>
      <c r="BE32" s="131">
        <f>BE29+BE30</f>
        <v>213095</v>
      </c>
      <c r="BF32" s="126">
        <f t="shared" si="275"/>
        <v>0.12164845227112885</v>
      </c>
      <c r="BG32" s="126">
        <f t="shared" si="392"/>
        <v>0.59418717737712279</v>
      </c>
      <c r="BH32" s="131">
        <f>BH29+BH30</f>
        <v>37212</v>
      </c>
      <c r="BI32" s="126">
        <f t="shared" si="276"/>
        <v>9.7062206722781139E-2</v>
      </c>
      <c r="BJ32" s="126">
        <f>(BH32/AM32)-1</f>
        <v>0.54285003524192543</v>
      </c>
      <c r="BK32" s="131">
        <f>BK29+BK30</f>
        <v>64925</v>
      </c>
      <c r="BL32" s="126">
        <f t="shared" si="277"/>
        <v>0.12724254575244098</v>
      </c>
      <c r="BM32" s="126">
        <f>(BK32/AP32)-1</f>
        <v>0.10304111450900444</v>
      </c>
      <c r="BN32" s="131">
        <f>BN29+BN30</f>
        <v>102138</v>
      </c>
      <c r="BO32" s="126">
        <f t="shared" si="278"/>
        <v>0.11429575360692189</v>
      </c>
      <c r="BP32" s="126">
        <f>BN32/AS32-1</f>
        <v>0.23093424604704982</v>
      </c>
      <c r="BQ32" s="131">
        <f>BQ29+BQ30</f>
        <v>42624</v>
      </c>
      <c r="BR32" s="126">
        <f t="shared" si="279"/>
        <v>9.4923769692272744E-2</v>
      </c>
      <c r="BS32" s="126">
        <f>(BQ32/AV32)-1</f>
        <v>-0.18477574830257248</v>
      </c>
      <c r="BT32" s="131">
        <f>BT29+BT30</f>
        <v>144763</v>
      </c>
      <c r="BU32" s="126">
        <f t="shared" si="280"/>
        <v>0.10781774144536534</v>
      </c>
      <c r="BV32" s="126">
        <f>BT32/AY32-1</f>
        <v>7.0233545019702248E-2</v>
      </c>
      <c r="BW32" s="131">
        <f>BW29+BW30</f>
        <v>83140</v>
      </c>
      <c r="BX32" s="126">
        <f t="shared" si="281"/>
        <v>0.13546055611495084</v>
      </c>
      <c r="BY32" s="126">
        <f>(BW32/BB32)-1</f>
        <v>6.8211895003276402E-2</v>
      </c>
      <c r="BZ32" s="131">
        <f>BZ29+BZ30</f>
        <v>227901</v>
      </c>
      <c r="CA32" s="126">
        <f t="shared" si="282"/>
        <v>0.1164886716669512</v>
      </c>
      <c r="CB32" s="126">
        <f>(BZ32/BE32)-1</f>
        <v>6.9480748023182048E-2</v>
      </c>
      <c r="CC32" s="131">
        <f>CC29+CC30</f>
        <v>16426.279695342848</v>
      </c>
      <c r="CD32" s="126">
        <f t="shared" si="283"/>
        <v>4.5295257109058198E-2</v>
      </c>
      <c r="CE32" s="126">
        <f>(CC32/BH32)-1</f>
        <v>-0.5585757364467685</v>
      </c>
      <c r="CF32" s="131">
        <f>CF29+CF30</f>
        <v>72474.940966587921</v>
      </c>
      <c r="CG32" s="126">
        <f t="shared" si="284"/>
        <v>0.13064856717583972</v>
      </c>
      <c r="CH32" s="126">
        <f>(CF32/BK32)-1</f>
        <v>0.11628711538833914</v>
      </c>
      <c r="CI32" s="131">
        <f>CI29+CI30</f>
        <v>88905.22066193074</v>
      </c>
      <c r="CJ32" s="126">
        <f t="shared" si="285"/>
        <v>9.6912098216584988E-2</v>
      </c>
      <c r="CK32" s="126">
        <f>(CI32/BN32)-1</f>
        <v>-0.12955784661995795</v>
      </c>
      <c r="CL32" s="131">
        <f>CL29+CL30</f>
        <v>46462.640550408512</v>
      </c>
      <c r="CM32" s="126">
        <f t="shared" si="286"/>
        <v>9.5458756498281408E-2</v>
      </c>
      <c r="CN32" s="126">
        <f>(CL32/BQ32)-1</f>
        <v>9.0058196096295839E-2</v>
      </c>
      <c r="CO32" s="131">
        <f>CO29+CO30</f>
        <v>135368.86121233925</v>
      </c>
      <c r="CP32" s="126">
        <f t="shared" si="287"/>
        <v>9.6408945740286384E-2</v>
      </c>
      <c r="CQ32" s="126">
        <f>(CO32/BT32)-1</f>
        <v>-6.4893230919922495E-2</v>
      </c>
      <c r="CR32" s="131">
        <f>CR29+CR30</f>
        <v>136504.23646145535</v>
      </c>
      <c r="CS32" s="126">
        <f t="shared" si="288"/>
        <v>0.19175767703875682</v>
      </c>
      <c r="CT32" s="126">
        <f>(CR32/BW32)-1</f>
        <v>0.64185995262756013</v>
      </c>
      <c r="CU32" s="131">
        <f>CU29+CU30</f>
        <v>271866</v>
      </c>
      <c r="CV32" s="126">
        <f t="shared" si="289"/>
        <v>0.12848303944105016</v>
      </c>
      <c r="CW32" s="126">
        <f>(CU32/BZ32)-1</f>
        <v>0.19291271209867444</v>
      </c>
      <c r="CX32" s="131">
        <f>CX29+CX30</f>
        <v>55562</v>
      </c>
      <c r="CY32" s="126">
        <f t="shared" si="290"/>
        <v>0.12620671170209383</v>
      </c>
      <c r="CZ32" s="126">
        <f>CX32/CC32-1</f>
        <v>2.3825066314774155</v>
      </c>
      <c r="DA32" s="131">
        <f>DA29+DA30</f>
        <v>136621</v>
      </c>
      <c r="DB32" s="126">
        <f t="shared" si="291"/>
        <v>0.21686251664711606</v>
      </c>
      <c r="DC32" s="126">
        <f>DA32/CF32-1</f>
        <v>0.88507914843262059</v>
      </c>
      <c r="DD32" s="131">
        <f>DD29+DD30</f>
        <v>192183</v>
      </c>
      <c r="DE32" s="126">
        <f t="shared" si="292"/>
        <v>0.17957084191789655</v>
      </c>
      <c r="DF32" s="126">
        <f>DD32/CI32-1</f>
        <v>1.1616615826284411</v>
      </c>
      <c r="DG32" s="131">
        <f>DG29+DG30</f>
        <v>86738</v>
      </c>
      <c r="DH32" s="126">
        <f t="shared" si="293"/>
        <v>0.15250905510426557</v>
      </c>
      <c r="DI32" s="126">
        <f>DG32/CL32-1</f>
        <v>0.8668332013092479</v>
      </c>
      <c r="DJ32" s="131">
        <f>DJ29+DJ30</f>
        <v>278921</v>
      </c>
      <c r="DK32" s="126">
        <f t="shared" si="294"/>
        <v>0.17018014307722815</v>
      </c>
      <c r="DL32" s="126">
        <f>DJ32/CO32-1</f>
        <v>1.0604516984336985</v>
      </c>
      <c r="DM32" s="131">
        <f>DM29+DM30</f>
        <v>159903</v>
      </c>
      <c r="DN32" s="126">
        <f t="shared" si="393"/>
        <v>0.19412559532553364</v>
      </c>
      <c r="DO32" s="126">
        <f>DM32/CR32-1</f>
        <v>0.17141419303240268</v>
      </c>
      <c r="DP32" s="131">
        <f>DP29+DP30</f>
        <v>438825</v>
      </c>
      <c r="DQ32" s="126">
        <f t="shared" si="296"/>
        <v>0.17818980355977607</v>
      </c>
      <c r="DR32" s="126">
        <f>DP32/CU32-1</f>
        <v>0.61412239853457229</v>
      </c>
      <c r="DS32" s="48">
        <f>DS29+DS30</f>
        <v>64829</v>
      </c>
      <c r="DT32" s="126">
        <f>DS32/$DS$8</f>
        <v>0.12522334061544466</v>
      </c>
      <c r="DU32" s="126">
        <f>(DS32/CX32)-1</f>
        <v>0.16678665274828131</v>
      </c>
      <c r="DV32" s="131">
        <f>DV29+DV30</f>
        <v>152872</v>
      </c>
      <c r="DW32" s="126">
        <f t="shared" si="298"/>
        <v>0.20392368202354957</v>
      </c>
      <c r="DX32" s="126">
        <f>(DV32/DA32)-1</f>
        <v>0.11894950263868664</v>
      </c>
      <c r="DY32" s="131">
        <f>DY29+DY30</f>
        <v>217701</v>
      </c>
      <c r="DZ32" s="126">
        <f t="shared" si="299"/>
        <v>0.1717751862138619</v>
      </c>
      <c r="EA32" s="126">
        <f>(DY32/DD32)-1</f>
        <v>0.13277969435381909</v>
      </c>
      <c r="EB32" s="131">
        <f>EB29+EB30</f>
        <v>78296.558239999955</v>
      </c>
      <c r="EC32" s="126">
        <f t="shared" si="394"/>
        <v>0.11915905959128009</v>
      </c>
      <c r="ED32" s="126">
        <f>(EB32/DG32)-1</f>
        <v>-9.7321148285642312E-2</v>
      </c>
      <c r="EE32" s="131">
        <f>EE29+EE30</f>
        <v>295997.55824000004</v>
      </c>
      <c r="EF32" s="126">
        <f t="shared" si="395"/>
        <v>0.15381002966063825</v>
      </c>
      <c r="EG32" s="126">
        <f>(EE32/DJ32)-1</f>
        <v>6.1223637660843266E-2</v>
      </c>
      <c r="EH32" s="131">
        <f>EH29+EH30</f>
        <v>183017</v>
      </c>
      <c r="EI32" s="126">
        <f t="shared" si="250"/>
        <v>0.18825423275525108</v>
      </c>
      <c r="EJ32" s="126">
        <f t="shared" si="214"/>
        <v>0.14455013351844559</v>
      </c>
      <c r="EK32" s="131">
        <f>EK29+EK30</f>
        <v>479015</v>
      </c>
      <c r="EL32" s="126">
        <f t="shared" si="215"/>
        <v>0.16537049944814933</v>
      </c>
      <c r="EM32" s="126">
        <f t="shared" si="232"/>
        <v>9.1585483962855374E-2</v>
      </c>
      <c r="EN32" s="131">
        <f>EN29+EN30</f>
        <v>45221</v>
      </c>
      <c r="EO32" s="126">
        <f t="shared" si="216"/>
        <v>7.3031448694200085E-2</v>
      </c>
      <c r="EP32" s="126">
        <f t="shared" si="217"/>
        <v>-0.30245723364543642</v>
      </c>
      <c r="EQ32" s="131">
        <f>EQ29+EQ30</f>
        <v>147957</v>
      </c>
      <c r="ER32" s="126">
        <f t="shared" si="233"/>
        <v>0.17301492453538422</v>
      </c>
      <c r="ES32" s="126">
        <f>(EQ32/DV32)-1</f>
        <v>-3.2151080642629171E-2</v>
      </c>
      <c r="ET32" s="131">
        <f>ET29+ET30</f>
        <v>193177</v>
      </c>
      <c r="EU32" s="126">
        <f t="shared" si="234"/>
        <v>0.13102359790771367</v>
      </c>
      <c r="EV32" s="126">
        <f>(ET32/DY32)-1</f>
        <v>-0.11264991892549869</v>
      </c>
      <c r="EW32" s="131">
        <f>EW29+EW30</f>
        <v>95450</v>
      </c>
      <c r="EX32" s="126">
        <f t="shared" si="235"/>
        <v>0.1188282747802704</v>
      </c>
      <c r="EY32" s="126">
        <f>(EW32/EB32)-1</f>
        <v>0.21908296029335217</v>
      </c>
      <c r="EZ32" s="131">
        <f>EZ29+EZ30</f>
        <v>288627</v>
      </c>
      <c r="FA32" s="126">
        <f t="shared" si="236"/>
        <v>0.12672256983029281</v>
      </c>
      <c r="FB32" s="126">
        <f>(EZ32/EE32)-1</f>
        <v>-2.4900740005510014E-2</v>
      </c>
      <c r="FC32" s="131">
        <f>FC29+FC30</f>
        <v>226030</v>
      </c>
      <c r="FD32" s="126">
        <f t="shared" si="219"/>
        <v>0.19085020078829248</v>
      </c>
      <c r="FE32" s="126">
        <f>(FC32/EH32)-1</f>
        <v>0.23502188321303485</v>
      </c>
      <c r="FF32" s="131">
        <f>FF29+FF30+FF31</f>
        <v>514658</v>
      </c>
      <c r="FG32" s="126">
        <f t="shared" si="220"/>
        <v>0.14866087418687679</v>
      </c>
      <c r="FH32" s="126">
        <f>(FF32/EK32)-1</f>
        <v>7.4408943352504586E-2</v>
      </c>
      <c r="FI32" s="131">
        <f>FI29+FI30+FI31</f>
        <v>28447</v>
      </c>
      <c r="FJ32" s="126">
        <f t="shared" si="251"/>
        <v>3.9143782224784686E-2</v>
      </c>
      <c r="FK32" s="126">
        <f>(FI32/EN32)-1</f>
        <v>-0.37093385816324276</v>
      </c>
      <c r="FL32" s="131">
        <f>FL29+FL30+FL31</f>
        <v>137978</v>
      </c>
      <c r="FM32" s="126">
        <f t="shared" si="222"/>
        <v>0.14566887984940927</v>
      </c>
      <c r="FN32" s="126">
        <f>(FL32/EQ32)-1</f>
        <v>-6.7445271261244777E-2</v>
      </c>
      <c r="FO32" s="131">
        <f t="shared" si="237"/>
        <v>166425</v>
      </c>
      <c r="FP32" s="126">
        <f t="shared" si="252"/>
        <v>9.9421482567413053E-2</v>
      </c>
      <c r="FQ32" s="126">
        <f>(FO32/ET32)-1</f>
        <v>-0.13848439514020816</v>
      </c>
      <c r="FR32" s="131">
        <f>FR29+FR30+FR31</f>
        <v>100756</v>
      </c>
      <c r="FS32" s="49">
        <f>(FR32/$FR$8)</f>
        <v>0.1110971443945318</v>
      </c>
      <c r="FT32" s="126">
        <f>(FR32/EW32)-1</f>
        <v>5.5589313776846616E-2</v>
      </c>
      <c r="FU32" s="131">
        <f>FO32+FR32</f>
        <v>267181</v>
      </c>
      <c r="FV32" s="49">
        <f t="shared" si="390"/>
        <v>0.10352434002414707</v>
      </c>
      <c r="FW32" s="126">
        <f>(FU32/EZ32)-1</f>
        <v>-7.4303512838369223E-2</v>
      </c>
      <c r="FX32" s="131">
        <f>SUM(FX29:FX31)</f>
        <v>321130</v>
      </c>
      <c r="FY32" s="49">
        <f t="shared" si="253"/>
        <v>0.24091604061355457</v>
      </c>
      <c r="FZ32" s="126">
        <f>(FX32/FC32)-1</f>
        <v>0.42074060965358573</v>
      </c>
      <c r="GA32" s="131">
        <f>SUM(GA29:GA31)</f>
        <v>588313</v>
      </c>
      <c r="GB32" s="49">
        <f t="shared" si="396"/>
        <v>0.15031724849117573</v>
      </c>
      <c r="GC32" s="126">
        <f>(GA32/FF32)-1</f>
        <v>0.14311445659059019</v>
      </c>
      <c r="GD32" s="131">
        <f>GD29+GD30+GD31</f>
        <v>68490.450000000026</v>
      </c>
      <c r="GE32" s="126">
        <f t="shared" si="397"/>
        <v>8.408729846927504E-2</v>
      </c>
      <c r="GF32" s="126">
        <f>(GD32/FI32)-1</f>
        <v>1.4076510704116436</v>
      </c>
      <c r="GG32" s="131">
        <f>GG29+GG30+GG31</f>
        <v>168117</v>
      </c>
      <c r="GH32" s="126">
        <f t="shared" si="225"/>
        <v>0.15129346885073588</v>
      </c>
      <c r="GI32" s="126">
        <f t="shared" si="165"/>
        <v>0.21843337343634484</v>
      </c>
      <c r="GJ32" s="131">
        <f t="shared" si="398"/>
        <v>236607.45</v>
      </c>
      <c r="GK32" s="49">
        <f t="shared" si="167"/>
        <v>0.1228673884076244</v>
      </c>
      <c r="GL32" s="126">
        <f>(GJ32/FO32)-1</f>
        <v>0.42170617395223076</v>
      </c>
      <c r="GM32" s="131">
        <f>GM29+GM30+GM31</f>
        <v>119527</v>
      </c>
      <c r="GN32" s="49">
        <f t="shared" si="168"/>
        <v>0.11415149208617016</v>
      </c>
      <c r="GO32" s="126">
        <f>(GM32/FR32)-1</f>
        <v>0.18630156020485122</v>
      </c>
      <c r="GP32" s="131">
        <f t="shared" si="399"/>
        <v>356134.45</v>
      </c>
      <c r="GQ32" s="49">
        <f t="shared" si="171"/>
        <v>0.11979744719212999</v>
      </c>
      <c r="GR32" s="126">
        <f>(GP32/FU32)-1</f>
        <v>0.33293329241225988</v>
      </c>
      <c r="GS32" s="131">
        <f>GS29+GS30+GS31</f>
        <v>363700.05400000006</v>
      </c>
      <c r="GT32" s="49">
        <f t="shared" si="344"/>
        <v>0.21780963548481955</v>
      </c>
      <c r="GU32" s="126">
        <f>(GS32/FX32)-1</f>
        <v>0.13256330458069954</v>
      </c>
      <c r="GV32" s="131">
        <f t="shared" si="400"/>
        <v>719834.50400000007</v>
      </c>
      <c r="GW32" s="49">
        <f t="shared" si="401"/>
        <v>0.15504946439633552</v>
      </c>
      <c r="GX32" s="126">
        <f>(GV32/GA32)-1</f>
        <v>0.22355702491700868</v>
      </c>
      <c r="GY32" s="131">
        <f>GY29+GY30+GY31</f>
        <v>102588.27951000011</v>
      </c>
      <c r="GZ32" s="49">
        <f t="shared" si="352"/>
        <v>0.10148262629649975</v>
      </c>
      <c r="HA32" s="126">
        <f t="shared" si="229"/>
        <v>0.49784794099031426</v>
      </c>
      <c r="HB32" s="131">
        <f>HB29+HB30+HB31</f>
        <v>228088.64064000011</v>
      </c>
      <c r="HC32" s="49">
        <f t="shared" si="371"/>
        <v>0.16842730876530218</v>
      </c>
      <c r="HD32" s="126">
        <f>(HB32/GG32)-1</f>
        <v>0.35672561751637311</v>
      </c>
      <c r="HE32" s="131">
        <f>GY32+HB32</f>
        <v>330676.92015000025</v>
      </c>
      <c r="HF32" s="49">
        <f t="shared" si="240"/>
        <v>0.13981395461373869</v>
      </c>
      <c r="HG32" s="126">
        <f>(HE32/GJ32)-1</f>
        <v>0.39757611245968905</v>
      </c>
      <c r="HH32" s="131">
        <f>HH29+HH30+HH31</f>
        <v>129733</v>
      </c>
      <c r="HI32" s="49">
        <f t="shared" si="402"/>
        <v>0.10392233040817389</v>
      </c>
      <c r="HJ32" s="126">
        <f t="shared" si="241"/>
        <v>8.538656537853373E-2</v>
      </c>
      <c r="HK32" s="131">
        <f>HK29+HK30+HK31</f>
        <v>460411.6056500001</v>
      </c>
      <c r="HL32" s="49">
        <f t="shared" si="300"/>
        <v>0.12741480267254393</v>
      </c>
      <c r="HM32" s="126">
        <f t="shared" si="230"/>
        <v>0.29280277617062911</v>
      </c>
      <c r="HN32" s="131">
        <f>HN29+HN30+HN31</f>
        <v>378200</v>
      </c>
      <c r="HO32" s="49">
        <f t="shared" si="355"/>
        <v>0.20583814003306908</v>
      </c>
      <c r="HP32" s="126">
        <f>(HN32/GS32)-1</f>
        <v>3.9867868702598397E-2</v>
      </c>
      <c r="HQ32" s="131">
        <f>HQ29+HQ30+HQ31</f>
        <v>838609.33432000026</v>
      </c>
      <c r="HR32" s="49">
        <f t="shared" si="403"/>
        <v>0.15384922106122131</v>
      </c>
      <c r="HS32" s="126">
        <f>(HQ32/GV32)-1</f>
        <v>0.16500296896020994</v>
      </c>
      <c r="HT32" s="131">
        <f>HT29+HT30+HT31</f>
        <v>81463</v>
      </c>
      <c r="HU32" s="49">
        <f t="shared" si="404"/>
        <v>7.5698695718432782E-2</v>
      </c>
      <c r="HV32" s="126">
        <f>HT32/GY32-1</f>
        <v>-0.20592293399306749</v>
      </c>
      <c r="HW32" s="131">
        <f>HW29+HW30+HW31</f>
        <v>245350</v>
      </c>
      <c r="HX32" s="49">
        <f t="shared" si="184"/>
        <v>0.16751007723146499</v>
      </c>
      <c r="HY32" s="126">
        <f>(HW32/HB32)-1</f>
        <v>7.5678294682127722E-2</v>
      </c>
      <c r="HZ32" s="131">
        <f>HT32+HW32</f>
        <v>326813</v>
      </c>
      <c r="IA32" s="49">
        <f t="shared" ref="IA32:IA36" si="425">(HZ32/HZ$8)</f>
        <v>0.12862420085357731</v>
      </c>
      <c r="IB32" s="126">
        <f>(HZ32/HE32)-1</f>
        <v>-1.1684880058298375E-2</v>
      </c>
      <c r="IC32" s="131">
        <f>IC29+IC30+IC31</f>
        <v>106656</v>
      </c>
      <c r="ID32" s="49">
        <f t="shared" si="187"/>
        <v>8.4619546848743829E-2</v>
      </c>
      <c r="IE32" s="126">
        <f>(IC32/HH32)-1</f>
        <v>-0.17788072425674273</v>
      </c>
      <c r="IF32" s="131">
        <f>HZ32+IC32</f>
        <v>433469</v>
      </c>
      <c r="IG32" s="49">
        <f t="shared" ref="IG32:IG36" si="426">(IF32/IF$8)</f>
        <v>0.11403315853136886</v>
      </c>
      <c r="IH32" s="126">
        <f>(IF32/HK32)-1</f>
        <v>-5.8518519775284661E-2</v>
      </c>
      <c r="II32" s="131">
        <f>II29+II30+II31</f>
        <v>445644</v>
      </c>
      <c r="IJ32" s="49">
        <f t="shared" si="22"/>
        <v>0.23204533809874908</v>
      </c>
      <c r="IK32" s="126">
        <f>(II32/HN32)-1</f>
        <v>0.17832892649391852</v>
      </c>
      <c r="IL32" s="131">
        <f>IL29+IL30+IL31</f>
        <v>879115</v>
      </c>
      <c r="IM32" s="49">
        <f>(IL32/IL$8)</f>
        <v>0.15364423899861529</v>
      </c>
      <c r="IN32" s="126">
        <f>(IL32/HQ32)-1</f>
        <v>4.8300995496126209E-2</v>
      </c>
      <c r="IO32" s="131">
        <f>IO29+IO30+IO31</f>
        <v>79102</v>
      </c>
      <c r="IP32" s="49">
        <f t="shared" si="405"/>
        <v>6.4066595177389524E-2</v>
      </c>
      <c r="IQ32" s="126">
        <f>IO32/HT32-1</f>
        <v>-2.8982482844972512E-2</v>
      </c>
      <c r="IR32" s="131">
        <f>IR29+IR30+IR31</f>
        <v>272265.00000000012</v>
      </c>
      <c r="IS32" s="49">
        <f t="shared" si="190"/>
        <v>0.16698702694215614</v>
      </c>
      <c r="IT32" s="126">
        <f>(IR32/HW32)-1</f>
        <v>0.10970042796005752</v>
      </c>
      <c r="IU32" s="131">
        <f>IO32+IR32</f>
        <v>351367.00000000012</v>
      </c>
      <c r="IV32" s="49">
        <f t="shared" ref="IV32:IV36" si="427">(IU32/IU$8)</f>
        <v>0.12263519409173727</v>
      </c>
      <c r="IW32" s="126">
        <f>(IU32/HZ32)-1</f>
        <v>7.5131650209753431E-2</v>
      </c>
      <c r="IX32" s="131">
        <f>IX29+IX30+IX31</f>
        <v>184623</v>
      </c>
      <c r="IY32" s="49">
        <f t="shared" si="193"/>
        <v>0.12205849880138413</v>
      </c>
      <c r="IZ32" s="126">
        <f>(IX32/IC32)-1</f>
        <v>0.73101372637263728</v>
      </c>
      <c r="JA32" s="131">
        <f t="shared" si="406"/>
        <v>535990.00000000012</v>
      </c>
      <c r="JB32" s="49">
        <f>(JA32/JA$8)</f>
        <v>0.12243593580034166</v>
      </c>
      <c r="JC32" s="126">
        <f>(JA32/IF32)-1</f>
        <v>0.23651287635332663</v>
      </c>
      <c r="JD32" s="131">
        <f>JD29+JD30+JD31</f>
        <v>478699</v>
      </c>
      <c r="JE32" s="49">
        <f t="shared" si="195"/>
        <v>0.21540167974963495</v>
      </c>
      <c r="JF32" s="126">
        <f>(JD32/II32)-1</f>
        <v>7.4173555573507022E-2</v>
      </c>
      <c r="JG32" s="131">
        <f t="shared" si="407"/>
        <v>1014689.0000000001</v>
      </c>
      <c r="JH32" s="49">
        <f>(JG32/JG$8)</f>
        <v>0.15373905712861055</v>
      </c>
      <c r="JI32" s="126">
        <f>(JG32/IL32)-1</f>
        <v>0.15421645632255188</v>
      </c>
      <c r="JJ32" s="131">
        <f>JJ29+JJ30+JJ31</f>
        <v>156174</v>
      </c>
      <c r="JK32" s="49">
        <f t="shared" si="197"/>
        <v>0.11164703939537567</v>
      </c>
      <c r="JL32" s="126">
        <f>(JJ32/IO32)-1</f>
        <v>0.97433693206240046</v>
      </c>
      <c r="JM32" s="131">
        <f>JM29+JM30+JM31</f>
        <v>338655.94271999988</v>
      </c>
      <c r="JN32" s="49">
        <f t="shared" si="198"/>
        <v>0.19025283420344918</v>
      </c>
      <c r="JO32" s="126">
        <f>(JM32/IR32)-1</f>
        <v>0.24384677692689016</v>
      </c>
      <c r="JP32" s="131">
        <f t="shared" si="36"/>
        <v>494829.94271999988</v>
      </c>
      <c r="JQ32" s="49">
        <f t="shared" si="199"/>
        <v>0.15566319351966904</v>
      </c>
      <c r="JR32" s="126">
        <f>(JP32/IU32)-1</f>
        <v>0.40829942117500995</v>
      </c>
      <c r="JS32" s="131">
        <f>JS29+JS30+JS31</f>
        <v>241026.43174999999</v>
      </c>
      <c r="JT32" s="126">
        <f t="shared" si="37"/>
        <v>0.14083080581444743</v>
      </c>
      <c r="JU32" s="126">
        <f t="shared" si="38"/>
        <v>0.30550598652388916</v>
      </c>
      <c r="JV32" s="131">
        <f t="shared" si="39"/>
        <v>735856.37446999992</v>
      </c>
      <c r="JW32" s="126">
        <f t="shared" si="40"/>
        <v>0.1504723062541421</v>
      </c>
      <c r="JX32" s="126">
        <f t="shared" si="41"/>
        <v>0.37289198393626699</v>
      </c>
      <c r="JY32" s="131">
        <f>JY29+JY30+JY31</f>
        <v>642632</v>
      </c>
      <c r="JZ32" s="126">
        <f t="shared" si="42"/>
        <v>0.24763074722498596</v>
      </c>
      <c r="KA32" s="126">
        <f t="shared" ref="KA32:KA33" si="428">(JY32/JD32)-1</f>
        <v>0.34245527983137625</v>
      </c>
      <c r="KB32" s="131">
        <f t="shared" si="44"/>
        <v>1378488.3744699999</v>
      </c>
      <c r="KC32" s="126">
        <f t="shared" si="45"/>
        <v>0.18415613024256577</v>
      </c>
      <c r="KD32" s="126">
        <f t="shared" ref="KD32:KD33" si="429">(KB32/JG32)-1</f>
        <v>0.35853288492336044</v>
      </c>
      <c r="KE32" s="131">
        <f>KE29+KE30+KE31</f>
        <v>202755</v>
      </c>
      <c r="KF32" s="126">
        <f t="shared" si="47"/>
        <v>0.12285672562634177</v>
      </c>
      <c r="KG32" s="126">
        <f t="shared" si="48"/>
        <v>0.29826347535441244</v>
      </c>
      <c r="KH32" s="131">
        <f>KH29+KH30+KH31</f>
        <v>320284</v>
      </c>
      <c r="KI32" s="49">
        <f t="shared" si="200"/>
        <v>0.15860558767221922</v>
      </c>
      <c r="KJ32" s="126">
        <f>(KH32/JM32)-1</f>
        <v>-5.424958018584003E-2</v>
      </c>
      <c r="KK32" s="131">
        <f t="shared" si="360"/>
        <v>523039</v>
      </c>
      <c r="KL32" s="49">
        <f t="shared" si="201"/>
        <v>0.14252866233880543</v>
      </c>
      <c r="KM32" s="126">
        <f>(KK32/JP32)-1</f>
        <v>5.7007579462430069E-2</v>
      </c>
      <c r="KN32" s="131">
        <f>KN29+KN30+KN31</f>
        <v>249406</v>
      </c>
      <c r="KO32" s="126">
        <f t="shared" si="50"/>
        <v>0.12909721086336728</v>
      </c>
      <c r="KP32" s="126">
        <f t="shared" ref="KP32:KP33" si="430">(KN32/JS32)-1</f>
        <v>3.4766179747006243E-2</v>
      </c>
      <c r="KQ32" s="131">
        <f t="shared" si="423"/>
        <v>772445</v>
      </c>
      <c r="KR32" s="126">
        <f t="shared" si="53"/>
        <v>0.13789634633459696</v>
      </c>
      <c r="KS32" s="126">
        <f t="shared" ref="KS32:KS33" si="431">(KQ32/JV32)-1</f>
        <v>4.9722509445342622E-2</v>
      </c>
      <c r="KT32" s="131">
        <f>KT29+KT30+KT31</f>
        <v>725393</v>
      </c>
      <c r="KU32" s="126">
        <f t="shared" si="55"/>
        <v>0.25248115422661149</v>
      </c>
      <c r="KV32" s="126">
        <f t="shared" ref="KV32:KV33" si="432">(KT32/JY32)-1</f>
        <v>0.12878443650487381</v>
      </c>
      <c r="KW32" s="131">
        <f t="shared" si="424"/>
        <v>1497838</v>
      </c>
      <c r="KX32" s="126">
        <f t="shared" si="58"/>
        <v>0.17674244954949991</v>
      </c>
      <c r="KY32" s="126">
        <f t="shared" ref="KY32:KY33" si="433">(KW32/KB32)-1</f>
        <v>8.6580074043705713E-2</v>
      </c>
      <c r="KZ32" s="131">
        <f>KZ29+KZ30+KZ31</f>
        <v>-17432</v>
      </c>
      <c r="LA32" s="126">
        <f t="shared" si="60"/>
        <v>-1.1245145725012579E-2</v>
      </c>
      <c r="LB32" s="126">
        <f t="shared" ref="LB32:LB33" si="434">(KZ32/KE32)-1</f>
        <v>-1.0859756849399522</v>
      </c>
      <c r="LC32" s="131">
        <f>LC29+LC30+LC31</f>
        <v>913344</v>
      </c>
      <c r="LD32" s="49">
        <f t="shared" si="202"/>
        <v>1.6925186607268603</v>
      </c>
      <c r="LE32" s="126">
        <f>(LC32/KH32)-1</f>
        <v>1.8516691436350241</v>
      </c>
      <c r="LF32" s="131">
        <f t="shared" si="415"/>
        <v>895912</v>
      </c>
      <c r="LG32" s="49">
        <f t="shared" si="416"/>
        <v>0.42870377104970009</v>
      </c>
      <c r="LH32" s="126">
        <f>(LF32/KK32)-1</f>
        <v>0.7128971262181214</v>
      </c>
      <c r="LI32" s="131">
        <f>LI29+LI30+LI31</f>
        <v>-183999</v>
      </c>
      <c r="LJ32" s="49">
        <f t="shared" si="417"/>
        <v>-0.1114337053664705</v>
      </c>
      <c r="LK32" s="126">
        <f>(LI32/KN32)-1</f>
        <v>-1.7377488913658854</v>
      </c>
      <c r="LL32" s="131">
        <f t="shared" si="62"/>
        <v>711913</v>
      </c>
      <c r="LM32" s="49">
        <f t="shared" si="418"/>
        <v>0.1902995258236205</v>
      </c>
      <c r="LN32" s="126">
        <f>(LL32/KQ32)-1</f>
        <v>-7.8364155376758227E-2</v>
      </c>
      <c r="LO32" s="131">
        <f>LO29+LO30+LO31</f>
        <v>490211</v>
      </c>
      <c r="LP32" s="49">
        <f t="shared" si="419"/>
        <v>0.16790589534443226</v>
      </c>
      <c r="LQ32" s="126">
        <f>(LO32/KT32)-1</f>
        <v>-0.32421321959268978</v>
      </c>
      <c r="LR32" s="131">
        <f t="shared" si="63"/>
        <v>1202124</v>
      </c>
      <c r="LS32" s="49">
        <f t="shared" si="420"/>
        <v>0.18048362520270408</v>
      </c>
      <c r="LT32" s="126">
        <f>(LR32/KW32)-1</f>
        <v>-0.19742722510712107</v>
      </c>
    </row>
    <row r="33" spans="1:332" ht="16.5" customHeight="1">
      <c r="A33" s="105"/>
      <c r="B33" s="132" t="s">
        <v>132</v>
      </c>
      <c r="C33" s="133" t="s">
        <v>133</v>
      </c>
      <c r="D33" s="134">
        <v>-1401</v>
      </c>
      <c r="E33" s="118">
        <f t="shared" si="255"/>
        <v>-7.0753287679534574E-3</v>
      </c>
      <c r="F33" s="134">
        <v>-16676</v>
      </c>
      <c r="G33" s="118">
        <f t="shared" si="256"/>
        <v>-5.9738919856133665E-2</v>
      </c>
      <c r="H33" s="117">
        <f>D33+F33</f>
        <v>-18077</v>
      </c>
      <c r="I33" s="118">
        <f t="shared" si="257"/>
        <v>-3.7884567021544135E-2</v>
      </c>
      <c r="J33" s="134">
        <v>-302</v>
      </c>
      <c r="K33" s="118">
        <f t="shared" si="258"/>
        <v>-1.1823987032766538E-3</v>
      </c>
      <c r="L33" s="117">
        <f>H33+J33</f>
        <v>-18379</v>
      </c>
      <c r="M33" s="118">
        <f t="shared" si="259"/>
        <v>-2.5088284717017961E-2</v>
      </c>
      <c r="N33" s="134">
        <v>-7672</v>
      </c>
      <c r="O33" s="118">
        <f t="shared" si="260"/>
        <v>-1.899663498084737E-2</v>
      </c>
      <c r="P33" s="117">
        <f>L33+N33</f>
        <v>-26051</v>
      </c>
      <c r="Q33" s="118">
        <f>P33/$P$8</f>
        <v>-2.2923460579320928E-2</v>
      </c>
      <c r="R33" s="134">
        <v>-6937</v>
      </c>
      <c r="S33" s="118">
        <f t="shared" si="262"/>
        <v>-2.7638000756987191E-2</v>
      </c>
      <c r="T33" s="26">
        <f>R33/D33-1</f>
        <v>3.9514632405424699</v>
      </c>
      <c r="U33" s="134">
        <v>-11336</v>
      </c>
      <c r="V33" s="119">
        <f t="shared" si="263"/>
        <v>-3.1690564117760528E-2</v>
      </c>
      <c r="W33" s="26">
        <f>U33/F33-1</f>
        <v>-0.32022067642120411</v>
      </c>
      <c r="X33" s="117">
        <f>R33+U33</f>
        <v>-18273</v>
      </c>
      <c r="Y33" s="119">
        <f t="shared" si="264"/>
        <v>-3.001951687519714E-2</v>
      </c>
      <c r="Z33" s="26">
        <f>X33/H33-1</f>
        <v>1.0842507053161476E-2</v>
      </c>
      <c r="AA33" s="134">
        <v>-32</v>
      </c>
      <c r="AB33" s="119">
        <f t="shared" si="265"/>
        <v>-9.9836829182305172E-5</v>
      </c>
      <c r="AC33" s="26">
        <f>AA33/J33-1</f>
        <v>-0.89403973509933776</v>
      </c>
      <c r="AD33" s="117">
        <f>X33+AA33</f>
        <v>-18305</v>
      </c>
      <c r="AE33" s="119">
        <f t="shared" si="266"/>
        <v>-1.9699169309544386E-2</v>
      </c>
      <c r="AF33" s="26">
        <f>AD33/L33-1</f>
        <v>-4.0263344033951709E-3</v>
      </c>
      <c r="AG33" s="134">
        <v>-12214</v>
      </c>
      <c r="AH33" s="119">
        <f t="shared" si="267"/>
        <v>-2.4096480619635062E-2</v>
      </c>
      <c r="AI33" s="26">
        <f>AG33/N33-1</f>
        <v>0.59202294056308657</v>
      </c>
      <c r="AJ33" s="117">
        <f>AD33+AG33</f>
        <v>-30519</v>
      </c>
      <c r="AK33" s="119">
        <f t="shared" si="268"/>
        <v>-2.1251231629999198E-2</v>
      </c>
      <c r="AL33" s="26">
        <f>AJ33/P33-1</f>
        <v>0.17150973091244093</v>
      </c>
      <c r="AM33" s="120">
        <v>-7342</v>
      </c>
      <c r="AN33" s="119">
        <f t="shared" si="269"/>
        <v>-2.3661507027229103E-2</v>
      </c>
      <c r="AO33" s="119">
        <f>AM33/R33-1</f>
        <v>5.8382586132333936E-2</v>
      </c>
      <c r="AP33" s="120">
        <v>-18414</v>
      </c>
      <c r="AQ33" s="119">
        <f t="shared" si="270"/>
        <v>-4.1439839767753263E-2</v>
      </c>
      <c r="AR33" s="119">
        <f>AP33/U33-1</f>
        <v>0.62438249823570935</v>
      </c>
      <c r="AS33" s="120">
        <f>AM33+AP33</f>
        <v>-25756</v>
      </c>
      <c r="AT33" s="119">
        <f t="shared" si="271"/>
        <v>-3.4129819465499145E-2</v>
      </c>
      <c r="AU33" s="119">
        <f>AS33/X33-1</f>
        <v>0.40951130082635578</v>
      </c>
      <c r="AV33" s="120">
        <v>-16454</v>
      </c>
      <c r="AW33" s="119">
        <f t="shared" si="272"/>
        <v>-4.1617976618659541E-2</v>
      </c>
      <c r="AX33" s="119">
        <f>AV33/AA33-1</f>
        <v>513.1875</v>
      </c>
      <c r="AY33" s="120">
        <f>AV33+AS33</f>
        <v>-42210</v>
      </c>
      <c r="AZ33" s="119">
        <f t="shared" si="273"/>
        <v>-3.6704156326140908E-2</v>
      </c>
      <c r="BA33" s="119">
        <f>AY33/AD33-1</f>
        <v>1.3059273422562141</v>
      </c>
      <c r="BB33" s="120">
        <v>-14845</v>
      </c>
      <c r="BC33" s="119">
        <f t="shared" si="274"/>
        <v>-2.4670861294750733E-2</v>
      </c>
      <c r="BD33" s="119">
        <f t="shared" si="391"/>
        <v>0.21540854756836425</v>
      </c>
      <c r="BE33" s="120">
        <f>BB33+AY33</f>
        <v>-57055</v>
      </c>
      <c r="BF33" s="119">
        <f t="shared" si="275"/>
        <v>-3.2570695907127134E-2</v>
      </c>
      <c r="BG33" s="119">
        <f t="shared" si="392"/>
        <v>0.86949113666896038</v>
      </c>
      <c r="BH33" s="120">
        <v>-12117</v>
      </c>
      <c r="BI33" s="119">
        <f t="shared" si="276"/>
        <v>-3.16054702477679E-2</v>
      </c>
      <c r="BJ33" s="119">
        <f>(BH33/AM33)-1</f>
        <v>0.65036774720784529</v>
      </c>
      <c r="BK33" s="120">
        <v>-21387</v>
      </c>
      <c r="BL33" s="119">
        <f t="shared" si="277"/>
        <v>-4.1915076257334698E-2</v>
      </c>
      <c r="BM33" s="119">
        <f>(BK33/AP33)-1</f>
        <v>0.16145324209840339</v>
      </c>
      <c r="BN33" s="120">
        <f>BK33+BH33</f>
        <v>-33504</v>
      </c>
      <c r="BO33" s="119">
        <f t="shared" si="278"/>
        <v>-3.7492068856315092E-2</v>
      </c>
      <c r="BP33" s="119">
        <f>BN33/AS33-1</f>
        <v>0.3008231091784439</v>
      </c>
      <c r="BQ33" s="120">
        <v>-14213</v>
      </c>
      <c r="BR33" s="119">
        <f t="shared" si="279"/>
        <v>-3.1652391578366003E-2</v>
      </c>
      <c r="BS33" s="119">
        <f>(BQ33/AV33)-1</f>
        <v>-0.13619788501276286</v>
      </c>
      <c r="BT33" s="120">
        <f>BN33+BQ33</f>
        <v>-47717</v>
      </c>
      <c r="BU33" s="119">
        <f t="shared" si="280"/>
        <v>-3.5539047743888268E-2</v>
      </c>
      <c r="BV33" s="119">
        <f>BT33/AY33-1</f>
        <v>0.13046671404880361</v>
      </c>
      <c r="BW33" s="120">
        <v>-15033</v>
      </c>
      <c r="BX33" s="119">
        <f t="shared" si="281"/>
        <v>-2.4493367092567428E-2</v>
      </c>
      <c r="BY33" s="119">
        <f>(BW33/BB33)-1</f>
        <v>1.2664196699225361E-2</v>
      </c>
      <c r="BZ33" s="120">
        <f>BT33+BW33</f>
        <v>-62750</v>
      </c>
      <c r="CA33" s="119">
        <f t="shared" si="282"/>
        <v>-3.2073857276190922E-2</v>
      </c>
      <c r="CB33" s="119">
        <f>(BZ33/BE33)-1</f>
        <v>9.9815967049338372E-2</v>
      </c>
      <c r="CC33" s="120">
        <v>-5568</v>
      </c>
      <c r="CD33" s="119">
        <f t="shared" si="283"/>
        <v>-1.5353689104340561E-2</v>
      </c>
      <c r="CE33" s="119">
        <f>(CC33/BH33)-1</f>
        <v>-0.54048031691012621</v>
      </c>
      <c r="CF33" s="120">
        <v>-24651</v>
      </c>
      <c r="CG33" s="119">
        <f t="shared" si="284"/>
        <v>-4.4437674408543223E-2</v>
      </c>
      <c r="CH33" s="119">
        <f>(CF33/BK33)-1</f>
        <v>0.15261607518586051</v>
      </c>
      <c r="CI33" s="120">
        <f>CF33+CC33</f>
        <v>-30219</v>
      </c>
      <c r="CJ33" s="119">
        <f t="shared" si="285"/>
        <v>-3.294054808258301E-2</v>
      </c>
      <c r="CK33" s="119">
        <f>(CI33/BN33)-1</f>
        <v>-9.8047994269340966E-2</v>
      </c>
      <c r="CL33" s="120">
        <v>-15866</v>
      </c>
      <c r="CM33" s="119">
        <f t="shared" si="286"/>
        <v>-3.2597127771043496E-2</v>
      </c>
      <c r="CN33" s="119">
        <f>(CL33/BQ33)-1</f>
        <v>0.11630197706325185</v>
      </c>
      <c r="CO33" s="121">
        <f>CI33+CL33</f>
        <v>-46085</v>
      </c>
      <c r="CP33" s="119">
        <f t="shared" si="287"/>
        <v>-3.2821479213537959E-2</v>
      </c>
      <c r="CQ33" s="119">
        <f>(CO33/BT33)-1</f>
        <v>-3.4201647211685615E-2</v>
      </c>
      <c r="CR33" s="120">
        <v>-30187</v>
      </c>
      <c r="CS33" s="119">
        <f t="shared" si="288"/>
        <v>-4.2405929272411068E-2</v>
      </c>
      <c r="CT33" s="119">
        <f>(CR33/BW33)-1</f>
        <v>1.0080489589569614</v>
      </c>
      <c r="CU33" s="122">
        <v>-76270</v>
      </c>
      <c r="CV33" s="119">
        <f t="shared" si="289"/>
        <v>-3.6044968543947738E-2</v>
      </c>
      <c r="CW33" s="119">
        <f>(CU33/BZ33)-1</f>
        <v>0.21545816733067724</v>
      </c>
      <c r="CX33" s="120">
        <v>-18660</v>
      </c>
      <c r="CY33" s="119">
        <f t="shared" si="290"/>
        <v>-4.2385393620839255E-2</v>
      </c>
      <c r="CZ33" s="119">
        <f>CX33/CC33-1</f>
        <v>2.3512931034482758</v>
      </c>
      <c r="DA33" s="120">
        <v>-45663</v>
      </c>
      <c r="DB33" s="119">
        <f t="shared" si="291"/>
        <v>-7.24822179434879E-2</v>
      </c>
      <c r="DC33" s="119">
        <f>DA33/CF33-1</f>
        <v>0.85237921382499704</v>
      </c>
      <c r="DD33" s="32">
        <f>CX33+DA33</f>
        <v>-64323</v>
      </c>
      <c r="DE33" s="119">
        <f t="shared" si="292"/>
        <v>-6.0101753353235504E-2</v>
      </c>
      <c r="DF33" s="119">
        <f>DD33/CI33-1</f>
        <v>1.1285615010423906</v>
      </c>
      <c r="DG33" s="120">
        <v>-29740</v>
      </c>
      <c r="DH33" s="119">
        <f t="shared" si="293"/>
        <v>-5.2291029292822734E-2</v>
      </c>
      <c r="DI33" s="119">
        <f>DG33/CL33-1</f>
        <v>0.87444850623975801</v>
      </c>
      <c r="DJ33" s="32">
        <f>DD33+DG33</f>
        <v>-94063</v>
      </c>
      <c r="DK33" s="119">
        <f t="shared" si="294"/>
        <v>-5.7391357403255086E-2</v>
      </c>
      <c r="DL33" s="119">
        <f>DJ33/CO33-1</f>
        <v>1.0410762721058915</v>
      </c>
      <c r="DM33" s="120">
        <v>-29680</v>
      </c>
      <c r="DN33" s="119">
        <f t="shared" si="393"/>
        <v>-3.6032142419228148E-2</v>
      </c>
      <c r="DO33" s="119">
        <f>DM33/CR33-1</f>
        <v>-1.6795309239076461E-2</v>
      </c>
      <c r="DP33" s="120">
        <v>-123743</v>
      </c>
      <c r="DQ33" s="119">
        <f t="shared" si="296"/>
        <v>-5.0247230358109428E-2</v>
      </c>
      <c r="DR33" s="119">
        <f>DP33/CU33-1</f>
        <v>0.62243346007604572</v>
      </c>
      <c r="DS33" s="120">
        <v>-17242</v>
      </c>
      <c r="DT33" s="119">
        <f>DS33/$DS$8</f>
        <v>-3.3304552575105222E-2</v>
      </c>
      <c r="DU33" s="119">
        <f>(DS33/CX33)-1</f>
        <v>-7.5991425509110422E-2</v>
      </c>
      <c r="DV33" s="120">
        <v>-39328</v>
      </c>
      <c r="DW33" s="119">
        <f t="shared" si="298"/>
        <v>-5.2461605569510163E-2</v>
      </c>
      <c r="DX33" s="119">
        <f>(DV33/DA33)-1</f>
        <v>-0.13873376694479123</v>
      </c>
      <c r="DY33" s="120">
        <f>(DS33+DV33)</f>
        <v>-56570</v>
      </c>
      <c r="DZ33" s="119">
        <f t="shared" si="299"/>
        <v>-4.4636093927534405E-2</v>
      </c>
      <c r="EA33" s="119">
        <f>(DY33/DD33)-1</f>
        <v>-0.12053231348040361</v>
      </c>
      <c r="EB33" s="120">
        <v>-21601</v>
      </c>
      <c r="EC33" s="119">
        <f t="shared" si="394"/>
        <v>-3.2874431572603474E-2</v>
      </c>
      <c r="ED33" s="119">
        <f>(EB33/DG33)-1</f>
        <v>-0.27367182246133159</v>
      </c>
      <c r="EE33" s="120">
        <f>(DY33+EB33)</f>
        <v>-78171</v>
      </c>
      <c r="EF33" s="119">
        <f t="shared" si="395"/>
        <v>-4.0620212883151222E-2</v>
      </c>
      <c r="EG33" s="119">
        <f>(EE33/DJ33)-1</f>
        <v>-0.16895059694034853</v>
      </c>
      <c r="EH33" s="120">
        <v>-60315</v>
      </c>
      <c r="EI33" s="119">
        <f t="shared" si="250"/>
        <v>-6.2040980065419984E-2</v>
      </c>
      <c r="EJ33" s="119">
        <f t="shared" si="214"/>
        <v>1.0321765498652291</v>
      </c>
      <c r="EK33" s="120">
        <v>-138486</v>
      </c>
      <c r="EL33" s="119">
        <f t="shared" si="215"/>
        <v>-4.7809565434436103E-2</v>
      </c>
      <c r="EM33" s="119">
        <f t="shared" si="232"/>
        <v>0.11914209288606226</v>
      </c>
      <c r="EN33" s="120">
        <v>-9490</v>
      </c>
      <c r="EO33" s="119">
        <f t="shared" si="216"/>
        <v>-1.5326252141880074E-2</v>
      </c>
      <c r="EP33" s="119">
        <f t="shared" si="217"/>
        <v>-0.4495998144066814</v>
      </c>
      <c r="EQ33" s="120">
        <v>-44485</v>
      </c>
      <c r="ER33" s="119">
        <f t="shared" si="233"/>
        <v>-5.2018957656322903E-2</v>
      </c>
      <c r="ES33" s="119">
        <f>(EQ33/DV33)-1</f>
        <v>0.13112794955248175</v>
      </c>
      <c r="ET33" s="120">
        <f>(EN33+EQ33)</f>
        <v>-53975</v>
      </c>
      <c r="EU33" s="119">
        <f t="shared" si="234"/>
        <v>-3.660890632460824E-2</v>
      </c>
      <c r="EV33" s="119">
        <f>(ET33/DY33)-1</f>
        <v>-4.5872370514406957E-2</v>
      </c>
      <c r="EW33" s="33">
        <v>-26927</v>
      </c>
      <c r="EX33" s="119">
        <f t="shared" si="235"/>
        <v>-3.3522147249956426E-2</v>
      </c>
      <c r="EY33" s="119">
        <f>(EW33/EB33)-1</f>
        <v>0.24656265913615116</v>
      </c>
      <c r="EZ33" s="120">
        <f>(ET33+EW33)</f>
        <v>-80902</v>
      </c>
      <c r="FA33" s="119">
        <f t="shared" si="236"/>
        <v>-3.5520271299671717E-2</v>
      </c>
      <c r="FB33" s="119">
        <f>(EZ33/EE33)-1</f>
        <v>3.4936229548042208E-2</v>
      </c>
      <c r="FC33" s="33">
        <v>-72518</v>
      </c>
      <c r="FD33" s="119">
        <f t="shared" si="219"/>
        <v>-6.1231141267820172E-2</v>
      </c>
      <c r="FE33" s="119">
        <f>(FC33/EH33)-1</f>
        <v>0.20232114730995598</v>
      </c>
      <c r="FF33" s="120">
        <v>-153420</v>
      </c>
      <c r="FG33" s="119">
        <f t="shared" si="220"/>
        <v>-4.4315936637049531E-2</v>
      </c>
      <c r="FH33" s="119">
        <f>(FF33/EK33)-1</f>
        <v>0.10783761535462077</v>
      </c>
      <c r="FI33" s="120">
        <v>-6841</v>
      </c>
      <c r="FJ33" s="119">
        <f t="shared" si="251"/>
        <v>-9.4133867964900347E-3</v>
      </c>
      <c r="FK33" s="119">
        <f>(FI33/EN33)-1</f>
        <v>-0.27913593256059011</v>
      </c>
      <c r="FL33" s="120">
        <v>-39995</v>
      </c>
      <c r="FM33" s="119">
        <f t="shared" si="222"/>
        <v>-4.2224317279400507E-2</v>
      </c>
      <c r="FN33" s="119">
        <f>(FL33/EQ33)-1</f>
        <v>-0.10093289872990896</v>
      </c>
      <c r="FO33" s="120">
        <f t="shared" si="237"/>
        <v>-46836</v>
      </c>
      <c r="FP33" s="119">
        <f t="shared" si="252"/>
        <v>-2.7979597761918929E-2</v>
      </c>
      <c r="FQ33" s="119">
        <f>(FO33/ET33)-1</f>
        <v>-0.13226493747105139</v>
      </c>
      <c r="FR33" s="120">
        <v>-29114</v>
      </c>
      <c r="FS33" s="123">
        <f t="shared" si="421"/>
        <v>-3.210213051235062E-2</v>
      </c>
      <c r="FT33" s="119">
        <f>(FR33/EW33)-1</f>
        <v>8.1219593716344241E-2</v>
      </c>
      <c r="FU33" s="120">
        <v>-75950</v>
      </c>
      <c r="FV33" s="123">
        <f t="shared" si="390"/>
        <v>-2.9428266324454094E-2</v>
      </c>
      <c r="FW33" s="119">
        <f>(FU33/EZ33)-1</f>
        <v>-6.1209858841561382E-2</v>
      </c>
      <c r="FX33" s="120">
        <v>-99360</v>
      </c>
      <c r="FY33" s="123">
        <f t="shared" si="253"/>
        <v>-7.4541206973383928E-2</v>
      </c>
      <c r="FZ33" s="119">
        <f>(FX33/FC33)-1</f>
        <v>0.37014258528916955</v>
      </c>
      <c r="GA33" s="120">
        <v>-175310</v>
      </c>
      <c r="GB33" s="123">
        <f t="shared" si="396"/>
        <v>-4.47926815028531E-2</v>
      </c>
      <c r="GC33" s="119">
        <f>(GA33/FF33)-1</f>
        <v>0.1426802242210925</v>
      </c>
      <c r="GD33" s="120">
        <v>-17583</v>
      </c>
      <c r="GE33" s="119">
        <f t="shared" si="397"/>
        <v>-2.1587052924681653E-2</v>
      </c>
      <c r="GF33" s="119">
        <f>(GD33/FI33)-1</f>
        <v>1.5702382692588803</v>
      </c>
      <c r="GG33" s="120">
        <v>-49639</v>
      </c>
      <c r="GH33" s="119">
        <f t="shared" si="225"/>
        <v>-4.4671606680357599E-2</v>
      </c>
      <c r="GI33" s="119">
        <f t="shared" si="165"/>
        <v>0.24113014126765853</v>
      </c>
      <c r="GJ33" s="120">
        <f t="shared" si="398"/>
        <v>-67222</v>
      </c>
      <c r="GK33" s="123">
        <f t="shared" si="167"/>
        <v>-3.4907571944743615E-2</v>
      </c>
      <c r="GL33" s="119">
        <f>(GJ33/FO33)-1</f>
        <v>0.43526347254248865</v>
      </c>
      <c r="GM33" s="120">
        <v>-36137</v>
      </c>
      <c r="GN33" s="123">
        <f t="shared" si="168"/>
        <v>-3.4511804609150494E-2</v>
      </c>
      <c r="GO33" s="119">
        <f>(GM33/FR33)-1</f>
        <v>0.24122415332829572</v>
      </c>
      <c r="GP33" s="120">
        <f t="shared" si="399"/>
        <v>-103359</v>
      </c>
      <c r="GQ33" s="123">
        <f t="shared" si="171"/>
        <v>-3.4768173492711427E-2</v>
      </c>
      <c r="GR33" s="119">
        <f>(GP33/FU33)-1</f>
        <v>0.36088215931533907</v>
      </c>
      <c r="GS33" s="120">
        <v>-133396</v>
      </c>
      <c r="GT33" s="123">
        <f t="shared" si="344"/>
        <v>-7.9887076769950063E-2</v>
      </c>
      <c r="GU33" s="119">
        <f>(GS33/FX33)-1</f>
        <v>0.34255233494363924</v>
      </c>
      <c r="GV33" s="120">
        <f t="shared" si="400"/>
        <v>-236755</v>
      </c>
      <c r="GW33" s="123">
        <f t="shared" si="401"/>
        <v>-5.0996077208261215E-2</v>
      </c>
      <c r="GX33" s="119">
        <f>(GV33/GA33)-1</f>
        <v>0.35049341167075476</v>
      </c>
      <c r="GY33" s="120">
        <v>-29399.782200000001</v>
      </c>
      <c r="GZ33" s="123">
        <f t="shared" si="352"/>
        <v>-2.9082923745789625E-2</v>
      </c>
      <c r="HA33" s="119">
        <f t="shared" si="229"/>
        <v>0.67205722572939774</v>
      </c>
      <c r="HB33" s="120">
        <v>-69920</v>
      </c>
      <c r="HC33" s="123">
        <f t="shared" si="371"/>
        <v>-5.1630968538486192E-2</v>
      </c>
      <c r="HD33" s="119">
        <f>(HB33/GG33)-1</f>
        <v>0.40856987449384552</v>
      </c>
      <c r="HE33" s="120">
        <f>GY33+HB33</f>
        <v>-99319.782200000001</v>
      </c>
      <c r="HF33" s="123">
        <f t="shared" si="240"/>
        <v>-4.1993531070926182E-2</v>
      </c>
      <c r="HG33" s="119">
        <f>(HE33/GJ33)-1</f>
        <v>0.47748924756776057</v>
      </c>
      <c r="HH33" s="120">
        <v>-33767</v>
      </c>
      <c r="HI33" s="123">
        <f t="shared" si="402"/>
        <v>-2.704898006592623E-2</v>
      </c>
      <c r="HJ33" s="119">
        <f t="shared" si="241"/>
        <v>-6.5583750726402323E-2</v>
      </c>
      <c r="HK33" s="120">
        <f>HE33+HH33</f>
        <v>-133086.78220000002</v>
      </c>
      <c r="HL33" s="123">
        <f t="shared" si="300"/>
        <v>-3.6830579169256507E-2</v>
      </c>
      <c r="HM33" s="119">
        <f t="shared" si="230"/>
        <v>0.28761677454309753</v>
      </c>
      <c r="HN33" s="120">
        <v>-116742</v>
      </c>
      <c r="HO33" s="123">
        <f t="shared" si="355"/>
        <v>-6.3537694721683108E-2</v>
      </c>
      <c r="HP33" s="119">
        <f>(HN33/GS33)-1</f>
        <v>-0.12484632222855263</v>
      </c>
      <c r="HQ33" s="120">
        <f>HK33+HN33</f>
        <v>-249828.78220000002</v>
      </c>
      <c r="HR33" s="123">
        <f t="shared" si="403"/>
        <v>-4.5832978440801551E-2</v>
      </c>
      <c r="HS33" s="119">
        <f>(HQ33/GV33)-1</f>
        <v>5.5220722688010815E-2</v>
      </c>
      <c r="HT33" s="120">
        <v>-15948</v>
      </c>
      <c r="HU33" s="123">
        <f t="shared" si="404"/>
        <v>-1.4819522965242698E-2</v>
      </c>
      <c r="HV33" s="119">
        <f>HT33/GY33-1</f>
        <v>-0.45754700182778907</v>
      </c>
      <c r="HW33" s="120">
        <v>-70542</v>
      </c>
      <c r="HX33" s="123">
        <f t="shared" si="184"/>
        <v>-4.8161792818675379E-2</v>
      </c>
      <c r="HY33" s="119">
        <f>(HW33/HB33)-1</f>
        <v>8.8958810068648919E-3</v>
      </c>
      <c r="HZ33" s="120">
        <f>HT33+HW33</f>
        <v>-86490</v>
      </c>
      <c r="IA33" s="123">
        <f t="shared" si="425"/>
        <v>-3.4039977393267411E-2</v>
      </c>
      <c r="IB33" s="119">
        <f>(HZ33/HE33)-1</f>
        <v>-0.12917650357070554</v>
      </c>
      <c r="IC33" s="120">
        <v>-21752</v>
      </c>
      <c r="ID33" s="123">
        <f t="shared" si="187"/>
        <v>-1.7257766867816868E-2</v>
      </c>
      <c r="IE33" s="119">
        <f>(IC33/HH33)-1</f>
        <v>-0.35582077175941007</v>
      </c>
      <c r="IF33" s="120">
        <f>HZ33+IC33</f>
        <v>-108242</v>
      </c>
      <c r="IG33" s="123">
        <f t="shared" si="426"/>
        <v>-2.8475339979911894E-2</v>
      </c>
      <c r="IH33" s="119">
        <f>(IF33/HK33)-1</f>
        <v>-0.18668106471057211</v>
      </c>
      <c r="II33" s="120">
        <v>-139079</v>
      </c>
      <c r="IJ33" s="123">
        <f t="shared" si="22"/>
        <v>-7.241796944968612E-2</v>
      </c>
      <c r="IK33" s="119">
        <f>(II33/HN33)-1</f>
        <v>0.19133645132000487</v>
      </c>
      <c r="IL33" s="120">
        <v>-247322</v>
      </c>
      <c r="IM33" s="123">
        <f>(IL33/IL$8)</f>
        <v>-4.3224834609369114E-2</v>
      </c>
      <c r="IN33" s="119">
        <f>(IL33/HQ33)-1</f>
        <v>-1.0034000798167519E-2</v>
      </c>
      <c r="IO33" s="120">
        <v>-12126</v>
      </c>
      <c r="IP33" s="123">
        <f t="shared" si="405"/>
        <v>-9.8211364203310315E-3</v>
      </c>
      <c r="IQ33" s="119">
        <f>IO33/HT33-1</f>
        <v>-0.23965387509405567</v>
      </c>
      <c r="IR33" s="120">
        <v>-78682</v>
      </c>
      <c r="IS33" s="123">
        <f t="shared" si="190"/>
        <v>-4.8257665340248369E-2</v>
      </c>
      <c r="IT33" s="119">
        <f>(IR33/HW33)-1</f>
        <v>0.11539224858949271</v>
      </c>
      <c r="IU33" s="120">
        <f>IO33+IR33</f>
        <v>-90808</v>
      </c>
      <c r="IV33" s="123">
        <f t="shared" si="427"/>
        <v>-3.1694088246996655E-2</v>
      </c>
      <c r="IW33" s="119">
        <f>(IU33/HZ33)-1</f>
        <v>4.992484680309861E-2</v>
      </c>
      <c r="IX33" s="120">
        <v>-44304</v>
      </c>
      <c r="IY33" s="123">
        <f t="shared" si="193"/>
        <v>-2.9290390313755719E-2</v>
      </c>
      <c r="IZ33" s="119">
        <f>(IX33/IC33)-1</f>
        <v>1.0367782272894446</v>
      </c>
      <c r="JA33" s="120">
        <f t="shared" si="406"/>
        <v>-135112</v>
      </c>
      <c r="JB33" s="123">
        <f>(JA33/JA$8)</f>
        <v>-3.0863568644668295E-2</v>
      </c>
      <c r="JC33" s="119">
        <f>(JA33/IF33)-1</f>
        <v>0.24824005469226362</v>
      </c>
      <c r="JD33" s="120">
        <v>-136346</v>
      </c>
      <c r="JE33" s="123">
        <f t="shared" si="195"/>
        <v>-6.1352034215955593E-2</v>
      </c>
      <c r="JF33" s="119">
        <f>(JD33/II33)-1</f>
        <v>-1.96507021189396E-2</v>
      </c>
      <c r="JG33" s="120">
        <f t="shared" si="407"/>
        <v>-271458</v>
      </c>
      <c r="JH33" s="123">
        <f>(JG33/JG$8)</f>
        <v>-4.1129545082304396E-2</v>
      </c>
      <c r="JI33" s="119">
        <f>(JG33/IL33)-1</f>
        <v>9.758937741082474E-2</v>
      </c>
      <c r="JJ33" s="120">
        <v>-44732</v>
      </c>
      <c r="JK33" s="123">
        <f t="shared" si="197"/>
        <v>-3.1978404639914096E-2</v>
      </c>
      <c r="JL33" s="119">
        <f>(JJ33/IO33)-1</f>
        <v>2.6889328715157514</v>
      </c>
      <c r="JM33" s="120">
        <v>-63946.505109999998</v>
      </c>
      <c r="JN33" s="123">
        <f t="shared" si="198"/>
        <v>-3.5924377221520296E-2</v>
      </c>
      <c r="JO33" s="119">
        <f>(JM33/IR33)-1</f>
        <v>-0.18727910945324222</v>
      </c>
      <c r="JP33" s="120">
        <f t="shared" si="36"/>
        <v>-108678.50511</v>
      </c>
      <c r="JQ33" s="123">
        <f t="shared" si="199"/>
        <v>-3.4187994120515278E-2</v>
      </c>
      <c r="JR33" s="119">
        <f>(JP33/IU33)-1</f>
        <v>0.19679439157342959</v>
      </c>
      <c r="JS33" s="120">
        <v>-46815.47496</v>
      </c>
      <c r="JT33" s="119">
        <f t="shared" si="37"/>
        <v>-2.7354099777909049E-2</v>
      </c>
      <c r="JU33" s="119">
        <f t="shared" si="38"/>
        <v>5.6687318526543962E-2</v>
      </c>
      <c r="JV33" s="120">
        <f t="shared" si="39"/>
        <v>-155493.98006999999</v>
      </c>
      <c r="JW33" s="119">
        <f t="shared" si="40"/>
        <v>-3.179633771144616E-2</v>
      </c>
      <c r="JX33" s="119">
        <f t="shared" si="41"/>
        <v>0.15085247846231264</v>
      </c>
      <c r="JY33" s="120">
        <v>-194563</v>
      </c>
      <c r="JZ33" s="119">
        <f t="shared" si="42"/>
        <v>-7.4972583177207078E-2</v>
      </c>
      <c r="KA33" s="119">
        <f t="shared" si="428"/>
        <v>0.42697988939902887</v>
      </c>
      <c r="KB33" s="120">
        <f t="shared" si="44"/>
        <v>-350056.98006999999</v>
      </c>
      <c r="KC33" s="119">
        <f t="shared" si="45"/>
        <v>-4.6765094293142427E-2</v>
      </c>
      <c r="KD33" s="119">
        <f t="shared" si="429"/>
        <v>0.28954379708831568</v>
      </c>
      <c r="KE33" s="120">
        <v>-46776</v>
      </c>
      <c r="KF33" s="119">
        <f t="shared" si="47"/>
        <v>-2.8343302004378498E-2</v>
      </c>
      <c r="KG33" s="119">
        <f t="shared" si="48"/>
        <v>4.5694357506930183E-2</v>
      </c>
      <c r="KH33" s="120">
        <v>-89547</v>
      </c>
      <c r="KI33" s="123">
        <f t="shared" si="200"/>
        <v>-4.4343940250790595E-2</v>
      </c>
      <c r="KJ33" s="119">
        <f>(KH33/JM33)-1</f>
        <v>0.40034236188455252</v>
      </c>
      <c r="KK33" s="120">
        <f t="shared" si="360"/>
        <v>-136323</v>
      </c>
      <c r="KL33" s="123">
        <f t="shared" si="201"/>
        <v>-3.714815689845876E-2</v>
      </c>
      <c r="KM33" s="119">
        <f>(KK33/JP33)-1</f>
        <v>0.2543694805336103</v>
      </c>
      <c r="KN33" s="120">
        <v>-62674</v>
      </c>
      <c r="KO33" s="119">
        <f t="shared" si="50"/>
        <v>-3.2441234748364842E-2</v>
      </c>
      <c r="KP33" s="119">
        <f t="shared" si="430"/>
        <v>0.33874536258683308</v>
      </c>
      <c r="KQ33" s="120">
        <f t="shared" si="423"/>
        <v>-198997</v>
      </c>
      <c r="KR33" s="119">
        <f t="shared" si="53"/>
        <v>-3.552480659664544E-2</v>
      </c>
      <c r="KS33" s="119">
        <f t="shared" si="431"/>
        <v>0.27977301700307566</v>
      </c>
      <c r="KT33" s="120">
        <v>-206784</v>
      </c>
      <c r="KU33" s="119">
        <f t="shared" si="55"/>
        <v>-7.1973486090430472E-2</v>
      </c>
      <c r="KV33" s="119">
        <f t="shared" si="432"/>
        <v>6.2812559428051529E-2</v>
      </c>
      <c r="KW33" s="120">
        <f t="shared" si="424"/>
        <v>-405781</v>
      </c>
      <c r="KX33" s="119">
        <f t="shared" si="58"/>
        <v>-4.7881498480239933E-2</v>
      </c>
      <c r="KY33" s="119">
        <f t="shared" si="433"/>
        <v>0.15918557007164091</v>
      </c>
      <c r="KZ33" s="120">
        <v>24569</v>
      </c>
      <c r="LA33" s="119">
        <f t="shared" si="60"/>
        <v>1.5849127198131831E-2</v>
      </c>
      <c r="LB33" s="119">
        <f t="shared" si="434"/>
        <v>-1.525247990422439</v>
      </c>
      <c r="LC33" s="120">
        <v>-95810</v>
      </c>
      <c r="LD33" s="123">
        <f t="shared" si="202"/>
        <v>-0.1775456048150976</v>
      </c>
      <c r="LE33" s="119">
        <f>(LC33/KH33)-1</f>
        <v>6.9940924877438748E-2</v>
      </c>
      <c r="LF33" s="120">
        <f t="shared" si="415"/>
        <v>-71241</v>
      </c>
      <c r="LG33" s="123">
        <f t="shared" si="416"/>
        <v>-3.4089604060835978E-2</v>
      </c>
      <c r="LH33" s="119">
        <f>(LF33/KK33)-1</f>
        <v>-0.47741026825994148</v>
      </c>
      <c r="LI33" s="120">
        <v>101126</v>
      </c>
      <c r="LJ33" s="123">
        <f t="shared" si="417"/>
        <v>6.1244055070351994E-2</v>
      </c>
      <c r="LK33" s="119">
        <f>(LI33/KN33)-1</f>
        <v>-2.6135239493250788</v>
      </c>
      <c r="LL33" s="120">
        <f t="shared" si="62"/>
        <v>29885</v>
      </c>
      <c r="LM33" s="123">
        <f t="shared" si="418"/>
        <v>7.9884779871120474E-3</v>
      </c>
      <c r="LN33" s="119">
        <f>(LL33/KQ33)-1</f>
        <v>-1.1501781433890963</v>
      </c>
      <c r="LO33" s="120">
        <v>-134377</v>
      </c>
      <c r="LP33" s="123">
        <f t="shared" si="419"/>
        <v>-4.602648757106384E-2</v>
      </c>
      <c r="LQ33" s="119">
        <f>(LO33/KT33)-1</f>
        <v>-0.35015765242958841</v>
      </c>
      <c r="LR33" s="120">
        <f t="shared" si="63"/>
        <v>-104492</v>
      </c>
      <c r="LS33" s="123">
        <f t="shared" si="420"/>
        <v>-1.568814445488232E-2</v>
      </c>
      <c r="LT33" s="119">
        <f>(LR33/KW33)-1</f>
        <v>-0.74249163957898467</v>
      </c>
    </row>
    <row r="34" spans="1:332" ht="16.5" customHeight="1">
      <c r="A34" s="114"/>
      <c r="B34" s="115" t="s">
        <v>146</v>
      </c>
      <c r="C34" s="116" t="s">
        <v>134</v>
      </c>
      <c r="D34" s="121">
        <v>0</v>
      </c>
      <c r="E34" s="118">
        <f t="shared" si="255"/>
        <v>0</v>
      </c>
      <c r="F34" s="121">
        <v>0</v>
      </c>
      <c r="G34" s="118">
        <f t="shared" si="256"/>
        <v>0</v>
      </c>
      <c r="H34" s="117">
        <f>D34+F34</f>
        <v>0</v>
      </c>
      <c r="I34" s="118">
        <f t="shared" si="257"/>
        <v>0</v>
      </c>
      <c r="J34" s="117">
        <f>F34+H34</f>
        <v>0</v>
      </c>
      <c r="K34" s="118">
        <f t="shared" si="258"/>
        <v>0</v>
      </c>
      <c r="L34" s="117">
        <f>H34+J34</f>
        <v>0</v>
      </c>
      <c r="M34" s="118">
        <f t="shared" si="259"/>
        <v>0</v>
      </c>
      <c r="N34" s="121">
        <v>-3078</v>
      </c>
      <c r="O34" s="118">
        <f t="shared" si="260"/>
        <v>-7.6214341072794846E-3</v>
      </c>
      <c r="P34" s="117">
        <f>L34+N34</f>
        <v>-3078</v>
      </c>
      <c r="Q34" s="118">
        <f>P34/$P$8</f>
        <v>-2.708472291395717E-3</v>
      </c>
      <c r="R34" s="121">
        <v>0</v>
      </c>
      <c r="S34" s="118">
        <f t="shared" si="262"/>
        <v>0</v>
      </c>
      <c r="T34" s="26">
        <v>0</v>
      </c>
      <c r="U34" s="121">
        <v>0</v>
      </c>
      <c r="V34" s="119">
        <f t="shared" si="263"/>
        <v>0</v>
      </c>
      <c r="W34" s="26">
        <v>0</v>
      </c>
      <c r="X34" s="117">
        <f>R34+U34</f>
        <v>0</v>
      </c>
      <c r="Y34" s="119">
        <f t="shared" si="264"/>
        <v>0</v>
      </c>
      <c r="Z34" s="26">
        <v>0</v>
      </c>
      <c r="AA34" s="121">
        <v>0</v>
      </c>
      <c r="AB34" s="119">
        <f t="shared" si="265"/>
        <v>0</v>
      </c>
      <c r="AC34" s="26">
        <v>0</v>
      </c>
      <c r="AD34" s="117">
        <f>X34+AA34</f>
        <v>0</v>
      </c>
      <c r="AE34" s="119">
        <f t="shared" si="266"/>
        <v>0</v>
      </c>
      <c r="AF34" s="26">
        <v>0</v>
      </c>
      <c r="AG34" s="121">
        <v>-4329</v>
      </c>
      <c r="AH34" s="119">
        <f t="shared" si="267"/>
        <v>-8.5404998037006859E-3</v>
      </c>
      <c r="AI34" s="26">
        <f>AG34/N34-1</f>
        <v>0.4064327485380117</v>
      </c>
      <c r="AJ34" s="117">
        <f>AD34+AG34</f>
        <v>-4329</v>
      </c>
      <c r="AK34" s="119">
        <f t="shared" si="268"/>
        <v>-3.0144035429164303E-3</v>
      </c>
      <c r="AL34" s="26">
        <f>AJ34/P34-1</f>
        <v>0.4064327485380117</v>
      </c>
      <c r="AM34" s="120">
        <v>0</v>
      </c>
      <c r="AN34" s="119">
        <f t="shared" si="269"/>
        <v>0</v>
      </c>
      <c r="AO34" s="119">
        <v>0</v>
      </c>
      <c r="AP34" s="120">
        <v>0</v>
      </c>
      <c r="AQ34" s="119">
        <f t="shared" si="270"/>
        <v>0</v>
      </c>
      <c r="AR34" s="119">
        <v>0</v>
      </c>
      <c r="AS34" s="120">
        <f>AM34+AP34</f>
        <v>0</v>
      </c>
      <c r="AT34" s="119">
        <f t="shared" si="271"/>
        <v>0</v>
      </c>
      <c r="AU34" s="119">
        <v>0</v>
      </c>
      <c r="AV34" s="120">
        <v>0</v>
      </c>
      <c r="AW34" s="119">
        <f t="shared" si="272"/>
        <v>0</v>
      </c>
      <c r="AX34" s="119">
        <v>0</v>
      </c>
      <c r="AY34" s="120">
        <f>AV34+AS34</f>
        <v>0</v>
      </c>
      <c r="AZ34" s="119">
        <f t="shared" si="273"/>
        <v>0</v>
      </c>
      <c r="BA34" s="119">
        <v>0</v>
      </c>
      <c r="BB34" s="120">
        <v>-5368</v>
      </c>
      <c r="BC34" s="119">
        <f t="shared" si="274"/>
        <v>-8.9210632152389308E-3</v>
      </c>
      <c r="BD34" s="119">
        <f t="shared" si="391"/>
        <v>0.24000924000923995</v>
      </c>
      <c r="BE34" s="120">
        <f>BB34+AY34</f>
        <v>-5368</v>
      </c>
      <c r="BF34" s="119">
        <f t="shared" si="275"/>
        <v>-3.0644026926554806E-3</v>
      </c>
      <c r="BG34" s="119">
        <f t="shared" si="392"/>
        <v>0.24000924000923995</v>
      </c>
      <c r="BH34" s="120">
        <v>0</v>
      </c>
      <c r="BI34" s="119">
        <f t="shared" si="276"/>
        <v>0</v>
      </c>
      <c r="BJ34" s="119">
        <v>0</v>
      </c>
      <c r="BK34" s="120">
        <v>0</v>
      </c>
      <c r="BL34" s="119">
        <f t="shared" si="277"/>
        <v>0</v>
      </c>
      <c r="BM34" s="119">
        <v>0</v>
      </c>
      <c r="BN34" s="120">
        <f>BK34+BH34</f>
        <v>0</v>
      </c>
      <c r="BO34" s="119">
        <f t="shared" si="278"/>
        <v>0</v>
      </c>
      <c r="BP34" s="119">
        <v>0</v>
      </c>
      <c r="BQ34" s="120">
        <v>0</v>
      </c>
      <c r="BR34" s="119">
        <f t="shared" si="279"/>
        <v>0</v>
      </c>
      <c r="BS34" s="119">
        <v>0</v>
      </c>
      <c r="BT34" s="120">
        <f>BN34+BQ34</f>
        <v>0</v>
      </c>
      <c r="BU34" s="119">
        <f t="shared" si="280"/>
        <v>0</v>
      </c>
      <c r="BV34" s="119">
        <v>0</v>
      </c>
      <c r="BW34" s="120">
        <v>-2701</v>
      </c>
      <c r="BX34" s="119">
        <f t="shared" si="281"/>
        <v>-4.4007573017378187E-3</v>
      </c>
      <c r="BY34" s="119">
        <f>(BW34/BB34)-1</f>
        <v>-0.49683308494783907</v>
      </c>
      <c r="BZ34" s="120">
        <f>BT34+BW34</f>
        <v>-2701</v>
      </c>
      <c r="CA34" s="119">
        <f t="shared" si="282"/>
        <v>-1.3805814900875169E-3</v>
      </c>
      <c r="CB34" s="119">
        <f>(BZ34/BE34)-1</f>
        <v>-0.49683308494783907</v>
      </c>
      <c r="CC34" s="120">
        <v>0</v>
      </c>
      <c r="CD34" s="119">
        <f t="shared" si="283"/>
        <v>0</v>
      </c>
      <c r="CE34" s="119">
        <v>0</v>
      </c>
      <c r="CF34" s="120">
        <v>0</v>
      </c>
      <c r="CG34" s="119">
        <f t="shared" si="284"/>
        <v>0</v>
      </c>
      <c r="CH34" s="119">
        <v>0</v>
      </c>
      <c r="CI34" s="120">
        <f>CF34+CC34</f>
        <v>0</v>
      </c>
      <c r="CJ34" s="119">
        <f t="shared" si="285"/>
        <v>0</v>
      </c>
      <c r="CK34" s="119">
        <v>0</v>
      </c>
      <c r="CL34" s="120">
        <v>0</v>
      </c>
      <c r="CM34" s="119">
        <f t="shared" si="286"/>
        <v>0</v>
      </c>
      <c r="CN34" s="119">
        <v>0</v>
      </c>
      <c r="CO34" s="121">
        <f>CI34+CL34</f>
        <v>0</v>
      </c>
      <c r="CP34" s="119">
        <f t="shared" si="287"/>
        <v>0</v>
      </c>
      <c r="CQ34" s="119">
        <v>0</v>
      </c>
      <c r="CR34" s="120">
        <v>-6007</v>
      </c>
      <c r="CS34" s="119">
        <f t="shared" si="288"/>
        <v>-8.4384807082311351E-3</v>
      </c>
      <c r="CT34" s="119">
        <f>(CR34/BW34)-1</f>
        <v>1.2239911144020734</v>
      </c>
      <c r="CU34" s="122">
        <f>CO34+CR34</f>
        <v>-6007</v>
      </c>
      <c r="CV34" s="119">
        <f t="shared" si="289"/>
        <v>-2.8388898130784586E-3</v>
      </c>
      <c r="CW34" s="119">
        <f>(CU34/BZ34)-1</f>
        <v>1.2239911144020734</v>
      </c>
      <c r="CX34" s="120">
        <v>0</v>
      </c>
      <c r="CY34" s="119">
        <f t="shared" si="290"/>
        <v>0</v>
      </c>
      <c r="CZ34" s="119">
        <v>0</v>
      </c>
      <c r="DA34" s="120">
        <v>0</v>
      </c>
      <c r="DB34" s="119">
        <f t="shared" si="291"/>
        <v>0</v>
      </c>
      <c r="DC34" s="119">
        <v>0</v>
      </c>
      <c r="DD34" s="120">
        <v>0</v>
      </c>
      <c r="DE34" s="119">
        <f t="shared" si="292"/>
        <v>0</v>
      </c>
      <c r="DF34" s="119">
        <v>0</v>
      </c>
      <c r="DG34" s="120">
        <v>0</v>
      </c>
      <c r="DH34" s="119">
        <f t="shared" si="293"/>
        <v>0</v>
      </c>
      <c r="DI34" s="119">
        <v>0</v>
      </c>
      <c r="DJ34" s="120">
        <v>0</v>
      </c>
      <c r="DK34" s="119">
        <f t="shared" si="294"/>
        <v>0</v>
      </c>
      <c r="DL34" s="119">
        <v>0</v>
      </c>
      <c r="DM34" s="120">
        <v>-7054</v>
      </c>
      <c r="DN34" s="119">
        <f t="shared" si="393"/>
        <v>-8.5637039294216774E-3</v>
      </c>
      <c r="DO34" s="119">
        <v>0</v>
      </c>
      <c r="DP34" s="120">
        <v>-7054</v>
      </c>
      <c r="DQ34" s="119">
        <f t="shared" si="296"/>
        <v>-2.8643556641272951E-3</v>
      </c>
      <c r="DR34" s="119">
        <v>0</v>
      </c>
      <c r="DS34" s="120">
        <v>0</v>
      </c>
      <c r="DT34" s="119" t="s">
        <v>112</v>
      </c>
      <c r="DU34" s="119" t="s">
        <v>112</v>
      </c>
      <c r="DV34" s="120">
        <v>0</v>
      </c>
      <c r="DW34" s="119">
        <f t="shared" si="298"/>
        <v>0</v>
      </c>
      <c r="DX34" s="119">
        <v>0</v>
      </c>
      <c r="DY34" s="120">
        <f>(DS34+DV34)</f>
        <v>0</v>
      </c>
      <c r="DZ34" s="119">
        <f t="shared" si="299"/>
        <v>0</v>
      </c>
      <c r="EA34" s="119">
        <v>0</v>
      </c>
      <c r="EB34" s="120">
        <v>0</v>
      </c>
      <c r="EC34" s="119">
        <f t="shared" si="394"/>
        <v>0</v>
      </c>
      <c r="ED34" s="119">
        <v>0</v>
      </c>
      <c r="EE34" s="120">
        <f>(DY34+EB34)</f>
        <v>0</v>
      </c>
      <c r="EF34" s="119">
        <f t="shared" si="395"/>
        <v>0</v>
      </c>
      <c r="EG34" s="119">
        <v>0</v>
      </c>
      <c r="EH34" s="120">
        <v>-3622</v>
      </c>
      <c r="EI34" s="119">
        <f t="shared" si="250"/>
        <v>-3.7256475138348864E-3</v>
      </c>
      <c r="EJ34" s="119">
        <f t="shared" si="214"/>
        <v>-0.48653246385029769</v>
      </c>
      <c r="EK34" s="120">
        <v>-3622</v>
      </c>
      <c r="EL34" s="119">
        <f t="shared" si="215"/>
        <v>-1.2504242017498345E-3</v>
      </c>
      <c r="EM34" s="119">
        <f t="shared" si="232"/>
        <v>-0.48653246385029769</v>
      </c>
      <c r="EN34" s="120">
        <v>0</v>
      </c>
      <c r="EO34" s="119">
        <f t="shared" si="216"/>
        <v>0</v>
      </c>
      <c r="EP34" s="119">
        <v>0</v>
      </c>
      <c r="EQ34" s="93">
        <v>0</v>
      </c>
      <c r="ER34" s="119">
        <f t="shared" si="233"/>
        <v>0</v>
      </c>
      <c r="ES34" s="119">
        <v>0</v>
      </c>
      <c r="ET34" s="120">
        <f>(EN34+EQ34)</f>
        <v>0</v>
      </c>
      <c r="EU34" s="119">
        <f t="shared" si="234"/>
        <v>0</v>
      </c>
      <c r="EV34" s="119">
        <v>0</v>
      </c>
      <c r="EW34" s="93">
        <v>0</v>
      </c>
      <c r="EX34" s="119">
        <f t="shared" si="235"/>
        <v>0</v>
      </c>
      <c r="EY34" s="119">
        <v>0</v>
      </c>
      <c r="EZ34" s="120">
        <f>(ET34+EW34)</f>
        <v>0</v>
      </c>
      <c r="FA34" s="119">
        <f t="shared" si="236"/>
        <v>0</v>
      </c>
      <c r="FB34" s="119">
        <v>0</v>
      </c>
      <c r="FC34" s="93">
        <v>-5837</v>
      </c>
      <c r="FD34" s="119">
        <f t="shared" si="219"/>
        <v>-4.9285166659348897E-3</v>
      </c>
      <c r="FE34" s="119">
        <v>0</v>
      </c>
      <c r="FF34" s="120">
        <v>-5837</v>
      </c>
      <c r="FG34" s="119">
        <f t="shared" si="220"/>
        <v>-1.6860391223468786E-3</v>
      </c>
      <c r="FH34" s="119">
        <v>0</v>
      </c>
      <c r="FI34" s="120">
        <v>0</v>
      </c>
      <c r="FJ34" s="119">
        <f t="shared" si="251"/>
        <v>0</v>
      </c>
      <c r="FK34" s="119">
        <v>0</v>
      </c>
      <c r="FL34" s="120">
        <v>17</v>
      </c>
      <c r="FM34" s="119">
        <f t="shared" si="222"/>
        <v>1.7947578291031594E-5</v>
      </c>
      <c r="FN34" s="119">
        <v>0</v>
      </c>
      <c r="FO34" s="120">
        <f t="shared" si="237"/>
        <v>17</v>
      </c>
      <c r="FP34" s="119">
        <f t="shared" si="252"/>
        <v>1.0155717011542868E-5</v>
      </c>
      <c r="FQ34" s="119">
        <v>0</v>
      </c>
      <c r="FR34" s="120">
        <v>0</v>
      </c>
      <c r="FS34" s="123">
        <f t="shared" si="421"/>
        <v>0</v>
      </c>
      <c r="FT34" s="119">
        <v>0</v>
      </c>
      <c r="FU34" s="120">
        <v>17</v>
      </c>
      <c r="FV34" s="123">
        <f t="shared" si="390"/>
        <v>6.5869720541898568E-6</v>
      </c>
      <c r="FW34" s="119">
        <v>0</v>
      </c>
      <c r="FX34" s="120">
        <v>-5616</v>
      </c>
      <c r="FY34" s="123">
        <f t="shared" si="253"/>
        <v>-4.2131986550173525E-3</v>
      </c>
      <c r="FZ34" s="119">
        <f>(FX34/FC34)-1</f>
        <v>-3.786191536748329E-2</v>
      </c>
      <c r="GA34" s="120">
        <v>-5599</v>
      </c>
      <c r="GB34" s="123">
        <f t="shared" si="396"/>
        <v>-1.4305756872652702E-3</v>
      </c>
      <c r="GC34" s="119">
        <f>(GA34/FF34)-1</f>
        <v>-4.0774370395751269E-2</v>
      </c>
      <c r="GD34" s="120">
        <v>0</v>
      </c>
      <c r="GE34" s="119">
        <f t="shared" si="397"/>
        <v>0</v>
      </c>
      <c r="GF34" s="119">
        <v>0</v>
      </c>
      <c r="GG34" s="120">
        <v>0</v>
      </c>
      <c r="GH34" s="119">
        <f t="shared" si="225"/>
        <v>0</v>
      </c>
      <c r="GI34" s="119">
        <f t="shared" si="165"/>
        <v>-1</v>
      </c>
      <c r="GJ34" s="120">
        <f t="shared" si="398"/>
        <v>0</v>
      </c>
      <c r="GK34" s="123">
        <f t="shared" si="167"/>
        <v>0</v>
      </c>
      <c r="GL34" s="119">
        <v>0</v>
      </c>
      <c r="GM34" s="120">
        <v>0</v>
      </c>
      <c r="GN34" s="123">
        <f t="shared" si="168"/>
        <v>0</v>
      </c>
      <c r="GO34" s="119" t="s">
        <v>354</v>
      </c>
      <c r="GP34" s="120">
        <f t="shared" si="399"/>
        <v>0</v>
      </c>
      <c r="GQ34" s="123">
        <f t="shared" si="171"/>
        <v>0</v>
      </c>
      <c r="GR34" s="119">
        <v>0</v>
      </c>
      <c r="GS34" s="120">
        <v>-11657.135</v>
      </c>
      <c r="GT34" s="123">
        <f t="shared" si="344"/>
        <v>-6.981127160204742E-3</v>
      </c>
      <c r="GU34" s="119" t="s">
        <v>354</v>
      </c>
      <c r="GV34" s="120">
        <f t="shared" si="400"/>
        <v>-11657.135</v>
      </c>
      <c r="GW34" s="123">
        <f t="shared" si="401"/>
        <v>-2.5109001139875572E-3</v>
      </c>
      <c r="GX34" s="119">
        <v>0</v>
      </c>
      <c r="GY34" s="120">
        <v>0</v>
      </c>
      <c r="GZ34" s="123">
        <f t="shared" si="352"/>
        <v>0</v>
      </c>
      <c r="HA34" s="119" t="s">
        <v>112</v>
      </c>
      <c r="HB34" s="120">
        <v>0</v>
      </c>
      <c r="HC34" s="123">
        <f t="shared" si="371"/>
        <v>0</v>
      </c>
      <c r="HD34" s="119" t="s">
        <v>112</v>
      </c>
      <c r="HE34" s="120">
        <f>GY34+HB34</f>
        <v>0</v>
      </c>
      <c r="HF34" s="123">
        <f t="shared" si="240"/>
        <v>0</v>
      </c>
      <c r="HG34" s="119" t="s">
        <v>112</v>
      </c>
      <c r="HH34" s="120">
        <v>0</v>
      </c>
      <c r="HI34" s="123">
        <f t="shared" si="402"/>
        <v>0</v>
      </c>
      <c r="HJ34" s="119" t="s">
        <v>112</v>
      </c>
      <c r="HK34" s="120">
        <f>HE34+HH34</f>
        <v>0</v>
      </c>
      <c r="HL34" s="123">
        <f t="shared" si="300"/>
        <v>0</v>
      </c>
      <c r="HM34" s="119" t="s">
        <v>112</v>
      </c>
      <c r="HN34" s="120">
        <v>-9943.6965899999996</v>
      </c>
      <c r="HO34" s="123">
        <f t="shared" si="355"/>
        <v>-5.4119302251157365E-3</v>
      </c>
      <c r="HP34" s="119" t="s">
        <v>112</v>
      </c>
      <c r="HQ34" s="120">
        <f>HK34+HN34</f>
        <v>-9943.6965899999996</v>
      </c>
      <c r="HR34" s="123">
        <f t="shared" si="403"/>
        <v>-1.8242462994775862E-3</v>
      </c>
      <c r="HS34" s="119" t="s">
        <v>112</v>
      </c>
      <c r="HT34" s="120">
        <v>0</v>
      </c>
      <c r="HU34" s="123">
        <f t="shared" si="404"/>
        <v>0</v>
      </c>
      <c r="HV34" s="119" t="s">
        <v>112</v>
      </c>
      <c r="HW34" s="120">
        <v>0</v>
      </c>
      <c r="HX34" s="123">
        <f t="shared" si="184"/>
        <v>0</v>
      </c>
      <c r="HY34" s="119" t="s">
        <v>112</v>
      </c>
      <c r="HZ34" s="120">
        <f>HT34+HW34</f>
        <v>0</v>
      </c>
      <c r="IA34" s="123">
        <f t="shared" si="425"/>
        <v>0</v>
      </c>
      <c r="IB34" s="119" t="s">
        <v>112</v>
      </c>
      <c r="IC34" s="120">
        <v>0</v>
      </c>
      <c r="ID34" s="123">
        <f t="shared" si="187"/>
        <v>0</v>
      </c>
      <c r="IE34" s="119" t="s">
        <v>112</v>
      </c>
      <c r="IF34" s="120">
        <f>HZ34+IC34</f>
        <v>0</v>
      </c>
      <c r="IG34" s="123">
        <f t="shared" si="426"/>
        <v>0</v>
      </c>
      <c r="IH34" s="119" t="s">
        <v>112</v>
      </c>
      <c r="II34" s="120">
        <v>-6734</v>
      </c>
      <c r="IJ34" s="123">
        <f t="shared" si="22"/>
        <v>-3.5063712442150604E-3</v>
      </c>
      <c r="IK34" s="119" t="s">
        <v>112</v>
      </c>
      <c r="IL34" s="120">
        <v>-6734</v>
      </c>
      <c r="IM34" s="123">
        <f>(IL34/IL$8)</f>
        <v>-1.1769112180052385E-3</v>
      </c>
      <c r="IN34" s="119" t="s">
        <v>112</v>
      </c>
      <c r="IO34" s="120">
        <v>0</v>
      </c>
      <c r="IP34" s="123">
        <f t="shared" si="405"/>
        <v>0</v>
      </c>
      <c r="IQ34" s="119" t="s">
        <v>112</v>
      </c>
      <c r="IR34" s="120">
        <v>0</v>
      </c>
      <c r="IS34" s="123">
        <f t="shared" si="190"/>
        <v>0</v>
      </c>
      <c r="IT34" s="119" t="s">
        <v>112</v>
      </c>
      <c r="IU34" s="120">
        <f>IO34+IR34</f>
        <v>0</v>
      </c>
      <c r="IV34" s="123">
        <f t="shared" si="427"/>
        <v>0</v>
      </c>
      <c r="IW34" s="119" t="s">
        <v>112</v>
      </c>
      <c r="IX34" s="120">
        <v>0</v>
      </c>
      <c r="IY34" s="123">
        <f t="shared" si="193"/>
        <v>0</v>
      </c>
      <c r="IZ34" s="119" t="s">
        <v>112</v>
      </c>
      <c r="JA34" s="120">
        <f t="shared" si="406"/>
        <v>0</v>
      </c>
      <c r="JB34" s="123">
        <f>(JA34/JA$8)</f>
        <v>0</v>
      </c>
      <c r="JC34" s="119" t="s">
        <v>112</v>
      </c>
      <c r="JD34" s="120">
        <v>-10551</v>
      </c>
      <c r="JE34" s="123">
        <f t="shared" si="195"/>
        <v>-4.7476663269369656E-3</v>
      </c>
      <c r="JF34" s="119" t="s">
        <v>112</v>
      </c>
      <c r="JG34" s="120">
        <f t="shared" si="407"/>
        <v>-10551</v>
      </c>
      <c r="JH34" s="123">
        <f>(JG34/JG$8)</f>
        <v>-1.5986186819448814E-3</v>
      </c>
      <c r="JI34" s="119" t="s">
        <v>112</v>
      </c>
      <c r="JJ34" s="120">
        <v>0</v>
      </c>
      <c r="JK34" s="123">
        <f t="shared" si="197"/>
        <v>0</v>
      </c>
      <c r="JL34" s="119" t="s">
        <v>112</v>
      </c>
      <c r="JM34" s="120">
        <v>0</v>
      </c>
      <c r="JN34" s="123">
        <f t="shared" si="198"/>
        <v>0</v>
      </c>
      <c r="JO34" s="119" t="s">
        <v>112</v>
      </c>
      <c r="JP34" s="120">
        <f t="shared" si="36"/>
        <v>0</v>
      </c>
      <c r="JQ34" s="123">
        <f t="shared" si="199"/>
        <v>0</v>
      </c>
      <c r="JR34" s="119" t="s">
        <v>112</v>
      </c>
      <c r="JS34" s="120">
        <v>0</v>
      </c>
      <c r="JT34" s="119">
        <f t="shared" si="37"/>
        <v>0</v>
      </c>
      <c r="JU34" s="119" t="s">
        <v>112</v>
      </c>
      <c r="JV34" s="120">
        <f t="shared" si="39"/>
        <v>0</v>
      </c>
      <c r="JW34" s="119">
        <f t="shared" si="40"/>
        <v>0</v>
      </c>
      <c r="JX34" s="119" t="s">
        <v>112</v>
      </c>
      <c r="JY34" s="120">
        <v>-8294.7492000000002</v>
      </c>
      <c r="JZ34" s="119">
        <f t="shared" si="42"/>
        <v>-3.196284876009683E-3</v>
      </c>
      <c r="KA34" s="119" t="s">
        <v>112</v>
      </c>
      <c r="KB34" s="120">
        <f t="shared" si="44"/>
        <v>-8294.7492000000002</v>
      </c>
      <c r="KC34" s="119">
        <f t="shared" si="45"/>
        <v>-1.1081188222511645E-3</v>
      </c>
      <c r="KD34" s="119" t="s">
        <v>112</v>
      </c>
      <c r="KE34" s="120">
        <v>0</v>
      </c>
      <c r="KF34" s="119">
        <f t="shared" si="47"/>
        <v>0</v>
      </c>
      <c r="KG34" s="119" t="s">
        <v>112</v>
      </c>
      <c r="KH34" s="120">
        <v>0</v>
      </c>
      <c r="KI34" s="123">
        <f t="shared" si="200"/>
        <v>0</v>
      </c>
      <c r="KJ34" s="119" t="s">
        <v>112</v>
      </c>
      <c r="KK34" s="120">
        <f t="shared" si="360"/>
        <v>0</v>
      </c>
      <c r="KL34" s="123">
        <f t="shared" si="201"/>
        <v>0</v>
      </c>
      <c r="KM34" s="119" t="s">
        <v>112</v>
      </c>
      <c r="KN34" s="120">
        <v>0</v>
      </c>
      <c r="KO34" s="119">
        <f t="shared" si="50"/>
        <v>0</v>
      </c>
      <c r="KP34" s="119" t="s">
        <v>112</v>
      </c>
      <c r="KQ34" s="120">
        <f t="shared" si="423"/>
        <v>0</v>
      </c>
      <c r="KR34" s="119">
        <f t="shared" si="53"/>
        <v>0</v>
      </c>
      <c r="KS34" s="119" t="s">
        <v>112</v>
      </c>
      <c r="KT34" s="120">
        <v>-5855</v>
      </c>
      <c r="KU34" s="119">
        <f t="shared" si="55"/>
        <v>-2.037898295126656E-3</v>
      </c>
      <c r="KV34" s="119" t="s">
        <v>112</v>
      </c>
      <c r="KW34" s="120">
        <f t="shared" si="424"/>
        <v>-5855</v>
      </c>
      <c r="KX34" s="119">
        <f t="shared" si="58"/>
        <v>-6.9088048381221593E-4</v>
      </c>
      <c r="KY34" s="119" t="s">
        <v>112</v>
      </c>
      <c r="KZ34" s="120">
        <v>0</v>
      </c>
      <c r="LA34" s="119">
        <f t="shared" si="60"/>
        <v>0</v>
      </c>
      <c r="LB34" s="119" t="s">
        <v>112</v>
      </c>
      <c r="LC34" s="120">
        <v>517</v>
      </c>
      <c r="LD34" s="123">
        <f t="shared" si="202"/>
        <v>9.5805320623531414E-4</v>
      </c>
      <c r="LE34" s="119" t="s">
        <v>112</v>
      </c>
      <c r="LF34" s="120">
        <f t="shared" si="415"/>
        <v>517</v>
      </c>
      <c r="LG34" s="123">
        <f t="shared" si="416"/>
        <v>2.473902008597886E-4</v>
      </c>
      <c r="LH34" s="119" t="s">
        <v>112</v>
      </c>
      <c r="LI34" s="120">
        <v>0</v>
      </c>
      <c r="LJ34" s="123">
        <f t="shared" si="417"/>
        <v>0</v>
      </c>
      <c r="LK34" s="119" t="s">
        <v>112</v>
      </c>
      <c r="LL34" s="120">
        <f t="shared" si="62"/>
        <v>517</v>
      </c>
      <c r="LM34" s="123">
        <f t="shared" si="418"/>
        <v>1.38197862450625E-4</v>
      </c>
      <c r="LN34" s="119" t="s">
        <v>112</v>
      </c>
      <c r="LO34" s="120">
        <v>-1880</v>
      </c>
      <c r="LP34" s="123">
        <f t="shared" si="419"/>
        <v>-6.4393308850175265E-4</v>
      </c>
      <c r="LQ34" s="119" t="s">
        <v>112</v>
      </c>
      <c r="LR34" s="120">
        <f t="shared" si="63"/>
        <v>-1363</v>
      </c>
      <c r="LS34" s="123">
        <f t="shared" si="420"/>
        <v>-2.0463710994147498E-4</v>
      </c>
      <c r="LT34" s="119" t="s">
        <v>112</v>
      </c>
    </row>
    <row r="35" spans="1:332" ht="16.5" customHeight="1">
      <c r="A35" s="135"/>
      <c r="B35" s="124" t="s">
        <v>135</v>
      </c>
      <c r="C35" s="124" t="s">
        <v>136</v>
      </c>
      <c r="D35" s="50">
        <f>D32+D33+D34</f>
        <v>2505</v>
      </c>
      <c r="E35" s="125">
        <f t="shared" si="255"/>
        <v>1.2650748439488517E-2</v>
      </c>
      <c r="F35" s="50">
        <f>F32+F33+F34</f>
        <v>32701</v>
      </c>
      <c r="G35" s="125">
        <f t="shared" si="256"/>
        <v>0.11714574347657873</v>
      </c>
      <c r="H35" s="50">
        <f>H32+H33+H34</f>
        <v>35206</v>
      </c>
      <c r="I35" s="125">
        <f t="shared" si="257"/>
        <v>7.378237907620086E-2</v>
      </c>
      <c r="J35" s="50">
        <f>J32+J33+J34</f>
        <v>-627</v>
      </c>
      <c r="K35" s="125">
        <f t="shared" si="258"/>
        <v>-2.4548476389220594E-3</v>
      </c>
      <c r="L35" s="50">
        <f>L32+L33+L34</f>
        <v>34579</v>
      </c>
      <c r="M35" s="125">
        <f t="shared" si="259"/>
        <v>4.7202121836322115E-2</v>
      </c>
      <c r="N35" s="50">
        <f>N32+N33+N34</f>
        <v>45712</v>
      </c>
      <c r="O35" s="125">
        <f t="shared" si="260"/>
        <v>0.11318745806106556</v>
      </c>
      <c r="P35" s="50">
        <f>P32+P33+P34</f>
        <v>80291</v>
      </c>
      <c r="Q35" s="125">
        <f>P35/$P$8</f>
        <v>7.0651705246411137E-2</v>
      </c>
      <c r="R35" s="50">
        <f>R32+R33+R34</f>
        <v>13469</v>
      </c>
      <c r="S35" s="125">
        <f t="shared" si="262"/>
        <v>5.3662423554254067E-2</v>
      </c>
      <c r="T35" s="49">
        <f>R35/D35-1</f>
        <v>4.3768463073852297</v>
      </c>
      <c r="U35" s="50">
        <f>U32+U33+U34</f>
        <v>22873</v>
      </c>
      <c r="V35" s="126">
        <f t="shared" si="263"/>
        <v>6.3943037496959815E-2</v>
      </c>
      <c r="W35" s="49">
        <f>U35/F35-1</f>
        <v>-0.300541267851136</v>
      </c>
      <c r="X35" s="50">
        <f>X32+X33+X34</f>
        <v>36342</v>
      </c>
      <c r="Y35" s="126">
        <f t="shared" si="264"/>
        <v>5.9703895489433285E-2</v>
      </c>
      <c r="Z35" s="49">
        <f>X35/H35-1</f>
        <v>3.2267227177185775E-2</v>
      </c>
      <c r="AA35" s="50">
        <f>AA32+AA33+AA34</f>
        <v>22396</v>
      </c>
      <c r="AB35" s="126">
        <f t="shared" si="265"/>
        <v>6.9873300823965825E-2</v>
      </c>
      <c r="AC35" s="49">
        <f>AA35/J35-1</f>
        <v>-36.719298245614034</v>
      </c>
      <c r="AD35" s="50">
        <f>AD32+AD33+AD34</f>
        <v>58738</v>
      </c>
      <c r="AE35" s="126">
        <f t="shared" si="266"/>
        <v>6.3211680246053975E-2</v>
      </c>
      <c r="AF35" s="49">
        <f>AD35/L35-1</f>
        <v>0.69866103704560567</v>
      </c>
      <c r="AG35" s="50">
        <f>AG32+AG33+AG34</f>
        <v>40085</v>
      </c>
      <c r="AH35" s="126">
        <f t="shared" si="267"/>
        <v>7.9081989981829984E-2</v>
      </c>
      <c r="AI35" s="49">
        <f>AG35/N35-1</f>
        <v>-0.12309677983899192</v>
      </c>
      <c r="AJ35" s="50">
        <f>AJ32+AJ33+AJ34</f>
        <v>98822</v>
      </c>
      <c r="AK35" s="126">
        <f t="shared" si="268"/>
        <v>6.881251719059539E-2</v>
      </c>
      <c r="AL35" s="49">
        <f>AJ35/P35-1</f>
        <v>0.23079797237548427</v>
      </c>
      <c r="AM35" s="50">
        <f>AM32+AM33+AM34</f>
        <v>16777</v>
      </c>
      <c r="AN35" s="126">
        <f t="shared" si="269"/>
        <v>5.4068251620242806E-2</v>
      </c>
      <c r="AO35" s="126">
        <f>AM35/R35-1</f>
        <v>0.24560100972603749</v>
      </c>
      <c r="AP35" s="50">
        <f>AP32+AP33+AP34</f>
        <v>40446</v>
      </c>
      <c r="AQ35" s="126">
        <f t="shared" si="270"/>
        <v>9.1021818140900851E-2</v>
      </c>
      <c r="AR35" s="126">
        <f>AP35/U35-1</f>
        <v>0.76828575175971681</v>
      </c>
      <c r="AS35" s="50">
        <f>AS32+AS33+AS34</f>
        <v>57220</v>
      </c>
      <c r="AT35" s="126">
        <f t="shared" si="271"/>
        <v>7.5823430261525909E-2</v>
      </c>
      <c r="AU35" s="126">
        <f>AS35/X35-1</f>
        <v>0.57448681965769643</v>
      </c>
      <c r="AV35" s="50">
        <f>AV32+AV33+AV34</f>
        <v>35831</v>
      </c>
      <c r="AW35" s="126">
        <f t="shared" si="272"/>
        <v>9.0629252474972055E-2</v>
      </c>
      <c r="AX35" s="126">
        <f>AV35/AA35-1</f>
        <v>0.5998839078406859</v>
      </c>
      <c r="AY35" s="50">
        <f>AY32+AY33+AY34</f>
        <v>93053</v>
      </c>
      <c r="AZ35" s="126">
        <f t="shared" si="273"/>
        <v>8.091523000749562E-2</v>
      </c>
      <c r="BA35" s="126">
        <f>AY35/AD35-1</f>
        <v>0.58420443324593951</v>
      </c>
      <c r="BB35" s="50">
        <f>BB32+BB33+BB34</f>
        <v>57618</v>
      </c>
      <c r="BC35" s="126">
        <f t="shared" si="274"/>
        <v>9.5755182625863772E-2</v>
      </c>
      <c r="BD35" s="126">
        <f t="shared" si="391"/>
        <v>0.43739553448921042</v>
      </c>
      <c r="BE35" s="50">
        <f>BE32+BE33+BE34</f>
        <v>150672</v>
      </c>
      <c r="BF35" s="126">
        <f t="shared" si="275"/>
        <v>8.6013353671346243E-2</v>
      </c>
      <c r="BG35" s="126">
        <f t="shared" si="392"/>
        <v>0.52468073910667656</v>
      </c>
      <c r="BH35" s="50">
        <f>BH32+BH33+BH34</f>
        <v>25095</v>
      </c>
      <c r="BI35" s="126">
        <f t="shared" si="276"/>
        <v>6.5456736475013239E-2</v>
      </c>
      <c r="BJ35" s="126">
        <f>(BH35/AM35)-1</f>
        <v>0.49579781844191451</v>
      </c>
      <c r="BK35" s="50">
        <f>BK32+BK33+BK34</f>
        <v>43538</v>
      </c>
      <c r="BL35" s="126">
        <f t="shared" si="277"/>
        <v>8.5327469495106278E-2</v>
      </c>
      <c r="BM35" s="126">
        <f>(BK35/AP35)-1</f>
        <v>7.6447609157889618E-2</v>
      </c>
      <c r="BN35" s="50">
        <f>BN32+BN33+BN34</f>
        <v>68634</v>
      </c>
      <c r="BO35" s="126">
        <f t="shared" si="278"/>
        <v>7.6803684750606796E-2</v>
      </c>
      <c r="BP35" s="126">
        <f>BN35/AS35-1</f>
        <v>0.19947570779447754</v>
      </c>
      <c r="BQ35" s="50">
        <f>BQ32+BQ33+BQ34</f>
        <v>28411</v>
      </c>
      <c r="BR35" s="126">
        <f t="shared" si="279"/>
        <v>6.3271378113906748E-2</v>
      </c>
      <c r="BS35" s="126">
        <f>(BQ35/AV35)-1</f>
        <v>-0.20708325193268395</v>
      </c>
      <c r="BT35" s="50">
        <f>BT32+BT33+BT34</f>
        <v>97046</v>
      </c>
      <c r="BU35" s="126">
        <f t="shared" si="280"/>
        <v>7.2278693701477062E-2</v>
      </c>
      <c r="BV35" s="126">
        <f>BT35/AY35-1</f>
        <v>4.291102919841383E-2</v>
      </c>
      <c r="BW35" s="50">
        <f>BW32+BW33+BW34</f>
        <v>65406</v>
      </c>
      <c r="BX35" s="126">
        <f t="shared" si="281"/>
        <v>0.1065664317206456</v>
      </c>
      <c r="BY35" s="126">
        <f>(BW35/BB35)-1</f>
        <v>0.13516609392898049</v>
      </c>
      <c r="BZ35" s="50">
        <f>BZ32+BZ33+BZ34</f>
        <v>162450</v>
      </c>
      <c r="CA35" s="126">
        <f t="shared" si="282"/>
        <v>8.3034232900672758E-2</v>
      </c>
      <c r="CB35" s="126">
        <f>(BZ35/BE35)-1</f>
        <v>7.8169799299139919E-2</v>
      </c>
      <c r="CC35" s="50">
        <f>CC32+CC33+CC34</f>
        <v>10858.279695342848</v>
      </c>
      <c r="CD35" s="126">
        <f t="shared" si="283"/>
        <v>2.9941568004717641E-2</v>
      </c>
      <c r="CE35" s="126">
        <f>(CC35/BH35)-1</f>
        <v>-0.56731302270002604</v>
      </c>
      <c r="CF35" s="50">
        <f>CF32+CF33+CF34</f>
        <v>47823.940966587921</v>
      </c>
      <c r="CG35" s="126">
        <f t="shared" si="284"/>
        <v>8.6210892767296501E-2</v>
      </c>
      <c r="CH35" s="126">
        <f>(CF35/BK35)-1</f>
        <v>9.8441383770221824E-2</v>
      </c>
      <c r="CI35" s="50">
        <f>CI32+CI33+CI34</f>
        <v>58686.22066193074</v>
      </c>
      <c r="CJ35" s="126">
        <f t="shared" si="285"/>
        <v>6.3971550134001978E-2</v>
      </c>
      <c r="CK35" s="126">
        <f>(CI35/BN35)-1</f>
        <v>-0.14493952469722382</v>
      </c>
      <c r="CL35" s="50">
        <f>CL32+CL33+CL34</f>
        <v>30596.640550408512</v>
      </c>
      <c r="CM35" s="126">
        <f t="shared" si="286"/>
        <v>6.2861628727237925E-2</v>
      </c>
      <c r="CN35" s="126">
        <f>(CL35/BQ35)-1</f>
        <v>7.6929377720196923E-2</v>
      </c>
      <c r="CO35" s="50">
        <f>CO32+CO33+CO34</f>
        <v>89283.861212339252</v>
      </c>
      <c r="CP35" s="126">
        <f t="shared" si="287"/>
        <v>6.3587466526748418E-2</v>
      </c>
      <c r="CQ35" s="126">
        <f>(CO35/BT35)-1</f>
        <v>-7.9984118744314547E-2</v>
      </c>
      <c r="CR35" s="50">
        <f>CR32+CR33+CR34</f>
        <v>100310.23646145535</v>
      </c>
      <c r="CS35" s="126">
        <f t="shared" si="288"/>
        <v>0.14091326705811461</v>
      </c>
      <c r="CT35" s="126">
        <f>(CR35/BW35)-1</f>
        <v>0.53365496225813147</v>
      </c>
      <c r="CU35" s="50">
        <f>CU32+CU33+CU34</f>
        <v>189589</v>
      </c>
      <c r="CV35" s="126">
        <f t="shared" si="289"/>
        <v>8.9599181084023954E-2</v>
      </c>
      <c r="CW35" s="126">
        <f>(CU35/BZ35)-1</f>
        <v>0.16706063404124349</v>
      </c>
      <c r="CX35" s="50">
        <f>CX32+CX33+CX34</f>
        <v>36902</v>
      </c>
      <c r="CY35" s="126">
        <f t="shared" si="290"/>
        <v>8.3821318081254564E-2</v>
      </c>
      <c r="CZ35" s="126">
        <f>CX35/CC35-1</f>
        <v>2.3985125669425691</v>
      </c>
      <c r="DA35" s="50">
        <f>DA32+DA33+DA34</f>
        <v>90958</v>
      </c>
      <c r="DB35" s="126">
        <f t="shared" si="291"/>
        <v>0.14438029870362815</v>
      </c>
      <c r="DC35" s="126">
        <f>DA35/CF35-1</f>
        <v>0.9019344320357785</v>
      </c>
      <c r="DD35" s="50">
        <f>DD32+DD33+DD34</f>
        <v>127860</v>
      </c>
      <c r="DE35" s="126">
        <f t="shared" si="292"/>
        <v>0.11946908856466103</v>
      </c>
      <c r="DF35" s="126">
        <f>DD35/CI35-1</f>
        <v>1.178705640912769</v>
      </c>
      <c r="DG35" s="50">
        <f>DG32+DG33+DG34</f>
        <v>56998</v>
      </c>
      <c r="DH35" s="126">
        <f t="shared" si="293"/>
        <v>0.10021802581144283</v>
      </c>
      <c r="DI35" s="126">
        <f>DG35/CL35-1</f>
        <v>0.8628842570508608</v>
      </c>
      <c r="DJ35" s="50">
        <f>DJ32+DJ33+DJ34</f>
        <v>184858</v>
      </c>
      <c r="DK35" s="126">
        <f t="shared" si="294"/>
        <v>0.11278878567397306</v>
      </c>
      <c r="DL35" s="126">
        <f>DJ35/CO35-1</f>
        <v>1.0704525710459771</v>
      </c>
      <c r="DM35" s="50">
        <f>DM32+DM33+DM34</f>
        <v>123169</v>
      </c>
      <c r="DN35" s="126">
        <f t="shared" si="393"/>
        <v>0.14952974897688381</v>
      </c>
      <c r="DO35" s="126">
        <f>DM35/CR35-1</f>
        <v>0.22788066646945082</v>
      </c>
      <c r="DP35" s="50">
        <f>DP32+DP33+DP34</f>
        <v>308028</v>
      </c>
      <c r="DQ35" s="126">
        <f t="shared" si="296"/>
        <v>0.12507821753753934</v>
      </c>
      <c r="DR35" s="126">
        <f>DP35/CU35-1</f>
        <v>0.62471451402771261</v>
      </c>
      <c r="DS35" s="48">
        <f>DS32+DS33</f>
        <v>47587</v>
      </c>
      <c r="DT35" s="126">
        <f>DS35/$DS$8</f>
        <v>9.1918788040339414E-2</v>
      </c>
      <c r="DU35" s="126">
        <f>(DS35/CX35)-1</f>
        <v>0.2895507018589778</v>
      </c>
      <c r="DV35" s="48">
        <f>(DV32+DV33+DV34)</f>
        <v>113544</v>
      </c>
      <c r="DW35" s="126">
        <f t="shared" si="298"/>
        <v>0.15146207645403939</v>
      </c>
      <c r="DX35" s="126">
        <f>(DV35/DA35)-1</f>
        <v>0.24831240792453668</v>
      </c>
      <c r="DY35" s="48">
        <f>(DY32+DY33+DY34)</f>
        <v>161131</v>
      </c>
      <c r="DZ35" s="126">
        <f t="shared" si="299"/>
        <v>0.12713909228632747</v>
      </c>
      <c r="EA35" s="126">
        <f>(DY35/DD35)-1</f>
        <v>0.26021429688722031</v>
      </c>
      <c r="EB35" s="48">
        <f>(EB32+EB33+EB34)</f>
        <v>56695.558239999955</v>
      </c>
      <c r="EC35" s="126">
        <f t="shared" si="394"/>
        <v>8.6284628018676618E-2</v>
      </c>
      <c r="ED35" s="126">
        <f>(EB35/DG35)-1</f>
        <v>-5.3061819712980629E-3</v>
      </c>
      <c r="EE35" s="48">
        <f>(EE32+EE33+EE34)</f>
        <v>217826.55824000004</v>
      </c>
      <c r="EF35" s="126">
        <f t="shared" si="395"/>
        <v>0.11318981677748703</v>
      </c>
      <c r="EG35" s="126">
        <f>(EE35/DJ35)-1</f>
        <v>0.17834531499853967</v>
      </c>
      <c r="EH35" s="48">
        <f>(EH32+EH33+EH34)</f>
        <v>119080</v>
      </c>
      <c r="EI35" s="126">
        <f t="shared" si="250"/>
        <v>0.12248760517599622</v>
      </c>
      <c r="EJ35" s="126">
        <f t="shared" si="214"/>
        <v>-3.3198288530393194E-2</v>
      </c>
      <c r="EK35" s="48">
        <f>(EK32+EK33+EK34)</f>
        <v>336907</v>
      </c>
      <c r="EL35" s="126">
        <f t="shared" si="215"/>
        <v>0.11631050981196341</v>
      </c>
      <c r="EM35" s="126">
        <f t="shared" si="232"/>
        <v>9.3754463879907046E-2</v>
      </c>
      <c r="EN35" s="48">
        <f>(EN32+EN33+EN34)</f>
        <v>35731</v>
      </c>
      <c r="EO35" s="126">
        <f t="shared" si="216"/>
        <v>5.7705196552320016E-2</v>
      </c>
      <c r="EP35" s="126">
        <f t="shared" si="217"/>
        <v>-0.24914367369239498</v>
      </c>
      <c r="EQ35" s="48">
        <f>(EQ32+EQ33+EQ34)</f>
        <v>103472</v>
      </c>
      <c r="ER35" s="126">
        <f t="shared" si="233"/>
        <v>0.12099596687906133</v>
      </c>
      <c r="ES35" s="126">
        <f>(EQ35/DV35)-1</f>
        <v>-8.8705699992954301E-2</v>
      </c>
      <c r="ET35" s="48">
        <f>(ET32+ET33+ET34)</f>
        <v>139202</v>
      </c>
      <c r="EU35" s="126">
        <f t="shared" si="234"/>
        <v>9.4414691583105434E-2</v>
      </c>
      <c r="EV35" s="126">
        <f>(ET35/DY35)-1</f>
        <v>-0.13609423388423081</v>
      </c>
      <c r="EW35" s="48">
        <f>(EW32+EW33+EW34)</f>
        <v>68523</v>
      </c>
      <c r="EX35" s="126">
        <f t="shared" si="235"/>
        <v>8.5306127530313969E-2</v>
      </c>
      <c r="EY35" s="126">
        <f>(EW35/EB35)-1</f>
        <v>0.20861319876123074</v>
      </c>
      <c r="EZ35" s="48">
        <f>(EZ32+EZ33+EZ34)</f>
        <v>207725</v>
      </c>
      <c r="FA35" s="126">
        <f t="shared" si="236"/>
        <v>9.1202298530621104E-2</v>
      </c>
      <c r="FB35" s="126">
        <f>(EZ35/EE35)-1</f>
        <v>-4.6374318731466135E-2</v>
      </c>
      <c r="FC35" s="48">
        <f>(FC32+FC33+FC34)</f>
        <v>147675</v>
      </c>
      <c r="FD35" s="126">
        <f t="shared" si="219"/>
        <v>0.12469054285453741</v>
      </c>
      <c r="FE35" s="126">
        <f>(FC35/EH35)-1</f>
        <v>0.24013268390997644</v>
      </c>
      <c r="FF35" s="48">
        <f>(FF32+FF33+FF34)</f>
        <v>355401</v>
      </c>
      <c r="FG35" s="126">
        <f t="shared" si="220"/>
        <v>0.10265889842748038</v>
      </c>
      <c r="FH35" s="126">
        <f>(FF35/EK35)-1</f>
        <v>5.4893486926659296E-2</v>
      </c>
      <c r="FI35" s="48">
        <f>(FI32+FI33+FI34)</f>
        <v>21606</v>
      </c>
      <c r="FJ35" s="126">
        <f t="shared" si="251"/>
        <v>2.9730395428294649E-2</v>
      </c>
      <c r="FK35" s="126">
        <f>(FI35/EN35)-1</f>
        <v>-0.39531499258347091</v>
      </c>
      <c r="FL35" s="48">
        <f>(FL32+FL33+FL34)</f>
        <v>98000</v>
      </c>
      <c r="FM35" s="126">
        <f t="shared" si="222"/>
        <v>0.10346251014829978</v>
      </c>
      <c r="FN35" s="126">
        <f>(FL35/EQ35)-1</f>
        <v>-5.2883871965362594E-2</v>
      </c>
      <c r="FO35" s="48">
        <f t="shared" si="237"/>
        <v>119606</v>
      </c>
      <c r="FP35" s="126">
        <f t="shared" si="252"/>
        <v>7.1452040522505672E-2</v>
      </c>
      <c r="FQ35" s="126">
        <f>(FO35/ET35)-1</f>
        <v>-0.1407738394563296</v>
      </c>
      <c r="FR35" s="48">
        <f>(FR32+FR33+FR34)</f>
        <v>71642</v>
      </c>
      <c r="FS35" s="49">
        <f>(FR35/$FR$8)</f>
        <v>7.8995013882181192E-2</v>
      </c>
      <c r="FT35" s="126">
        <f>(FR35/EW35)-1</f>
        <v>4.5517563445850229E-2</v>
      </c>
      <c r="FU35" s="48">
        <f>FO35+FR35</f>
        <v>191248</v>
      </c>
      <c r="FV35" s="49">
        <f t="shared" si="390"/>
        <v>7.4102660671747159E-2</v>
      </c>
      <c r="FW35" s="126">
        <f>(FU35/EZ35)-1</f>
        <v>-7.9321217956432766E-2</v>
      </c>
      <c r="FX35" s="48">
        <f>SUM(FX32:FX34)</f>
        <v>216154</v>
      </c>
      <c r="FY35" s="49">
        <f t="shared" si="253"/>
        <v>0.16216163498515326</v>
      </c>
      <c r="FZ35" s="126">
        <f>(FX35/FC35)-1</f>
        <v>0.46371423734552231</v>
      </c>
      <c r="GA35" s="48">
        <f>SUM(GA32:GA34)</f>
        <v>407404</v>
      </c>
      <c r="GB35" s="49">
        <f t="shared" si="396"/>
        <v>0.10409399130105736</v>
      </c>
      <c r="GC35" s="126">
        <f>(GA35/FF35)-1</f>
        <v>0.14632204186257214</v>
      </c>
      <c r="GD35" s="48">
        <f>(GD32+GD33+GD34)</f>
        <v>50907.450000000026</v>
      </c>
      <c r="GE35" s="126">
        <f t="shared" si="397"/>
        <v>6.250024554459338E-2</v>
      </c>
      <c r="GF35" s="126">
        <f>(GD35/FI35)-1</f>
        <v>1.3561718966953635</v>
      </c>
      <c r="GG35" s="48">
        <f>(GG32+GG33+GG34)</f>
        <v>118478</v>
      </c>
      <c r="GH35" s="126">
        <f t="shared" si="225"/>
        <v>0.10662186217037828</v>
      </c>
      <c r="GI35" s="126">
        <f t="shared" si="165"/>
        <v>0.20895918367346944</v>
      </c>
      <c r="GJ35" s="48">
        <f t="shared" si="398"/>
        <v>169385.45</v>
      </c>
      <c r="GK35" s="49">
        <f t="shared" si="167"/>
        <v>8.7959816462880785E-2</v>
      </c>
      <c r="GL35" s="126">
        <f>(GJ35/FO35)-1</f>
        <v>0.4161952577629886</v>
      </c>
      <c r="GM35" s="48">
        <f>(GM32+GM33+GM34)</f>
        <v>83390</v>
      </c>
      <c r="GN35" s="49">
        <f t="shared" si="168"/>
        <v>7.9639687477019661E-2</v>
      </c>
      <c r="GO35" s="126">
        <f>(GM35/FR35)-1</f>
        <v>0.16398202171910325</v>
      </c>
      <c r="GP35" s="48">
        <f t="shared" si="399"/>
        <v>252775.45</v>
      </c>
      <c r="GQ35" s="49">
        <f t="shared" si="171"/>
        <v>8.5029273699418567E-2</v>
      </c>
      <c r="GR35" s="126">
        <f>(GP35/FU35)-1</f>
        <v>0.3217155212080649</v>
      </c>
      <c r="GS35" s="48">
        <f>(GS32+GS33+GS34)</f>
        <v>218646.91900000005</v>
      </c>
      <c r="GT35" s="49">
        <f t="shared" si="344"/>
        <v>0.13094143155466473</v>
      </c>
      <c r="GU35" s="126">
        <f>(GS35/FX35)-1</f>
        <v>1.1533069015609465E-2</v>
      </c>
      <c r="GV35" s="48">
        <f t="shared" si="400"/>
        <v>471422.36900000006</v>
      </c>
      <c r="GW35" s="49">
        <f t="shared" si="401"/>
        <v>0.10154248707408675</v>
      </c>
      <c r="GX35" s="126">
        <f>(GV35/GA35)-1</f>
        <v>0.15713731087569105</v>
      </c>
      <c r="GY35" s="48">
        <f>(GY32+GY33+GY34)</f>
        <v>73188.497310000108</v>
      </c>
      <c r="GZ35" s="49">
        <f t="shared" si="352"/>
        <v>7.2399702550710127E-2</v>
      </c>
      <c r="HA35" s="126">
        <f t="shared" si="229"/>
        <v>0.43767753658845754</v>
      </c>
      <c r="HB35" s="48">
        <f>(HB32+HB33+HB34)</f>
        <v>158168.64064000011</v>
      </c>
      <c r="HC35" s="49">
        <f t="shared" si="371"/>
        <v>0.116796340226816</v>
      </c>
      <c r="HD35" s="126">
        <f>(HB35/GG35)-1</f>
        <v>0.33500430999848163</v>
      </c>
      <c r="HE35" s="48">
        <f>GY35+HB35</f>
        <v>231357.13795000024</v>
      </c>
      <c r="HF35" s="49">
        <f t="shared" si="240"/>
        <v>9.7820423542812493E-2</v>
      </c>
      <c r="HG35" s="126">
        <f>(HE35/GJ35)-1</f>
        <v>0.36586193176568726</v>
      </c>
      <c r="HH35" s="48">
        <f>(HH32+HH33+HH34)</f>
        <v>95966</v>
      </c>
      <c r="HI35" s="49">
        <f t="shared" si="402"/>
        <v>7.6873350342247654E-2</v>
      </c>
      <c r="HJ35" s="126">
        <f t="shared" si="241"/>
        <v>0.15080944957428954</v>
      </c>
      <c r="HK35" s="48">
        <f>(HK32+HK33+HK34)</f>
        <v>327324.82345000008</v>
      </c>
      <c r="HL35" s="49">
        <f t="shared" si="300"/>
        <v>9.0584223503287431E-2</v>
      </c>
      <c r="HM35" s="126">
        <f t="shared" si="230"/>
        <v>0.29492331415095907</v>
      </c>
      <c r="HN35" s="48">
        <f>(HN32+HN33+HN34)</f>
        <v>251514.30340999999</v>
      </c>
      <c r="HO35" s="49">
        <f t="shared" si="355"/>
        <v>0.13688851508627023</v>
      </c>
      <c r="HP35" s="126">
        <f>(HN35/GS35)-1</f>
        <v>0.15032173588505926</v>
      </c>
      <c r="HQ35" s="48">
        <f>(HQ32+HQ33+HQ34)</f>
        <v>578836.85553000029</v>
      </c>
      <c r="HR35" s="49">
        <f t="shared" si="403"/>
        <v>0.10619199632094217</v>
      </c>
      <c r="HS35" s="126">
        <f>(HQ35/GV35)-1</f>
        <v>0.22785190859282323</v>
      </c>
      <c r="HT35" s="48">
        <f>(HT32+HT33+HT34)</f>
        <v>65515</v>
      </c>
      <c r="HU35" s="49">
        <f t="shared" si="404"/>
        <v>6.0879172753190082E-2</v>
      </c>
      <c r="HV35" s="126">
        <f>HT35/GY35-1</f>
        <v>-0.10484567373337284</v>
      </c>
      <c r="HW35" s="48">
        <f>(HW32+HW33+HW34)</f>
        <v>174808</v>
      </c>
      <c r="HX35" s="49">
        <f t="shared" si="184"/>
        <v>0.11934828441278962</v>
      </c>
      <c r="HY35" s="126">
        <f>(HW35/HB35)-1</f>
        <v>0.10520011610817281</v>
      </c>
      <c r="HZ35" s="48">
        <f>HT35+HW35</f>
        <v>240323</v>
      </c>
      <c r="IA35" s="49">
        <f t="shared" si="425"/>
        <v>9.458422346030991E-2</v>
      </c>
      <c r="IB35" s="126">
        <f>(HZ35/HE35)-1</f>
        <v>3.8753340957811355E-2</v>
      </c>
      <c r="IC35" s="48">
        <f>(IC32+IC33+IC34)</f>
        <v>84904</v>
      </c>
      <c r="ID35" s="49">
        <f t="shared" si="187"/>
        <v>6.7361779980926961E-2</v>
      </c>
      <c r="IE35" s="126">
        <f>(IC35/HH35)-1</f>
        <v>-0.11526999145530714</v>
      </c>
      <c r="IF35" s="48">
        <f>HZ35+IC35</f>
        <v>325227</v>
      </c>
      <c r="IG35" s="49">
        <f t="shared" si="426"/>
        <v>8.5557818551456971E-2</v>
      </c>
      <c r="IH35" s="126">
        <f>(IF35/HK35)-1</f>
        <v>-6.4089958955421134E-3</v>
      </c>
      <c r="II35" s="48">
        <f>(II32+II33+II34)</f>
        <v>299831</v>
      </c>
      <c r="IJ35" s="49">
        <f t="shared" si="22"/>
        <v>0.15612099740484789</v>
      </c>
      <c r="IK35" s="126">
        <f>(II35/HN35)-1</f>
        <v>0.19210317637974539</v>
      </c>
      <c r="IL35" s="48">
        <f>(IL32+IL33+IL34)</f>
        <v>625059</v>
      </c>
      <c r="IM35" s="49">
        <f>(IL35/IL$8)</f>
        <v>0.10924249317124093</v>
      </c>
      <c r="IN35" s="126">
        <f>(IL35/HQ35)-1</f>
        <v>7.9853492445081775E-2</v>
      </c>
      <c r="IO35" s="48">
        <f>(IO32+IO33+IO34)</f>
        <v>66976</v>
      </c>
      <c r="IP35" s="49">
        <f t="shared" si="405"/>
        <v>5.4245458757058489E-2</v>
      </c>
      <c r="IQ35" s="126">
        <f>IO35/HT35-1</f>
        <v>2.2300236587041056E-2</v>
      </c>
      <c r="IR35" s="48">
        <f>(IR32+IR33+IR34)</f>
        <v>193583.00000000012</v>
      </c>
      <c r="IS35" s="49">
        <f t="shared" si="190"/>
        <v>0.11872936160190777</v>
      </c>
      <c r="IT35" s="126">
        <f>(IR35/HW35)-1</f>
        <v>0.10740355132488277</v>
      </c>
      <c r="IU35" s="48">
        <f>IO35+IR35</f>
        <v>260559.00000000012</v>
      </c>
      <c r="IV35" s="49">
        <f t="shared" si="427"/>
        <v>9.0941105844740605E-2</v>
      </c>
      <c r="IW35" s="126">
        <f>(IU35/HZ35)-1</f>
        <v>8.4203343000878395E-2</v>
      </c>
      <c r="IX35" s="48">
        <f>(IX32+IX33+IX34)</f>
        <v>140319</v>
      </c>
      <c r="IY35" s="49">
        <f t="shared" si="193"/>
        <v>9.2768108487628412E-2</v>
      </c>
      <c r="IZ35" s="126">
        <f>(IX35/IC35)-1</f>
        <v>0.65267831904268347</v>
      </c>
      <c r="JA35" s="48">
        <f t="shared" si="406"/>
        <v>400878.00000000012</v>
      </c>
      <c r="JB35" s="49">
        <f>(JA35/JA$8)</f>
        <v>9.1572367155673365E-2</v>
      </c>
      <c r="JC35" s="126">
        <f>(JA35/IF35)-1</f>
        <v>0.23260983866653184</v>
      </c>
      <c r="JD35" s="48">
        <f>(JD32+JD33+JD34)</f>
        <v>331802</v>
      </c>
      <c r="JE35" s="49">
        <f t="shared" si="195"/>
        <v>0.1493019792067424</v>
      </c>
      <c r="JF35" s="126">
        <f>(JD35/II35)-1</f>
        <v>0.10663006827179311</v>
      </c>
      <c r="JG35" s="48">
        <f t="shared" si="407"/>
        <v>732680.00000000012</v>
      </c>
      <c r="JH35" s="49">
        <f>(JG35/JG$8)</f>
        <v>0.11101089336436129</v>
      </c>
      <c r="JI35" s="126">
        <f>(JG35/IL35)-1</f>
        <v>0.17217734645849458</v>
      </c>
      <c r="JJ35" s="48">
        <f>(JJ32+JJ33+JJ34)</f>
        <v>111442</v>
      </c>
      <c r="JK35" s="49">
        <f t="shared" si="197"/>
        <v>7.966863475546157E-2</v>
      </c>
      <c r="JL35" s="126">
        <f>(JJ35/IO35)-1</f>
        <v>0.66390946010511231</v>
      </c>
      <c r="JM35" s="48">
        <f>(JM32+JM33+JM34)</f>
        <v>274709.43760999991</v>
      </c>
      <c r="JN35" s="49">
        <f t="shared" si="198"/>
        <v>0.1543284569819289</v>
      </c>
      <c r="JO35" s="126">
        <f>(JM35/IR35)-1</f>
        <v>0.41907831581285415</v>
      </c>
      <c r="JP35" s="48">
        <f t="shared" si="36"/>
        <v>386151.43760999991</v>
      </c>
      <c r="JQ35" s="49">
        <f t="shared" si="199"/>
        <v>0.12147519939915376</v>
      </c>
      <c r="JR35" s="126">
        <f>(JP35/IU35)-1</f>
        <v>0.48201151221028526</v>
      </c>
      <c r="JS35" s="48">
        <f>(JS32+JS33+JS34)</f>
        <v>194210.95679</v>
      </c>
      <c r="JT35" s="126">
        <f t="shared" si="37"/>
        <v>0.11347670603653837</v>
      </c>
      <c r="JU35" s="126">
        <f t="shared" si="38"/>
        <v>0.38406742344229938</v>
      </c>
      <c r="JV35" s="48">
        <f t="shared" si="39"/>
        <v>580362.39439999987</v>
      </c>
      <c r="JW35" s="126">
        <f t="shared" si="40"/>
        <v>0.11867596854269592</v>
      </c>
      <c r="JX35" s="126">
        <f t="shared" si="41"/>
        <v>0.44772822255149869</v>
      </c>
      <c r="JY35" s="48">
        <f>(JY32+JY33+JY34)</f>
        <v>439774.25079999998</v>
      </c>
      <c r="JZ35" s="126">
        <f t="shared" si="42"/>
        <v>0.16946187917176919</v>
      </c>
      <c r="KA35" s="126">
        <f t="shared" ref="KA35:KA36" si="435">(JY35/JD35)-1</f>
        <v>0.32541169372095391</v>
      </c>
      <c r="KB35" s="48">
        <f t="shared" si="44"/>
        <v>1020136.6451999999</v>
      </c>
      <c r="KC35" s="126">
        <f t="shared" si="45"/>
        <v>0.13628291712717219</v>
      </c>
      <c r="KD35" s="126">
        <f t="shared" ref="KD35:KD36" si="436">(KB35/JG35)-1</f>
        <v>0.39233586995687042</v>
      </c>
      <c r="KE35" s="48">
        <f>(KE32+KE33+KE34)</f>
        <v>155979</v>
      </c>
      <c r="KF35" s="126">
        <f t="shared" si="47"/>
        <v>9.4513423621963272E-2</v>
      </c>
      <c r="KG35" s="126">
        <f t="shared" si="48"/>
        <v>0.39964286355234102</v>
      </c>
      <c r="KH35" s="48">
        <f>(KH32+KH33+KH34)</f>
        <v>230737</v>
      </c>
      <c r="KI35" s="49">
        <f t="shared" si="200"/>
        <v>0.11426164742142862</v>
      </c>
      <c r="KJ35" s="126">
        <f>(KH35/JM35)-1</f>
        <v>-0.1600689004082444</v>
      </c>
      <c r="KK35" s="48">
        <f t="shared" si="360"/>
        <v>386716</v>
      </c>
      <c r="KL35" s="49">
        <f t="shared" si="201"/>
        <v>0.10538050544034666</v>
      </c>
      <c r="KM35" s="126">
        <f>(KK35/JP35)-1</f>
        <v>1.4620232763973284E-3</v>
      </c>
      <c r="KN35" s="48">
        <f>(KN32+KN33+KN34)</f>
        <v>186732</v>
      </c>
      <c r="KO35" s="126">
        <f t="shared" si="50"/>
        <v>9.6655976115002457E-2</v>
      </c>
      <c r="KP35" s="126">
        <f t="shared" ref="KP35:KP36" si="437">(KN35/JS35)-1</f>
        <v>-3.8509448249549494E-2</v>
      </c>
      <c r="KQ35" s="48">
        <f t="shared" si="423"/>
        <v>573448</v>
      </c>
      <c r="KR35" s="126">
        <f t="shared" si="53"/>
        <v>0.1023715397379515</v>
      </c>
      <c r="KS35" s="126">
        <f t="shared" ref="KS35:KS36" si="438">(KQ35/JV35)-1</f>
        <v>-1.191392562081528E-2</v>
      </c>
      <c r="KT35" s="48">
        <f>(KT32+KT33+KT34)</f>
        <v>512754</v>
      </c>
      <c r="KU35" s="126">
        <f t="shared" si="55"/>
        <v>0.17846976984105437</v>
      </c>
      <c r="KV35" s="126">
        <f t="shared" ref="KV35:KV36" si="439">(KT35/JY35)-1</f>
        <v>0.16594820880768135</v>
      </c>
      <c r="KW35" s="48">
        <f t="shared" si="424"/>
        <v>1086202</v>
      </c>
      <c r="KX35" s="126">
        <f t="shared" si="58"/>
        <v>0.12817007058544774</v>
      </c>
      <c r="KY35" s="126">
        <f t="shared" ref="KY35:KY36" si="440">(KW35/KB35)-1</f>
        <v>6.4761279884272493E-2</v>
      </c>
      <c r="KZ35" s="48">
        <f>(KZ32+KZ33+KZ34)</f>
        <v>7137</v>
      </c>
      <c r="LA35" s="126">
        <f t="shared" si="60"/>
        <v>4.6039814731192504E-3</v>
      </c>
      <c r="LB35" s="126">
        <f t="shared" ref="LB35:LB36" si="441">(KZ35/KE35)-1</f>
        <v>-0.95424384051699263</v>
      </c>
      <c r="LC35" s="48">
        <f>(LC32+LC33+LC34)</f>
        <v>818051</v>
      </c>
      <c r="LD35" s="49">
        <f t="shared" si="202"/>
        <v>1.5159311091179981</v>
      </c>
      <c r="LE35" s="126">
        <f>(LC35/KH35)-1</f>
        <v>2.5453828384697728</v>
      </c>
      <c r="LF35" s="48">
        <f t="shared" si="415"/>
        <v>825188</v>
      </c>
      <c r="LG35" s="49">
        <f t="shared" si="416"/>
        <v>0.39486155718972388</v>
      </c>
      <c r="LH35" s="126">
        <f>(LF35/KK35)-1</f>
        <v>1.1338346486827544</v>
      </c>
      <c r="LI35" s="48">
        <f>(LI32+LI33+LI34)</f>
        <v>-82873</v>
      </c>
      <c r="LJ35" s="49">
        <f t="shared" si="417"/>
        <v>-5.0189650296118514E-2</v>
      </c>
      <c r="LK35" s="126">
        <f>(LI35/KN35)-1</f>
        <v>-1.4438071674913779</v>
      </c>
      <c r="LL35" s="48">
        <f t="shared" si="62"/>
        <v>742315</v>
      </c>
      <c r="LM35" s="49">
        <f t="shared" si="418"/>
        <v>0.19842620167318317</v>
      </c>
      <c r="LN35" s="126">
        <f>(LL35/KQ35)-1</f>
        <v>0.29447656980231862</v>
      </c>
      <c r="LO35" s="48">
        <f>(LO32+LO33+LO34)</f>
        <v>353954</v>
      </c>
      <c r="LP35" s="49">
        <f t="shared" si="419"/>
        <v>0.12123547468486669</v>
      </c>
      <c r="LQ35" s="126">
        <f>(LO35/KT35)-1</f>
        <v>-0.30970016811180412</v>
      </c>
      <c r="LR35" s="48">
        <f t="shared" si="63"/>
        <v>1096269</v>
      </c>
      <c r="LS35" s="49">
        <f t="shared" si="420"/>
        <v>0.16459084363788029</v>
      </c>
      <c r="LT35" s="126">
        <f>(LR35/KW35)-1</f>
        <v>9.2680735259187408E-3</v>
      </c>
    </row>
    <row r="36" spans="1:332" ht="16.5" customHeight="1">
      <c r="A36" s="105"/>
      <c r="B36" s="116" t="s">
        <v>137</v>
      </c>
      <c r="C36" s="116" t="s">
        <v>257</v>
      </c>
      <c r="D36" s="136">
        <f>D35/D37</f>
        <v>6.592722897197737E-4</v>
      </c>
      <c r="E36" s="111"/>
      <c r="F36" s="136">
        <f>F35/F37</f>
        <v>2.1774537222000268</v>
      </c>
      <c r="G36" s="111"/>
      <c r="H36" s="136">
        <f>H35/H37</f>
        <v>2.3442535623917964</v>
      </c>
      <c r="I36" s="111"/>
      <c r="J36" s="136">
        <f>J35/J37</f>
        <v>-2.5810966573357484E-2</v>
      </c>
      <c r="K36" s="111"/>
      <c r="L36" s="136">
        <f>L35/L37</f>
        <v>1.4234727482298699</v>
      </c>
      <c r="M36" s="111"/>
      <c r="N36" s="136">
        <f>N35/N37</f>
        <v>1.8817717767166144</v>
      </c>
      <c r="O36" s="111"/>
      <c r="P36" s="136">
        <f>P35/P37</f>
        <v>3.3052445249464846</v>
      </c>
      <c r="Q36" s="127"/>
      <c r="R36" s="137">
        <f>R35/R37</f>
        <v>0.5544623744442615</v>
      </c>
      <c r="S36" s="127"/>
      <c r="T36" s="137"/>
      <c r="U36" s="137">
        <f>U35/U37</f>
        <v>0.94158570722871726</v>
      </c>
      <c r="V36" s="127"/>
      <c r="W36" s="127"/>
      <c r="X36" s="137">
        <f>X35/X37</f>
        <v>1.4960480816729789</v>
      </c>
      <c r="Y36" s="127"/>
      <c r="Z36" s="127"/>
      <c r="AA36" s="137">
        <f>AA35/AA37</f>
        <v>0.9219496130413305</v>
      </c>
      <c r="AB36" s="127"/>
      <c r="AC36" s="127"/>
      <c r="AD36" s="137">
        <f>AD35/AD37</f>
        <v>2.4179976947143094</v>
      </c>
      <c r="AE36" s="127"/>
      <c r="AF36" s="127"/>
      <c r="AG36" s="137">
        <f>AG35/AG37</f>
        <v>0.32896464563568922</v>
      </c>
      <c r="AH36" s="127"/>
      <c r="AI36" s="127"/>
      <c r="AJ36" s="137">
        <f>AJ35/AJ37</f>
        <v>0.81100022978695463</v>
      </c>
      <c r="AK36" s="127"/>
      <c r="AL36" s="127"/>
      <c r="AM36" s="137">
        <f>AM35/AM37</f>
        <v>0.13798917602934646</v>
      </c>
      <c r="AN36" s="119"/>
      <c r="AO36" s="119"/>
      <c r="AP36" s="137">
        <f>AP35/AP37</f>
        <v>0.33266437466072279</v>
      </c>
      <c r="AQ36" s="119"/>
      <c r="AR36" s="119"/>
      <c r="AS36" s="137">
        <f>AS35/AS37</f>
        <v>0.47062887598493197</v>
      </c>
      <c r="AT36" s="119"/>
      <c r="AU36" s="119"/>
      <c r="AV36" s="137">
        <f>AV35/AV37</f>
        <v>0.29470645325788358</v>
      </c>
      <c r="AW36" s="119"/>
      <c r="AX36" s="119"/>
      <c r="AY36" s="137">
        <f>AY35/AY37</f>
        <v>0.76535177904624041</v>
      </c>
      <c r="AZ36" s="119"/>
      <c r="BA36" s="119"/>
      <c r="BB36" s="137">
        <f>BB35/BB37</f>
        <v>0.47390238686647695</v>
      </c>
      <c r="BC36" s="119"/>
      <c r="BD36" s="119"/>
      <c r="BE36" s="137">
        <f>BE35/BE37</f>
        <v>1.2392623908144298</v>
      </c>
      <c r="BF36" s="119"/>
      <c r="BG36" s="119"/>
      <c r="BH36" s="137">
        <f>BH35/BH37</f>
        <v>0.20640390847329373</v>
      </c>
      <c r="BI36" s="119"/>
      <c r="BJ36" s="119"/>
      <c r="BK36" s="137">
        <f>BK35/BK37</f>
        <v>0.35809577075553944</v>
      </c>
      <c r="BL36" s="119"/>
      <c r="BM36" s="119"/>
      <c r="BN36" s="137">
        <f>BN35/BN37</f>
        <v>0.56450790413054563</v>
      </c>
      <c r="BO36" s="119"/>
      <c r="BP36" s="119"/>
      <c r="BQ36" s="137">
        <f>BQ35/BQ37</f>
        <v>0.23367768255169349</v>
      </c>
      <c r="BR36" s="119"/>
      <c r="BS36" s="119"/>
      <c r="BT36" s="137">
        <f>BT35/BT37</f>
        <v>0.79819381158395153</v>
      </c>
      <c r="BU36" s="119"/>
      <c r="BV36" s="119"/>
      <c r="BW36" s="137">
        <f>BW35/BW37</f>
        <v>0.53789598342050726</v>
      </c>
      <c r="BX36" s="119"/>
      <c r="BY36" s="119"/>
      <c r="BZ36" s="137">
        <f>BZ35/BZ37</f>
        <v>1.335981446758117</v>
      </c>
      <c r="CA36" s="119"/>
      <c r="CB36" s="119"/>
      <c r="CC36" s="137">
        <f>CC35/CC37</f>
        <v>8.928698633629234E-2</v>
      </c>
      <c r="CD36" s="119"/>
      <c r="CE36" s="119"/>
      <c r="CF36" s="137">
        <f>CF35/CF37</f>
        <v>0.39321138070272249</v>
      </c>
      <c r="CG36" s="119"/>
      <c r="CH36" s="119"/>
      <c r="CI36" s="137">
        <f>CI35/CI37</f>
        <v>0.24127375033169873</v>
      </c>
      <c r="CJ36" s="119"/>
      <c r="CK36" s="119"/>
      <c r="CL36" s="137">
        <f>CL35/CL37</f>
        <v>0.25119569595750968</v>
      </c>
      <c r="CM36" s="119"/>
      <c r="CN36" s="119"/>
      <c r="CO36" s="137">
        <f>CO35/CO37</f>
        <v>0.73301255469721238</v>
      </c>
      <c r="CP36" s="119"/>
      <c r="CQ36" s="119"/>
      <c r="CR36" s="137">
        <v>0.82340000000000002</v>
      </c>
      <c r="CS36" s="119"/>
      <c r="CT36" s="119"/>
      <c r="CU36" s="137">
        <f>CU35/CU37</f>
        <v>1.555767999868704</v>
      </c>
      <c r="CV36" s="119"/>
      <c r="CW36" s="119"/>
      <c r="CX36" s="137">
        <f>CX35/CX37</f>
        <v>0.302817941606079</v>
      </c>
      <c r="CY36" s="119"/>
      <c r="CZ36" s="119"/>
      <c r="DA36" s="137">
        <v>0.74629999999999996</v>
      </c>
      <c r="DB36" s="119"/>
      <c r="DC36" s="119"/>
      <c r="DD36" s="137">
        <v>1.0489999999999999</v>
      </c>
      <c r="DE36" s="119"/>
      <c r="DF36" s="119"/>
      <c r="DG36" s="137">
        <v>0.46729999999999999</v>
      </c>
      <c r="DH36" s="119"/>
      <c r="DI36" s="119"/>
      <c r="DJ36" s="137">
        <v>1.5013000000000001</v>
      </c>
      <c r="DK36" s="112"/>
      <c r="DL36" s="119"/>
      <c r="DM36" s="137">
        <v>1.0081</v>
      </c>
      <c r="DN36" s="119"/>
      <c r="DO36" s="119"/>
      <c r="DP36" s="137">
        <v>2.5251999999999999</v>
      </c>
      <c r="DQ36" s="112"/>
      <c r="DR36" s="119"/>
      <c r="DS36" s="137">
        <f>DS35/DS37</f>
        <v>0.38894474004691498</v>
      </c>
      <c r="DT36" s="112" t="s">
        <v>112</v>
      </c>
      <c r="DU36" s="119" t="s">
        <v>112</v>
      </c>
      <c r="DV36" s="137">
        <f>DV35/DV37</f>
        <v>0.92660992190114011</v>
      </c>
      <c r="DW36" s="112" t="s">
        <v>112</v>
      </c>
      <c r="DX36" s="119">
        <f>(DV36/DA36)-1</f>
        <v>0.2416051479313146</v>
      </c>
      <c r="DY36" s="137">
        <f>(DS36+DV36)</f>
        <v>1.3155546619480551</v>
      </c>
      <c r="DZ36" s="112" t="s">
        <v>112</v>
      </c>
      <c r="EA36" s="119">
        <f>(DY36/DD36)-1</f>
        <v>0.25410358622312224</v>
      </c>
      <c r="EB36" s="137">
        <v>0.4627</v>
      </c>
      <c r="EC36" s="112" t="s">
        <v>112</v>
      </c>
      <c r="ED36" s="119">
        <f>(EB36/DG36)-1</f>
        <v>-9.8437834367643973E-3</v>
      </c>
      <c r="EE36" s="137">
        <v>1.788</v>
      </c>
      <c r="EF36" s="112" t="s">
        <v>112</v>
      </c>
      <c r="EG36" s="119">
        <f>(EE36/DJ36)-1</f>
        <v>0.19096782788250177</v>
      </c>
      <c r="EH36" s="137">
        <v>0.9708</v>
      </c>
      <c r="EI36" s="112">
        <f t="shared" si="250"/>
        <v>9.9858050978213919E-7</v>
      </c>
      <c r="EJ36" s="119">
        <f t="shared" si="214"/>
        <v>-3.7000297589524833E-2</v>
      </c>
      <c r="EK36" s="137">
        <v>2.7504</v>
      </c>
      <c r="EL36" s="112">
        <f t="shared" si="215"/>
        <v>9.4952145899854903E-7</v>
      </c>
      <c r="EM36" s="119">
        <f t="shared" si="232"/>
        <v>8.9181054965943307E-2</v>
      </c>
      <c r="EN36" s="137">
        <f>EN35/EN37</f>
        <v>0.29091930533052163</v>
      </c>
      <c r="EO36" s="119">
        <f t="shared" si="216"/>
        <v>4.698316782335269E-7</v>
      </c>
      <c r="EP36" s="119">
        <f t="shared" si="217"/>
        <v>-0.25202920781129323</v>
      </c>
      <c r="EQ36" s="137">
        <f>EQ35/EQ37</f>
        <v>0.83837303516447903</v>
      </c>
      <c r="ER36" s="119" t="s">
        <v>112</v>
      </c>
      <c r="ES36" s="119">
        <f>(EQ36/DV36)-1</f>
        <v>-9.5225493113244575E-2</v>
      </c>
      <c r="ET36" s="137">
        <f>(EN36+EQ36)</f>
        <v>1.1292923404950006</v>
      </c>
      <c r="EU36" s="119">
        <f t="shared" si="234"/>
        <v>7.6595011591068212E-7</v>
      </c>
      <c r="EV36" s="119">
        <f>(ET36/DY36)-1</f>
        <v>-0.14158463106142616</v>
      </c>
      <c r="EW36" s="137">
        <f>EW35/EW37</f>
        <v>0.55471633961530986</v>
      </c>
      <c r="EX36" s="119">
        <f t="shared" si="235"/>
        <v>6.9058130569841631E-7</v>
      </c>
      <c r="EY36" s="119">
        <f>(EW36/EB36)-1</f>
        <v>0.19886825073548708</v>
      </c>
      <c r="EZ36" s="137">
        <f>(ET36+EW36)</f>
        <v>1.6840086801103105</v>
      </c>
      <c r="FA36" s="119">
        <f t="shared" si="236"/>
        <v>7.3936917738152721E-7</v>
      </c>
      <c r="FB36" s="119">
        <f>(EZ36/EE36)-1</f>
        <v>-5.8160693450609369E-2</v>
      </c>
      <c r="FC36" s="137">
        <f>FC35/FC37</f>
        <v>1.1891724310090752</v>
      </c>
      <c r="FD36" s="119">
        <f t="shared" si="219"/>
        <v>1.0040870558332252E-6</v>
      </c>
      <c r="FE36" s="119">
        <f>(FC36/EH36)-1</f>
        <v>0.22494069943250428</v>
      </c>
      <c r="FF36" s="137">
        <f>FF35/FF37</f>
        <v>2.8619134664164982</v>
      </c>
      <c r="FG36" s="119">
        <f t="shared" si="220"/>
        <v>8.2667433084625422E-7</v>
      </c>
      <c r="FH36" s="119">
        <f>(FF36/EK36)-1</f>
        <v>4.0544454049046719E-2</v>
      </c>
      <c r="FI36" s="137">
        <f>FI35/FI37</f>
        <v>0.17398376602460863</v>
      </c>
      <c r="FJ36" s="119">
        <f t="shared" si="251"/>
        <v>2.3940600583243133E-7</v>
      </c>
      <c r="FK36" s="119">
        <f>(FI36/EN36)-1</f>
        <v>-0.4019518030027579</v>
      </c>
      <c r="FL36" s="137">
        <f>FL35/FL37</f>
        <v>0.78415683136627323</v>
      </c>
      <c r="FM36" s="119">
        <f t="shared" si="222"/>
        <v>8.2786565431726167E-7</v>
      </c>
      <c r="FN36" s="119">
        <f>(FL36/EQ36)-1</f>
        <v>-6.4668353494419351E-2</v>
      </c>
      <c r="FO36" s="137">
        <f>FI36+FL36</f>
        <v>0.95814059739088187</v>
      </c>
      <c r="FP36" s="119">
        <f t="shared" si="252"/>
        <v>5.723885155513191E-7</v>
      </c>
      <c r="FQ36" s="119">
        <f>(FO36/ET36)-1</f>
        <v>-0.15155663149995169</v>
      </c>
      <c r="FR36" s="137">
        <f>FR35/FR37</f>
        <v>0.57325065013002596</v>
      </c>
      <c r="FS36" s="123">
        <f t="shared" si="421"/>
        <v>6.3208652836312207E-7</v>
      </c>
      <c r="FT36" s="119">
        <f>(FR36/EW36)-1</f>
        <v>3.3412231064924969E-2</v>
      </c>
      <c r="FU36" s="137">
        <f>FU35/FU37</f>
        <v>1.5302900580116023</v>
      </c>
      <c r="FV36" s="123">
        <f>(FU36/$FU$8)</f>
        <v>5.92939873348647E-7</v>
      </c>
      <c r="FW36" s="119">
        <f>(FU36/EZ36)-1</f>
        <v>-9.1281371595209881E-2</v>
      </c>
      <c r="FX36" s="137">
        <f>FX35/FX37</f>
        <v>1.7169387187735812</v>
      </c>
      <c r="FY36" s="123">
        <f t="shared" si="253"/>
        <v>1.2880704951360521E-6</v>
      </c>
      <c r="FZ36" s="119">
        <f>(FX36/FC36)-1</f>
        <v>0.44380972347018544</v>
      </c>
      <c r="GA36" s="137">
        <f>GA35/GA37</f>
        <v>3.2360617975296875</v>
      </c>
      <c r="GB36" s="123">
        <f t="shared" si="396"/>
        <v>8.2683181461580964E-7</v>
      </c>
      <c r="GC36" s="119">
        <f>(GA36/FF36)-1</f>
        <v>0.13073362821891088</v>
      </c>
      <c r="GD36" s="137">
        <f>GD35/GD37</f>
        <v>0.40436435124508541</v>
      </c>
      <c r="GE36" s="119">
        <f t="shared" si="397"/>
        <v>4.9644740096583177E-7</v>
      </c>
      <c r="GF36" s="119">
        <f>(GD36/FI36)-1</f>
        <v>1.3241498933175828</v>
      </c>
      <c r="GG36" s="137">
        <f>GG35/GG37</f>
        <v>0.94012016649326757</v>
      </c>
      <c r="GH36" s="119">
        <f t="shared" si="225"/>
        <v>8.460419893603728E-7</v>
      </c>
      <c r="GI36" s="119">
        <f t="shared" si="165"/>
        <v>0.19889303885200116</v>
      </c>
      <c r="GJ36" s="137">
        <f>GD36+GG36</f>
        <v>1.3444845177383531</v>
      </c>
      <c r="GK36" s="123">
        <f t="shared" si="167"/>
        <v>6.9817455641821846E-7</v>
      </c>
      <c r="GL36" s="119">
        <f>(GJ36/FO36)-1</f>
        <v>0.4032225765190689</v>
      </c>
      <c r="GM36" s="137">
        <f>GM35/GM37</f>
        <v>0.6610070071974381</v>
      </c>
      <c r="GN36" s="123">
        <f t="shared" si="168"/>
        <v>6.3127942766907377E-7</v>
      </c>
      <c r="GO36" s="119">
        <f>(GM36/FR36)-1</f>
        <v>0.15308549069679556</v>
      </c>
      <c r="GP36" s="206">
        <f>GJ36+GM36</f>
        <v>2.005491524935791</v>
      </c>
      <c r="GQ36" s="123">
        <f t="shared" si="171"/>
        <v>6.7461253763223314E-7</v>
      </c>
      <c r="GR36" s="119">
        <f>(GP36/FU36)-1</f>
        <v>0.3105303236052166</v>
      </c>
      <c r="GS36" s="137">
        <f>GS35/GS37</f>
        <v>1.7162970727989852</v>
      </c>
      <c r="GT36" s="123">
        <f t="shared" si="344"/>
        <v>1.0278415845657524E-6</v>
      </c>
      <c r="GU36" s="119">
        <f>(GS36/FX36)-1</f>
        <v>-3.7371512889772251E-4</v>
      </c>
      <c r="GV36" s="206">
        <f>GP36+GS36</f>
        <v>3.7217885977347764</v>
      </c>
      <c r="GW36" s="123">
        <f t="shared" si="401"/>
        <v>8.0165833322594618E-7</v>
      </c>
      <c r="GX36" s="119">
        <f>(GV36/GA36)-1</f>
        <v>0.15009812253149124</v>
      </c>
      <c r="GY36" s="137">
        <f>GY35/GY37</f>
        <v>0.5745025096635803</v>
      </c>
      <c r="GZ36" s="123">
        <f t="shared" si="352"/>
        <v>5.6831076389098803E-7</v>
      </c>
      <c r="HA36" s="119">
        <f t="shared" si="229"/>
        <v>0.42075459395621673</v>
      </c>
      <c r="HB36" s="137">
        <f>HB35/HB37</f>
        <v>1.2372432637736221</v>
      </c>
      <c r="HC36" s="123">
        <f t="shared" si="371"/>
        <v>9.1361653355763521E-7</v>
      </c>
      <c r="HD36" s="119">
        <f>(HB36/GG36)-1</f>
        <v>0.31604799883045831</v>
      </c>
      <c r="HE36" s="137">
        <f>GY36+HB36</f>
        <v>1.8117457734372024</v>
      </c>
      <c r="HF36" s="123">
        <f t="shared" si="240"/>
        <v>7.6602667408441365E-7</v>
      </c>
      <c r="HG36" s="119">
        <f>(HE36/GJ36)-1</f>
        <v>0.34753933536167492</v>
      </c>
      <c r="HH36" s="137">
        <f>HH35/HH37</f>
        <v>0.15009337434158881</v>
      </c>
      <c r="HI36" s="123">
        <f t="shared" si="402"/>
        <v>1.2023196288071903E-7</v>
      </c>
      <c r="HJ36" s="119">
        <f t="shared" si="241"/>
        <v>-0.7729322492692472</v>
      </c>
      <c r="HK36" s="137">
        <f>HK35/HK37</f>
        <v>0.51194472268694469</v>
      </c>
      <c r="HL36" s="123">
        <f t="shared" si="300"/>
        <v>1.4167613287748858E-7</v>
      </c>
      <c r="HM36" s="119">
        <f t="shared" si="230"/>
        <v>-0.74472855341368971</v>
      </c>
      <c r="HN36" s="137">
        <v>0.39389999999999997</v>
      </c>
      <c r="HO36" s="123">
        <f t="shared" si="355"/>
        <v>2.1438298085411396E-7</v>
      </c>
      <c r="HP36" s="119">
        <f>(HN36/GS36)-1</f>
        <v>-0.7704942773353235</v>
      </c>
      <c r="HQ36" s="137">
        <v>0.90659999999999996</v>
      </c>
      <c r="HR36" s="123">
        <f t="shared" si="403"/>
        <v>1.6632262259184435E-7</v>
      </c>
      <c r="HS36" s="119">
        <f>(HQ36/GV36)-1</f>
        <v>-0.75640744330513787</v>
      </c>
      <c r="HT36" s="137">
        <f>HT35/HT37</f>
        <v>0.10236057804548793</v>
      </c>
      <c r="HU36" s="123">
        <f t="shared" si="404"/>
        <v>9.5117565655920863E-8</v>
      </c>
      <c r="HV36" s="119">
        <f>HT36/GY36-1</f>
        <v>-0.82182744840326516</v>
      </c>
      <c r="HW36" s="137">
        <f>HW35/HW37</f>
        <v>0.27225031492102902</v>
      </c>
      <c r="HX36" s="123">
        <f t="shared" si="184"/>
        <v>1.8587597831144177E-7</v>
      </c>
      <c r="HY36" s="119">
        <f>(HW36/HB36)-1</f>
        <v>-0.77995409399873483</v>
      </c>
      <c r="HZ36" s="137">
        <f>HT36+HW36</f>
        <v>0.37461089296651695</v>
      </c>
      <c r="IA36" s="123">
        <f t="shared" si="425"/>
        <v>1.474360773251469E-7</v>
      </c>
      <c r="IB36" s="119">
        <f>(HZ36/HE36)-1</f>
        <v>-0.79323208672052603</v>
      </c>
      <c r="IC36" s="137">
        <f>IC35/IC37</f>
        <v>0.13207367325975952</v>
      </c>
      <c r="ID36" s="123">
        <f t="shared" si="187"/>
        <v>1.0478561339155703E-7</v>
      </c>
      <c r="IE36" s="119">
        <f>(IC36/HH36)-1</f>
        <v>-0.12005660583537348</v>
      </c>
      <c r="IF36" s="137">
        <f>HZ36+IC36</f>
        <v>0.50668456622627644</v>
      </c>
      <c r="IG36" s="123">
        <f t="shared" si="426"/>
        <v>1.3329405670504431E-7</v>
      </c>
      <c r="IH36" s="119">
        <f>(IF36/HK36)-1</f>
        <v>-1.0274852396290557E-2</v>
      </c>
      <c r="II36" s="137">
        <v>0.4662</v>
      </c>
      <c r="IJ36" s="123">
        <f t="shared" si="22"/>
        <v>2.4274877844565801E-7</v>
      </c>
      <c r="IK36" s="119">
        <f>(II36/HN36)-1</f>
        <v>0.1835491241431837</v>
      </c>
      <c r="IL36" s="137">
        <v>0.97419999999999995</v>
      </c>
      <c r="IM36" s="123">
        <f>(IL36/IL$8)</f>
        <v>1.7026238618662064E-7</v>
      </c>
      <c r="IN36" s="119">
        <f>(IL36/HQ36)-1</f>
        <v>7.4564306198985131E-2</v>
      </c>
      <c r="IO36" s="137">
        <f>IO35/IO37</f>
        <v>0.10407262863528637</v>
      </c>
      <c r="IP36" s="123">
        <f t="shared" si="405"/>
        <v>8.4290902478112921E-8</v>
      </c>
      <c r="IQ36" s="119">
        <f>IO36/HT36-1</f>
        <v>1.6725683094888533E-2</v>
      </c>
      <c r="IR36" s="137">
        <f>IR35/IR37</f>
        <v>0.27221286003674294</v>
      </c>
      <c r="IS36" s="123">
        <f t="shared" si="190"/>
        <v>1.66955048180842E-7</v>
      </c>
      <c r="IT36" s="119">
        <f>(IR36/HW36)-1</f>
        <v>-1.3757517340962089E-4</v>
      </c>
      <c r="IU36" s="137">
        <f>IO36+IR36</f>
        <v>0.37628548867202932</v>
      </c>
      <c r="IV36" s="123">
        <f t="shared" si="427"/>
        <v>1.3133232186630647E-7</v>
      </c>
      <c r="IW36" s="119">
        <f>(IU36/HZ36)-1</f>
        <v>4.4702269393486205E-3</v>
      </c>
      <c r="IX36" s="137">
        <f>IX35/IX37</f>
        <v>0.19680470749892459</v>
      </c>
      <c r="IY36" s="123">
        <f t="shared" si="193"/>
        <v>1.3011210496180996E-7</v>
      </c>
      <c r="IZ36" s="119">
        <f>(IX36/IC36)-1</f>
        <v>0.49011307584255293</v>
      </c>
      <c r="JA36" s="137">
        <f t="shared" si="406"/>
        <v>0.57309019617095391</v>
      </c>
      <c r="JB36" s="123">
        <f>(JA36/JA$8)</f>
        <v>1.3091071562191853E-7</v>
      </c>
      <c r="JC36" s="119">
        <f>(JA36/IF36)-1</f>
        <v>0.13105911324526476</v>
      </c>
      <c r="JD36" s="137">
        <f>JD35/JD37</f>
        <v>0.46520700161592282</v>
      </c>
      <c r="JE36" s="123">
        <f t="shared" si="195"/>
        <v>2.0933064322123279E-7</v>
      </c>
      <c r="JF36" s="119">
        <f>(JD36/II36)-1</f>
        <v>-2.1299836638292158E-3</v>
      </c>
      <c r="JG36" s="137">
        <f t="shared" si="407"/>
        <v>1.0382971977868767</v>
      </c>
      <c r="JH36" s="123">
        <f>(JG36/JG$8)</f>
        <v>1.5731601722994225E-7</v>
      </c>
      <c r="JI36" s="119">
        <f>(JG36/IL36)-1</f>
        <v>6.5794701074601392E-2</v>
      </c>
      <c r="JJ36" s="137">
        <f>JJ35/JJ37</f>
        <v>0.15624860210029376</v>
      </c>
      <c r="JK36" s="123">
        <f t="shared" si="197"/>
        <v>1.1170037159939475E-7</v>
      </c>
      <c r="JL36" s="119">
        <f>(JJ36/IO36)-1</f>
        <v>0.50134193927063797</v>
      </c>
      <c r="JM36" s="137">
        <f>JM35/JM37</f>
        <v>0.38331103723445065</v>
      </c>
      <c r="JN36" s="123">
        <f t="shared" si="198"/>
        <v>2.1533952905002815E-7</v>
      </c>
      <c r="JO36" s="119">
        <f>(JM36/IR36)-1</f>
        <v>0.40812978924916266</v>
      </c>
      <c r="JP36" s="137">
        <f>JP35/JP37</f>
        <v>0.53880969422681113</v>
      </c>
      <c r="JQ36" s="123">
        <f t="shared" si="199"/>
        <v>1.6949830732082707E-7</v>
      </c>
      <c r="JR36" s="119">
        <f>(JP36/IU36)-1</f>
        <v>0.43191728208375846</v>
      </c>
      <c r="JS36" s="137">
        <f>JS35/JS37</f>
        <v>0.27050160702595943</v>
      </c>
      <c r="JT36" s="119">
        <f t="shared" si="37"/>
        <v>1.5805303598852643E-7</v>
      </c>
      <c r="JU36" s="119">
        <f t="shared" si="38"/>
        <v>0.37446715814680176</v>
      </c>
      <c r="JV36" s="137">
        <f t="shared" si="39"/>
        <v>0.80931130125277062</v>
      </c>
      <c r="JW36" s="119">
        <f t="shared" si="40"/>
        <v>1.6549280838228297E-7</v>
      </c>
      <c r="JX36" s="119">
        <f t="shared" si="41"/>
        <v>0.41218835474783022</v>
      </c>
      <c r="JY36" s="137">
        <f>JY35/JY37</f>
        <v>0.61077721131517837</v>
      </c>
      <c r="JZ36" s="119">
        <f t="shared" si="42"/>
        <v>2.3535587587603912E-7</v>
      </c>
      <c r="KA36" s="119">
        <f t="shared" si="435"/>
        <v>0.31291491571195018</v>
      </c>
      <c r="KB36" s="137">
        <f t="shared" si="44"/>
        <v>1.420088512567949</v>
      </c>
      <c r="KC36" s="119">
        <f t="shared" si="45"/>
        <v>1.8971360942886658E-7</v>
      </c>
      <c r="KD36" s="119">
        <f t="shared" si="436"/>
        <v>0.36770908714273509</v>
      </c>
      <c r="KE36" s="137">
        <f>KE35/KE37</f>
        <v>0.21663027899070031</v>
      </c>
      <c r="KF36" s="119">
        <f t="shared" si="47"/>
        <v>1.3126426844377864E-7</v>
      </c>
      <c r="KG36" s="119">
        <f t="shared" si="48"/>
        <v>0.38644618946189624</v>
      </c>
      <c r="KH36" s="137">
        <f>KH35/KH37</f>
        <v>0.29066957919507391</v>
      </c>
      <c r="KI36" s="123">
        <f t="shared" si="200"/>
        <v>1.4394043856911792E-7</v>
      </c>
      <c r="KJ36" s="119">
        <f>(KH36/JM36)-1</f>
        <v>-0.24168742624208073</v>
      </c>
      <c r="KK36" s="137">
        <f>KK35/KK37</f>
        <v>0.48716320740931102</v>
      </c>
      <c r="KL36" s="123">
        <f t="shared" si="201"/>
        <v>1.3275247217268907E-7</v>
      </c>
      <c r="KM36" s="119">
        <f>(KK36/JP36)-1</f>
        <v>-9.5852927983436809E-2</v>
      </c>
      <c r="KN36" s="137">
        <f>(KN35/KN37)</f>
        <v>0.23481006530046639</v>
      </c>
      <c r="KO36" s="119">
        <f t="shared" si="50"/>
        <v>1.2154208203866528E-7</v>
      </c>
      <c r="KP36" s="119">
        <f t="shared" si="437"/>
        <v>-0.13194576593427709</v>
      </c>
      <c r="KQ36" s="137">
        <f t="shared" si="423"/>
        <v>0.7219732727097774</v>
      </c>
      <c r="KR36" s="119">
        <f t="shared" si="53"/>
        <v>1.288861685400383E-7</v>
      </c>
      <c r="KS36" s="119">
        <f t="shared" si="438"/>
        <v>-0.10791648208519844</v>
      </c>
      <c r="KT36" s="137">
        <f>(KT35/KT37)</f>
        <v>0.64452155478020856</v>
      </c>
      <c r="KU36" s="119">
        <f t="shared" si="55"/>
        <v>2.2433294238411078E-7</v>
      </c>
      <c r="KV36" s="119">
        <f t="shared" si="439"/>
        <v>5.5248203174393051E-2</v>
      </c>
      <c r="KW36" s="137">
        <f t="shared" si="424"/>
        <v>1.366494827489986</v>
      </c>
      <c r="KX36" s="119">
        <f t="shared" si="58"/>
        <v>1.6124416866663913E-7</v>
      </c>
      <c r="KY36" s="119">
        <f t="shared" si="440"/>
        <v>-3.773967932537492E-2</v>
      </c>
      <c r="KZ36" s="137">
        <f>(KZ35/KZ37)</f>
        <v>8.9710618207597681E-3</v>
      </c>
      <c r="LA36" s="119">
        <f t="shared" si="60"/>
        <v>5.7871097683880375E-9</v>
      </c>
      <c r="LB36" s="119">
        <f t="shared" si="441"/>
        <v>-0.95858814445258189</v>
      </c>
      <c r="LC36" s="137">
        <f>(LC35/LC37)</f>
        <v>1.0282318782287359</v>
      </c>
      <c r="LD36" s="123">
        <f t="shared" si="202"/>
        <v>1.9054175003682776E-6</v>
      </c>
      <c r="LE36" s="119">
        <f>(LC36/KH36)-1</f>
        <v>2.5374595479724067</v>
      </c>
      <c r="LF36" s="137">
        <f>LF35/LF37</f>
        <v>1.0372025792179389</v>
      </c>
      <c r="LG36" s="123">
        <f t="shared" si="416"/>
        <v>4.9631287118958748E-7</v>
      </c>
      <c r="LH36" s="119">
        <f>(LF36/KK36)-1</f>
        <v>1.1290659135234913</v>
      </c>
      <c r="LI36" s="137">
        <f>(LI35/LI37)</f>
        <v>-0.1041578688063063</v>
      </c>
      <c r="LJ36" s="123">
        <f t="shared" si="417"/>
        <v>-6.3080219262938528E-8</v>
      </c>
      <c r="LK36" s="119">
        <f>(LI36/KN36)-1</f>
        <v>-1.4435834923559361</v>
      </c>
      <c r="LL36" s="137">
        <f t="shared" si="62"/>
        <v>0.93304471041163262</v>
      </c>
      <c r="LM36" s="123">
        <f t="shared" si="418"/>
        <v>2.4940964129545465E-7</v>
      </c>
      <c r="LN36" s="119">
        <f>(LL36/KQ36)-1</f>
        <v>0.29235353396067176</v>
      </c>
      <c r="LO36" s="137">
        <f>(LO35/LO37)</f>
        <v>0.44457088310285492</v>
      </c>
      <c r="LP36" s="123">
        <f t="shared" si="419"/>
        <v>1.5227335202892182E-7</v>
      </c>
      <c r="LQ36" s="119">
        <f>(LO36/KT36)-1</f>
        <v>-0.31023116324719313</v>
      </c>
      <c r="LR36" s="137">
        <f t="shared" si="63"/>
        <v>1.3776155935144876</v>
      </c>
      <c r="LS36" s="123">
        <f t="shared" si="420"/>
        <v>2.0683145536838923E-7</v>
      </c>
      <c r="LT36" s="119">
        <f>(LR36/KW36)-1</f>
        <v>8.138169132281714E-3</v>
      </c>
    </row>
    <row r="37" spans="1:332" ht="21" customHeight="1">
      <c r="A37" s="105"/>
      <c r="B37" s="133" t="s">
        <v>1347</v>
      </c>
      <c r="C37" s="133" t="s">
        <v>209</v>
      </c>
      <c r="D37" s="128">
        <v>3799644</v>
      </c>
      <c r="E37" s="111"/>
      <c r="F37" s="128">
        <v>15018</v>
      </c>
      <c r="G37" s="111"/>
      <c r="H37" s="128">
        <v>15018</v>
      </c>
      <c r="I37" s="111"/>
      <c r="J37" s="128">
        <v>24292</v>
      </c>
      <c r="K37" s="111"/>
      <c r="L37" s="128">
        <v>24292</v>
      </c>
      <c r="M37" s="111"/>
      <c r="N37" s="128">
        <v>24292</v>
      </c>
      <c r="O37" s="111"/>
      <c r="P37" s="128">
        <v>24292</v>
      </c>
      <c r="Q37" s="138"/>
      <c r="R37" s="128">
        <v>24292</v>
      </c>
      <c r="S37" s="138"/>
      <c r="T37" s="138"/>
      <c r="U37" s="128">
        <v>24292</v>
      </c>
      <c r="V37" s="138"/>
      <c r="W37" s="138"/>
      <c r="X37" s="128">
        <v>24292</v>
      </c>
      <c r="Y37" s="138"/>
      <c r="Z37" s="138"/>
      <c r="AA37" s="128">
        <v>24292</v>
      </c>
      <c r="AB37" s="138"/>
      <c r="AC37" s="138"/>
      <c r="AD37" s="128">
        <v>24292</v>
      </c>
      <c r="AE37" s="138"/>
      <c r="AF37" s="138"/>
      <c r="AG37" s="128">
        <v>121852</v>
      </c>
      <c r="AH37" s="138"/>
      <c r="AI37" s="138"/>
      <c r="AJ37" s="128">
        <v>121852</v>
      </c>
      <c r="AK37" s="138"/>
      <c r="AL37" s="138"/>
      <c r="AM37" s="120">
        <v>121582</v>
      </c>
      <c r="AN37" s="119"/>
      <c r="AO37" s="119"/>
      <c r="AP37" s="120">
        <v>121582</v>
      </c>
      <c r="AQ37" s="119"/>
      <c r="AR37" s="119"/>
      <c r="AS37" s="120">
        <v>121582</v>
      </c>
      <c r="AT37" s="119"/>
      <c r="AU37" s="119"/>
      <c r="AV37" s="120">
        <v>121582</v>
      </c>
      <c r="AW37" s="119"/>
      <c r="AX37" s="119"/>
      <c r="AY37" s="120">
        <v>121582</v>
      </c>
      <c r="AZ37" s="119"/>
      <c r="BA37" s="119"/>
      <c r="BB37" s="120">
        <v>121582</v>
      </c>
      <c r="BC37" s="119"/>
      <c r="BD37" s="119"/>
      <c r="BE37" s="120">
        <v>121582</v>
      </c>
      <c r="BF37" s="119"/>
      <c r="BG37" s="119"/>
      <c r="BH37" s="120">
        <v>121582</v>
      </c>
      <c r="BI37" s="119"/>
      <c r="BJ37" s="119"/>
      <c r="BK37" s="120">
        <v>121582</v>
      </c>
      <c r="BL37" s="119"/>
      <c r="BM37" s="119"/>
      <c r="BN37" s="120">
        <v>121582</v>
      </c>
      <c r="BO37" s="119"/>
      <c r="BP37" s="119"/>
      <c r="BQ37" s="120">
        <v>121582</v>
      </c>
      <c r="BR37" s="119"/>
      <c r="BS37" s="119"/>
      <c r="BT37" s="120">
        <v>121582</v>
      </c>
      <c r="BU37" s="119"/>
      <c r="BV37" s="119"/>
      <c r="BW37" s="120">
        <v>121596</v>
      </c>
      <c r="BX37" s="119"/>
      <c r="BY37" s="119"/>
      <c r="BZ37" s="120">
        <v>121596</v>
      </c>
      <c r="CA37" s="119"/>
      <c r="CB37" s="119"/>
      <c r="CC37" s="120">
        <v>121611</v>
      </c>
      <c r="CD37" s="119"/>
      <c r="CE37" s="119"/>
      <c r="CF37" s="120">
        <v>121624</v>
      </c>
      <c r="CG37" s="119"/>
      <c r="CH37" s="119"/>
      <c r="CI37" s="120">
        <f>CF37+CC37</f>
        <v>243235</v>
      </c>
      <c r="CJ37" s="119"/>
      <c r="CK37" s="119"/>
      <c r="CL37" s="120">
        <v>121804</v>
      </c>
      <c r="CM37" s="119"/>
      <c r="CN37" s="119"/>
      <c r="CO37" s="120">
        <v>121804</v>
      </c>
      <c r="CP37" s="119"/>
      <c r="CQ37" s="119"/>
      <c r="CR37" s="120">
        <v>121862</v>
      </c>
      <c r="CS37" s="119"/>
      <c r="CT37" s="119"/>
      <c r="CU37" s="120">
        <v>121862</v>
      </c>
      <c r="CV37" s="119"/>
      <c r="CW37" s="119"/>
      <c r="CX37" s="120">
        <v>121862</v>
      </c>
      <c r="CY37" s="119"/>
      <c r="CZ37" s="119"/>
      <c r="DA37" s="120">
        <v>121901</v>
      </c>
      <c r="DB37" s="119"/>
      <c r="DC37" s="119"/>
      <c r="DD37" s="120">
        <v>121901</v>
      </c>
      <c r="DE37" s="119"/>
      <c r="DF37" s="119"/>
      <c r="DG37" s="120">
        <v>122056</v>
      </c>
      <c r="DH37" s="119"/>
      <c r="DI37" s="119"/>
      <c r="DJ37" s="120">
        <v>122056</v>
      </c>
      <c r="DK37" s="112"/>
      <c r="DL37" s="119"/>
      <c r="DM37" s="120">
        <v>122349</v>
      </c>
      <c r="DN37" s="119"/>
      <c r="DO37" s="119"/>
      <c r="DP37" s="120">
        <v>122349</v>
      </c>
      <c r="DQ37" s="112"/>
      <c r="DR37" s="119"/>
      <c r="DS37" s="120">
        <v>122349</v>
      </c>
      <c r="DT37" s="112" t="s">
        <v>112</v>
      </c>
      <c r="DU37" s="119" t="s">
        <v>112</v>
      </c>
      <c r="DV37" s="120">
        <v>122537</v>
      </c>
      <c r="DW37" s="112"/>
      <c r="DX37" s="119"/>
      <c r="DY37" s="120">
        <v>122537</v>
      </c>
      <c r="DZ37" s="112"/>
      <c r="EA37" s="33"/>
      <c r="EB37" s="120">
        <v>122551</v>
      </c>
      <c r="EC37" s="112"/>
      <c r="ED37" s="119"/>
      <c r="EE37" s="120">
        <v>122551</v>
      </c>
      <c r="EF37" s="112"/>
      <c r="EG37" s="33"/>
      <c r="EH37" s="120">
        <v>122821</v>
      </c>
      <c r="EI37" s="112"/>
      <c r="EJ37" s="33"/>
      <c r="EK37" s="120">
        <v>122821</v>
      </c>
      <c r="EL37" s="112"/>
      <c r="EM37" s="33"/>
      <c r="EN37" s="120">
        <v>122821</v>
      </c>
      <c r="EO37" s="112"/>
      <c r="EP37" s="112"/>
      <c r="EQ37" s="120">
        <v>123420</v>
      </c>
      <c r="ER37" s="33"/>
      <c r="ES37" s="119"/>
      <c r="ET37" s="120">
        <v>123420</v>
      </c>
      <c r="EU37" s="33"/>
      <c r="EV37" s="33"/>
      <c r="EW37" s="120">
        <v>123528</v>
      </c>
      <c r="EX37" s="33"/>
      <c r="EY37" s="33"/>
      <c r="EZ37" s="120">
        <f>EW37</f>
        <v>123528</v>
      </c>
      <c r="FA37" s="33"/>
      <c r="FB37" s="33"/>
      <c r="FC37" s="120">
        <v>124183</v>
      </c>
      <c r="FD37" s="33"/>
      <c r="FE37" s="33"/>
      <c r="FF37" s="120">
        <v>124183</v>
      </c>
      <c r="FG37" s="33"/>
      <c r="FH37" s="33"/>
      <c r="FI37" s="120">
        <v>124184</v>
      </c>
      <c r="FJ37" s="33"/>
      <c r="FK37" s="33"/>
      <c r="FL37" s="120">
        <v>124975</v>
      </c>
      <c r="FM37" s="33"/>
      <c r="FN37" s="33"/>
      <c r="FO37" s="120">
        <v>124975</v>
      </c>
      <c r="FP37" s="33"/>
      <c r="FQ37" s="33"/>
      <c r="FR37" s="120">
        <v>124975</v>
      </c>
      <c r="FS37" s="33"/>
      <c r="FT37" s="33"/>
      <c r="FU37" s="120">
        <v>124975</v>
      </c>
      <c r="FV37" s="33"/>
      <c r="FW37" s="33"/>
      <c r="FX37" s="120">
        <v>125895</v>
      </c>
      <c r="FY37" s="33"/>
      <c r="FZ37" s="33"/>
      <c r="GA37" s="120">
        <v>125895</v>
      </c>
      <c r="GB37" s="33"/>
      <c r="GC37" s="33"/>
      <c r="GD37" s="120">
        <v>125895</v>
      </c>
      <c r="GE37" s="33"/>
      <c r="GF37" s="33"/>
      <c r="GG37" s="120">
        <v>126024.315</v>
      </c>
      <c r="GH37" s="33"/>
      <c r="GI37" s="33"/>
      <c r="GJ37" s="120">
        <v>124975</v>
      </c>
      <c r="GK37" s="33"/>
      <c r="GL37" s="33"/>
      <c r="GM37" s="120">
        <v>126156</v>
      </c>
      <c r="GN37" s="33"/>
      <c r="GO37" s="33"/>
      <c r="GP37" s="120">
        <f>GM37</f>
        <v>126156</v>
      </c>
      <c r="GQ37" s="33"/>
      <c r="GR37" s="33"/>
      <c r="GS37" s="120">
        <v>127394.565</v>
      </c>
      <c r="GT37" s="33"/>
      <c r="GU37" s="33"/>
      <c r="GV37" s="120">
        <f>GS37</f>
        <v>127394.565</v>
      </c>
      <c r="GW37" s="33"/>
      <c r="GX37" s="33"/>
      <c r="GY37" s="120">
        <f>GS37</f>
        <v>127394.565</v>
      </c>
      <c r="GZ37" s="33"/>
      <c r="HA37" s="33"/>
      <c r="HB37" s="120">
        <v>127839.565</v>
      </c>
      <c r="HC37" s="33"/>
      <c r="HD37" s="33"/>
      <c r="HE37" s="120">
        <f>HB37</f>
        <v>127839.565</v>
      </c>
      <c r="HF37" s="33"/>
      <c r="HG37" s="33"/>
      <c r="HH37" s="120">
        <f>127875.065*5</f>
        <v>639375.32499999995</v>
      </c>
      <c r="HI37" s="33"/>
      <c r="HJ37" s="33"/>
      <c r="HK37" s="120">
        <f>HH37</f>
        <v>639375.32499999995</v>
      </c>
      <c r="HL37" s="33"/>
      <c r="HM37" s="33"/>
      <c r="HN37" s="120">
        <v>640041.32499999995</v>
      </c>
      <c r="HO37" s="33"/>
      <c r="HP37" s="33"/>
      <c r="HQ37" s="120">
        <f>HN37</f>
        <v>640041.32499999995</v>
      </c>
      <c r="HR37" s="33"/>
      <c r="HS37" s="33"/>
      <c r="HT37" s="120">
        <f>+HQ37</f>
        <v>640041.32499999995</v>
      </c>
      <c r="HU37" s="33"/>
      <c r="HV37" s="33"/>
      <c r="HW37" s="120">
        <v>642085.57499999995</v>
      </c>
      <c r="HX37" s="33"/>
      <c r="HY37" s="33"/>
      <c r="HZ37" s="120">
        <f>HW37</f>
        <v>642085.57499999995</v>
      </c>
      <c r="IA37" s="33"/>
      <c r="IB37" s="33"/>
      <c r="IC37" s="120">
        <v>642853.32499999995</v>
      </c>
      <c r="ID37" s="33"/>
      <c r="IE37" s="33"/>
      <c r="IF37" s="120">
        <f>IC37</f>
        <v>642853.32499999995</v>
      </c>
      <c r="IG37" s="33"/>
      <c r="IH37" s="33"/>
      <c r="II37" s="120">
        <v>643550.57499999995</v>
      </c>
      <c r="IJ37" s="33"/>
      <c r="IK37" s="33"/>
      <c r="IL37" s="120">
        <f>II37</f>
        <v>643550.57499999995</v>
      </c>
      <c r="IM37" s="33"/>
      <c r="IN37" s="33"/>
      <c r="IO37" s="120">
        <f>+IL37</f>
        <v>643550.57499999995</v>
      </c>
      <c r="IP37" s="33"/>
      <c r="IQ37" s="33"/>
      <c r="IR37" s="120">
        <v>711145.68200000003</v>
      </c>
      <c r="IS37" s="33"/>
      <c r="IT37" s="33"/>
      <c r="IU37" s="120">
        <f>IR37</f>
        <v>711145.68200000003</v>
      </c>
      <c r="IV37" s="33"/>
      <c r="IW37" s="33"/>
      <c r="IX37" s="120">
        <v>712985.99399999995</v>
      </c>
      <c r="IY37" s="33"/>
      <c r="IZ37" s="33"/>
      <c r="JA37" s="120">
        <f>IX37</f>
        <v>712985.99399999995</v>
      </c>
      <c r="JB37" s="33"/>
      <c r="JC37" s="33"/>
      <c r="JD37" s="120">
        <v>713235.18099999998</v>
      </c>
      <c r="JE37" s="33"/>
      <c r="JF37" s="33"/>
      <c r="JG37" s="120">
        <f>JD37</f>
        <v>713235.18099999998</v>
      </c>
      <c r="JH37" s="33"/>
      <c r="JI37" s="33"/>
      <c r="JJ37" s="120">
        <v>713235.18099999998</v>
      </c>
      <c r="JK37" s="33"/>
      <c r="JL37" s="33"/>
      <c r="JM37" s="418">
        <v>716675</v>
      </c>
      <c r="JN37" s="33"/>
      <c r="JO37" s="33"/>
      <c r="JP37" s="418">
        <v>716675</v>
      </c>
      <c r="JQ37" s="33"/>
      <c r="JR37" s="33"/>
      <c r="JS37" s="418">
        <v>717966</v>
      </c>
      <c r="JT37" s="33">
        <v>0</v>
      </c>
      <c r="JU37" s="33">
        <v>0</v>
      </c>
      <c r="JV37" s="418">
        <f>JS37</f>
        <v>717966</v>
      </c>
      <c r="JW37" s="33">
        <v>0</v>
      </c>
      <c r="JX37" s="33">
        <v>0</v>
      </c>
      <c r="JY37" s="418">
        <v>720024</v>
      </c>
      <c r="JZ37" s="33">
        <v>0</v>
      </c>
      <c r="KA37" s="33">
        <v>0</v>
      </c>
      <c r="KB37" s="418">
        <v>720024</v>
      </c>
      <c r="KC37" s="33">
        <v>0</v>
      </c>
      <c r="KD37" s="33">
        <v>0</v>
      </c>
      <c r="KE37" s="418">
        <f>KB37</f>
        <v>720024</v>
      </c>
      <c r="KF37" s="33" t="s">
        <v>112</v>
      </c>
      <c r="KG37" s="33" t="s">
        <v>112</v>
      </c>
      <c r="KH37" s="418">
        <v>793812</v>
      </c>
      <c r="KI37" s="33"/>
      <c r="KJ37" s="33"/>
      <c r="KK37" s="418">
        <v>793812</v>
      </c>
      <c r="KL37" s="33"/>
      <c r="KM37" s="33"/>
      <c r="KN37" s="418">
        <v>795247</v>
      </c>
      <c r="KO37" s="33">
        <v>0</v>
      </c>
      <c r="KP37" s="33">
        <v>0</v>
      </c>
      <c r="KQ37" s="589">
        <f>KN37</f>
        <v>795247</v>
      </c>
      <c r="KR37" s="33">
        <v>0</v>
      </c>
      <c r="KS37" s="33">
        <v>0</v>
      </c>
      <c r="KT37" s="418">
        <v>795557.56700000004</v>
      </c>
      <c r="KU37" s="33">
        <v>0</v>
      </c>
      <c r="KV37" s="33">
        <v>0</v>
      </c>
      <c r="KW37" s="458">
        <f>KT37</f>
        <v>795557.56700000004</v>
      </c>
      <c r="KX37" s="33">
        <v>0</v>
      </c>
      <c r="KY37" s="33">
        <v>0</v>
      </c>
      <c r="KZ37" s="418">
        <v>795558</v>
      </c>
      <c r="LA37" s="33">
        <v>0</v>
      </c>
      <c r="LB37" s="33">
        <v>0</v>
      </c>
      <c r="LC37" s="418">
        <v>795590</v>
      </c>
      <c r="LD37" s="33"/>
      <c r="LE37" s="33"/>
      <c r="LF37" s="418">
        <v>795590</v>
      </c>
      <c r="LG37" s="33"/>
      <c r="LH37" s="33"/>
      <c r="LI37" s="418">
        <v>795648</v>
      </c>
      <c r="LJ37" s="33"/>
      <c r="LK37" s="33"/>
      <c r="LL37" s="418">
        <f>LI37</f>
        <v>795648</v>
      </c>
      <c r="LM37" s="33"/>
      <c r="LN37" s="33"/>
      <c r="LO37" s="418">
        <v>796170</v>
      </c>
      <c r="LP37" s="33"/>
      <c r="LQ37" s="33"/>
      <c r="LR37" s="418">
        <f>LO37</f>
        <v>796170</v>
      </c>
      <c r="LS37" s="33"/>
      <c r="LT37" s="33"/>
    </row>
    <row r="38" spans="1:332" ht="15.75" customHeight="1">
      <c r="A38" s="143"/>
      <c r="B38" s="139"/>
      <c r="C38" s="139"/>
      <c r="D38" s="140"/>
      <c r="E38" s="140"/>
      <c r="F38" s="140"/>
      <c r="G38" s="140"/>
      <c r="H38" s="140"/>
      <c r="I38" s="140"/>
      <c r="J38" s="140"/>
      <c r="K38" s="140"/>
      <c r="L38" s="140"/>
      <c r="M38" s="140"/>
      <c r="N38" s="140"/>
      <c r="O38" s="140"/>
      <c r="P38" s="265"/>
      <c r="Q38" s="140"/>
      <c r="R38" s="140"/>
      <c r="S38" s="140"/>
      <c r="T38" s="140"/>
      <c r="U38" s="140"/>
      <c r="V38" s="140"/>
      <c r="W38" s="140"/>
      <c r="X38" s="140"/>
      <c r="Y38" s="140"/>
      <c r="Z38" s="140"/>
      <c r="AA38" s="140"/>
      <c r="AB38" s="140"/>
      <c r="AC38" s="140"/>
      <c r="AD38" s="140"/>
      <c r="AE38" s="140"/>
      <c r="AF38" s="140"/>
      <c r="AG38" s="140"/>
      <c r="AH38" s="140"/>
      <c r="AI38" s="140"/>
      <c r="AJ38" s="265"/>
      <c r="AK38" s="140"/>
      <c r="AL38" s="140"/>
      <c r="AM38" s="140"/>
      <c r="AN38" s="140"/>
      <c r="AO38" s="140"/>
      <c r="AP38" s="140"/>
      <c r="AQ38" s="140"/>
      <c r="AR38" s="140"/>
      <c r="AS38" s="140"/>
      <c r="AT38" s="140"/>
      <c r="AU38" s="140"/>
      <c r="AV38" s="140"/>
      <c r="AW38" s="140"/>
      <c r="AX38" s="140"/>
      <c r="AY38" s="140"/>
      <c r="AZ38" s="140"/>
      <c r="BA38" s="140"/>
      <c r="BB38" s="140"/>
      <c r="BC38" s="140"/>
      <c r="BD38" s="140"/>
      <c r="BE38" s="265"/>
      <c r="BF38" s="140"/>
      <c r="BG38" s="140"/>
      <c r="BH38" s="140"/>
      <c r="BI38" s="140"/>
      <c r="BJ38" s="140"/>
      <c r="BK38" s="140"/>
      <c r="BL38" s="140"/>
      <c r="BM38" s="140"/>
      <c r="BN38" s="140"/>
      <c r="BO38" s="140"/>
      <c r="BP38" s="140"/>
      <c r="BQ38" s="140"/>
      <c r="BR38" s="140"/>
      <c r="BS38" s="140"/>
      <c r="BT38" s="140"/>
      <c r="BU38" s="140"/>
      <c r="BV38" s="140"/>
      <c r="BW38" s="140"/>
      <c r="BX38" s="140"/>
      <c r="BY38" s="140"/>
      <c r="BZ38" s="265"/>
      <c r="CA38" s="140"/>
      <c r="CB38" s="140"/>
      <c r="CC38" s="140"/>
      <c r="CD38" s="140"/>
      <c r="CE38" s="140"/>
      <c r="CF38" s="140"/>
      <c r="CG38" s="140"/>
      <c r="CH38" s="140"/>
      <c r="CI38" s="140"/>
      <c r="CJ38" s="140"/>
      <c r="CK38" s="140"/>
      <c r="CL38" s="140"/>
      <c r="CM38" s="140"/>
      <c r="CN38" s="140"/>
      <c r="CO38" s="140"/>
      <c r="CP38" s="140"/>
      <c r="CQ38" s="140"/>
      <c r="CR38" s="140"/>
      <c r="CS38" s="140"/>
      <c r="CT38" s="140"/>
      <c r="CU38" s="265"/>
      <c r="CV38" s="140"/>
      <c r="CW38" s="140"/>
      <c r="CX38" s="140"/>
      <c r="CY38" s="140"/>
      <c r="CZ38" s="140"/>
      <c r="DA38" s="140"/>
      <c r="DB38" s="140"/>
      <c r="DC38" s="140"/>
      <c r="DD38" s="140"/>
      <c r="DE38" s="140"/>
      <c r="DF38" s="140"/>
      <c r="DG38" s="140"/>
      <c r="DH38" s="140"/>
      <c r="DI38" s="140"/>
      <c r="DJ38" s="140"/>
      <c r="DK38" s="140"/>
      <c r="DL38" s="140"/>
      <c r="DM38" s="140"/>
      <c r="DN38" s="140"/>
      <c r="DO38" s="140"/>
      <c r="DP38" s="265"/>
      <c r="DQ38" s="140"/>
      <c r="DR38" s="140"/>
      <c r="DS38" s="187"/>
      <c r="DT38" s="140"/>
      <c r="DU38" s="140"/>
      <c r="DV38" s="140"/>
      <c r="DW38" s="140"/>
      <c r="DX38" s="140"/>
      <c r="DY38" s="140"/>
      <c r="DZ38" s="140"/>
      <c r="EA38" s="142"/>
      <c r="EB38" s="140"/>
      <c r="EC38" s="140"/>
      <c r="ED38" s="140"/>
      <c r="EE38" s="140"/>
      <c r="EF38" s="140"/>
      <c r="EG38" s="142"/>
      <c r="EH38" s="140"/>
      <c r="EI38" s="140"/>
      <c r="EJ38" s="142"/>
      <c r="EK38" s="265"/>
      <c r="EL38" s="140"/>
      <c r="EM38" s="142"/>
      <c r="EN38" s="140"/>
      <c r="EO38" s="140"/>
      <c r="EP38" s="140"/>
      <c r="EQ38" s="140"/>
      <c r="ER38" s="142"/>
      <c r="ES38" s="140"/>
      <c r="ET38" s="140"/>
      <c r="EU38" s="142"/>
      <c r="EV38" s="142"/>
      <c r="EW38" s="140"/>
      <c r="EX38" s="142"/>
      <c r="EY38" s="142"/>
      <c r="EZ38" s="140"/>
      <c r="FA38" s="142"/>
      <c r="FB38" s="142"/>
      <c r="FC38" s="140"/>
      <c r="FD38" s="142"/>
      <c r="FE38" s="142"/>
      <c r="FF38" s="265"/>
      <c r="FG38" s="142"/>
      <c r="FH38" s="142"/>
      <c r="FI38" s="140"/>
      <c r="FJ38" s="142"/>
      <c r="FK38" s="142"/>
      <c r="FL38" s="140"/>
      <c r="FM38" s="142"/>
      <c r="FN38" s="142"/>
      <c r="FO38" s="141"/>
      <c r="FP38" s="142"/>
      <c r="FQ38" s="141"/>
      <c r="FR38" s="141"/>
      <c r="FS38" s="141"/>
      <c r="FT38" s="141"/>
      <c r="FU38" s="141"/>
      <c r="FV38" s="141"/>
      <c r="FW38" s="141"/>
      <c r="FX38" s="141"/>
      <c r="FY38" s="141"/>
      <c r="FZ38" s="141"/>
      <c r="GA38" s="265"/>
      <c r="GB38" s="141"/>
      <c r="GC38" s="141"/>
      <c r="GD38" s="140"/>
      <c r="GE38" s="142"/>
      <c r="GF38" s="142"/>
      <c r="GG38" s="140"/>
      <c r="GH38" s="142"/>
      <c r="GI38" s="142"/>
      <c r="GJ38" s="141"/>
      <c r="GK38" s="141"/>
      <c r="GL38" s="141"/>
      <c r="GM38" s="140"/>
      <c r="GN38" s="142"/>
      <c r="GO38" s="142"/>
      <c r="GP38" s="141"/>
      <c r="GQ38" s="141"/>
      <c r="GR38" s="141"/>
      <c r="GS38" s="140"/>
      <c r="GT38" s="142"/>
      <c r="GU38" s="142"/>
      <c r="GV38" s="265"/>
      <c r="GW38" s="142"/>
      <c r="GX38" s="141"/>
      <c r="GY38" s="140"/>
      <c r="GZ38" s="142"/>
      <c r="HA38" s="142"/>
      <c r="HB38" s="140"/>
      <c r="HC38" s="142"/>
      <c r="HD38" s="142"/>
      <c r="HE38" s="141"/>
      <c r="HF38" s="142"/>
      <c r="HG38" s="141"/>
      <c r="HH38" s="140"/>
      <c r="HI38" s="142"/>
      <c r="HJ38" s="142"/>
      <c r="HK38" s="141"/>
      <c r="HL38" s="141"/>
      <c r="HM38" s="141"/>
      <c r="HN38" s="140"/>
      <c r="HO38" s="141"/>
      <c r="HP38" s="142"/>
      <c r="HQ38" s="265"/>
      <c r="HR38" s="141"/>
      <c r="HS38" s="141"/>
      <c r="HT38" s="140"/>
      <c r="HU38" s="142"/>
      <c r="HV38" s="142"/>
      <c r="HW38" s="140"/>
      <c r="HX38" s="142"/>
      <c r="HY38" s="142"/>
      <c r="HZ38" s="141"/>
      <c r="IA38" s="142"/>
      <c r="IB38" s="141"/>
      <c r="IC38" s="140"/>
      <c r="ID38" s="142"/>
      <c r="IE38" s="142"/>
      <c r="IF38" s="141"/>
      <c r="IG38" s="142"/>
      <c r="IH38" s="141"/>
      <c r="II38" s="140"/>
      <c r="IJ38" s="142"/>
      <c r="IK38" s="142"/>
      <c r="IL38" s="141"/>
      <c r="IM38" s="142"/>
      <c r="IN38" s="141"/>
      <c r="IO38" s="140"/>
      <c r="IP38" s="142"/>
      <c r="IQ38" s="142"/>
      <c r="IR38" s="140"/>
      <c r="IS38" s="142"/>
      <c r="IT38" s="142"/>
      <c r="IU38" s="141"/>
      <c r="IV38" s="142"/>
      <c r="IW38" s="141"/>
      <c r="IX38" s="140"/>
      <c r="IY38" s="142"/>
      <c r="IZ38" s="142"/>
      <c r="JA38" s="141"/>
      <c r="JB38" s="142"/>
      <c r="JC38" s="141"/>
      <c r="JD38" s="140"/>
      <c r="JE38" s="142"/>
      <c r="JF38" s="142"/>
      <c r="JG38" s="141"/>
      <c r="JH38" s="142"/>
      <c r="JI38" s="141"/>
      <c r="JJ38" s="140"/>
      <c r="JK38" s="142"/>
      <c r="JL38" s="142"/>
      <c r="JM38" s="140"/>
      <c r="JN38" s="142"/>
      <c r="JO38" s="142"/>
      <c r="JP38" s="140"/>
      <c r="JQ38" s="142"/>
      <c r="JR38" s="142"/>
      <c r="JS38" s="140"/>
      <c r="JT38" s="142"/>
      <c r="JU38" s="142"/>
      <c r="JV38" s="140"/>
      <c r="JW38" s="142"/>
      <c r="JX38" s="142"/>
      <c r="JY38" s="140"/>
      <c r="JZ38" s="142"/>
      <c r="KA38" s="142"/>
      <c r="KB38" s="140"/>
      <c r="KC38" s="142"/>
      <c r="KD38" s="142"/>
      <c r="KE38" s="140"/>
      <c r="KF38" s="142"/>
      <c r="KG38" s="142"/>
      <c r="KH38" s="140"/>
      <c r="KI38" s="142"/>
      <c r="KJ38" s="142"/>
      <c r="KK38" s="140"/>
      <c r="KL38" s="142"/>
      <c r="KM38" s="142"/>
      <c r="KN38" s="140"/>
      <c r="KO38" s="142"/>
      <c r="KP38" s="142"/>
      <c r="KQ38" s="140"/>
      <c r="KR38" s="142"/>
      <c r="KS38" s="142"/>
      <c r="KT38" s="140"/>
      <c r="KU38" s="142"/>
      <c r="KV38" s="142"/>
      <c r="KW38" s="140"/>
      <c r="KX38" s="142"/>
      <c r="KY38" s="142"/>
      <c r="KZ38" s="140"/>
      <c r="LA38" s="142"/>
      <c r="LB38" s="142"/>
      <c r="LC38" s="140"/>
      <c r="LD38" s="142"/>
      <c r="LE38" s="142"/>
      <c r="LF38" s="140"/>
      <c r="LG38" s="142"/>
      <c r="LH38" s="142"/>
      <c r="LI38" s="140"/>
      <c r="LJ38" s="142"/>
      <c r="LK38" s="142"/>
      <c r="LL38" s="140"/>
      <c r="LM38" s="142"/>
      <c r="LN38" s="142"/>
      <c r="LO38" s="140"/>
      <c r="LP38" s="142"/>
      <c r="LQ38" s="142"/>
      <c r="LR38" s="140"/>
      <c r="LS38" s="142"/>
      <c r="LT38" s="142"/>
    </row>
    <row r="39" spans="1:332" ht="15.95" customHeight="1">
      <c r="A39" s="103"/>
      <c r="B39" s="303" t="s">
        <v>309</v>
      </c>
      <c r="C39" s="303" t="s">
        <v>311</v>
      </c>
      <c r="D39" s="304">
        <f>D40-(D9+D12+D21+D22)</f>
        <v>19981</v>
      </c>
      <c r="E39" s="305">
        <f>D39/$D$8</f>
        <v>0.10090802577621558</v>
      </c>
      <c r="F39" s="304">
        <f>F40-(F9+F12+F21+F22)</f>
        <v>34159</v>
      </c>
      <c r="G39" s="305">
        <f>F39/$F$8</f>
        <v>0.12236877928554028</v>
      </c>
      <c r="H39" s="304">
        <f>H40-(H9+H12+H21+H22)</f>
        <v>54140</v>
      </c>
      <c r="I39" s="305">
        <f>H39/$H$8</f>
        <v>0.11346298935367592</v>
      </c>
      <c r="J39" s="304">
        <f>J40-(J9+J12+J21+J22)</f>
        <v>23605</v>
      </c>
      <c r="K39" s="305">
        <f>J39/$J$8</f>
        <v>9.2418945002799388E-2</v>
      </c>
      <c r="L39" s="304">
        <f>L40-(L9+L12+L21+L22)</f>
        <v>77745</v>
      </c>
      <c r="M39" s="305">
        <f>L39/$L$8</f>
        <v>0.10612594239754945</v>
      </c>
      <c r="N39" s="304">
        <f>N40-(N9+N12+N21+N22)</f>
        <v>59026</v>
      </c>
      <c r="O39" s="305">
        <f>N39/$N$8</f>
        <v>0.14615424613914194</v>
      </c>
      <c r="P39" s="304">
        <f>P40-(P9+P12+P21+P22)</f>
        <v>136769</v>
      </c>
      <c r="Q39" s="305">
        <f>P39/$P$8</f>
        <v>0.1203492679733271</v>
      </c>
      <c r="R39" s="304">
        <f>R40-(R9+R12+R21+R22)</f>
        <v>25834</v>
      </c>
      <c r="S39" s="305">
        <f>R39/$R$8</f>
        <v>0.10292635311460388</v>
      </c>
      <c r="T39" s="306">
        <f>R39/D39-1</f>
        <v>0.29292828186777431</v>
      </c>
      <c r="U39" s="304">
        <f>U40-(U9+U12+U21+U22)</f>
        <v>47104</v>
      </c>
      <c r="V39" s="305">
        <f>U39/$U$8</f>
        <v>0.13168245696921241</v>
      </c>
      <c r="W39" s="306">
        <f>U39/F39-1</f>
        <v>0.37896308439942628</v>
      </c>
      <c r="X39" s="304">
        <f>X40-(X9+X12+X21+X22)</f>
        <v>72938</v>
      </c>
      <c r="Y39" s="305">
        <f>X39/$X$8</f>
        <v>0.11982507097045526</v>
      </c>
      <c r="Z39" s="306">
        <f>X39/H39-1</f>
        <v>0.3472109346139638</v>
      </c>
      <c r="AA39" s="304">
        <f>AA40-(AA9+AA12+AA21+AA22)</f>
        <v>29097</v>
      </c>
      <c r="AB39" s="307">
        <f>AA39/$AA$8</f>
        <v>9.0779756834922926E-2</v>
      </c>
      <c r="AC39" s="306">
        <f>AA39/J39-1</f>
        <v>0.23266257148909131</v>
      </c>
      <c r="AD39" s="304">
        <f>AD40-(AD9+AD12+AD21+AD22)</f>
        <v>102035</v>
      </c>
      <c r="AE39" s="305">
        <f>AD39/$AD$8</f>
        <v>0.1098063228898859</v>
      </c>
      <c r="AF39" s="306">
        <f>AD39/L39-1</f>
        <v>0.31243166763135899</v>
      </c>
      <c r="AG39" s="304">
        <f>AG40-(AG9+AG12+AG21+AG22)</f>
        <v>69202</v>
      </c>
      <c r="AH39" s="307">
        <f>AG39/$AG$8</f>
        <v>0.13652567969870522</v>
      </c>
      <c r="AI39" s="306">
        <f>AG39/N39-1</f>
        <v>0.17239860400501472</v>
      </c>
      <c r="AJ39" s="304">
        <f>AJ40-(AJ9+AJ12+AJ21+AJ22)</f>
        <v>171236</v>
      </c>
      <c r="AK39" s="305">
        <f>AJ39/$AJ$8</f>
        <v>0.11923640680869435</v>
      </c>
      <c r="AL39" s="306">
        <f>AJ39/P39-1</f>
        <v>0.2520088616572469</v>
      </c>
      <c r="AM39" s="304">
        <f>AM40-(AM9+AM12+AM21+AM22)</f>
        <v>25924</v>
      </c>
      <c r="AN39" s="308">
        <f>AM39/$AM$8</f>
        <v>8.3546841211371181E-2</v>
      </c>
      <c r="AO39" s="309">
        <f>AM39/R39-1</f>
        <v>3.4837810637144973E-3</v>
      </c>
      <c r="AP39" s="304">
        <f>AP40-(AP9+AP12+AP21+AP22)</f>
        <v>65824</v>
      </c>
      <c r="AQ39" s="308">
        <f>AP39/$AP$8</f>
        <v>0.14813381192965083</v>
      </c>
      <c r="AR39" s="309">
        <f>AP39/U39-1</f>
        <v>0.39741847826086962</v>
      </c>
      <c r="AS39" s="304">
        <f>AS40-(AS9+AS12+AS21+AS22)</f>
        <v>91748</v>
      </c>
      <c r="AT39" s="308">
        <f>AS39/$AS$8</f>
        <v>0.12157721215719117</v>
      </c>
      <c r="AU39" s="309">
        <f>AS39/X39-1</f>
        <v>0.25789026296306461</v>
      </c>
      <c r="AV39" s="304">
        <f>AV40-(AV9+AV12+AV21+AV22)</f>
        <v>55393</v>
      </c>
      <c r="AW39" s="308">
        <f>AV39/$AV$8</f>
        <v>0.14010845866278157</v>
      </c>
      <c r="AX39" s="309">
        <f>AV39/AA39-1</f>
        <v>0.90373578032099533</v>
      </c>
      <c r="AY39" s="304">
        <f>AY40-(AY9+AY12+AY21+AY22)</f>
        <v>147141</v>
      </c>
      <c r="AZ39" s="308">
        <f>AY39/$AY$8</f>
        <v>0.1279480280972447</v>
      </c>
      <c r="BA39" s="309">
        <f>AY39/AD39-1</f>
        <v>0.44206399764786597</v>
      </c>
      <c r="BB39" s="304">
        <f>BB40-(BB9+BB12+BB21+BB22)</f>
        <v>102633</v>
      </c>
      <c r="BC39" s="308">
        <f>BB39/$BB$8</f>
        <v>0.17056547708077816</v>
      </c>
      <c r="BD39" s="309">
        <f>BB39/AG39</f>
        <v>1.4830929741914973</v>
      </c>
      <c r="BE39" s="304">
        <f>BE40-(BE9+BE12+BE21+BE22)</f>
        <v>249774</v>
      </c>
      <c r="BF39" s="308">
        <f>BE39/$BE$8</f>
        <v>0.14258720531954733</v>
      </c>
      <c r="BG39" s="309">
        <f>BE39/AJ39</f>
        <v>1.4586535541591721</v>
      </c>
      <c r="BH39" s="304">
        <f>BH40-(BH9+BH12+BH21+BH22)</f>
        <v>39713</v>
      </c>
      <c r="BI39" s="308">
        <f>BH39/$BH$8</f>
        <v>0.10358570932983466</v>
      </c>
      <c r="BJ39" s="309">
        <f>(BH39/AM39)-1</f>
        <v>0.53190094121277576</v>
      </c>
      <c r="BK39" s="304">
        <f>BK40-(BK9+BK12+BK21+BK22)</f>
        <v>74073</v>
      </c>
      <c r="BL39" s="308">
        <f>BK39/$BK$8</f>
        <v>0.14517115273809103</v>
      </c>
      <c r="BM39" s="309">
        <f>(BK39/AP39)-1</f>
        <v>0.1253190325717064</v>
      </c>
      <c r="BN39" s="304">
        <f>BN40-(BN9+BN12+BN21+BN22)</f>
        <v>113787</v>
      </c>
      <c r="BO39" s="308">
        <f>BN39/$BN$8</f>
        <v>0.12733136458194619</v>
      </c>
      <c r="BP39" s="309">
        <f>BN39/AS39-1</f>
        <v>0.24021232070453857</v>
      </c>
      <c r="BQ39" s="304">
        <f>BQ40-(BQ9+BQ12+BQ21+BQ22)</f>
        <v>42066</v>
      </c>
      <c r="BR39" s="308">
        <f>BQ39/$BQ$8</f>
        <v>9.3681102099172894E-2</v>
      </c>
      <c r="BS39" s="309">
        <f>(BQ39/AV39)-1</f>
        <v>-0.24058996624122186</v>
      </c>
      <c r="BT39" s="304">
        <f>BT40-(BT9+BT12+BT21+BT22)</f>
        <v>155854</v>
      </c>
      <c r="BU39" s="308">
        <f>BT39/$BT$8</f>
        <v>0.11607818486233339</v>
      </c>
      <c r="BV39" s="309">
        <f>BT39/AY39-1</f>
        <v>5.9215310484501238E-2</v>
      </c>
      <c r="BW39" s="304">
        <f>BW40-(BW9+BW12+BW21+BW22)</f>
        <v>89584</v>
      </c>
      <c r="BX39" s="308">
        <f>BW39/$BW$8</f>
        <v>0.14595980826319169</v>
      </c>
      <c r="BY39" s="309">
        <f>(BW39/BB39)-1</f>
        <v>-0.12714234213167308</v>
      </c>
      <c r="BZ39" s="304">
        <f>BZ40-(BZ9+BZ12+BZ21+BZ22)</f>
        <v>245437</v>
      </c>
      <c r="CA39" s="308">
        <f>BZ39/$BZ$8</f>
        <v>0.12545197304058123</v>
      </c>
      <c r="CB39" s="309">
        <f>(BZ39/BE39)-1</f>
        <v>-1.7363696781890869E-2</v>
      </c>
      <c r="CC39" s="304">
        <f>CC40-(CC9+CC12+CC21+CC22)</f>
        <v>18036.279695342848</v>
      </c>
      <c r="CD39" s="308">
        <f>CC39/$CC$8</f>
        <v>4.97348116094153E-2</v>
      </c>
      <c r="CE39" s="308">
        <f>(CC39/BH39)-1</f>
        <v>-0.5458343692155504</v>
      </c>
      <c r="CF39" s="304">
        <f>CF40-(CF9+CF12+CF21+CF22)</f>
        <v>84426.940966587921</v>
      </c>
      <c r="CG39" s="308">
        <f>CF39/$CF$8</f>
        <v>0.15219410628301219</v>
      </c>
      <c r="CH39" s="308">
        <f>(CF39/BK39)-1</f>
        <v>0.1397802298622699</v>
      </c>
      <c r="CI39" s="304">
        <f>CI40-(CI9+CI12+CI21+CI22)</f>
        <v>102463.22066193074</v>
      </c>
      <c r="CJ39" s="308">
        <f>CI39/$CI$8</f>
        <v>0.11169114288727762</v>
      </c>
      <c r="CK39" s="308">
        <f>(CI39/BN39)-1</f>
        <v>-9.9517337991767651E-2</v>
      </c>
      <c r="CL39" s="304">
        <f>CL40-(CL9+CL12+CL21+CL22)</f>
        <v>49019.640550408512</v>
      </c>
      <c r="CM39" s="308">
        <f>CL39/$CL$8</f>
        <v>0.10071218242230499</v>
      </c>
      <c r="CN39" s="309">
        <f>(CL39/BQ39)-1</f>
        <v>0.165303108220618</v>
      </c>
      <c r="CO39" s="304">
        <f>CO40-(CO9+CO12+CO21+CO22)</f>
        <v>151483.86121233925</v>
      </c>
      <c r="CP39" s="308">
        <f>CO39/$CO$8</f>
        <v>0.107885958597532</v>
      </c>
      <c r="CQ39" s="309">
        <f>(CO39/BT39)-1</f>
        <v>-2.8039952697144432E-2</v>
      </c>
      <c r="CR39" s="304">
        <f>CR40-(CR9+CR12+CR21+CR22)</f>
        <v>136850.23646145535</v>
      </c>
      <c r="CS39" s="308">
        <f>CR39/$CR$8</f>
        <v>0.19224372903227238</v>
      </c>
      <c r="CT39" s="309">
        <f>(CR39/BW39)-1</f>
        <v>0.52761917821771021</v>
      </c>
      <c r="CU39" s="304">
        <f>CU40-(CU9+CU12+CU21+CU22)</f>
        <v>288333</v>
      </c>
      <c r="CV39" s="308">
        <f>CU39/$CU$8</f>
        <v>0.13626529323694878</v>
      </c>
      <c r="CW39" s="309">
        <f>(CU39/BZ39)-1</f>
        <v>0.17477397458410926</v>
      </c>
      <c r="CX39" s="304">
        <f>CX40-(CX9+CX12+CX21+CX22)</f>
        <v>46789</v>
      </c>
      <c r="CY39" s="309">
        <f>CX39/$CX$8</f>
        <v>0.10627921661979893</v>
      </c>
      <c r="CZ39" s="309">
        <f>CX39/CC39-1</f>
        <v>1.5941602586747088</v>
      </c>
      <c r="DA39" s="304">
        <f>DA40-(DA9+DA12+DA21+DA22)</f>
        <v>127766</v>
      </c>
      <c r="DB39" s="309">
        <f>DA39/$DA$8</f>
        <v>0.20280671567281333</v>
      </c>
      <c r="DC39" s="309">
        <f>DA39/CF39-1</f>
        <v>0.51333210154521147</v>
      </c>
      <c r="DD39" s="304">
        <f>DD40-(DD9+DD12+DD21+DD22)</f>
        <v>174555</v>
      </c>
      <c r="DE39" s="309">
        <f>DD39/$DD$8</f>
        <v>0.16309969305806668</v>
      </c>
      <c r="DF39" s="309">
        <f>DD39/CI39-1</f>
        <v>0.7035868955937894</v>
      </c>
      <c r="DG39" s="304">
        <f>DG40-(DG9+DG12+DG21+DG22)</f>
        <v>64753</v>
      </c>
      <c r="DH39" s="309">
        <f>DG39/$DG$8</f>
        <v>0.11385343038998488</v>
      </c>
      <c r="DI39" s="309">
        <f>DG39/CL39-1</f>
        <v>0.3209603186178478</v>
      </c>
      <c r="DJ39" s="304">
        <f>DJ40-(DJ9+DJ12+DJ21+DJ22)</f>
        <v>239308</v>
      </c>
      <c r="DK39" s="309">
        <f>DJ39/$DJ$8</f>
        <v>0.1460107689257005</v>
      </c>
      <c r="DL39" s="309">
        <f>DJ39/CO39-1</f>
        <v>0.57975904551677049</v>
      </c>
      <c r="DM39" s="304">
        <f>DM40-(DM9+DM12+DM21+DM22)</f>
        <v>144767</v>
      </c>
      <c r="DN39" s="309">
        <f>DM39/$DM$8</f>
        <v>0.17575017390850409</v>
      </c>
      <c r="DO39" s="309">
        <f>DM39/CR39-1</f>
        <v>5.7849834558191926E-2</v>
      </c>
      <c r="DP39" s="304">
        <f>DP40-(DP9+DP12+DP21+DP22)</f>
        <v>384075</v>
      </c>
      <c r="DQ39" s="309">
        <f>DP39/$DP$8</f>
        <v>0.15595795317545944</v>
      </c>
      <c r="DR39" s="309">
        <f>DP39/CU39-1</f>
        <v>0.33205356306770306</v>
      </c>
      <c r="DS39" s="310">
        <f>DS40-(DS9+DS12+DS21+DS22)</f>
        <v>46691</v>
      </c>
      <c r="DT39" s="309">
        <f>DS39/$DS$8</f>
        <v>9.0188079357628931E-2</v>
      </c>
      <c r="DU39" s="309">
        <f>(DS39/CX39)-1</f>
        <v>-2.0945093932334125E-3</v>
      </c>
      <c r="DV39" s="310">
        <f>DV40-(DV9+DV12+DV21+DV22)</f>
        <v>147521</v>
      </c>
      <c r="DW39" s="307">
        <f>(DV39/$DV$8)</f>
        <v>0.19678571285648161</v>
      </c>
      <c r="DX39" s="307">
        <f>(DV39/DA39)-1</f>
        <v>0.15461859962744384</v>
      </c>
      <c r="DY39" s="310">
        <f>DY40-(DY9+DY12+DY21+DY22)</f>
        <v>194212</v>
      </c>
      <c r="DZ39" s="307">
        <f>(DY39/$DY$8)</f>
        <v>0.15324138366367882</v>
      </c>
      <c r="EA39" s="307">
        <f>(DY39/DD39)-1</f>
        <v>0.11261207069405055</v>
      </c>
      <c r="EB39" s="310">
        <f>EB40-(EB9+EB12+EB21+EB22)</f>
        <v>71272.506239999988</v>
      </c>
      <c r="EC39" s="307">
        <f>(EB39/$EB$8)</f>
        <v>0.10846919723137048</v>
      </c>
      <c r="ED39" s="307">
        <f>(EB39/DG39)-1</f>
        <v>0.10068269022284659</v>
      </c>
      <c r="EE39" s="310">
        <f>EE40-(EE9+EE12+EE21+EE22)</f>
        <v>265484.50623999996</v>
      </c>
      <c r="EF39" s="307">
        <f>(EE39/$EE$8)</f>
        <v>0.13795444807725482</v>
      </c>
      <c r="EG39" s="307">
        <f>(EE39/DJ39)-1</f>
        <v>0.10938416701489273</v>
      </c>
      <c r="EH39" s="310">
        <f>EH40-(EH9+EH12+EH21+EH22)</f>
        <v>202068</v>
      </c>
      <c r="EI39" s="307">
        <f>(EH39/$EH$8)</f>
        <v>0.20785039807443065</v>
      </c>
      <c r="EJ39" s="307">
        <f t="shared" si="214"/>
        <v>0.39581534465727697</v>
      </c>
      <c r="EK39" s="310">
        <f>EK40-(EK9+EK12+EK21+EK22)</f>
        <v>467553</v>
      </c>
      <c r="EL39" s="307">
        <f t="shared" si="215"/>
        <v>0.16141346957502492</v>
      </c>
      <c r="EM39" s="307">
        <f>(EK39/DP39)-1</f>
        <v>0.21734817418472963</v>
      </c>
      <c r="EN39" s="310">
        <f>EN40-(EN9+EN12+EN21+EN22)</f>
        <v>42685</v>
      </c>
      <c r="EO39" s="307">
        <f>EN39/EN$8</f>
        <v>6.893583484469451E-2</v>
      </c>
      <c r="EP39" s="307">
        <f>EN39/DS39-1</f>
        <v>-8.5798119551947938E-2</v>
      </c>
      <c r="EQ39" s="310">
        <f>EQ40-(EQ9+EQ12+EQ21+EQ22)</f>
        <v>158138</v>
      </c>
      <c r="ER39" s="307">
        <f t="shared" si="233"/>
        <v>0.18492017367327393</v>
      </c>
      <c r="ES39" s="307">
        <f>(EQ39/DV39)-1</f>
        <v>7.1969414524033937E-2</v>
      </c>
      <c r="ET39" s="310">
        <f>ET40-(ET9+ET12+ET21+ET22)</f>
        <v>200823</v>
      </c>
      <c r="EU39" s="307">
        <f t="shared" si="234"/>
        <v>0.13620954876937102</v>
      </c>
      <c r="EV39" s="307">
        <f>(ET39/DY39)-1</f>
        <v>3.4040121104772059E-2</v>
      </c>
      <c r="EW39" s="310">
        <f>EW40-(EW9+EW12+EW21+EW22)</f>
        <v>105200</v>
      </c>
      <c r="EX39" s="307">
        <f>EW39/EW8</f>
        <v>0.1309663122774693</v>
      </c>
      <c r="EY39" s="307">
        <f>(EW39/EB39)-1</f>
        <v>0.4760249856480987</v>
      </c>
      <c r="EZ39" s="310">
        <f>EZ40-(EZ9+EZ12+EZ21+EZ22)</f>
        <v>306024</v>
      </c>
      <c r="FA39" s="307">
        <f>EZ39/EZ8</f>
        <v>0.13436077605264071</v>
      </c>
      <c r="FB39" s="307">
        <f>(EZ39/EE39)-1</f>
        <v>0.15270003637557683</v>
      </c>
      <c r="FC39" s="310">
        <f>FC40-(FC9+FC12+FC21+FC22)</f>
        <v>259567</v>
      </c>
      <c r="FD39" s="307">
        <f>FC39/FC8</f>
        <v>0.21916742940324166</v>
      </c>
      <c r="FE39" s="307">
        <f>(FC39/EH39)-1</f>
        <v>0.28455272482530636</v>
      </c>
      <c r="FF39" s="310">
        <f>FF40-(FF9+FF12+FF21+FF22)</f>
        <v>565591</v>
      </c>
      <c r="FG39" s="307">
        <f>FF39/FF8</f>
        <v>0.16337306034731772</v>
      </c>
      <c r="FH39" s="307">
        <f>(FF39/EK39)-1</f>
        <v>0.20968318030255384</v>
      </c>
      <c r="FI39" s="310">
        <f>FI40-(FI9+FI12+FI21+FI22)</f>
        <v>42400</v>
      </c>
      <c r="FJ39" s="307">
        <f>FI39/FI8</f>
        <v>5.8343458583712544E-2</v>
      </c>
      <c r="FK39" s="307">
        <f>(FI39/EN39)-1</f>
        <v>-6.6768185545273973E-3</v>
      </c>
      <c r="FL39" s="310">
        <f>FL40-(FL9+FL12+FL21+FL22)</f>
        <v>160676</v>
      </c>
      <c r="FM39" s="307">
        <f>FL39/FL8</f>
        <v>0.16963206408763487</v>
      </c>
      <c r="FN39" s="307">
        <f>(FL39/EQ39)-1</f>
        <v>1.6049273419418419E-2</v>
      </c>
      <c r="FO39" s="310">
        <f>FO40-(FO9+FO12+FO21+FO22)</f>
        <v>203076</v>
      </c>
      <c r="FP39" s="307">
        <f>FO39/FO8</f>
        <v>0.12131661104918115</v>
      </c>
      <c r="FQ39" s="307">
        <f>(FO39/ET39)-1</f>
        <v>1.1218834496048657E-2</v>
      </c>
      <c r="FR39" s="310">
        <f>FR40-(FR9+FR12+FR21+FR22)</f>
        <v>109608</v>
      </c>
      <c r="FS39" s="307">
        <f>FR39/FR8</f>
        <v>0.12085767401242449</v>
      </c>
      <c r="FT39" s="307">
        <f>(FR39/EW39)-1</f>
        <v>4.1901140684410754E-2</v>
      </c>
      <c r="FU39" s="310">
        <f>FU40-(FU9+FU12+FU21+FU22)</f>
        <v>312678</v>
      </c>
      <c r="FV39" s="307">
        <f>FU39/FU8</f>
        <v>0.12115301458588094</v>
      </c>
      <c r="FW39" s="307">
        <f>(FU39/EZ39)-1</f>
        <v>2.1743392675084294E-2</v>
      </c>
      <c r="FX39" s="310">
        <f>FX40-(FX9+FX12+FX21+FX22)</f>
        <v>350592</v>
      </c>
      <c r="FY39" s="307">
        <f>FX39/FX8</f>
        <v>0.26301882885680977</v>
      </c>
      <c r="FZ39" s="307">
        <f>(FX39/FC39)-1</f>
        <v>0.35068017120820438</v>
      </c>
      <c r="GA39" s="310">
        <f>GA40-(GA9+GA12+GA21+GA22)</f>
        <v>663279</v>
      </c>
      <c r="GB39" s="307">
        <f>GA39/GA8</f>
        <v>0.16947147906297932</v>
      </c>
      <c r="GC39" s="307">
        <f>(GA39/FF39)-1</f>
        <v>0.17271844849016338</v>
      </c>
      <c r="GD39" s="310">
        <f>GD40-(GD9+GD12+GD21+GD22)</f>
        <v>73643.000000000015</v>
      </c>
      <c r="GE39" s="307">
        <f>GD39/GD8</f>
        <v>9.0413202441695456E-2</v>
      </c>
      <c r="GF39" s="307">
        <f>(GD39/FI39)-1</f>
        <v>0.73686320754717016</v>
      </c>
      <c r="GG39" s="310">
        <f>GG40-(GG9+GG12+GG21+GG22)</f>
        <v>195713</v>
      </c>
      <c r="GH39" s="307">
        <f>GG39/GG8</f>
        <v>0.17612792679612455</v>
      </c>
      <c r="GI39" s="307">
        <f>(GG39/FL39)-1</f>
        <v>0.21805994672508655</v>
      </c>
      <c r="GJ39" s="310">
        <f>GJ40-(GJ9+GJ12+GJ21+GJ22)</f>
        <v>269356</v>
      </c>
      <c r="GK39" s="307">
        <f>(GJ39/$GJ$8)</f>
        <v>0.13987331452126328</v>
      </c>
      <c r="GL39" s="307">
        <f>(GJ39/FO39)-1</f>
        <v>0.32638027142547621</v>
      </c>
      <c r="GM39" s="310">
        <f>GM40-(GM9+GM12+GM21+GM22)</f>
        <v>142658</v>
      </c>
      <c r="GN39" s="307">
        <f>GM39/GM8</f>
        <v>0.13624221772510697</v>
      </c>
      <c r="GO39" s="307">
        <f>(GM39/FR39)-1</f>
        <v>0.301529085468214</v>
      </c>
      <c r="GP39" s="310">
        <f>GP40-(GP9+GP12+GP21+GP22)</f>
        <v>412013.99999999988</v>
      </c>
      <c r="GQ39" s="307">
        <f>(GP39/$GP$8)</f>
        <v>0.13859435785394597</v>
      </c>
      <c r="GR39" s="307">
        <f>(GP39/FU39)-1</f>
        <v>0.31769424136012092</v>
      </c>
      <c r="GS39" s="310">
        <f>GS40-(GS9+GS12+GS21+GS22)</f>
        <v>423558.95499999996</v>
      </c>
      <c r="GT39" s="307">
        <f>GS39/GS8</f>
        <v>0.25365743166725252</v>
      </c>
      <c r="GU39" s="307">
        <f>(GS39/FX39)-1</f>
        <v>0.20812498573840799</v>
      </c>
      <c r="GV39" s="310">
        <f>GV40-(GV9+GV12+GV21+GV22)</f>
        <v>835572.95499999973</v>
      </c>
      <c r="GW39" s="307">
        <f>(GV39/$GV$8)</f>
        <v>0.17997906243295794</v>
      </c>
      <c r="GX39" s="307">
        <f>(GV39/GA39)-1</f>
        <v>0.25976090755172376</v>
      </c>
      <c r="GY39" s="310">
        <f>GY40-(GY9+GY12+GY21+GY22)</f>
        <v>130702.39270000001</v>
      </c>
      <c r="GZ39" s="307">
        <f t="shared" si="352"/>
        <v>0.12929373743069261</v>
      </c>
      <c r="HA39" s="307">
        <f t="shared" si="229"/>
        <v>0.7748108129761142</v>
      </c>
      <c r="HB39" s="310">
        <f>HB40-(HB9+HB12+HB21+HB22)</f>
        <v>272186.91381</v>
      </c>
      <c r="HC39" s="307">
        <f t="shared" si="371"/>
        <v>0.20099076063374946</v>
      </c>
      <c r="HD39" s="307">
        <f>(HB39/GG39)-1</f>
        <v>0.39074519224578852</v>
      </c>
      <c r="HE39" s="310">
        <f>HE40-(HE9+HE12+HE21+HE22)</f>
        <v>402889.30650999991</v>
      </c>
      <c r="HF39" s="307">
        <f t="shared" si="240"/>
        <v>0.17034617108807537</v>
      </c>
      <c r="HG39" s="307">
        <f>(HE39/GJ39)-1</f>
        <v>0.49575025805996487</v>
      </c>
      <c r="HH39" s="310">
        <f>HH40-(HH9+HH12+HH21+HH22)</f>
        <v>182658</v>
      </c>
      <c r="HI39" s="307">
        <f>HH39/HH8</f>
        <v>0.14631778366102863</v>
      </c>
      <c r="HJ39" s="307">
        <f>(HH39/GM39)-1</f>
        <v>0.28039086486562259</v>
      </c>
      <c r="HK39" s="310">
        <f>HK40-(HK9+HK12+HK21+HK22)</f>
        <v>585548.99201000005</v>
      </c>
      <c r="HL39" s="307">
        <f>(HK39/$HK$8)</f>
        <v>0.16204545749174068</v>
      </c>
      <c r="HM39" s="307">
        <f>(HK39/GP39)-1</f>
        <v>0.42118712473362607</v>
      </c>
      <c r="HN39" s="310">
        <f>HN40-(HN9+HN12+HN21+HN22)</f>
        <v>453224</v>
      </c>
      <c r="HO39" s="307">
        <f>HN39/HN8</f>
        <v>0.24667050549536673</v>
      </c>
      <c r="HP39" s="307">
        <f>(HN39/GS39)-1</f>
        <v>7.0037581899313306E-2</v>
      </c>
      <c r="HQ39" s="310">
        <f>HQ40-(HQ9+HQ12+HQ21+HQ22)</f>
        <v>1038772.9920099999</v>
      </c>
      <c r="HR39" s="307">
        <f>(HQ39/HQ$8)</f>
        <v>0.19057075701376591</v>
      </c>
      <c r="HS39" s="307">
        <f>(HQ39/GV39)-1</f>
        <v>0.24318646958840384</v>
      </c>
      <c r="HT39" s="310">
        <f>HT40-(HT9+HT12+HT21+HT22)</f>
        <v>116964</v>
      </c>
      <c r="HU39" s="307">
        <f>HT39/HT$8</f>
        <v>0.10868765262770548</v>
      </c>
      <c r="HV39" s="307">
        <f>HT39/GY39-1</f>
        <v>-0.10511202141137244</v>
      </c>
      <c r="HW39" s="310">
        <f>HW40-(HW9+HW12+HW21+HW22)</f>
        <v>301829</v>
      </c>
      <c r="HX39" s="307">
        <f>(HW39/HW$8)</f>
        <v>0.20607050784877051</v>
      </c>
      <c r="HY39" s="307">
        <f>(HW39/HB39)-1</f>
        <v>0.10890342145798981</v>
      </c>
      <c r="HZ39" s="310">
        <f>HZ40-(HZ9+HZ12+HZ21+HZ22)</f>
        <v>418793</v>
      </c>
      <c r="IA39" s="307">
        <f>(HZ39/HZ$8)</f>
        <v>0.16482488440812393</v>
      </c>
      <c r="IB39" s="307">
        <f>(HZ39/HE39)-1</f>
        <v>3.947410177689914E-2</v>
      </c>
      <c r="IC39" s="310">
        <f>IC40-(IC9+IC12+IC21+IC22)</f>
        <v>164174</v>
      </c>
      <c r="ID39" s="307">
        <f>(IC39/IC$8)</f>
        <v>0.13025361427716836</v>
      </c>
      <c r="IE39" s="307">
        <f>(IC39/HH39)-1</f>
        <v>-0.10119458222470412</v>
      </c>
      <c r="IF39" s="310">
        <f>IF40-(IF9+IF12+IF21+IF22)</f>
        <v>582967</v>
      </c>
      <c r="IG39" s="307">
        <f>(IF39/IF$8)</f>
        <v>0.15336175904056926</v>
      </c>
      <c r="IH39" s="307">
        <f>(IF39/HK39)-1</f>
        <v>-4.4095234476229095E-3</v>
      </c>
      <c r="II39" s="310">
        <f>II40-(II9+II12+II21+II22)</f>
        <v>504875</v>
      </c>
      <c r="IJ39" s="307">
        <f>(II39/II$8)</f>
        <v>0.26288672140229857</v>
      </c>
      <c r="IK39" s="307">
        <f>(II39/HN39)-1</f>
        <v>0.11396351473002309</v>
      </c>
      <c r="IL39" s="310">
        <f>IL40-(IL9+IL12+IL21+IL22)</f>
        <v>1087845</v>
      </c>
      <c r="IM39" s="307">
        <f>(IL39/IL$8)</f>
        <v>0.19012429224100219</v>
      </c>
      <c r="IN39" s="307">
        <f>(IL39/HQ39)-1</f>
        <v>4.7240357967958779E-2</v>
      </c>
      <c r="IO39" s="310">
        <f>IO40-'Prod. Fin. | Financial Products'!HF13</f>
        <v>111383.99999999994</v>
      </c>
      <c r="IP39" s="307">
        <f>IO39/IO$8</f>
        <v>9.021255641119505E-2</v>
      </c>
      <c r="IQ39" s="307">
        <f>IO39/HT39-1</f>
        <v>-4.7706986765159054E-2</v>
      </c>
      <c r="IR39" s="310">
        <f>IR40-'Prod. Fin. | Financial Products'!HI13</f>
        <v>303746.00000000006</v>
      </c>
      <c r="IS39" s="307">
        <f>(IR39/IR$8)</f>
        <v>0.18629512234614123</v>
      </c>
      <c r="IT39" s="307">
        <f>(IR39/HW39)-1</f>
        <v>6.3512783728536526E-3</v>
      </c>
      <c r="IU39" s="310">
        <f>IU40-'Prod. Fin. | Financial Products'!HL13</f>
        <v>415130</v>
      </c>
      <c r="IV39" s="307">
        <f>(IU39/IU$8)</f>
        <v>0.14488995302149285</v>
      </c>
      <c r="IW39" s="307">
        <f>(IU39/HZ39)-1</f>
        <v>-8.7465645318809404E-3</v>
      </c>
      <c r="IX39" s="310">
        <f>IX40-'Prod. Fin. | Financial Products'!HO13</f>
        <v>201416.53417</v>
      </c>
      <c r="IY39" s="307">
        <f>(IX39/IX$8)</f>
        <v>0.13316108932564139</v>
      </c>
      <c r="IZ39" s="307">
        <f>(IX39/IC39)-1</f>
        <v>0.22684794285331411</v>
      </c>
      <c r="JA39" s="310">
        <f>JA40-'Prod. Fin. | Financial Products'!HR13</f>
        <v>616546.53417</v>
      </c>
      <c r="JB39" s="307">
        <f>(JA39/JA$8)</f>
        <v>0.14083742583921577</v>
      </c>
      <c r="JC39" s="307">
        <f>(JA39/IF39)-1</f>
        <v>5.7601089204020184E-2</v>
      </c>
      <c r="JD39" s="310">
        <f>JD40-'Prod. Fin. | Financial Products'!HU13</f>
        <v>527691.17093999998</v>
      </c>
      <c r="JE39" s="307">
        <f>(JD39/JD$8)</f>
        <v>0.23744683947434139</v>
      </c>
      <c r="JF39" s="307">
        <f>(JD39/II39)-1</f>
        <v>4.51917225847982E-2</v>
      </c>
      <c r="JG39" s="310">
        <f>JG40-'Prod. Fin. | Financial Products'!HX13</f>
        <v>1144237.70511</v>
      </c>
      <c r="JH39" s="307">
        <f>(JG39/JG$8)</f>
        <v>0.17336743171022503</v>
      </c>
      <c r="JI39" s="307">
        <f>(JG39/IL39)-1</f>
        <v>5.1838915571611688E-2</v>
      </c>
      <c r="JJ39" s="310">
        <f>JJ40-'Prod. Fin. | Financial Products'!IA13</f>
        <v>146724</v>
      </c>
      <c r="JK39" s="307">
        <f>(JJ39/JJ$8)</f>
        <v>0.1048913404807913</v>
      </c>
      <c r="JL39" s="307">
        <f>(JJ39/IO39)-1</f>
        <v>0.31728075845722969</v>
      </c>
      <c r="JM39" s="310">
        <v>352879.18534999801</v>
      </c>
      <c r="JN39" s="307">
        <f>(JM39/JM$8)</f>
        <v>0.19824328079117612</v>
      </c>
      <c r="JO39" s="307">
        <f>(JM39/IR39)-1</f>
        <v>0.16175747285560282</v>
      </c>
      <c r="JP39" s="310">
        <v>499604.28599999897</v>
      </c>
      <c r="JQ39" s="307">
        <f>(JP39/JP$8)</f>
        <v>0.15716510247416488</v>
      </c>
      <c r="JR39" s="307">
        <f>(JP39/IU39)-1</f>
        <v>0.2034887529207694</v>
      </c>
      <c r="JS39" s="310">
        <v>260340.66103999998</v>
      </c>
      <c r="JT39" s="307">
        <f>(JS39/JS$8)</f>
        <v>0.15211603480301331</v>
      </c>
      <c r="JU39" s="307">
        <f>(JS39/IX39)-1</f>
        <v>0.29254860884591882</v>
      </c>
      <c r="JV39" s="310">
        <v>759944.94703999895</v>
      </c>
      <c r="JW39" s="307">
        <f>(JV39/JV$8)</f>
        <v>0.15539808143899211</v>
      </c>
      <c r="JX39" s="307">
        <f>(JV39/JA39)-1</f>
        <v>0.23258327623728037</v>
      </c>
      <c r="JY39" s="310">
        <v>663941.48937000404</v>
      </c>
      <c r="JZ39" s="307">
        <f>(JY39/JY$8)</f>
        <v>0.25584211045569499</v>
      </c>
      <c r="KA39" s="307">
        <f>(JY39/JD39)-1</f>
        <v>0.25820086810869936</v>
      </c>
      <c r="KB39" s="310">
        <v>1423886.4442999999</v>
      </c>
      <c r="KC39" s="307">
        <f>(KB39/KB$8)</f>
        <v>0.19022098578666055</v>
      </c>
      <c r="KD39" s="307">
        <f>(KB39/JG39)-1</f>
        <v>0.24439741667411341</v>
      </c>
      <c r="KE39" s="553">
        <f>KE40-'Prod. Fin. | Financial Products'!IV13</f>
        <v>209061.54759999993</v>
      </c>
      <c r="KF39" s="307">
        <f>(KE39/KE$8)</f>
        <v>0.12667809520116191</v>
      </c>
      <c r="KG39" s="307">
        <f>(KE39/JJ39)-1</f>
        <v>0.42486265096371367</v>
      </c>
      <c r="KH39" s="553">
        <f>KH40-'Prod. Fin. | Financial Products'!IY13</f>
        <v>343285.73356999992</v>
      </c>
      <c r="KI39" s="307">
        <f>(KH39/KH$8)</f>
        <v>0.16999611442456916</v>
      </c>
      <c r="KJ39" s="307">
        <f>(KH39/JM39)-1</f>
        <v>-2.7186221738986882E-2</v>
      </c>
      <c r="KK39" s="310">
        <f>KH39+KE39</f>
        <v>552347.28116999986</v>
      </c>
      <c r="KL39" s="307">
        <f>(KK39/KK$8)</f>
        <v>0.15051519892710893</v>
      </c>
      <c r="KM39" s="307">
        <f>(KK39/JP39)-1</f>
        <v>0.10556954103072091</v>
      </c>
      <c r="KN39" s="553">
        <f>KN40-'Prod. Fin. | Financial Products'!JE13</f>
        <v>251547.93110999995</v>
      </c>
      <c r="KO39" s="307">
        <f>(KN39/KN$8)</f>
        <v>0.13020591447179078</v>
      </c>
      <c r="KP39" s="307">
        <f>(KN39/JS39)-1</f>
        <v>-3.3773940247655232E-2</v>
      </c>
      <c r="KQ39" s="557">
        <f>KN39+KK39</f>
        <v>803895.21227999986</v>
      </c>
      <c r="KR39" s="307">
        <f>(KQ39/KQ$8)</f>
        <v>0.14351081644555561</v>
      </c>
      <c r="KS39" s="307">
        <f>(KQ39/JV39)-1</f>
        <v>5.7833485716548338E-2</v>
      </c>
      <c r="KT39" s="553">
        <f>KT40-'Prod. Fin. | Financial Products'!JK13</f>
        <v>757898.74332257034</v>
      </c>
      <c r="KU39" s="307">
        <f>(KT39/KT$8)</f>
        <v>0.26379514208295496</v>
      </c>
      <c r="KV39" s="307">
        <f>(KT39/JY39)-1</f>
        <v>0.14151435850427085</v>
      </c>
      <c r="KW39" s="310">
        <f t="shared" ref="KW39:KW40" si="442">KT39+KQ39</f>
        <v>1561793.9556025702</v>
      </c>
      <c r="KX39" s="307">
        <f>(KW39/KW$8)</f>
        <v>0.18428914836237373</v>
      </c>
      <c r="KY39" s="307">
        <f>(KW39/KB39)-1</f>
        <v>9.6852885884707973E-2</v>
      </c>
      <c r="KZ39" s="553">
        <f>KZ40-'Prod. Fin. | Financial Products'!JQ13</f>
        <v>84365.537530000103</v>
      </c>
      <c r="LA39" s="307">
        <f>(KZ39/KZ$8)</f>
        <v>5.4423058954444069E-2</v>
      </c>
      <c r="LB39" s="307">
        <f>(KZ39/KE39)-1</f>
        <v>-0.59645597911951875</v>
      </c>
      <c r="LC39" s="553">
        <f>LC40-'Prod. Fin. | Financial Products'!JT13</f>
        <v>454187.80732999998</v>
      </c>
      <c r="LD39" s="307">
        <f>(LC39/LC$8)</f>
        <v>0.84165587049418489</v>
      </c>
      <c r="LE39" s="307">
        <f>(LC39/KH39)-1</f>
        <v>0.32306053795674505</v>
      </c>
      <c r="LF39" s="310">
        <f>LC39+KZ39</f>
        <v>538553.34486000007</v>
      </c>
      <c r="LG39" s="307">
        <f>(LF39/LF$8)</f>
        <v>0.25770371403989639</v>
      </c>
      <c r="LH39" s="307">
        <f>(LF39/KK39)-1</f>
        <v>-2.4973303536103275E-2</v>
      </c>
      <c r="LI39" s="553">
        <f>LI40-'Prod. Fin. | Financial Products'!JZ13</f>
        <v>12908.207300000031</v>
      </c>
      <c r="LJ39" s="307">
        <f>(LI39/LI$8)</f>
        <v>7.8174847095773738E-3</v>
      </c>
      <c r="LK39" s="307">
        <f>(LI39/KN39)-1</f>
        <v>-0.94868489976029513</v>
      </c>
      <c r="LL39" s="310">
        <f>LI39+LF39</f>
        <v>551461.55216000008</v>
      </c>
      <c r="LM39" s="307">
        <f>(LL39/LL$8)</f>
        <v>0.14740968613581404</v>
      </c>
      <c r="LN39" s="307">
        <f>(LL39/KQ39)-1</f>
        <v>-0.3140131403495362</v>
      </c>
      <c r="LO39" s="310">
        <f>LO40-'Prod. Fin. | Financial Products'!KF13</f>
        <v>557059.87730000005</v>
      </c>
      <c r="LP39" s="307">
        <f>(LO39/LO$8)</f>
        <v>0.19080281237776406</v>
      </c>
      <c r="LQ39" s="307">
        <f>(LO39/KT39)-1</f>
        <v>-0.26499432515497778</v>
      </c>
      <c r="LR39" s="310">
        <f>LO39+LL39</f>
        <v>1108521.4294600002</v>
      </c>
      <c r="LS39" s="307">
        <f>(LR39/LR$8)</f>
        <v>0.16643039004613872</v>
      </c>
      <c r="LT39" s="307">
        <f>(LR39/KW39)-1</f>
        <v>-0.29022556049507098</v>
      </c>
    </row>
    <row r="40" spans="1:332" ht="15.95" customHeight="1">
      <c r="A40" s="114"/>
      <c r="B40" s="311" t="s">
        <v>310</v>
      </c>
      <c r="C40" s="311" t="s">
        <v>312</v>
      </c>
      <c r="D40" s="304">
        <f>D13+D16+D17+D18+D19+D21+D22+D25+D24</f>
        <v>21401</v>
      </c>
      <c r="E40" s="305">
        <f>D40/$D$8</f>
        <v>0.10807930832474799</v>
      </c>
      <c r="F40" s="304">
        <f>F13+F16+F17+F18+F19+F21+F22+F25+F24</f>
        <v>40027</v>
      </c>
      <c r="G40" s="305">
        <f>F40/$F$8</f>
        <v>0.14338988636852135</v>
      </c>
      <c r="H40" s="304">
        <f>H13+H16+H17+H18+H19+H21+H22+H25+H24</f>
        <v>61428</v>
      </c>
      <c r="I40" s="305">
        <f>H40/$H$8</f>
        <v>0.1287366920948948</v>
      </c>
      <c r="J40" s="304">
        <f>J13+J16+J17+J18+J19+J21+J22+J25+J24</f>
        <v>23026</v>
      </c>
      <c r="K40" s="305">
        <f>J40/$J$8</f>
        <v>9.0152028283603414E-2</v>
      </c>
      <c r="L40" s="304">
        <f>L13+L16+L17+L18+L19+L21+L22+L25+L24</f>
        <v>84454</v>
      </c>
      <c r="M40" s="305">
        <f>L40/$L$8</f>
        <v>0.11528407407862425</v>
      </c>
      <c r="N40" s="304">
        <f>N13+N16+N17+N18+N19+N21+N22+N25+N24</f>
        <v>60809</v>
      </c>
      <c r="O40" s="305">
        <f>N40/$N$8</f>
        <v>0.15056913145859591</v>
      </c>
      <c r="P40" s="304">
        <f>P13+P16+P17+P18+P19+P21+P22+P25+P24</f>
        <v>145263</v>
      </c>
      <c r="Q40" s="305">
        <f>P40/$P$8</f>
        <v>0.12782352516732165</v>
      </c>
      <c r="R40" s="304">
        <f>R13+R16+R17+R18+R19+R21+R22+R25+R24</f>
        <v>29752</v>
      </c>
      <c r="S40" s="305">
        <f>R40/$R$8</f>
        <v>0.11853622582123149</v>
      </c>
      <c r="T40" s="306">
        <f>R40/D40-1</f>
        <v>0.39021541049483677</v>
      </c>
      <c r="U40" s="304">
        <f>U13+U16+U17+U18+U19+U21+U22+U25+U24</f>
        <v>46767</v>
      </c>
      <c r="V40" s="305">
        <f>U40/$U$8</f>
        <v>0.13074035039655138</v>
      </c>
      <c r="W40" s="306">
        <f>U40/F40-1</f>
        <v>0.16838633922102586</v>
      </c>
      <c r="X40" s="304">
        <f>X13+X16+X17+X18+X19+X21+X22+X25+X24</f>
        <v>76519</v>
      </c>
      <c r="Y40" s="305">
        <f>X40/$X$8</f>
        <v>0.12570806171801072</v>
      </c>
      <c r="Z40" s="306">
        <f>X40/H40-1</f>
        <v>0.24566972716025259</v>
      </c>
      <c r="AA40" s="304">
        <f>AA13+AA16+AA17+AA18+AA19+AA21+AA22+AA25+AA24</f>
        <v>33079</v>
      </c>
      <c r="AB40" s="307">
        <f>AA40/$AA$8</f>
        <v>0.10320320226629602</v>
      </c>
      <c r="AC40" s="306">
        <f>AA40/J40-1</f>
        <v>0.43659341613827851</v>
      </c>
      <c r="AD40" s="304">
        <f>AD13+AD16+AD17+AD18+AD19+AD21+AD22+AD25+AD24</f>
        <v>109598</v>
      </c>
      <c r="AE40" s="305">
        <f>AD40/$AD$8</f>
        <v>0.11794534597036031</v>
      </c>
      <c r="AF40" s="306">
        <f>AD40/L40-1</f>
        <v>0.29772420489260432</v>
      </c>
      <c r="AG40" s="304">
        <f>AG13+AG16+AG17+AG18+AG19+AG21+AG22+AG25+AG24</f>
        <v>71257</v>
      </c>
      <c r="AH40" s="307">
        <f>AG40/$AG$8</f>
        <v>0.14057990171224297</v>
      </c>
      <c r="AI40" s="306">
        <f>AG40/N40-1</f>
        <v>0.17181667187422911</v>
      </c>
      <c r="AJ40" s="304">
        <f>AJ13+AJ16+AJ17+AJ18+AJ19+AJ21+AJ22+AJ25+AJ24</f>
        <v>180854</v>
      </c>
      <c r="AK40" s="305">
        <f>AJ40/$AJ$8</f>
        <v>0.12593368869267915</v>
      </c>
      <c r="AL40" s="306">
        <f>AJ40/P40-1</f>
        <v>0.24501077356243495</v>
      </c>
      <c r="AM40" s="304">
        <f>AM13+AM16+AM17+AM18+AM19+AM21+AM22+AM25+AM24</f>
        <v>38858</v>
      </c>
      <c r="AN40" s="308">
        <f>AM40/$AM$8</f>
        <v>0.12523002452520682</v>
      </c>
      <c r="AO40" s="309">
        <f>AM40/R40-1</f>
        <v>0.3060634579187953</v>
      </c>
      <c r="AP40" s="304">
        <f>AP13+AP16+AP17+AP18+AP19+AP21+AP22+AP25+AP24</f>
        <v>75234</v>
      </c>
      <c r="AQ40" s="308">
        <f>AP40/$AP$8</f>
        <v>0.16931057375296779</v>
      </c>
      <c r="AR40" s="309">
        <f>AP40/U40-1</f>
        <v>0.60869844120854455</v>
      </c>
      <c r="AS40" s="304">
        <f>AS13+AS16+AS17+AS18+AS19+AS21+AS22+AS25+AS24</f>
        <v>114089</v>
      </c>
      <c r="AT40" s="308">
        <f>AS40/$AS$8</f>
        <v>0.15118174301131124</v>
      </c>
      <c r="AU40" s="309">
        <f>AS40/X40-1</f>
        <v>0.49098916608946808</v>
      </c>
      <c r="AV40" s="304">
        <f>AV13+AV16+AV17+AV18+AV19+AV21+AV22+AV25+AV24</f>
        <v>69729</v>
      </c>
      <c r="AW40" s="308">
        <f>AV40/$AV$8</f>
        <v>0.17636926532408601</v>
      </c>
      <c r="AX40" s="309">
        <f>AV40/AA40-1</f>
        <v>1.1079536866289792</v>
      </c>
      <c r="AY40" s="304">
        <f>AY13+AY16+AY17+AY18+AY19+AY21+AY22+AY25+AY24</f>
        <v>183820</v>
      </c>
      <c r="AZ40" s="308">
        <f>AY40/$AY$8</f>
        <v>0.15984264429924713</v>
      </c>
      <c r="BA40" s="309">
        <f>AY40/AD40-1</f>
        <v>0.67722038723334377</v>
      </c>
      <c r="BB40" s="304">
        <f>BB13+BB16+BB17+BB18+BB19+BB21+BB22+BB25+BB24</f>
        <v>101404</v>
      </c>
      <c r="BC40" s="308">
        <f>BB40/$BB$8</f>
        <v>0.16852300564047851</v>
      </c>
      <c r="BD40" s="309">
        <f>BB40/AG40</f>
        <v>1.4230742242867367</v>
      </c>
      <c r="BE40" s="304">
        <f>BE13+BE16+BE17+BE18+BE19+BE21+BE22+BE25+BE24</f>
        <v>285225</v>
      </c>
      <c r="BF40" s="308">
        <f>BE40/$BE$8</f>
        <v>0.16282493629147904</v>
      </c>
      <c r="BG40" s="309">
        <f>BE40/AJ40</f>
        <v>1.5771008658918244</v>
      </c>
      <c r="BH40" s="304">
        <f>BH13+BH16+BH17+BH18+BH19+BH21+BH22+BH25+BH24</f>
        <v>54445</v>
      </c>
      <c r="BI40" s="308">
        <f>BH40/$BH$8</f>
        <v>0.14201203496242662</v>
      </c>
      <c r="BJ40" s="309">
        <f>(BH40/AM40)-1</f>
        <v>0.40112718101806588</v>
      </c>
      <c r="BK40" s="304">
        <f>BK13+BK16+BK17+BK18+BK19+BK21+BK22+BK25+BK24</f>
        <v>85677</v>
      </c>
      <c r="BL40" s="308">
        <f>BK40/$BK$8</f>
        <v>0.16791312425771099</v>
      </c>
      <c r="BM40" s="309">
        <f>(BK40/AP40)-1</f>
        <v>0.13880692240210535</v>
      </c>
      <c r="BN40" s="304">
        <f>BN13+BN16+BN17+BN18+BN19+BN21+BN22+BN25+BN24</f>
        <v>140123</v>
      </c>
      <c r="BO40" s="308">
        <f>BN40/$BN$8</f>
        <v>0.15680220762755012</v>
      </c>
      <c r="BP40" s="309">
        <f>BN40/AS40-1</f>
        <v>0.22819027250655188</v>
      </c>
      <c r="BQ40" s="304">
        <f>BQ13+BQ16+BQ17+BQ18+BQ19+BQ21+BQ22+BQ25+BQ24</f>
        <v>61722</v>
      </c>
      <c r="BR40" s="308">
        <f>BQ40/$BQ$8</f>
        <v>0.13745507021740003</v>
      </c>
      <c r="BS40" s="309">
        <f>(BQ40/AV40)-1</f>
        <v>-0.11483027147958524</v>
      </c>
      <c r="BT40" s="304">
        <f>BT13+BT16+BT17+BT18+BT19+BT21+BT22+BT25+BT24</f>
        <v>201845</v>
      </c>
      <c r="BU40" s="308">
        <f>BT40/$BT$8</f>
        <v>0.15033172856351254</v>
      </c>
      <c r="BV40" s="309">
        <f>BT40/AY40-1</f>
        <v>9.8057882711348077E-2</v>
      </c>
      <c r="BW40" s="304">
        <f>BW13+BW16+BW17+BW18+BW19+BW21+BW22+BW25+BW24</f>
        <v>95264</v>
      </c>
      <c r="BX40" s="308">
        <f>BW40/$BW$8</f>
        <v>0.15521427011949335</v>
      </c>
      <c r="BY40" s="309">
        <f>(BW40/BB40)-1</f>
        <v>-6.0549879689164143E-2</v>
      </c>
      <c r="BZ40" s="304">
        <f>BZ13+BZ16+BZ17+BZ18+BZ19+BZ21+BZ22+BZ25+BZ24</f>
        <v>297109</v>
      </c>
      <c r="CA40" s="308">
        <f>BZ40/$BZ$8</f>
        <v>0.15186345277245911</v>
      </c>
      <c r="CB40" s="309">
        <f>(BZ40/BE40)-1</f>
        <v>4.1665351915154636E-2</v>
      </c>
      <c r="CC40" s="304">
        <f>CC13+CC16+CC17+CC18+CC19+CC21+CC22+CC25+CC24</f>
        <v>38124.279695342848</v>
      </c>
      <c r="CD40" s="308">
        <f>CC40/$CC$8</f>
        <v>0.10512721583498878</v>
      </c>
      <c r="CE40" s="308">
        <f>(CC40/BH40)-1</f>
        <v>-0.29976527329703651</v>
      </c>
      <c r="CF40" s="304">
        <f>CF13+CF16+CF17+CF18+CF19+CF21+CF22+CF25+CF24</f>
        <v>93498.940966587921</v>
      </c>
      <c r="CG40" s="308">
        <f>CF40/$CF$8</f>
        <v>0.16854794921978167</v>
      </c>
      <c r="CH40" s="308">
        <f>(CF40/BK40)-1</f>
        <v>9.129569156935835E-2</v>
      </c>
      <c r="CI40" s="304">
        <f>CI13+CI16+CI17+CI18+CI19+CI21+CI22+CI25+CI24</f>
        <v>131626.22066193074</v>
      </c>
      <c r="CJ40" s="308">
        <f>CI40/$CI$8</f>
        <v>0.14348058673824451</v>
      </c>
      <c r="CK40" s="308">
        <f>(CI40/BN40)-1</f>
        <v>-6.0638006166505609E-2</v>
      </c>
      <c r="CL40" s="304">
        <f>CL13+CL16+CL17+CL18+CL19+CL21+CL22+CL25+CL24</f>
        <v>68171.640550408512</v>
      </c>
      <c r="CM40" s="308">
        <f>CL40/$CL$8</f>
        <v>0.14006048641014221</v>
      </c>
      <c r="CN40" s="309">
        <f>(CL40/BQ40)-1</f>
        <v>0.10449500259888711</v>
      </c>
      <c r="CO40" s="304">
        <f>CO13+CO16+CO17+CO18+CO19+CO21+CO22+CO25+CO24</f>
        <v>199798.86121233925</v>
      </c>
      <c r="CP40" s="308">
        <f>CO40/$CO$8</f>
        <v>0.14229563133708037</v>
      </c>
      <c r="CQ40" s="309">
        <f>(CO40/BT40)-1</f>
        <v>-1.0137178466946173E-2</v>
      </c>
      <c r="CR40" s="304">
        <f>CR13+CR16+CR17+CR18+CR19+CR21+CR22+CR25+CR24</f>
        <v>156114.23646145535</v>
      </c>
      <c r="CS40" s="308">
        <f>CR40/$CR$8</f>
        <v>0.21930530591979769</v>
      </c>
      <c r="CT40" s="309">
        <f>(CR40/BW40)-1</f>
        <v>0.63875374182750422</v>
      </c>
      <c r="CU40" s="304">
        <f>CU13+CU16+CU17+CU18+CU19+CU21+CU22+CU25+CU24</f>
        <v>355910</v>
      </c>
      <c r="CV40" s="308">
        <f>CU40/$CU$8</f>
        <v>0.16820197658943803</v>
      </c>
      <c r="CW40" s="309">
        <f>(CU40/BZ40)-1</f>
        <v>0.19791053115186674</v>
      </c>
      <c r="CX40" s="304">
        <f>CX13+CX16+CX17+CX18+CX19+CX21+CX22+CX25+CX24</f>
        <v>73111</v>
      </c>
      <c r="CY40" s="309">
        <f>CX40/$CX$8</f>
        <v>0.16606851623864838</v>
      </c>
      <c r="CZ40" s="309">
        <f>CX40/CC40-1</f>
        <v>0.91770180536502122</v>
      </c>
      <c r="DA40" s="304">
        <f>DA13+DA16+DA17+DA18+DA19+DA21+DA22+DA25+DA24</f>
        <v>152505</v>
      </c>
      <c r="DB40" s="309">
        <f>DA40/$DA$8</f>
        <v>0.24207565528921934</v>
      </c>
      <c r="DC40" s="309">
        <f>DA40/CF40-1</f>
        <v>0.63108799333350785</v>
      </c>
      <c r="DD40" s="304">
        <f>DD13+DD16+DD17+DD18+DD19+DD21+DD22+DD25+DD24</f>
        <v>225616</v>
      </c>
      <c r="DE40" s="309">
        <f>DD40/$DD$8</f>
        <v>0.21080977542315474</v>
      </c>
      <c r="DF40" s="309">
        <f>DD40/CI40-1</f>
        <v>0.7140657755377855</v>
      </c>
      <c r="DG40" s="304">
        <f>DG13+DG16+DG17+DG18+DG19+DG21+DG22+DG25+DG24</f>
        <v>101243</v>
      </c>
      <c r="DH40" s="309">
        <f>DG40/$DG$8</f>
        <v>0.17801280022505891</v>
      </c>
      <c r="DI40" s="309">
        <f>DG40/CL40-1</f>
        <v>0.48511901991176765</v>
      </c>
      <c r="DJ40" s="304">
        <f>DJ13+DJ16+DJ17+DJ18+DJ19+DJ21+DJ22+DJ25+DJ24</f>
        <v>326859</v>
      </c>
      <c r="DK40" s="309">
        <f>DJ40/$DJ$8</f>
        <v>0.19942891136228436</v>
      </c>
      <c r="DL40" s="309">
        <f>DJ40/CO40-1</f>
        <v>0.63594025519807973</v>
      </c>
      <c r="DM40" s="304">
        <f>DM13+DM16+DM17+DM18+DM19+DM21+DM22+DM25+DM24</f>
        <v>178260</v>
      </c>
      <c r="DN40" s="309">
        <f>DM40/$DM$8</f>
        <v>0.21641137829014859</v>
      </c>
      <c r="DO40" s="309">
        <f>DM40/CR40-1</f>
        <v>0.14185614355557141</v>
      </c>
      <c r="DP40" s="304">
        <f>DP13+DP16+DP17+DP18+DP19+DP21+DP22+DP25+DP24</f>
        <v>505120</v>
      </c>
      <c r="DQ40" s="309">
        <f>DP40/$DP$8</f>
        <v>0.2051096304315253</v>
      </c>
      <c r="DR40" s="309">
        <f>DP40/CU40-1</f>
        <v>0.41923519991008962</v>
      </c>
      <c r="DS40" s="310">
        <f>DS13+DS16+DS17+DS18+DS19+DS21+DS22+DS25+DS24</f>
        <v>85159</v>
      </c>
      <c r="DT40" s="309">
        <f>DS40/$DS$8</f>
        <v>0.1644926570434628</v>
      </c>
      <c r="DU40" s="309">
        <f>(DS40/CX40)-1</f>
        <v>0.16479052399775673</v>
      </c>
      <c r="DV40" s="310">
        <f>DV13+DV16+DV17+DV18+DV19+DV21+DV22+DV25+DV24</f>
        <v>179669</v>
      </c>
      <c r="DW40" s="307">
        <f>(DV40/$DV$8)</f>
        <v>0.23966955378021565</v>
      </c>
      <c r="DX40" s="307">
        <f>(DV40/DA40)-1</f>
        <v>0.1781187502049113</v>
      </c>
      <c r="DY40" s="310">
        <f>DY13+DY16+DY17+DY18+DY19+DY21+DY22+DY25+DY24</f>
        <v>264828</v>
      </c>
      <c r="DZ40" s="307">
        <f>(DY40/$DY$8)</f>
        <v>0.20896035854058831</v>
      </c>
      <c r="EA40" s="307">
        <f>(DY40/DD40)-1</f>
        <v>0.1737997305155663</v>
      </c>
      <c r="EB40" s="310">
        <f>EB13+EB16+EB17+EB18+EB19+EB21+EB22+EB25+EB24</f>
        <v>105242.18123999999</v>
      </c>
      <c r="EC40" s="307">
        <f>(EB40/$EB$8)</f>
        <v>0.16016744066135422</v>
      </c>
      <c r="ED40" s="307">
        <f>(EB40/DG40)-1</f>
        <v>3.9500817241685748E-2</v>
      </c>
      <c r="EE40" s="310">
        <f>EE13+EE16+EE17+EE18+EE19+EE21+EE22+EE25+EE24</f>
        <v>370070.18123999995</v>
      </c>
      <c r="EF40" s="307">
        <f>(EE40/$EE$8)</f>
        <v>0.1923005915707251</v>
      </c>
      <c r="EG40" s="307">
        <f>(EE40/DJ40)-1</f>
        <v>0.13220128936330333</v>
      </c>
      <c r="EH40" s="310">
        <f>EH13+EH16+EH17+EH18+EH19+EH21+EH22+EH25+EH24</f>
        <v>222557</v>
      </c>
      <c r="EI40" s="307">
        <f>(EH40/$EH$8)</f>
        <v>0.22892571334526529</v>
      </c>
      <c r="EJ40" s="307">
        <f t="shared" si="214"/>
        <v>0.24849657803208802</v>
      </c>
      <c r="EK40" s="310">
        <f>EK13+EK16+EK17+EK18+EK19+EK21+EK22+EK25+EK24</f>
        <v>592626</v>
      </c>
      <c r="EL40" s="307">
        <f t="shared" si="215"/>
        <v>0.20459246079133003</v>
      </c>
      <c r="EM40" s="307">
        <f>(EK40/DP40)-1</f>
        <v>0.17323804244535945</v>
      </c>
      <c r="EN40" s="310">
        <f>EN13+EN16+EN17+EN18+EN19+EN21+EN22+EN25+EN24</f>
        <v>83588</v>
      </c>
      <c r="EO40" s="307">
        <f>EN40/EN8</f>
        <v>0.13499375806485475</v>
      </c>
      <c r="EP40" s="307">
        <f>EN40/DS40-1</f>
        <v>-1.8447844620063658E-2</v>
      </c>
      <c r="EQ40" s="310">
        <f>EQ13+EQ16+EQ17+EQ18+EQ19+EQ21+EQ22+EQ25+EQ24</f>
        <v>190395</v>
      </c>
      <c r="ER40" s="307">
        <f t="shared" si="233"/>
        <v>0.22264020328145664</v>
      </c>
      <c r="ES40" s="307">
        <f>(EQ40/DV40)-1</f>
        <v>5.969866810635116E-2</v>
      </c>
      <c r="ET40" s="310">
        <f>ET13+ET16+ET17+ET18+ET19+ET21+ET22+ET25+ET24</f>
        <v>273982</v>
      </c>
      <c r="EU40" s="307">
        <f t="shared" si="234"/>
        <v>0.18583013196162695</v>
      </c>
      <c r="EV40" s="307">
        <f>(ET40/DY40)-1</f>
        <v>3.4565831407555203E-2</v>
      </c>
      <c r="EW40" s="310">
        <f>EW13+EW16+EW17+EW18+EW19+EW21+EW22+EW25+EW24</f>
        <v>148184</v>
      </c>
      <c r="EX40" s="307">
        <f>EW40/EW8</f>
        <v>0.18447825112665886</v>
      </c>
      <c r="EY40" s="307">
        <f>(EW40/EB40)-1</f>
        <v>0.40802858943101095</v>
      </c>
      <c r="EZ40" s="310">
        <f>EZ13+EZ16+EZ17+EZ18+EZ19+EZ21+EZ22+EZ25+EZ24</f>
        <v>422166</v>
      </c>
      <c r="FA40" s="307">
        <f>EZ40/EZ8</f>
        <v>0.18535327746529395</v>
      </c>
      <c r="FB40" s="307">
        <f>(EZ40/EE40)-1</f>
        <v>0.14077280851281171</v>
      </c>
      <c r="FC40" s="310">
        <f>FC13+FC16+FC17+FC18+FC19+FC21+FC22+FC25+FC24</f>
        <v>292283</v>
      </c>
      <c r="FD40" s="307">
        <f>FC40/FC8</f>
        <v>0.24679144023804137</v>
      </c>
      <c r="FE40" s="307">
        <f>(FC40/EH40)-1</f>
        <v>0.31329502105078699</v>
      </c>
      <c r="FF40" s="310">
        <f>FF13+FF16+FF17+FF18+FF19+FF21+FF22+FF25+FF24</f>
        <v>714449</v>
      </c>
      <c r="FG40" s="307">
        <f>FF40/FF8</f>
        <v>0.20637124634600054</v>
      </c>
      <c r="FH40" s="307">
        <f>(FF40/EK40)-1</f>
        <v>0.20556472378869639</v>
      </c>
      <c r="FI40" s="310">
        <f>FI13+FI16+FI17+FI18+FI19+FI21+FI22+FI25+FI24</f>
        <v>89968</v>
      </c>
      <c r="FJ40" s="307">
        <f>FI40/FI8</f>
        <v>0.12379821419479835</v>
      </c>
      <c r="FK40" s="307">
        <f>(FI40/EN40)-1</f>
        <v>7.6326745465856272E-2</v>
      </c>
      <c r="FL40" s="310">
        <f>FL13+FL16+FL17+FL18+FL19+FL21+FL22+FL25+FL24</f>
        <v>201821</v>
      </c>
      <c r="FM40" s="307">
        <f>FL40/FL8</f>
        <v>0.21307048225142869</v>
      </c>
      <c r="FN40" s="307">
        <f>(FL40/EQ40)-1</f>
        <v>6.0012080149163483E-2</v>
      </c>
      <c r="FO40" s="310">
        <f>FO13+FO16+FO17+FO18+FO19+FO21+FO22+FO25+FO24</f>
        <v>291789</v>
      </c>
      <c r="FP40" s="307">
        <f>FO40/FO8</f>
        <v>0.17431332418124013</v>
      </c>
      <c r="FQ40" s="307">
        <f>(FO40/ET40)-1</f>
        <v>6.4993320729098913E-2</v>
      </c>
      <c r="FR40" s="310">
        <f>FR13+FR16+FR17+FR18+FR19+FR21+FR22+FR25+FR24</f>
        <v>154626</v>
      </c>
      <c r="FS40" s="307">
        <f>FR40/FR8</f>
        <v>0.17049611982560717</v>
      </c>
      <c r="FT40" s="307">
        <f>(FR40/EW40)-1</f>
        <v>4.3472979538951684E-2</v>
      </c>
      <c r="FU40" s="310">
        <f>FU13+FU16+FU17+FU18+FU19+FU21+FU22+FU25+FU24</f>
        <v>446409</v>
      </c>
      <c r="FV40" s="307">
        <f>FU40/FU8</f>
        <v>0.17296962398463764</v>
      </c>
      <c r="FW40" s="307">
        <f>(FU40/EZ40)-1</f>
        <v>5.7425278208098174E-2</v>
      </c>
      <c r="FX40" s="310">
        <f>FX13+FX16+FX17+FX18+FX19+FX21+FX22+FX25+FX24</f>
        <v>390718</v>
      </c>
      <c r="FY40" s="307">
        <f>FX40/FX8</f>
        <v>0.29312189317860932</v>
      </c>
      <c r="FZ40" s="307">
        <f>(FX40/FC40)-1</f>
        <v>0.33677976481697525</v>
      </c>
      <c r="GA40" s="310">
        <f>GA13+GA16+GA17+GA18+GA19+GA21+GA22+GA25+GA24</f>
        <v>837134</v>
      </c>
      <c r="GB40" s="307">
        <f>GA40/GA8</f>
        <v>0.21389239996126536</v>
      </c>
      <c r="GC40" s="307">
        <f>(GA40/FF40)-1</f>
        <v>0.17171974486632346</v>
      </c>
      <c r="GD40" s="310">
        <f>GD13+GD16+GD17+GD18+GD19+GD21+GD22+GD25+GD24</f>
        <v>135060.48000000001</v>
      </c>
      <c r="GE40" s="307">
        <f>GD40/GD8</f>
        <v>0.16581685319870942</v>
      </c>
      <c r="GF40" s="307">
        <f>(GD40/FI40)-1</f>
        <v>0.50120576204872846</v>
      </c>
      <c r="GG40" s="310">
        <f>GG13+GG16+GG17+GG18+GG19+GG21+GG22+GG25+GG24</f>
        <v>248105</v>
      </c>
      <c r="GH40" s="307">
        <f>GG40/GG8</f>
        <v>0.22327703973549268</v>
      </c>
      <c r="GI40" s="307">
        <f>(GG40/FL40)-1</f>
        <v>0.22933193275229047</v>
      </c>
      <c r="GJ40" s="310">
        <f>GJ13+GJ16+GJ17+GJ18+GJ19+GJ21+GJ22+GJ25+GJ24</f>
        <v>383165.48</v>
      </c>
      <c r="GK40" s="307">
        <f>(GJ40/$GJ$8)</f>
        <v>0.19897320162807144</v>
      </c>
      <c r="GL40" s="307">
        <f>(GJ40/FO40)-1</f>
        <v>0.31315944055464739</v>
      </c>
      <c r="GM40" s="310">
        <f>GM13+GM16+GM17+GM18+GM19+GM21+GM22+GM25+GM24</f>
        <v>204342</v>
      </c>
      <c r="GN40" s="307">
        <f>GM40/GM8</f>
        <v>0.19515209279804716</v>
      </c>
      <c r="GO40" s="307">
        <f>(GM40/FR40)-1</f>
        <v>0.32152419386131692</v>
      </c>
      <c r="GP40" s="310">
        <f>GP13+GP16+GP17+GP18+GP19+GP21+GP22+GP25+GP24</f>
        <v>587507.47999999986</v>
      </c>
      <c r="GQ40" s="307">
        <f>(GP40/$GP$8)</f>
        <v>0.19762731830712066</v>
      </c>
      <c r="GR40" s="307">
        <f>(GP40/FU40)-1</f>
        <v>0.3160744519039711</v>
      </c>
      <c r="GS40" s="310">
        <f>GS13+GS16+GS17+GS18+GS19+GS21+GS22+GS25+GS24</f>
        <v>465624.44599999994</v>
      </c>
      <c r="GT40" s="307">
        <f>GS40/GS8</f>
        <v>0.27884925982463837</v>
      </c>
      <c r="GU40" s="307">
        <f>(GS40/FX40)-1</f>
        <v>0.19171485828653889</v>
      </c>
      <c r="GV40" s="310">
        <f>GV13+GV16+GV17+GV18+GV19+GV21+GV22+GV25+GV24</f>
        <v>1053131.9259999997</v>
      </c>
      <c r="GW40" s="307">
        <f>(GV40/$GV$8)</f>
        <v>0.22684039200346695</v>
      </c>
      <c r="GX40" s="307">
        <f>(GV40/GA40)-1</f>
        <v>0.25802073025345962</v>
      </c>
      <c r="GY40" s="310">
        <f>GY13+GY16+GY17+GY18+GY19+GY21+GY22+GY25+GY24</f>
        <v>198803.53941000011</v>
      </c>
      <c r="GZ40" s="307">
        <f t="shared" si="352"/>
        <v>0.19666091870075539</v>
      </c>
      <c r="HA40" s="307">
        <f t="shared" si="229"/>
        <v>0.47195937264550003</v>
      </c>
      <c r="HB40" s="310">
        <f>HB13+HB16+HB17+HB18+HB19+HB21+HB22+HB25+HB24</f>
        <v>326159.0384299999</v>
      </c>
      <c r="HC40" s="307">
        <f t="shared" si="371"/>
        <v>0.24084535257039807</v>
      </c>
      <c r="HD40" s="307">
        <f>(HB40/GG40)-1</f>
        <v>0.31460082799621092</v>
      </c>
      <c r="HE40" s="310">
        <f>HE13+HE16+HE17+HE18+HE19+HE21+HE22+HE25+HE24</f>
        <v>524962.57783999993</v>
      </c>
      <c r="HF40" s="307">
        <f t="shared" si="240"/>
        <v>0.22196013558714328</v>
      </c>
      <c r="HG40" s="307">
        <f>(HE40/GJ40)-1</f>
        <v>0.37006751714689945</v>
      </c>
      <c r="HH40" s="310">
        <f>HH13+HH16+HH17+HH18+HH19+HH21+HH22+HH25+HH24</f>
        <v>230533</v>
      </c>
      <c r="HI40" s="307">
        <f>HH40/HH8</f>
        <v>0.1846679456729402</v>
      </c>
      <c r="HJ40" s="307">
        <f>(HH40/GM40)-1</f>
        <v>0.12817237768055523</v>
      </c>
      <c r="HK40" s="557">
        <f>HK13+HK16+HK17+HK18+HK19+HK21+HK22+HK25+HK24</f>
        <v>755497.26334000006</v>
      </c>
      <c r="HL40" s="558">
        <f>(HK40/$HK$8)</f>
        <v>0.20907712478753207</v>
      </c>
      <c r="HM40" s="558">
        <f>(HK40/GP40)-1</f>
        <v>0.28593641623082022</v>
      </c>
      <c r="HN40" s="557">
        <f>HN13+HN16+HN17+HN18+HN19+HN21+HN22+HN25+HN24</f>
        <v>491669</v>
      </c>
      <c r="HO40" s="558">
        <f>HN40/HN8</f>
        <v>0.26759448035938405</v>
      </c>
      <c r="HP40" s="558">
        <f>(HN40/GS40)-1</f>
        <v>5.593467916845607E-2</v>
      </c>
      <c r="HQ40" s="557">
        <f>HQ13+HQ16+HQ17+HQ18+HQ19+HQ21+HQ22+HQ25+HQ24</f>
        <v>1247163.9920099999</v>
      </c>
      <c r="HR40" s="558">
        <f>(HQ40/HQ$8)</f>
        <v>0.22880166109995281</v>
      </c>
      <c r="HS40" s="558">
        <f>(HQ40/GV40)-1</f>
        <v>0.18424288659348864</v>
      </c>
      <c r="HT40" s="557">
        <f>HT13+HT16+HT17+HT18+HT19+HT21+HT22+HT25+HT24</f>
        <v>185798</v>
      </c>
      <c r="HU40" s="558">
        <f>HT40/HT$8</f>
        <v>0.17265097365789836</v>
      </c>
      <c r="HV40" s="558">
        <f>HT40/GY40-1</f>
        <v>-6.5419053647622905E-2</v>
      </c>
      <c r="HW40" s="557">
        <f>HW13+HW16+HW17+HW18+HW19+HW21+HW22+HW25+HW24</f>
        <v>356072</v>
      </c>
      <c r="HX40" s="558">
        <f>(HW40/HW$8)</f>
        <v>0.24310433348262564</v>
      </c>
      <c r="HY40" s="558">
        <f>(HW40/HB40)-1</f>
        <v>9.1712808922877587E-2</v>
      </c>
      <c r="HZ40" s="557">
        <f>HZ13+HZ16+HZ17+HZ18+HZ19+HZ21+HZ22+HZ25+HZ24</f>
        <v>541870</v>
      </c>
      <c r="IA40" s="558">
        <f>(HZ40/HZ$8)</f>
        <v>0.21326445311700559</v>
      </c>
      <c r="IB40" s="558">
        <f>(HZ40/HE40)-1</f>
        <v>3.2206909356409685E-2</v>
      </c>
      <c r="IC40" s="557">
        <f>IC13+IC16+IC17+IC18+IC19+IC21+IC22+IC25+IC24</f>
        <v>229510</v>
      </c>
      <c r="ID40" s="558">
        <f>(IC40/IC$8)</f>
        <v>0.18209038588785625</v>
      </c>
      <c r="IE40" s="558">
        <f>(IC40/HH40)-1</f>
        <v>-4.4375425644050948E-3</v>
      </c>
      <c r="IF40" s="557">
        <f>IF13+IF16+IF17+IF18+IF19+IF21+IF22+IF25+IF24</f>
        <v>771380</v>
      </c>
      <c r="IG40" s="558">
        <f>(IF40/IF$8)</f>
        <v>0.20292777067778159</v>
      </c>
      <c r="IH40" s="558">
        <f>(IF40/HK40)-1</f>
        <v>2.1022891055598958E-2</v>
      </c>
      <c r="II40" s="557">
        <f>II13+II16+II17+II18+II19+II21+II22+II25+II24</f>
        <v>567729</v>
      </c>
      <c r="IJ40" s="558">
        <f>(II40/II$8)</f>
        <v>0.29561458867047402</v>
      </c>
      <c r="IK40" s="558">
        <f>(II40/HN40)-1</f>
        <v>0.15469757092678194</v>
      </c>
      <c r="IL40" s="557">
        <f>IL13+IL16+IL17+IL18+IL19+IL21+IL22+IL25+IL24</f>
        <v>1339111</v>
      </c>
      <c r="IM40" s="558">
        <f>(IL40/IL$8)</f>
        <v>0.23403842560947624</v>
      </c>
      <c r="IN40" s="558">
        <f>(IL40/HQ40)-1</f>
        <v>7.3724873857056394E-2</v>
      </c>
      <c r="IO40" s="557">
        <f>IO13+IO16+IO17+IO18+IO19+IO21+IO22+IO25+IO24</f>
        <v>190441.99999999994</v>
      </c>
      <c r="IP40" s="558">
        <f>IO40/IO$8</f>
        <v>0.154243514939855</v>
      </c>
      <c r="IQ40" s="558">
        <f>IO40/HT40-1</f>
        <v>2.4994886920203241E-2</v>
      </c>
      <c r="IR40" s="557">
        <f>IR13+IR16+IR17+IR18+IR19+IR21+IR22+IR25+IR24</f>
        <v>382734.00000000006</v>
      </c>
      <c r="IS40" s="558">
        <f>(IR40/IR$8)</f>
        <v>0.23474046524407899</v>
      </c>
      <c r="IT40" s="558">
        <f>(IR40/HW40)-1</f>
        <v>7.4878114538632801E-2</v>
      </c>
      <c r="IU40" s="557">
        <f>IU13+IU16+IU17+IU18+IU19+IU21+IU22+IU25+IU24</f>
        <v>573176</v>
      </c>
      <c r="IV40" s="558">
        <f>(IU40/IU$8)</f>
        <v>0.20005165541648925</v>
      </c>
      <c r="IW40" s="558">
        <f>(IU40/HZ40)-1</f>
        <v>5.7774004835108084E-2</v>
      </c>
      <c r="IX40" s="557">
        <f>IX13+IX16+IX17+IX18+IX19+IX21+IX22+IX25+IX24</f>
        <v>299237</v>
      </c>
      <c r="IY40" s="558">
        <f>(IX40/IX$8)</f>
        <v>0.19783244235999731</v>
      </c>
      <c r="IZ40" s="558">
        <f>(IX40/IC40)-1</f>
        <v>0.30380811293625554</v>
      </c>
      <c r="JA40" s="557">
        <f>JA13+JA16+JA17+JA18+JA19+JA21+JA22+JA25+JA24</f>
        <v>872413</v>
      </c>
      <c r="JB40" s="558">
        <f>(JA40/JA$8)</f>
        <v>0.19928487856001689</v>
      </c>
      <c r="JC40" s="558">
        <f>(JA40/IF40)-1</f>
        <v>0.13097695040058088</v>
      </c>
      <c r="JD40" s="557">
        <f>JD13+JD16+JD17+JD18+JD19+JD21+JD22+JD25+JD24</f>
        <v>603417</v>
      </c>
      <c r="JE40" s="558">
        <f>(JD40/JD$8)</f>
        <v>0.27152142659476097</v>
      </c>
      <c r="JF40" s="558">
        <f>(JD40/II40)-1</f>
        <v>6.2860977684775721E-2</v>
      </c>
      <c r="JG40" s="557">
        <f>JG13+JG16+JG17+JG18+JG19+JG21+JG22+JG25+JG24</f>
        <v>1475830</v>
      </c>
      <c r="JH40" s="558">
        <f>(JG40/JG$8)</f>
        <v>0.223608132819137</v>
      </c>
      <c r="JI40" s="558">
        <f>(JG40/IL40)-1</f>
        <v>0.10209683887295373</v>
      </c>
      <c r="JJ40" s="557">
        <f>JJ13+JJ16+JJ17+JJ18+JJ19+JJ21+JJ22+JJ25+JJ24</f>
        <v>249510</v>
      </c>
      <c r="JK40" s="558">
        <f>(JJ40/JJ$8)</f>
        <v>0.17837189800824838</v>
      </c>
      <c r="JL40" s="558">
        <f>(JJ40/IO40)-1</f>
        <v>0.31016267420001919</v>
      </c>
      <c r="JM40" s="557">
        <v>434190.43533000001</v>
      </c>
      <c r="JN40" s="558">
        <f>(JM40/JM$8)</f>
        <v>0.24392296276300807</v>
      </c>
      <c r="JO40" s="558">
        <f>(JM40/IR40)-1</f>
        <v>0.13444437998714487</v>
      </c>
      <c r="JP40" s="557">
        <v>683701.43091999996</v>
      </c>
      <c r="JQ40" s="558">
        <f>(JP40/JP$8)</f>
        <v>0.21507822983783442</v>
      </c>
      <c r="JR40" s="558">
        <f>(JP40/IU40)-1</f>
        <v>0.19282983048836644</v>
      </c>
      <c r="JS40" s="557">
        <v>346960.01777999999</v>
      </c>
      <c r="JT40" s="558">
        <f>(JS40/JS$8)</f>
        <v>0.20272738775817853</v>
      </c>
      <c r="JU40" s="558">
        <f>(JS40/IX40)-1</f>
        <v>0.15948234269157879</v>
      </c>
      <c r="JV40" s="557">
        <v>1030661.4487000002</v>
      </c>
      <c r="JW40" s="558">
        <f>(JV40/JV$8)</f>
        <v>0.21075580851606374</v>
      </c>
      <c r="JX40" s="558">
        <f>(JV40/JA40)-1</f>
        <v>0.18139166736396661</v>
      </c>
      <c r="JY40" s="557">
        <v>742655.27084000199</v>
      </c>
      <c r="JZ40" s="558">
        <f>(JY40/JY$8)</f>
        <v>0.28617354823395663</v>
      </c>
      <c r="KA40" s="558">
        <f>(JY40/JD40)-1</f>
        <v>0.2307496653889467</v>
      </c>
      <c r="KB40" s="557">
        <v>1773316.71954</v>
      </c>
      <c r="KC40" s="558">
        <f>(KB40/KB$8)</f>
        <v>0.23690235682291191</v>
      </c>
      <c r="KD40" s="558">
        <f>(KB40/JG40)-1</f>
        <v>0.20157248432407515</v>
      </c>
      <c r="KE40" s="557">
        <v>306777.08177999995</v>
      </c>
      <c r="KF40" s="558">
        <f>(KE40/KE$8)</f>
        <v>0.18588753798769581</v>
      </c>
      <c r="KG40" s="558">
        <f>(KE40/JJ40)-1</f>
        <v>0.22951818275820579</v>
      </c>
      <c r="KH40" s="557">
        <v>434340.66326999996</v>
      </c>
      <c r="KI40" s="558">
        <f>(KH40/KH$8)</f>
        <v>0.21508678593960304</v>
      </c>
      <c r="KJ40" s="558">
        <f>(KH40/JM40)-1</f>
        <v>3.4599550744540686E-4</v>
      </c>
      <c r="KK40" s="557">
        <f>KH40+KE40</f>
        <v>741117.74504999991</v>
      </c>
      <c r="KL40" s="558">
        <f>(KK40/KK$8)</f>
        <v>0.20195534336355095</v>
      </c>
      <c r="KM40" s="558">
        <f>(KK40/JP40)-1</f>
        <v>8.3978636775323912E-2</v>
      </c>
      <c r="KN40" s="557">
        <v>354783.33773999999</v>
      </c>
      <c r="KO40" s="558">
        <f>(KN40/KN$8)</f>
        <v>0.18364249201314337</v>
      </c>
      <c r="KP40" s="558">
        <f>(KN40/JS40)-1</f>
        <v>2.2548188722311568E-2</v>
      </c>
      <c r="KQ40" s="557">
        <f>KN40+KK40</f>
        <v>1095901.0827899999</v>
      </c>
      <c r="KR40" s="558">
        <f>(KQ40/KQ$8)</f>
        <v>0.19563950217927442</v>
      </c>
      <c r="KS40" s="558">
        <f>(KQ40/JV40)-1</f>
        <v>6.329880114589348E-2</v>
      </c>
      <c r="KT40" s="557">
        <v>857307.54728000017</v>
      </c>
      <c r="KU40" s="558">
        <f>(KT40/KT$8)</f>
        <v>0.29839548915476127</v>
      </c>
      <c r="KV40" s="558">
        <f>(KT40/JY40)-1</f>
        <v>0.15438155621021488</v>
      </c>
      <c r="KW40" s="557">
        <f t="shared" si="442"/>
        <v>1953208.63007</v>
      </c>
      <c r="KX40" s="558">
        <f>(KW40/KW$8)</f>
        <v>0.23047544377949739</v>
      </c>
      <c r="KY40" s="558">
        <f>(KW40/KB40)-1</f>
        <v>0.10144375708399345</v>
      </c>
      <c r="KZ40" s="557">
        <v>105030.03512000003</v>
      </c>
      <c r="LA40" s="558">
        <f>(KZ40/KZ$8)</f>
        <v>6.7753444838663912E-2</v>
      </c>
      <c r="LB40" s="558">
        <f>(KZ40/KE40)-1</f>
        <v>-0.65763402366764612</v>
      </c>
      <c r="LC40" s="557">
        <v>506994.85862999997</v>
      </c>
      <c r="LD40" s="307">
        <f>(LC40/LC$8)</f>
        <v>0.93951266896574726</v>
      </c>
      <c r="LE40" s="307">
        <f>(LC40/KH40)-1</f>
        <v>0.1672746797709701</v>
      </c>
      <c r="LF40" s="310">
        <f>LC40+KZ40</f>
        <v>612024.89375000005</v>
      </c>
      <c r="LG40" s="307">
        <f>(LF40/LF$8)</f>
        <v>0.2928606603404319</v>
      </c>
      <c r="LH40" s="307">
        <f>(LF40/KK40)-1</f>
        <v>-0.1741866959227788</v>
      </c>
      <c r="LI40" s="310">
        <v>-38248.806429999975</v>
      </c>
      <c r="LJ40" s="307">
        <f>(LI40/LI$8)</f>
        <v>-2.3164290166467101E-2</v>
      </c>
      <c r="LK40" s="307">
        <f>(LI40/KN40)-1</f>
        <v>-1.1078089142338197</v>
      </c>
      <c r="LL40" s="310">
        <f>LI40+LF40</f>
        <v>573776.08732000005</v>
      </c>
      <c r="LM40" s="307">
        <f>(LL40/LL$8)</f>
        <v>0.15337452377738331</v>
      </c>
      <c r="LN40" s="307">
        <f>(LL40/KQ40)-1</f>
        <v>-0.4764344188261479</v>
      </c>
      <c r="LO40" s="310">
        <v>616658.69279</v>
      </c>
      <c r="LP40" s="307">
        <f>(LO40/LO$8)</f>
        <v>0.21121645563814798</v>
      </c>
      <c r="LQ40" s="307">
        <f>(LO40/KT40)-1</f>
        <v>-0.28070306304139336</v>
      </c>
      <c r="LR40" s="310">
        <f>LO40+LL40</f>
        <v>1190434.7801100002</v>
      </c>
      <c r="LS40" s="307">
        <f>(LR40/LR$8)</f>
        <v>0.17872863754624044</v>
      </c>
      <c r="LT40" s="307">
        <f>(LR40/KW40)-1</f>
        <v>-0.39052348951205651</v>
      </c>
    </row>
    <row r="41" spans="1:332" ht="22.5" customHeight="1">
      <c r="A41" s="103"/>
      <c r="B41" s="105"/>
      <c r="C41" s="105"/>
      <c r="D41" s="105"/>
      <c r="E41" s="105"/>
      <c r="F41" s="105"/>
      <c r="G41" s="105"/>
      <c r="H41" s="105"/>
      <c r="I41" s="105"/>
      <c r="J41" s="105"/>
      <c r="K41" s="105"/>
      <c r="L41" s="105"/>
      <c r="M41" s="105"/>
      <c r="N41" s="105"/>
      <c r="O41" s="105"/>
      <c r="P41" s="264"/>
      <c r="Q41" s="105"/>
      <c r="R41" s="105"/>
      <c r="S41" s="105"/>
      <c r="T41" s="105"/>
      <c r="U41" s="105"/>
      <c r="V41" s="105"/>
      <c r="W41" s="105"/>
      <c r="X41" s="105"/>
      <c r="Y41" s="105"/>
      <c r="Z41" s="105"/>
      <c r="AA41" s="105"/>
      <c r="AB41" s="105"/>
      <c r="AC41" s="105"/>
      <c r="AD41" s="105"/>
      <c r="AE41" s="105"/>
      <c r="AF41" s="105"/>
      <c r="AG41" s="105"/>
      <c r="AH41" s="105"/>
      <c r="AI41" s="105"/>
      <c r="AJ41" s="264"/>
      <c r="AK41" s="105"/>
      <c r="AL41" s="105"/>
      <c r="AM41" s="105"/>
      <c r="AN41" s="105"/>
      <c r="AO41" s="105"/>
      <c r="AP41" s="105"/>
      <c r="AQ41" s="105"/>
      <c r="AR41" s="105"/>
      <c r="AS41" s="105"/>
      <c r="AT41" s="105"/>
      <c r="AU41" s="105"/>
      <c r="AV41" s="105"/>
      <c r="AW41" s="105"/>
      <c r="AX41" s="105"/>
      <c r="AY41" s="105"/>
      <c r="AZ41" s="105"/>
      <c r="BA41" s="105"/>
      <c r="BB41" s="105"/>
      <c r="BC41" s="105"/>
      <c r="BD41" s="105"/>
      <c r="BE41" s="264"/>
      <c r="BF41" s="105"/>
      <c r="BG41" s="105"/>
      <c r="BH41" s="105"/>
      <c r="BI41" s="105"/>
      <c r="BJ41" s="105"/>
      <c r="BK41" s="105"/>
      <c r="BL41" s="105"/>
      <c r="BM41" s="105"/>
      <c r="BN41" s="105"/>
      <c r="BO41" s="105"/>
      <c r="BP41" s="105"/>
      <c r="BQ41" s="105"/>
      <c r="BR41" s="105"/>
      <c r="BS41" s="105"/>
      <c r="BT41" s="105"/>
      <c r="BU41" s="105"/>
      <c r="BV41" s="105"/>
      <c r="BW41" s="105"/>
      <c r="BX41" s="105"/>
      <c r="BY41" s="105"/>
      <c r="BZ41" s="264"/>
      <c r="CA41" s="105"/>
      <c r="CB41" s="105"/>
      <c r="CC41" s="105"/>
      <c r="CD41" s="105"/>
      <c r="CE41" s="105"/>
      <c r="CF41" s="105"/>
      <c r="CG41" s="105"/>
      <c r="CH41" s="105"/>
      <c r="CI41" s="105"/>
      <c r="CJ41" s="105"/>
      <c r="CK41" s="105"/>
      <c r="CL41" s="105"/>
      <c r="CM41" s="105"/>
      <c r="CN41" s="105"/>
      <c r="CO41" s="105"/>
      <c r="CP41" s="105"/>
      <c r="CQ41" s="105"/>
      <c r="CR41" s="105"/>
      <c r="CS41" s="105"/>
      <c r="CT41" s="105"/>
      <c r="CU41" s="264"/>
      <c r="CV41" s="105"/>
      <c r="CW41" s="105"/>
      <c r="CX41" s="105"/>
      <c r="CY41" s="105"/>
      <c r="CZ41" s="105"/>
      <c r="DA41" s="105"/>
      <c r="DB41" s="105"/>
      <c r="DC41" s="105"/>
      <c r="DD41" s="105"/>
      <c r="DE41" s="105"/>
      <c r="DF41" s="105"/>
      <c r="DG41" s="105"/>
      <c r="DH41" s="105"/>
      <c r="DI41" s="105"/>
      <c r="DJ41" s="105"/>
      <c r="DK41" s="105"/>
      <c r="DL41" s="105"/>
      <c r="DM41" s="105"/>
      <c r="DN41" s="105"/>
      <c r="DO41" s="105"/>
      <c r="DP41" s="264"/>
      <c r="DQ41" s="105"/>
      <c r="DR41" s="105"/>
      <c r="DS41" s="105"/>
      <c r="DT41" s="105"/>
      <c r="DU41" s="105"/>
      <c r="DV41" s="105"/>
      <c r="DW41" s="105"/>
      <c r="DX41" s="105"/>
      <c r="DY41" s="105"/>
      <c r="DZ41" s="105"/>
      <c r="EA41" s="106"/>
      <c r="EB41" s="105"/>
      <c r="EC41" s="105"/>
      <c r="ED41" s="105"/>
      <c r="EE41" s="105"/>
      <c r="EF41" s="105"/>
      <c r="EG41" s="106"/>
      <c r="EH41" s="105"/>
      <c r="EI41" s="105"/>
      <c r="EJ41" s="106"/>
      <c r="EK41" s="264"/>
      <c r="EL41" s="105"/>
      <c r="EM41" s="106"/>
      <c r="EN41" s="105"/>
      <c r="EO41" s="105"/>
      <c r="EP41" s="105"/>
      <c r="EQ41" s="105"/>
      <c r="ER41" s="106"/>
      <c r="ES41" s="105"/>
      <c r="ET41" s="105"/>
      <c r="EU41" s="106"/>
      <c r="EV41" s="106"/>
      <c r="EW41" s="105"/>
      <c r="EX41" s="106"/>
      <c r="EY41" s="106"/>
      <c r="EZ41" s="105"/>
      <c r="FA41" s="106"/>
      <c r="FB41" s="106"/>
      <c r="FC41" s="105"/>
      <c r="FD41" s="106"/>
      <c r="FE41" s="106"/>
      <c r="FF41" s="264"/>
      <c r="FG41" s="106"/>
      <c r="FH41" s="106"/>
      <c r="FI41" s="105"/>
      <c r="FJ41" s="106"/>
      <c r="FK41" s="106"/>
      <c r="FL41" s="105"/>
      <c r="FM41" s="106"/>
      <c r="FN41" s="106"/>
      <c r="FO41" s="105"/>
      <c r="FP41" s="106"/>
      <c r="FQ41" s="105"/>
      <c r="FR41" s="105"/>
      <c r="FS41" s="105"/>
      <c r="FT41" s="105"/>
      <c r="FU41" s="105"/>
      <c r="FV41" s="105"/>
      <c r="FW41" s="105"/>
      <c r="FX41" s="105"/>
      <c r="FY41" s="105"/>
      <c r="FZ41" s="105"/>
      <c r="GA41" s="264"/>
      <c r="GB41" s="105"/>
      <c r="GC41" s="105"/>
      <c r="GD41" s="105"/>
      <c r="GE41" s="105"/>
      <c r="GF41" s="105"/>
      <c r="GG41" s="201"/>
      <c r="GH41" s="105"/>
      <c r="GI41" s="106"/>
      <c r="GJ41" s="105"/>
      <c r="GK41" s="105"/>
      <c r="GL41" s="105"/>
      <c r="GM41" s="105"/>
      <c r="GN41" s="105"/>
      <c r="GO41" s="105"/>
      <c r="GP41" s="105"/>
      <c r="GQ41" s="105"/>
      <c r="GR41" s="105"/>
      <c r="GS41" s="105"/>
      <c r="GT41" s="105"/>
      <c r="GU41" s="105"/>
      <c r="GV41" s="264"/>
      <c r="GW41" s="105"/>
      <c r="GX41" s="105"/>
      <c r="GY41" s="105"/>
      <c r="GZ41" s="105"/>
      <c r="HA41" s="105"/>
      <c r="HB41" s="103"/>
      <c r="HC41" s="105"/>
      <c r="HD41" s="103"/>
      <c r="HE41" s="103"/>
      <c r="HF41" s="105"/>
      <c r="HG41" s="103"/>
      <c r="HH41" s="105"/>
      <c r="HI41" s="105"/>
      <c r="HJ41" s="105"/>
      <c r="HK41" s="141"/>
      <c r="HL41" s="141"/>
      <c r="HM41" s="141"/>
      <c r="HN41" s="141"/>
      <c r="HO41" s="141"/>
      <c r="HP41" s="141"/>
      <c r="HQ41" s="559"/>
      <c r="HR41" s="141"/>
      <c r="HS41" s="141"/>
      <c r="HT41" s="141"/>
      <c r="HU41" s="141"/>
      <c r="HV41" s="141"/>
      <c r="HW41" s="560"/>
      <c r="HX41" s="141"/>
      <c r="HY41" s="141"/>
      <c r="HZ41" s="141"/>
      <c r="IA41" s="141"/>
      <c r="IB41" s="141"/>
      <c r="IC41" s="560"/>
      <c r="ID41" s="141"/>
      <c r="IE41" s="141"/>
      <c r="IF41" s="141"/>
      <c r="IG41" s="141"/>
      <c r="IH41" s="141"/>
      <c r="II41" s="560"/>
      <c r="IJ41" s="141"/>
      <c r="IK41" s="141"/>
      <c r="IL41" s="141"/>
      <c r="IM41" s="141"/>
      <c r="IN41" s="141"/>
      <c r="IO41" s="141"/>
      <c r="IP41" s="141"/>
      <c r="IQ41" s="141"/>
      <c r="IR41" s="560"/>
      <c r="IS41" s="141"/>
      <c r="IT41" s="141"/>
      <c r="IU41" s="141"/>
      <c r="IV41" s="141"/>
      <c r="IW41" s="141"/>
      <c r="IX41" s="560"/>
      <c r="IY41" s="141"/>
      <c r="IZ41" s="141"/>
      <c r="JA41" s="141"/>
      <c r="JB41" s="141"/>
      <c r="JC41" s="141"/>
      <c r="JD41" s="141"/>
      <c r="JE41" s="141"/>
      <c r="JF41" s="141"/>
      <c r="JG41" s="141"/>
      <c r="JH41" s="141"/>
      <c r="JI41" s="141"/>
      <c r="JJ41" s="141"/>
      <c r="JK41" s="141"/>
      <c r="JL41" s="141"/>
      <c r="JM41" s="141"/>
      <c r="JN41" s="141"/>
      <c r="JO41" s="141"/>
      <c r="JP41" s="141"/>
      <c r="JQ41" s="141"/>
      <c r="JR41" s="141"/>
      <c r="JS41" s="141"/>
      <c r="JT41" s="141"/>
      <c r="JU41" s="141"/>
      <c r="JV41" s="141"/>
      <c r="JW41" s="141"/>
      <c r="JX41" s="141"/>
      <c r="JY41" s="141"/>
      <c r="JZ41" s="141"/>
      <c r="KA41" s="141"/>
      <c r="KB41" s="141"/>
      <c r="KC41" s="141"/>
      <c r="KD41" s="141"/>
      <c r="KE41" s="452"/>
      <c r="KF41" s="141"/>
      <c r="KG41" s="141"/>
      <c r="KH41" s="452"/>
      <c r="KI41" s="141"/>
      <c r="KJ41" s="141"/>
      <c r="KK41" s="452"/>
      <c r="KL41" s="141"/>
      <c r="KM41" s="141"/>
      <c r="KN41" s="452"/>
      <c r="KO41" s="141"/>
      <c r="KP41" s="141"/>
      <c r="KQ41" s="452"/>
      <c r="KR41" s="141"/>
      <c r="KS41" s="141"/>
      <c r="KT41" s="452"/>
      <c r="KU41" s="141"/>
      <c r="KV41" s="141"/>
      <c r="KW41" s="452"/>
      <c r="KX41" s="141"/>
      <c r="KY41" s="141"/>
      <c r="KZ41" s="452"/>
      <c r="LA41" s="141"/>
      <c r="LB41" s="141"/>
      <c r="LC41" s="452"/>
      <c r="LD41" s="103"/>
      <c r="LE41" s="103"/>
      <c r="LF41" s="361"/>
      <c r="LG41" s="103"/>
      <c r="LH41" s="103"/>
      <c r="LI41" s="452"/>
      <c r="LJ41" s="103"/>
      <c r="LK41" s="103"/>
      <c r="LL41" s="361"/>
      <c r="LM41" s="103"/>
      <c r="LN41" s="103"/>
      <c r="LO41" s="452"/>
      <c r="LP41" s="103"/>
      <c r="LQ41" s="103"/>
      <c r="LR41" s="361"/>
      <c r="LS41" s="103"/>
      <c r="LT41" s="103"/>
    </row>
    <row r="42" spans="1:332" ht="14.25">
      <c r="A42" s="103"/>
      <c r="B42" s="363" t="s">
        <v>1349</v>
      </c>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c r="AA42" s="363"/>
      <c r="AB42" s="363"/>
      <c r="AC42" s="363"/>
      <c r="AD42" s="363"/>
      <c r="AE42" s="363"/>
      <c r="AF42" s="363"/>
      <c r="AG42" s="363"/>
      <c r="AH42" s="363"/>
      <c r="AI42" s="363"/>
      <c r="AJ42" s="363"/>
      <c r="AK42" s="363"/>
      <c r="AL42" s="363"/>
      <c r="AM42" s="363"/>
      <c r="AN42" s="363"/>
      <c r="AO42" s="363"/>
      <c r="AP42" s="363"/>
      <c r="AQ42" s="363"/>
      <c r="AR42" s="363"/>
      <c r="AS42" s="363"/>
      <c r="AT42" s="363"/>
      <c r="AU42" s="363"/>
      <c r="AV42" s="363"/>
      <c r="AW42" s="363"/>
      <c r="AX42" s="363"/>
      <c r="AY42" s="363"/>
      <c r="AZ42" s="363"/>
      <c r="BA42" s="363"/>
      <c r="BB42" s="363"/>
      <c r="BC42" s="363"/>
      <c r="BD42" s="363"/>
      <c r="BE42" s="363"/>
      <c r="BF42" s="363"/>
      <c r="BG42" s="363"/>
      <c r="BH42" s="363"/>
      <c r="BI42" s="363"/>
      <c r="BJ42" s="363"/>
      <c r="BK42" s="363"/>
      <c r="BL42" s="363"/>
      <c r="BM42" s="363"/>
      <c r="BN42" s="363"/>
      <c r="BO42" s="363"/>
      <c r="BP42" s="363"/>
      <c r="BQ42" s="363"/>
      <c r="BR42" s="363"/>
      <c r="BS42" s="363"/>
      <c r="BT42" s="363"/>
      <c r="BU42" s="363"/>
      <c r="BV42" s="363"/>
      <c r="BW42" s="363"/>
      <c r="BX42" s="363"/>
      <c r="BY42" s="363"/>
      <c r="BZ42" s="363"/>
      <c r="CA42" s="363"/>
      <c r="CB42" s="363"/>
      <c r="CC42" s="363"/>
      <c r="CD42" s="363"/>
      <c r="CE42" s="363"/>
      <c r="CF42" s="363"/>
      <c r="CG42" s="363"/>
      <c r="CH42" s="363"/>
      <c r="CI42" s="363"/>
      <c r="CJ42" s="363"/>
      <c r="CK42" s="363"/>
      <c r="CL42" s="363"/>
      <c r="CM42" s="363"/>
      <c r="CN42" s="363"/>
      <c r="CO42" s="363"/>
      <c r="CP42" s="363"/>
      <c r="CQ42" s="363"/>
      <c r="CR42" s="363"/>
      <c r="CS42" s="363"/>
      <c r="CT42" s="363"/>
      <c r="CU42" s="363"/>
      <c r="CV42" s="363"/>
      <c r="CW42" s="363"/>
      <c r="CX42" s="363"/>
      <c r="CY42" s="363"/>
      <c r="CZ42" s="363"/>
      <c r="DA42" s="363"/>
      <c r="DB42" s="363"/>
      <c r="DC42" s="363"/>
      <c r="DD42" s="363"/>
      <c r="DE42" s="363"/>
      <c r="DF42" s="363"/>
      <c r="DG42" s="363"/>
      <c r="DH42" s="363"/>
      <c r="DI42" s="363"/>
      <c r="DJ42" s="363"/>
      <c r="DK42" s="363"/>
      <c r="DL42" s="363"/>
      <c r="DM42" s="363"/>
      <c r="DN42" s="363"/>
      <c r="DO42" s="363"/>
      <c r="DP42" s="363"/>
      <c r="DQ42" s="363"/>
      <c r="DR42" s="363"/>
      <c r="DS42" s="363"/>
      <c r="DT42" s="363"/>
      <c r="DU42" s="363"/>
      <c r="DV42" s="363"/>
      <c r="DW42" s="363"/>
      <c r="DX42" s="363"/>
      <c r="DY42" s="363"/>
      <c r="DZ42" s="363"/>
      <c r="EA42" s="363"/>
      <c r="EB42" s="363"/>
      <c r="EC42" s="363"/>
      <c r="ED42" s="363"/>
      <c r="EE42" s="363"/>
      <c r="EF42" s="363"/>
      <c r="EG42" s="363"/>
      <c r="EH42" s="363"/>
      <c r="EI42" s="363"/>
      <c r="EJ42" s="363"/>
      <c r="EK42" s="363"/>
      <c r="EL42" s="363"/>
      <c r="EM42" s="363"/>
      <c r="EN42" s="363"/>
      <c r="EO42" s="363"/>
      <c r="EP42" s="363"/>
      <c r="EQ42" s="363"/>
      <c r="ER42" s="363"/>
      <c r="ES42" s="363"/>
      <c r="ET42" s="363"/>
      <c r="EU42" s="363"/>
      <c r="EV42" s="363"/>
      <c r="EW42" s="363"/>
      <c r="EX42" s="363"/>
      <c r="EY42" s="363"/>
      <c r="EZ42" s="363"/>
      <c r="FA42" s="363"/>
      <c r="FB42" s="363"/>
      <c r="FC42" s="363"/>
      <c r="FD42" s="363"/>
      <c r="FE42" s="363"/>
      <c r="FF42" s="363"/>
      <c r="FG42" s="363"/>
      <c r="FH42" s="363"/>
      <c r="FI42" s="363"/>
      <c r="FJ42" s="363"/>
      <c r="FK42" s="363"/>
      <c r="FL42" s="363"/>
      <c r="FM42" s="363"/>
      <c r="FN42" s="363"/>
      <c r="FO42" s="363"/>
      <c r="FP42" s="363"/>
      <c r="FQ42" s="363"/>
      <c r="FR42" s="363"/>
      <c r="FS42" s="363"/>
      <c r="FT42" s="363"/>
      <c r="FU42" s="363"/>
      <c r="FV42" s="363"/>
      <c r="FW42" s="363"/>
      <c r="FX42" s="363"/>
      <c r="FY42" s="363"/>
      <c r="FZ42" s="363"/>
      <c r="GA42" s="363"/>
      <c r="GB42" s="363"/>
      <c r="GC42" s="363"/>
      <c r="GD42" s="363"/>
      <c r="GE42" s="363"/>
      <c r="GF42" s="363"/>
      <c r="GG42" s="363"/>
      <c r="GH42" s="363"/>
      <c r="GI42" s="363"/>
      <c r="GJ42" s="363"/>
      <c r="GK42" s="363"/>
      <c r="GL42" s="363"/>
      <c r="GM42" s="363"/>
      <c r="GN42" s="363"/>
      <c r="GO42" s="363"/>
      <c r="GP42" s="363"/>
      <c r="GQ42" s="363"/>
      <c r="GR42" s="363"/>
      <c r="GS42" s="105"/>
      <c r="GT42" s="105"/>
      <c r="GU42" s="105"/>
      <c r="GV42" s="105"/>
      <c r="GW42" s="105"/>
      <c r="GX42" s="105"/>
      <c r="GY42" s="105"/>
      <c r="GZ42" s="105"/>
      <c r="HA42" s="105"/>
      <c r="HB42" s="103"/>
      <c r="HC42" s="105"/>
      <c r="HD42" s="103"/>
      <c r="HE42" s="103"/>
      <c r="HF42" s="105"/>
      <c r="HG42" s="103"/>
      <c r="HH42" s="105"/>
      <c r="HI42" s="105"/>
      <c r="HJ42" s="105"/>
      <c r="HK42" s="141"/>
      <c r="HL42" s="141"/>
      <c r="HM42" s="141"/>
      <c r="HN42" s="141"/>
      <c r="HO42" s="141"/>
      <c r="HP42" s="141"/>
      <c r="HQ42" s="141"/>
      <c r="HR42" s="141"/>
      <c r="HS42" s="141"/>
      <c r="HT42" s="141"/>
      <c r="HU42" s="141"/>
      <c r="HV42" s="141"/>
      <c r="HW42" s="141"/>
      <c r="HX42" s="141"/>
      <c r="HY42" s="141"/>
      <c r="HZ42" s="141"/>
      <c r="IA42" s="141"/>
      <c r="IB42" s="141"/>
      <c r="IC42" s="141"/>
      <c r="ID42" s="141"/>
      <c r="IE42" s="141"/>
      <c r="IF42" s="141"/>
      <c r="IG42" s="141"/>
      <c r="IH42" s="141"/>
      <c r="II42" s="141"/>
      <c r="IJ42" s="141"/>
      <c r="IK42" s="141"/>
      <c r="IL42" s="141"/>
      <c r="IM42" s="141"/>
      <c r="IN42" s="141"/>
      <c r="IO42" s="141"/>
      <c r="IP42" s="141"/>
      <c r="IQ42" s="141"/>
      <c r="IR42" s="561"/>
      <c r="IS42" s="561"/>
      <c r="IT42" s="561"/>
      <c r="IU42" s="561"/>
      <c r="IV42" s="561"/>
      <c r="IW42" s="561"/>
      <c r="IX42" s="561"/>
      <c r="IY42" s="561"/>
      <c r="IZ42" s="561"/>
      <c r="JA42" s="452"/>
      <c r="JB42" s="561"/>
      <c r="JC42" s="561"/>
      <c r="JD42" s="561"/>
      <c r="JE42" s="561"/>
      <c r="JF42" s="561"/>
      <c r="JG42" s="561"/>
      <c r="JH42" s="561"/>
      <c r="JI42" s="561"/>
      <c r="JJ42" s="561"/>
      <c r="JK42" s="561"/>
      <c r="JL42" s="561"/>
      <c r="JM42" s="561"/>
      <c r="JN42" s="561"/>
      <c r="JO42" s="141"/>
      <c r="JP42" s="561"/>
      <c r="JQ42" s="141"/>
      <c r="JR42" s="141"/>
      <c r="JS42" s="561"/>
      <c r="JT42" s="141"/>
      <c r="JU42" s="141"/>
      <c r="JV42" s="561"/>
      <c r="JW42" s="141"/>
      <c r="JX42" s="141"/>
      <c r="JY42" s="451"/>
      <c r="JZ42" s="141"/>
      <c r="KA42" s="141"/>
      <c r="KB42" s="451"/>
      <c r="KC42" s="141"/>
      <c r="KD42" s="141"/>
      <c r="KE42" s="554"/>
      <c r="KF42" s="141"/>
      <c r="KG42" s="141"/>
      <c r="KH42" s="561"/>
      <c r="KI42" s="561"/>
      <c r="KJ42" s="141"/>
      <c r="KK42" s="561"/>
      <c r="KL42" s="141"/>
      <c r="KM42" s="141"/>
      <c r="KN42" s="561"/>
      <c r="KO42" s="141"/>
      <c r="KP42" s="141"/>
      <c r="KQ42" s="561"/>
      <c r="KR42" s="141"/>
      <c r="KS42" s="141"/>
      <c r="KT42" s="452"/>
      <c r="KU42" s="141"/>
      <c r="KV42" s="141"/>
      <c r="KW42" s="562"/>
      <c r="KX42" s="141"/>
      <c r="KY42" s="141"/>
      <c r="KZ42" s="452"/>
      <c r="LA42" s="141"/>
      <c r="LB42" s="141"/>
      <c r="LC42" s="452"/>
      <c r="LD42" s="420"/>
      <c r="LE42" s="103"/>
      <c r="LF42" s="420"/>
      <c r="LG42" s="103"/>
      <c r="LH42" s="103"/>
      <c r="LI42" s="452"/>
      <c r="LJ42" s="103"/>
      <c r="LK42" s="103"/>
      <c r="LL42" s="420"/>
      <c r="LM42" s="103"/>
      <c r="LN42" s="103"/>
      <c r="LO42" s="452"/>
      <c r="LP42" s="103"/>
      <c r="LQ42" s="103"/>
      <c r="LR42" s="420"/>
      <c r="LS42" s="103"/>
      <c r="LT42" s="103"/>
    </row>
    <row r="43" spans="1:332" ht="14.25">
      <c r="A43" s="103"/>
      <c r="B43" s="105" t="s">
        <v>1348</v>
      </c>
      <c r="C43" s="102"/>
      <c r="D43" s="102"/>
      <c r="E43" s="102"/>
      <c r="F43" s="102"/>
      <c r="G43" s="102"/>
      <c r="H43" s="102"/>
      <c r="I43" s="102"/>
      <c r="J43" s="102"/>
      <c r="K43" s="102"/>
      <c r="L43" s="102"/>
      <c r="M43" s="102"/>
      <c r="N43" s="102"/>
      <c r="O43" s="102"/>
      <c r="P43" s="102"/>
      <c r="Q43" s="102"/>
      <c r="R43" s="102"/>
      <c r="S43" s="102"/>
      <c r="T43" s="102"/>
      <c r="U43" s="102"/>
      <c r="V43" s="102"/>
      <c r="W43" s="102"/>
      <c r="X43" s="102"/>
      <c r="Y43" s="102"/>
      <c r="Z43" s="102"/>
      <c r="AA43" s="102"/>
      <c r="AB43" s="102"/>
      <c r="AC43" s="102"/>
      <c r="AD43" s="102"/>
      <c r="AE43" s="102"/>
      <c r="AF43" s="102"/>
      <c r="AG43" s="102"/>
      <c r="AH43" s="102"/>
      <c r="AI43" s="102"/>
      <c r="AJ43" s="102"/>
      <c r="AK43" s="102"/>
      <c r="AL43" s="102"/>
      <c r="AM43" s="105"/>
      <c r="AN43" s="144"/>
      <c r="AO43" s="144"/>
      <c r="AP43" s="105"/>
      <c r="AQ43" s="144"/>
      <c r="AR43" s="144"/>
      <c r="AS43" s="144"/>
      <c r="AT43" s="144"/>
      <c r="AU43" s="144"/>
      <c r="AV43" s="105"/>
      <c r="AW43" s="144"/>
      <c r="AX43" s="144"/>
      <c r="AY43" s="144"/>
      <c r="AZ43" s="144"/>
      <c r="BA43" s="144"/>
      <c r="BB43" s="105"/>
      <c r="BC43" s="144"/>
      <c r="BD43" s="144"/>
      <c r="BE43" s="105"/>
      <c r="BF43" s="144"/>
      <c r="BG43" s="144"/>
      <c r="BH43" s="105"/>
      <c r="BI43" s="144"/>
      <c r="BJ43" s="144"/>
      <c r="BK43" s="105"/>
      <c r="BL43" s="144"/>
      <c r="BM43" s="144"/>
      <c r="BN43" s="105"/>
      <c r="BO43" s="144"/>
      <c r="BP43" s="144"/>
      <c r="BQ43" s="105"/>
      <c r="BR43" s="144"/>
      <c r="BS43" s="144"/>
      <c r="BT43" s="105"/>
      <c r="BU43" s="144"/>
      <c r="BV43" s="144"/>
      <c r="BW43" s="105"/>
      <c r="BX43" s="144"/>
      <c r="BY43" s="144"/>
      <c r="BZ43" s="105"/>
      <c r="CA43" s="144"/>
      <c r="CB43" s="144"/>
      <c r="CC43" s="105"/>
      <c r="CD43" s="144"/>
      <c r="CE43" s="144"/>
      <c r="CF43" s="105"/>
      <c r="CG43" s="144"/>
      <c r="CH43" s="144"/>
      <c r="CI43" s="105"/>
      <c r="CJ43" s="144"/>
      <c r="CK43" s="144"/>
      <c r="CL43" s="105"/>
      <c r="CM43" s="144"/>
      <c r="CN43" s="144"/>
      <c r="CO43" s="105"/>
      <c r="CP43" s="144"/>
      <c r="CQ43" s="144"/>
      <c r="CR43" s="105"/>
      <c r="CS43" s="144"/>
      <c r="CT43" s="144"/>
      <c r="CU43" s="105"/>
      <c r="CV43" s="144"/>
      <c r="CW43" s="144"/>
      <c r="CX43" s="105"/>
      <c r="CY43" s="144"/>
      <c r="CZ43" s="144"/>
      <c r="DA43" s="105"/>
      <c r="DB43" s="144"/>
      <c r="DC43" s="144"/>
      <c r="DD43" s="105"/>
      <c r="DE43" s="144"/>
      <c r="DF43" s="144"/>
      <c r="DG43" s="105"/>
      <c r="DH43" s="144"/>
      <c r="DI43" s="144"/>
      <c r="DJ43" s="105"/>
      <c r="DK43" s="144"/>
      <c r="DL43" s="144"/>
      <c r="DM43" s="105"/>
      <c r="DN43" s="105"/>
      <c r="DO43" s="105"/>
      <c r="DP43" s="105"/>
      <c r="DQ43" s="144"/>
      <c r="DR43" s="144"/>
      <c r="DS43" s="201"/>
      <c r="DT43" s="144"/>
      <c r="DU43" s="144"/>
      <c r="DV43" s="105"/>
      <c r="DW43" s="144"/>
      <c r="DX43" s="144"/>
      <c r="DY43" s="201"/>
      <c r="DZ43" s="105"/>
      <c r="EA43" s="106"/>
      <c r="EB43" s="105"/>
      <c r="EC43" s="144"/>
      <c r="ED43" s="144"/>
      <c r="EE43" s="201"/>
      <c r="EF43" s="105"/>
      <c r="EG43" s="106"/>
      <c r="EH43" s="105"/>
      <c r="EI43" s="105"/>
      <c r="EJ43" s="106"/>
      <c r="EK43" s="105"/>
      <c r="EL43" s="105"/>
      <c r="EM43" s="106"/>
      <c r="EN43" s="105"/>
      <c r="EO43" s="105"/>
      <c r="EP43" s="105"/>
      <c r="EQ43" s="105"/>
      <c r="ER43" s="106"/>
      <c r="ES43" s="144"/>
      <c r="ET43" s="105"/>
      <c r="EU43" s="106"/>
      <c r="EV43" s="106"/>
      <c r="EW43" s="105"/>
      <c r="EX43" s="106"/>
      <c r="EY43" s="106"/>
      <c r="EZ43" s="105"/>
      <c r="FA43" s="106"/>
      <c r="FB43" s="106"/>
      <c r="FC43" s="105"/>
      <c r="FD43" s="106"/>
      <c r="FE43" s="106"/>
      <c r="FF43" s="105"/>
      <c r="FG43" s="106"/>
      <c r="FH43" s="106"/>
      <c r="FI43" s="105"/>
      <c r="FJ43" s="106"/>
      <c r="FK43" s="106"/>
      <c r="FL43" s="105"/>
      <c r="FM43" s="106"/>
      <c r="FN43" s="106"/>
      <c r="FO43" s="105"/>
      <c r="FP43" s="106"/>
      <c r="FQ43" s="105"/>
      <c r="FR43" s="105"/>
      <c r="FS43" s="105"/>
      <c r="FT43" s="105"/>
      <c r="FU43" s="105"/>
      <c r="FV43" s="105"/>
      <c r="FW43" s="105"/>
      <c r="FX43" s="105"/>
      <c r="FY43" s="105"/>
      <c r="FZ43" s="105"/>
      <c r="GA43" s="105"/>
      <c r="GB43" s="105"/>
      <c r="GC43" s="105"/>
      <c r="GD43" s="105"/>
      <c r="GE43" s="105"/>
      <c r="GF43" s="105"/>
      <c r="GG43" s="202"/>
      <c r="GH43" s="105"/>
      <c r="GI43" s="106"/>
      <c r="GJ43" s="105"/>
      <c r="GK43" s="105"/>
      <c r="GL43" s="105"/>
      <c r="GM43" s="105"/>
      <c r="GN43" s="105"/>
      <c r="GO43" s="105"/>
      <c r="GP43" s="105"/>
      <c r="GQ43" s="105"/>
      <c r="GR43" s="105" t="s">
        <v>353</v>
      </c>
      <c r="GS43" s="105"/>
      <c r="GT43" s="105"/>
      <c r="GU43" s="105"/>
      <c r="GV43" s="105"/>
      <c r="GW43" s="105"/>
      <c r="GX43" s="105"/>
      <c r="GY43" s="105"/>
      <c r="GZ43" s="105"/>
      <c r="HA43" s="105"/>
      <c r="HB43" s="103"/>
      <c r="HC43" s="105"/>
      <c r="HD43" s="103"/>
      <c r="HE43" s="103"/>
      <c r="HF43" s="105"/>
      <c r="HG43" s="103"/>
      <c r="HH43" s="105"/>
      <c r="HI43" s="105"/>
      <c r="HJ43" s="105"/>
      <c r="HK43" s="141"/>
      <c r="HL43" s="141"/>
      <c r="HM43" s="141" t="s">
        <v>353</v>
      </c>
      <c r="HN43" s="141"/>
      <c r="HO43" s="141"/>
      <c r="HP43" s="141"/>
      <c r="HQ43" s="141"/>
      <c r="HR43" s="141"/>
      <c r="HS43" s="141" t="s">
        <v>353</v>
      </c>
      <c r="HT43" s="141"/>
      <c r="HU43" s="141"/>
      <c r="HV43" s="141"/>
      <c r="HW43" s="141"/>
      <c r="HX43" s="141"/>
      <c r="HY43" s="141"/>
      <c r="HZ43" s="141"/>
      <c r="IA43" s="141"/>
      <c r="IB43" s="141"/>
      <c r="IC43" s="141"/>
      <c r="ID43" s="141"/>
      <c r="IE43" s="141"/>
      <c r="IF43" s="141"/>
      <c r="IG43" s="141"/>
      <c r="IH43" s="141"/>
      <c r="II43" s="141"/>
      <c r="IJ43" s="141"/>
      <c r="IK43" s="141"/>
      <c r="IL43" s="141"/>
      <c r="IM43" s="141"/>
      <c r="IN43" s="141"/>
      <c r="IO43" s="141"/>
      <c r="IP43" s="141"/>
      <c r="IQ43" s="141"/>
      <c r="IR43" s="452"/>
      <c r="IS43" s="141"/>
      <c r="IT43" s="141"/>
      <c r="IU43" s="141"/>
      <c r="IV43" s="141"/>
      <c r="IW43" s="141"/>
      <c r="IX43" s="141"/>
      <c r="IY43" s="141"/>
      <c r="IZ43" s="141"/>
      <c r="JA43" s="452"/>
      <c r="JB43" s="141"/>
      <c r="JC43" s="141"/>
      <c r="JD43" s="141"/>
      <c r="JE43" s="141"/>
      <c r="JF43" s="141"/>
      <c r="JG43" s="141"/>
      <c r="JH43" s="141"/>
      <c r="JI43" s="141"/>
      <c r="JJ43" s="141"/>
      <c r="JK43" s="141"/>
      <c r="JL43" s="141"/>
      <c r="JM43" s="141"/>
      <c r="JN43" s="141"/>
      <c r="JO43" s="141"/>
      <c r="JP43" s="141"/>
      <c r="JQ43" s="141"/>
      <c r="JR43" s="141"/>
      <c r="JS43" s="141"/>
      <c r="JT43" s="141"/>
      <c r="JU43" s="141"/>
      <c r="JV43" s="141"/>
      <c r="JW43" s="141"/>
      <c r="JX43" s="141"/>
      <c r="JY43" s="452"/>
      <c r="JZ43" s="141"/>
      <c r="KA43" s="141"/>
      <c r="KB43" s="452"/>
      <c r="KC43" s="141"/>
      <c r="KD43" s="141"/>
      <c r="KE43" s="452"/>
      <c r="KF43" s="141"/>
      <c r="KG43" s="141"/>
      <c r="KH43" s="452"/>
      <c r="KI43" s="141"/>
      <c r="KJ43" s="141"/>
      <c r="KK43" s="141"/>
      <c r="KL43" s="141"/>
      <c r="KM43" s="141"/>
      <c r="KN43" s="452"/>
      <c r="KO43" s="141"/>
      <c r="KP43" s="141"/>
      <c r="KQ43" s="141"/>
      <c r="KR43" s="141"/>
      <c r="KS43" s="141"/>
      <c r="KT43" s="452"/>
      <c r="KU43" s="141"/>
      <c r="KV43" s="141"/>
      <c r="KW43" s="141"/>
      <c r="KX43" s="141"/>
      <c r="KY43" s="141"/>
      <c r="KZ43" s="452"/>
      <c r="LA43" s="141"/>
      <c r="LB43" s="141"/>
      <c r="LC43" s="452"/>
      <c r="LD43" s="103"/>
      <c r="LE43" s="103"/>
      <c r="LF43" s="103"/>
      <c r="LG43" s="103"/>
      <c r="LH43" s="103"/>
      <c r="LI43" s="452"/>
      <c r="LJ43" s="103"/>
      <c r="LK43" s="103"/>
      <c r="LL43" s="103"/>
      <c r="LM43" s="103"/>
      <c r="LN43" s="103"/>
      <c r="LO43" s="452"/>
      <c r="LP43" s="103"/>
      <c r="LQ43" s="103"/>
      <c r="LR43" s="103"/>
      <c r="LS43" s="103"/>
      <c r="LT43" s="103"/>
    </row>
  </sheetData>
  <dataConsolidate/>
  <mergeCells count="7">
    <mergeCell ref="B1:C1"/>
    <mergeCell ref="S1:T1"/>
    <mergeCell ref="V1:W1"/>
    <mergeCell ref="D1:E1"/>
    <mergeCell ref="G1:I1"/>
    <mergeCell ref="K1:M1"/>
    <mergeCell ref="O1:Q1"/>
  </mergeCells>
  <phoneticPr fontId="28" type="noConversion"/>
  <hyperlinks>
    <hyperlink ref="B1:C1" location="'Capa | Cover'!A1" display="CAPA/COVER" xr:uid="{00000000-0004-0000-0200-000000000000}"/>
  </hyperlinks>
  <printOptions horizontalCentered="1"/>
  <pageMargins left="0.25" right="0.25" top="0.75" bottom="0.75" header="0.3" footer="0.3"/>
  <pageSetup paperSize="9" scale="10" orientation="landscape" horizontalDpi="300" verticalDpi="300" r:id="rId1"/>
  <headerFooter alignWithMargins="0">
    <oddHeader>&amp;L&amp;G</oddHeader>
    <oddFooter>&amp;L&amp;"Calibri"&amp;11&amp;K000000&amp;"Calibri"&amp;11&amp;K000000&amp;"Calibri"&amp;11 Investor Relations Lojas Renner  S.A._x000D_&amp;1#&amp;"Calibri"&amp;10&amp;K317100Classificação: Público</oddFooter>
  </headerFooter>
  <colBreaks count="5" manualBreakCount="5">
    <brk id="17" max="1048575" man="1"/>
    <brk id="38" max="1048575" man="1"/>
    <brk id="59" max="1048575" man="1"/>
    <brk id="80" max="1048575" man="1"/>
    <brk id="101" max="1048575" man="1"/>
  </colBreaks>
  <ignoredErrors>
    <ignoredError sqref="AJ10 DZ13 DY29 DY32 AJ29:BE29 DJ10 EF13 ET22 ET29 P19 FF10 HF26:HF27 HF28 HF31 HK32 HK15 JH26 JB28:JH28 JB26:JF26 JQ18 JB27:JF27 JH27 IM26:IM28 IM31:JH31 HQ10" formula="1"/>
    <ignoredError sqref="JQ19" evalError="1" formula="1"/>
    <ignoredError sqref="JM19:JN19 JP19" evalError="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ilha4">
    <tabColor rgb="FFC00000"/>
    <pageSetUpPr fitToPage="1"/>
  </sheetPr>
  <dimension ref="B1:KK35"/>
  <sheetViews>
    <sheetView showGridLines="0" zoomScale="115" zoomScaleNormal="115" workbookViewId="0">
      <pane xSplit="3" ySplit="3" topLeftCell="KA22" activePane="bottomRight" state="frozen"/>
      <selection activeCell="JZ13" sqref="JZ13"/>
      <selection pane="topRight" activeCell="JZ13" sqref="JZ13"/>
      <selection pane="bottomLeft" activeCell="JZ13" sqref="JZ13"/>
      <selection pane="bottomRight" activeCell="KF26" sqref="KF26"/>
    </sheetView>
  </sheetViews>
  <sheetFormatPr defaultRowHeight="16.5" customHeight="1" outlineLevelCol="1"/>
  <cols>
    <col min="1" max="1" width="2" style="312" customWidth="1"/>
    <col min="2" max="2" width="47" style="312" customWidth="1"/>
    <col min="3" max="3" width="49.140625" style="312" hidden="1" customWidth="1"/>
    <col min="4" max="15" width="9.140625" style="312" customWidth="1" outlineLevel="1"/>
    <col min="16" max="16" width="9.140625" style="312" customWidth="1"/>
    <col min="17" max="29" width="9.140625" style="312" customWidth="1" outlineLevel="1"/>
    <col min="30" max="30" width="9.140625" style="312" customWidth="1"/>
    <col min="31" max="43" width="9.140625" style="312" customWidth="1" outlineLevel="1"/>
    <col min="44" max="44" width="9.140625" style="312" customWidth="1"/>
    <col min="45" max="63" width="9.140625" style="312" customWidth="1" outlineLevel="1"/>
    <col min="64" max="64" width="9.140625" style="312" customWidth="1"/>
    <col min="65" max="84" width="9.140625" style="312" customWidth="1" outlineLevel="1"/>
    <col min="85" max="85" width="9.140625" style="312" customWidth="1"/>
    <col min="86" max="105" width="9.140625" style="312" customWidth="1" outlineLevel="1"/>
    <col min="106" max="106" width="9.140625" style="312" customWidth="1"/>
    <col min="107" max="126" width="9.140625" style="312" customWidth="1" outlineLevel="1"/>
    <col min="127" max="127" width="9.140625" style="312" customWidth="1"/>
    <col min="128" max="147" width="9.140625" style="312" customWidth="1" outlineLevel="1"/>
    <col min="148" max="148" width="9.140625" style="312" customWidth="1"/>
    <col min="149" max="168" width="9.140625" style="312" customWidth="1" outlineLevel="1"/>
    <col min="169" max="169" width="9.140625" style="312" customWidth="1"/>
    <col min="170" max="189" width="9.140625" style="312" customWidth="1" outlineLevel="1"/>
    <col min="190" max="190" width="9.140625" style="312" customWidth="1"/>
    <col min="191" max="210" width="9.140625" style="312" customWidth="1" outlineLevel="1"/>
    <col min="211" max="211" width="9.140625" style="312" customWidth="1"/>
    <col min="212" max="231" width="9.140625" style="312" customWidth="1" outlineLevel="1"/>
    <col min="232" max="232" width="9.140625" style="312" customWidth="1"/>
    <col min="233" max="246" width="9.140625" style="312" customWidth="1" outlineLevel="1"/>
    <col min="247" max="247" width="9.28515625" style="312" customWidth="1" outlineLevel="1"/>
    <col min="248" max="248" width="5.28515625" style="312" customWidth="1" outlineLevel="1"/>
    <col min="249" max="249" width="6.85546875" style="312" customWidth="1" outlineLevel="1"/>
    <col min="250" max="250" width="9.140625" style="312" customWidth="1" outlineLevel="1"/>
    <col min="251" max="251" width="5.140625" style="312" customWidth="1" outlineLevel="1"/>
    <col min="252" max="252" width="9.140625" style="312" customWidth="1" outlineLevel="1"/>
    <col min="253" max="258" width="9.140625" style="312" customWidth="1"/>
    <col min="259" max="267" width="9.140625" style="312" customWidth="1" outlineLevel="1"/>
    <col min="268" max="268" width="9.28515625" style="312" customWidth="1" outlineLevel="1"/>
    <col min="269" max="269" width="5.28515625" style="312" customWidth="1" outlineLevel="1"/>
    <col min="270" max="270" width="6.85546875" style="312" customWidth="1" outlineLevel="1"/>
    <col min="271" max="273" width="9.140625" style="312" customWidth="1" outlineLevel="1"/>
    <col min="274" max="274" width="9.28515625" style="312" customWidth="1" outlineLevel="1"/>
    <col min="275" max="275" width="5.28515625" style="312" customWidth="1" outlineLevel="1"/>
    <col min="276" max="276" width="6.85546875" style="312" customWidth="1" outlineLevel="1"/>
    <col min="277" max="297" width="9.140625" style="312" outlineLevel="1"/>
    <col min="298" max="16384" width="9.140625" style="312"/>
  </cols>
  <sheetData>
    <row r="1" spans="2:297" ht="16.5" customHeight="1">
      <c r="B1" s="612" t="s">
        <v>1132</v>
      </c>
      <c r="C1" s="612"/>
      <c r="D1" s="313"/>
      <c r="E1" s="313"/>
      <c r="F1" s="313"/>
      <c r="G1" s="313"/>
      <c r="H1" s="313"/>
      <c r="I1" s="313"/>
      <c r="J1" s="313"/>
      <c r="K1" s="313"/>
      <c r="L1" s="313"/>
      <c r="M1" s="313"/>
      <c r="N1" s="313"/>
      <c r="O1" s="313"/>
      <c r="P1" s="313"/>
      <c r="Q1" s="313"/>
      <c r="R1" s="313"/>
      <c r="S1" s="313"/>
      <c r="T1" s="313"/>
      <c r="U1" s="313"/>
      <c r="V1" s="313"/>
      <c r="W1" s="313"/>
      <c r="X1" s="313"/>
      <c r="Y1" s="313"/>
      <c r="Z1" s="313"/>
      <c r="AA1" s="313"/>
      <c r="AB1" s="313"/>
      <c r="AC1" s="313"/>
      <c r="AD1" s="313"/>
      <c r="AE1" s="313"/>
      <c r="AF1" s="313"/>
      <c r="AG1" s="313"/>
      <c r="AH1" s="224"/>
      <c r="AI1" s="353"/>
      <c r="AJ1" s="353"/>
      <c r="AK1" s="353"/>
      <c r="AL1" s="353"/>
      <c r="AM1" s="353"/>
      <c r="AN1" s="353"/>
      <c r="AO1" s="353"/>
      <c r="AP1" s="353"/>
      <c r="AQ1" s="353"/>
      <c r="AR1" s="353"/>
      <c r="AS1" s="353"/>
      <c r="AT1" s="353"/>
      <c r="AU1" s="353"/>
      <c r="AV1" s="353"/>
      <c r="AW1" s="353"/>
      <c r="AX1" s="224"/>
      <c r="AY1" s="354"/>
      <c r="AZ1" s="354"/>
      <c r="BA1" s="224"/>
      <c r="BB1" s="224"/>
      <c r="BC1" s="224"/>
      <c r="BD1" s="224"/>
      <c r="BE1" s="224"/>
      <c r="BF1" s="224"/>
      <c r="BG1" s="224"/>
      <c r="BH1" s="224"/>
      <c r="BI1" s="224"/>
      <c r="BJ1" s="224"/>
      <c r="BK1" s="224"/>
      <c r="BL1" s="224"/>
      <c r="BM1" s="224"/>
      <c r="BN1" s="224"/>
      <c r="BO1" s="224"/>
      <c r="BP1" s="224"/>
      <c r="BQ1" s="224"/>
      <c r="BR1" s="224"/>
      <c r="BS1" s="224"/>
      <c r="BT1" s="224"/>
      <c r="BU1" s="224"/>
      <c r="BV1" s="224"/>
      <c r="BW1" s="224"/>
      <c r="BX1" s="224"/>
      <c r="BY1" s="224"/>
      <c r="BZ1" s="224"/>
      <c r="CA1" s="224"/>
      <c r="CB1" s="224"/>
      <c r="CC1" s="224"/>
      <c r="CD1" s="224"/>
      <c r="CE1" s="224"/>
      <c r="CF1" s="224"/>
      <c r="CG1" s="224"/>
      <c r="CH1" s="224"/>
      <c r="CI1" s="224"/>
      <c r="CJ1" s="224"/>
      <c r="CK1" s="224"/>
      <c r="CL1" s="224"/>
      <c r="CM1" s="224"/>
      <c r="CN1" s="224"/>
      <c r="CO1" s="224"/>
      <c r="CP1" s="224"/>
      <c r="CQ1" s="224"/>
      <c r="CR1" s="224"/>
      <c r="CS1" s="224"/>
      <c r="CT1" s="224"/>
      <c r="CU1" s="224"/>
      <c r="CV1" s="224"/>
      <c r="CW1" s="224"/>
      <c r="CX1" s="224"/>
      <c r="CY1" s="224"/>
      <c r="CZ1" s="224"/>
      <c r="DA1" s="224"/>
      <c r="DB1" s="224"/>
      <c r="DC1" s="224"/>
      <c r="DD1" s="224"/>
      <c r="DE1" s="224"/>
      <c r="DF1" s="224"/>
      <c r="DG1" s="224"/>
      <c r="DH1" s="224"/>
      <c r="DI1" s="224"/>
      <c r="DJ1" s="224"/>
      <c r="DK1" s="224"/>
      <c r="DL1" s="224"/>
      <c r="DM1" s="224"/>
      <c r="DN1" s="224"/>
      <c r="DO1" s="224"/>
      <c r="DP1" s="224"/>
      <c r="DQ1" s="224"/>
      <c r="DR1" s="224"/>
      <c r="DS1" s="224"/>
      <c r="DT1" s="224"/>
      <c r="DU1" s="224"/>
      <c r="DV1" s="224"/>
      <c r="DW1" s="224"/>
      <c r="DX1" s="224"/>
      <c r="DY1" s="224"/>
      <c r="DZ1" s="224"/>
      <c r="EA1" s="224"/>
      <c r="EB1" s="224"/>
      <c r="EC1" s="224"/>
      <c r="ED1" s="224"/>
      <c r="EE1" s="224"/>
      <c r="EF1" s="224"/>
      <c r="EG1" s="224"/>
      <c r="EH1" s="224"/>
      <c r="EI1" s="224"/>
      <c r="EJ1" s="224"/>
      <c r="EK1" s="224"/>
      <c r="EL1" s="224"/>
      <c r="EM1" s="224"/>
      <c r="EN1" s="224"/>
      <c r="EO1" s="314"/>
      <c r="EP1" s="314"/>
      <c r="EQ1" s="314"/>
      <c r="ER1" s="314"/>
      <c r="ES1" s="314"/>
      <c r="ET1" s="314"/>
      <c r="EU1" s="224"/>
      <c r="EV1" s="224"/>
      <c r="EW1" s="224"/>
      <c r="EX1" s="224"/>
      <c r="EY1" s="314"/>
      <c r="EZ1" s="224"/>
      <c r="FA1" s="224"/>
      <c r="FB1" s="224"/>
      <c r="FC1" s="224"/>
      <c r="FD1" s="224"/>
      <c r="FE1" s="224"/>
      <c r="FF1" s="224"/>
      <c r="FG1" s="224"/>
      <c r="FH1" s="224"/>
      <c r="FI1" s="224"/>
      <c r="FJ1" s="314"/>
      <c r="FK1" s="224"/>
      <c r="FL1" s="314"/>
      <c r="FM1" s="314"/>
      <c r="FN1" s="224"/>
      <c r="FO1" s="314"/>
      <c r="FP1" s="224"/>
      <c r="FQ1" s="224"/>
      <c r="FR1" s="224"/>
      <c r="FS1" s="224"/>
      <c r="FT1" s="224"/>
      <c r="FU1" s="224"/>
      <c r="FV1" s="224"/>
      <c r="FW1" s="224"/>
      <c r="FX1" s="224"/>
      <c r="FY1" s="224"/>
      <c r="FZ1" s="224"/>
      <c r="GA1" s="224"/>
      <c r="GB1" s="224"/>
      <c r="GC1" s="224"/>
      <c r="GD1" s="224"/>
      <c r="GE1" s="224"/>
      <c r="GF1" s="224"/>
      <c r="GG1" s="224"/>
      <c r="GH1" s="224"/>
      <c r="GI1" s="224"/>
      <c r="GJ1" s="224"/>
      <c r="GK1" s="224"/>
      <c r="GL1" s="224"/>
      <c r="GM1" s="224"/>
      <c r="GN1" s="224"/>
      <c r="GO1" s="224"/>
      <c r="GP1" s="224"/>
      <c r="GQ1" s="224"/>
      <c r="GR1" s="224"/>
      <c r="GS1" s="224"/>
      <c r="GT1" s="224"/>
      <c r="GU1" s="224"/>
      <c r="GV1" s="224"/>
      <c r="GW1" s="224"/>
      <c r="GX1" s="224"/>
      <c r="GY1" s="224"/>
      <c r="GZ1" s="224"/>
      <c r="HA1" s="224"/>
      <c r="HB1" s="224"/>
      <c r="HC1" s="224"/>
      <c r="HD1" s="224"/>
      <c r="HE1" s="224"/>
      <c r="HF1" s="224"/>
      <c r="HG1" s="224"/>
      <c r="HH1" s="224"/>
      <c r="IA1" s="224"/>
      <c r="IB1" s="224"/>
      <c r="IC1" s="224"/>
      <c r="ID1" s="224"/>
      <c r="IE1" s="224"/>
      <c r="IF1" s="224"/>
      <c r="IG1" s="224"/>
      <c r="IH1" s="224"/>
      <c r="II1" s="224"/>
      <c r="IJ1" s="224"/>
      <c r="IK1" s="224"/>
      <c r="IL1" s="224"/>
      <c r="IM1" s="224"/>
      <c r="IN1" s="224"/>
      <c r="IO1" s="224"/>
      <c r="IP1" s="224"/>
      <c r="IQ1" s="224"/>
      <c r="IR1" s="224"/>
      <c r="IS1" s="224"/>
      <c r="IT1" s="224"/>
      <c r="IU1" s="224"/>
      <c r="IV1" s="224"/>
      <c r="IW1" s="224"/>
      <c r="IX1" s="224"/>
      <c r="IY1" s="224"/>
      <c r="IZ1" s="224"/>
      <c r="JA1" s="224"/>
      <c r="JB1" s="224"/>
      <c r="JC1" s="224"/>
      <c r="JD1" s="224"/>
      <c r="JE1" s="224"/>
      <c r="JF1" s="224"/>
      <c r="JG1" s="224"/>
      <c r="JH1" s="224"/>
      <c r="JI1" s="224"/>
      <c r="JJ1" s="224"/>
      <c r="JK1" s="224"/>
      <c r="JL1" s="224"/>
      <c r="JM1" s="224"/>
      <c r="JN1" s="224"/>
      <c r="JO1" s="224"/>
      <c r="JP1" s="224"/>
      <c r="JQ1" s="224"/>
      <c r="JR1" s="224"/>
      <c r="JS1" s="224"/>
      <c r="JT1" s="224"/>
      <c r="JU1" s="224"/>
      <c r="JV1" s="224"/>
      <c r="JW1" s="224"/>
      <c r="JX1" s="224"/>
      <c r="JY1" s="224"/>
      <c r="JZ1" s="224"/>
      <c r="KA1" s="224"/>
      <c r="KB1" s="224"/>
      <c r="KC1" s="224"/>
      <c r="KD1" s="224"/>
      <c r="KE1" s="224"/>
      <c r="KF1" s="224"/>
      <c r="KG1" s="224"/>
      <c r="KH1" s="224"/>
      <c r="KI1" s="224"/>
      <c r="KJ1" s="224"/>
      <c r="KK1" s="224"/>
    </row>
    <row r="2" spans="2:297" ht="16.5" customHeight="1">
      <c r="B2" s="313"/>
      <c r="C2" s="313"/>
      <c r="D2" s="313"/>
      <c r="E2" s="313"/>
      <c r="F2" s="313"/>
      <c r="G2" s="313"/>
      <c r="H2" s="313"/>
      <c r="I2" s="313"/>
      <c r="J2" s="313"/>
      <c r="K2" s="313"/>
      <c r="L2" s="313"/>
      <c r="M2" s="313"/>
      <c r="N2" s="313"/>
      <c r="O2" s="313"/>
      <c r="P2" s="313"/>
      <c r="Q2" s="313"/>
      <c r="R2" s="313"/>
      <c r="S2" s="313"/>
      <c r="T2" s="313"/>
      <c r="U2" s="313"/>
      <c r="V2" s="313"/>
      <c r="W2" s="313"/>
      <c r="X2" s="313"/>
      <c r="Y2" s="313"/>
      <c r="Z2" s="313"/>
      <c r="AA2" s="313"/>
      <c r="AB2" s="313"/>
      <c r="AC2" s="313"/>
      <c r="AD2" s="313"/>
      <c r="AE2" s="313"/>
      <c r="AF2" s="315"/>
      <c r="AG2" s="315"/>
      <c r="AH2" s="224"/>
      <c r="AI2" s="316"/>
      <c r="AJ2" s="316"/>
      <c r="AK2" s="316"/>
      <c r="AL2" s="316"/>
      <c r="AM2" s="316"/>
      <c r="AN2" s="316"/>
      <c r="AO2" s="316"/>
      <c r="AP2" s="316"/>
      <c r="AQ2" s="317"/>
      <c r="AR2" s="317"/>
      <c r="AS2" s="317"/>
      <c r="AT2" s="317"/>
      <c r="AU2" s="316"/>
      <c r="AV2" s="316"/>
      <c r="AW2" s="316"/>
      <c r="AX2" s="224"/>
      <c r="AY2" s="318"/>
      <c r="AZ2" s="318"/>
      <c r="BA2" s="224"/>
      <c r="BB2" s="224"/>
      <c r="BC2" s="224"/>
      <c r="BD2" s="224"/>
      <c r="BE2" s="224"/>
      <c r="BF2" s="224"/>
      <c r="BG2" s="224"/>
      <c r="BH2" s="224"/>
      <c r="BI2" s="224"/>
      <c r="BJ2" s="224"/>
      <c r="BK2" s="224"/>
      <c r="BL2" s="224"/>
      <c r="BM2" s="224"/>
      <c r="BN2" s="224"/>
      <c r="BO2" s="224"/>
      <c r="BP2" s="224"/>
      <c r="BQ2" s="224"/>
      <c r="BR2" s="224"/>
      <c r="BS2" s="224"/>
      <c r="BT2" s="224"/>
      <c r="BU2" s="224"/>
      <c r="BV2" s="224"/>
      <c r="BW2" s="224"/>
      <c r="BX2" s="224"/>
      <c r="BY2" s="224"/>
      <c r="BZ2" s="224"/>
      <c r="CA2" s="224"/>
      <c r="CB2" s="224"/>
      <c r="CC2" s="224"/>
      <c r="CD2" s="224"/>
      <c r="CE2" s="224"/>
      <c r="CF2" s="224"/>
      <c r="CG2" s="224"/>
      <c r="CH2" s="224"/>
      <c r="CI2" s="224"/>
      <c r="CJ2" s="224"/>
      <c r="CK2" s="224"/>
      <c r="CL2" s="224"/>
      <c r="CM2" s="224"/>
      <c r="CN2" s="224"/>
      <c r="CO2" s="224"/>
      <c r="CP2" s="224"/>
      <c r="CQ2" s="224"/>
      <c r="CR2" s="224"/>
      <c r="CS2" s="224"/>
      <c r="CT2" s="224"/>
      <c r="CU2" s="224"/>
      <c r="CV2" s="224"/>
      <c r="CW2" s="224"/>
      <c r="CX2" s="224"/>
      <c r="CY2" s="224"/>
      <c r="CZ2" s="224"/>
      <c r="DA2" s="224"/>
      <c r="DB2" s="224"/>
      <c r="DC2" s="224"/>
      <c r="DD2" s="224"/>
      <c r="DE2" s="224"/>
      <c r="DF2" s="224"/>
      <c r="DG2" s="224"/>
      <c r="DH2" s="224"/>
      <c r="DI2" s="224"/>
      <c r="DJ2" s="224"/>
      <c r="DK2" s="224"/>
      <c r="DL2" s="224"/>
      <c r="DM2" s="224"/>
      <c r="DN2" s="224"/>
      <c r="DO2" s="224"/>
      <c r="DP2" s="224"/>
      <c r="DQ2" s="224"/>
      <c r="DR2" s="224"/>
      <c r="DS2" s="224"/>
      <c r="DT2" s="224"/>
      <c r="DU2" s="224"/>
      <c r="DV2" s="224"/>
      <c r="DW2" s="224"/>
      <c r="DX2" s="224"/>
      <c r="DY2" s="224"/>
      <c r="DZ2" s="224"/>
      <c r="EA2" s="224"/>
      <c r="EB2" s="224"/>
      <c r="EC2" s="224"/>
      <c r="ED2" s="224"/>
      <c r="EE2" s="224"/>
      <c r="EF2" s="224"/>
      <c r="EG2" s="224"/>
      <c r="EH2" s="224"/>
      <c r="EI2" s="224"/>
      <c r="EJ2" s="224"/>
      <c r="EK2" s="224"/>
      <c r="EL2" s="224"/>
      <c r="EM2" s="224"/>
      <c r="EN2" s="224"/>
      <c r="EO2" s="314"/>
      <c r="EP2" s="314"/>
      <c r="EQ2" s="314"/>
      <c r="ER2" s="314"/>
      <c r="ES2" s="314"/>
      <c r="ET2" s="314"/>
      <c r="EU2" s="224"/>
      <c r="EV2" s="224"/>
      <c r="EW2" s="224"/>
      <c r="EX2" s="224"/>
      <c r="EY2" s="314"/>
      <c r="EZ2" s="224"/>
      <c r="FA2" s="224"/>
      <c r="FB2" s="224"/>
      <c r="FC2" s="224"/>
      <c r="FD2" s="224"/>
      <c r="FE2" s="224"/>
      <c r="FF2" s="224"/>
      <c r="FG2" s="224"/>
      <c r="FH2" s="224"/>
      <c r="FI2" s="224"/>
      <c r="FJ2" s="314"/>
      <c r="FK2" s="224"/>
      <c r="FL2" s="314"/>
      <c r="FM2" s="314"/>
      <c r="FN2" s="224"/>
      <c r="FO2" s="314"/>
      <c r="FP2" s="224"/>
      <c r="FQ2" s="224"/>
      <c r="FR2" s="224"/>
      <c r="FS2" s="224"/>
      <c r="FT2" s="224"/>
      <c r="FU2" s="224"/>
      <c r="FV2" s="224"/>
      <c r="FW2" s="224"/>
      <c r="FX2" s="224"/>
      <c r="FY2" s="224"/>
      <c r="FZ2" s="224"/>
      <c r="GA2" s="224"/>
      <c r="GB2" s="224"/>
      <c r="GC2" s="224"/>
      <c r="GD2" s="224"/>
      <c r="GE2" s="224"/>
      <c r="GF2" s="224"/>
      <c r="GG2" s="224"/>
      <c r="GH2" s="224"/>
      <c r="GI2" s="224"/>
      <c r="GJ2" s="224"/>
      <c r="GK2" s="224"/>
      <c r="GL2" s="224"/>
      <c r="GM2" s="224"/>
      <c r="GN2" s="224"/>
      <c r="GO2" s="224"/>
      <c r="GP2" s="224"/>
      <c r="GQ2" s="224"/>
      <c r="GR2" s="224"/>
      <c r="GS2" s="224"/>
      <c r="GT2" s="224"/>
      <c r="GU2" s="224"/>
      <c r="GV2" s="224"/>
      <c r="GW2" s="224"/>
      <c r="GX2" s="224"/>
      <c r="GY2" s="224"/>
      <c r="GZ2" s="224"/>
      <c r="HA2" s="224"/>
      <c r="HB2" s="224"/>
      <c r="HC2" s="224"/>
      <c r="HD2" s="224"/>
      <c r="HE2" s="224"/>
      <c r="HF2" s="224"/>
      <c r="HG2" s="224"/>
      <c r="HH2" s="224"/>
      <c r="IA2" s="224"/>
      <c r="IB2" s="224"/>
      <c r="IC2" s="224"/>
      <c r="ID2" s="224"/>
      <c r="IE2" s="224"/>
      <c r="IF2" s="224"/>
      <c r="IG2" s="224"/>
      <c r="IH2" s="224"/>
      <c r="II2" s="224"/>
      <c r="IJ2" s="224"/>
      <c r="IK2" s="224"/>
      <c r="IL2" s="224"/>
      <c r="IM2" s="224"/>
      <c r="IN2" s="224"/>
      <c r="IO2" s="224"/>
      <c r="IP2" s="224"/>
      <c r="IQ2" s="224"/>
      <c r="IR2" s="224"/>
      <c r="IS2" s="224"/>
      <c r="IT2" s="224"/>
      <c r="IU2" s="224"/>
      <c r="IV2" s="224"/>
      <c r="IW2" s="224"/>
      <c r="IX2" s="224"/>
      <c r="IY2" s="224"/>
      <c r="IZ2" s="224"/>
      <c r="JA2" s="224"/>
      <c r="JB2" s="224"/>
      <c r="JC2" s="224"/>
      <c r="JD2" s="224"/>
      <c r="JE2" s="224"/>
      <c r="JF2" s="224"/>
      <c r="JG2" s="224"/>
      <c r="JH2" s="224"/>
      <c r="JI2" s="224"/>
      <c r="JJ2" s="224"/>
      <c r="JK2" s="224"/>
      <c r="JL2" s="224"/>
      <c r="JM2" s="224"/>
      <c r="JN2" s="224"/>
      <c r="JO2" s="224"/>
      <c r="JP2" s="224"/>
      <c r="JQ2" s="224"/>
      <c r="JR2" s="224"/>
      <c r="JS2" s="224"/>
      <c r="JT2" s="224"/>
      <c r="JU2" s="224"/>
      <c r="JV2" s="224"/>
      <c r="JW2" s="224"/>
      <c r="JX2" s="224"/>
      <c r="JY2" s="224"/>
      <c r="JZ2" s="224"/>
      <c r="KA2" s="224"/>
      <c r="KB2" s="224"/>
      <c r="KC2" s="224"/>
      <c r="KD2" s="224"/>
      <c r="KE2" s="224"/>
      <c r="KF2" s="224"/>
      <c r="KG2" s="224"/>
      <c r="KH2" s="224"/>
      <c r="KI2" s="224"/>
      <c r="KJ2" s="224"/>
      <c r="KK2" s="224"/>
    </row>
    <row r="3" spans="2:297" ht="16.5" customHeight="1">
      <c r="B3" s="280" t="s">
        <v>454</v>
      </c>
      <c r="C3" s="280" t="s">
        <v>215</v>
      </c>
      <c r="D3" s="281" t="s">
        <v>8</v>
      </c>
      <c r="E3" s="282" t="s">
        <v>4</v>
      </c>
      <c r="F3" s="281" t="s">
        <v>10</v>
      </c>
      <c r="G3" s="282" t="s">
        <v>4</v>
      </c>
      <c r="H3" s="281" t="s">
        <v>64</v>
      </c>
      <c r="I3" s="283" t="s">
        <v>4</v>
      </c>
      <c r="J3" s="281" t="s">
        <v>11</v>
      </c>
      <c r="K3" s="282" t="s">
        <v>4</v>
      </c>
      <c r="L3" s="281" t="s">
        <v>65</v>
      </c>
      <c r="M3" s="283" t="s">
        <v>4</v>
      </c>
      <c r="N3" s="281" t="s">
        <v>12</v>
      </c>
      <c r="O3" s="282" t="s">
        <v>4</v>
      </c>
      <c r="P3" s="281">
        <v>2006</v>
      </c>
      <c r="Q3" s="282" t="s">
        <v>4</v>
      </c>
      <c r="R3" s="281" t="s">
        <v>13</v>
      </c>
      <c r="S3" s="282" t="s">
        <v>4</v>
      </c>
      <c r="T3" s="281" t="s">
        <v>14</v>
      </c>
      <c r="U3" s="282" t="s">
        <v>4</v>
      </c>
      <c r="V3" s="281" t="s">
        <v>66</v>
      </c>
      <c r="W3" s="283" t="s">
        <v>4</v>
      </c>
      <c r="X3" s="281" t="s">
        <v>95</v>
      </c>
      <c r="Y3" s="282" t="s">
        <v>4</v>
      </c>
      <c r="Z3" s="281" t="s">
        <v>67</v>
      </c>
      <c r="AA3" s="283" t="s">
        <v>4</v>
      </c>
      <c r="AB3" s="281" t="s">
        <v>96</v>
      </c>
      <c r="AC3" s="282" t="s">
        <v>4</v>
      </c>
      <c r="AD3" s="281">
        <v>2007</v>
      </c>
      <c r="AE3" s="282" t="s">
        <v>4</v>
      </c>
      <c r="AF3" s="281" t="s">
        <v>97</v>
      </c>
      <c r="AG3" s="282" t="s">
        <v>4</v>
      </c>
      <c r="AH3" s="281" t="s">
        <v>98</v>
      </c>
      <c r="AI3" s="282" t="s">
        <v>4</v>
      </c>
      <c r="AJ3" s="284" t="s">
        <v>68</v>
      </c>
      <c r="AK3" s="283" t="s">
        <v>4</v>
      </c>
      <c r="AL3" s="281" t="s">
        <v>99</v>
      </c>
      <c r="AM3" s="282" t="s">
        <v>4</v>
      </c>
      <c r="AN3" s="284" t="s">
        <v>69</v>
      </c>
      <c r="AO3" s="283" t="s">
        <v>4</v>
      </c>
      <c r="AP3" s="281" t="s">
        <v>100</v>
      </c>
      <c r="AQ3" s="282" t="s">
        <v>4</v>
      </c>
      <c r="AR3" s="281">
        <v>2008</v>
      </c>
      <c r="AS3" s="282" t="s">
        <v>4</v>
      </c>
      <c r="AT3" s="281" t="s">
        <v>101</v>
      </c>
      <c r="AU3" s="282" t="s">
        <v>4</v>
      </c>
      <c r="AV3" s="282" t="s">
        <v>9</v>
      </c>
      <c r="AW3" s="281" t="s">
        <v>102</v>
      </c>
      <c r="AX3" s="282" t="s">
        <v>4</v>
      </c>
      <c r="AY3" s="282" t="s">
        <v>9</v>
      </c>
      <c r="AZ3" s="284" t="s">
        <v>70</v>
      </c>
      <c r="BA3" s="283" t="s">
        <v>4</v>
      </c>
      <c r="BB3" s="283" t="s">
        <v>9</v>
      </c>
      <c r="BC3" s="281" t="s">
        <v>103</v>
      </c>
      <c r="BD3" s="282" t="s">
        <v>4</v>
      </c>
      <c r="BE3" s="282" t="s">
        <v>9</v>
      </c>
      <c r="BF3" s="284" t="s">
        <v>71</v>
      </c>
      <c r="BG3" s="283" t="s">
        <v>4</v>
      </c>
      <c r="BH3" s="283" t="s">
        <v>9</v>
      </c>
      <c r="BI3" s="281" t="s">
        <v>104</v>
      </c>
      <c r="BJ3" s="282" t="s">
        <v>4</v>
      </c>
      <c r="BK3" s="282" t="s">
        <v>9</v>
      </c>
      <c r="BL3" s="281">
        <v>2009</v>
      </c>
      <c r="BM3" s="282" t="s">
        <v>4</v>
      </c>
      <c r="BN3" s="282" t="s">
        <v>9</v>
      </c>
      <c r="BO3" s="281" t="s">
        <v>105</v>
      </c>
      <c r="BP3" s="282" t="s">
        <v>4</v>
      </c>
      <c r="BQ3" s="282" t="s">
        <v>9</v>
      </c>
      <c r="BR3" s="281" t="s">
        <v>106</v>
      </c>
      <c r="BS3" s="282" t="s">
        <v>4</v>
      </c>
      <c r="BT3" s="282" t="s">
        <v>9</v>
      </c>
      <c r="BU3" s="284" t="s">
        <v>72</v>
      </c>
      <c r="BV3" s="283" t="s">
        <v>4</v>
      </c>
      <c r="BW3" s="283" t="s">
        <v>9</v>
      </c>
      <c r="BX3" s="281" t="s">
        <v>107</v>
      </c>
      <c r="BY3" s="282" t="s">
        <v>4</v>
      </c>
      <c r="BZ3" s="282" t="s">
        <v>9</v>
      </c>
      <c r="CA3" s="284" t="s">
        <v>73</v>
      </c>
      <c r="CB3" s="283" t="s">
        <v>4</v>
      </c>
      <c r="CC3" s="283" t="s">
        <v>9</v>
      </c>
      <c r="CD3" s="284" t="s">
        <v>110</v>
      </c>
      <c r="CE3" s="282" t="s">
        <v>4</v>
      </c>
      <c r="CF3" s="282" t="s">
        <v>9</v>
      </c>
      <c r="CG3" s="284">
        <v>2010</v>
      </c>
      <c r="CH3" s="282" t="s">
        <v>4</v>
      </c>
      <c r="CI3" s="282" t="s">
        <v>9</v>
      </c>
      <c r="CJ3" s="284" t="s">
        <v>220</v>
      </c>
      <c r="CK3" s="282" t="s">
        <v>4</v>
      </c>
      <c r="CL3" s="282" t="s">
        <v>9</v>
      </c>
      <c r="CM3" s="284" t="s">
        <v>253</v>
      </c>
      <c r="CN3" s="282" t="s">
        <v>4</v>
      </c>
      <c r="CO3" s="282" t="s">
        <v>9</v>
      </c>
      <c r="CP3" s="284" t="s">
        <v>254</v>
      </c>
      <c r="CQ3" s="282" t="s">
        <v>4</v>
      </c>
      <c r="CR3" s="282" t="s">
        <v>9</v>
      </c>
      <c r="CS3" s="284" t="s">
        <v>283</v>
      </c>
      <c r="CT3" s="282" t="s">
        <v>4</v>
      </c>
      <c r="CU3" s="282" t="s">
        <v>9</v>
      </c>
      <c r="CV3" s="284" t="s">
        <v>284</v>
      </c>
      <c r="CW3" s="282" t="s">
        <v>4</v>
      </c>
      <c r="CX3" s="282" t="s">
        <v>9</v>
      </c>
      <c r="CY3" s="284" t="s">
        <v>286</v>
      </c>
      <c r="CZ3" s="282" t="s">
        <v>4</v>
      </c>
      <c r="DA3" s="282" t="s">
        <v>9</v>
      </c>
      <c r="DB3" s="284">
        <v>2011</v>
      </c>
      <c r="DC3" s="282" t="s">
        <v>4</v>
      </c>
      <c r="DD3" s="282" t="s">
        <v>9</v>
      </c>
      <c r="DE3" s="284" t="s">
        <v>292</v>
      </c>
      <c r="DF3" s="282" t="s">
        <v>4</v>
      </c>
      <c r="DG3" s="282" t="s">
        <v>9</v>
      </c>
      <c r="DH3" s="284" t="s">
        <v>299</v>
      </c>
      <c r="DI3" s="282" t="s">
        <v>4</v>
      </c>
      <c r="DJ3" s="282" t="s">
        <v>9</v>
      </c>
      <c r="DK3" s="284" t="s">
        <v>300</v>
      </c>
      <c r="DL3" s="282" t="s">
        <v>4</v>
      </c>
      <c r="DM3" s="282" t="s">
        <v>9</v>
      </c>
      <c r="DN3" s="284" t="s">
        <v>305</v>
      </c>
      <c r="DO3" s="282" t="s">
        <v>4</v>
      </c>
      <c r="DP3" s="282" t="s">
        <v>9</v>
      </c>
      <c r="DQ3" s="284" t="s">
        <v>306</v>
      </c>
      <c r="DR3" s="282" t="s">
        <v>4</v>
      </c>
      <c r="DS3" s="282" t="s">
        <v>9</v>
      </c>
      <c r="DT3" s="284" t="s">
        <v>308</v>
      </c>
      <c r="DU3" s="282" t="s">
        <v>4</v>
      </c>
      <c r="DV3" s="282" t="s">
        <v>9</v>
      </c>
      <c r="DW3" s="284">
        <v>2012</v>
      </c>
      <c r="DX3" s="282" t="s">
        <v>4</v>
      </c>
      <c r="DY3" s="282" t="s">
        <v>9</v>
      </c>
      <c r="DZ3" s="284" t="s">
        <v>316</v>
      </c>
      <c r="EA3" s="282" t="s">
        <v>4</v>
      </c>
      <c r="EB3" s="282" t="s">
        <v>9</v>
      </c>
      <c r="EC3" s="284" t="s">
        <v>324</v>
      </c>
      <c r="ED3" s="282" t="s">
        <v>4</v>
      </c>
      <c r="EE3" s="282" t="s">
        <v>9</v>
      </c>
      <c r="EF3" s="284" t="s">
        <v>325</v>
      </c>
      <c r="EG3" s="282" t="s">
        <v>4</v>
      </c>
      <c r="EH3" s="282" t="s">
        <v>9</v>
      </c>
      <c r="EI3" s="284" t="s">
        <v>328</v>
      </c>
      <c r="EJ3" s="282" t="s">
        <v>4</v>
      </c>
      <c r="EK3" s="282" t="s">
        <v>9</v>
      </c>
      <c r="EL3" s="284" t="s">
        <v>329</v>
      </c>
      <c r="EM3" s="282" t="s">
        <v>4</v>
      </c>
      <c r="EN3" s="282" t="s">
        <v>9</v>
      </c>
      <c r="EO3" s="284" t="s">
        <v>333</v>
      </c>
      <c r="EP3" s="282" t="s">
        <v>4</v>
      </c>
      <c r="EQ3" s="282" t="s">
        <v>9</v>
      </c>
      <c r="ER3" s="284">
        <v>2013</v>
      </c>
      <c r="ES3" s="282" t="s">
        <v>4</v>
      </c>
      <c r="ET3" s="282" t="s">
        <v>9</v>
      </c>
      <c r="EU3" s="284" t="s">
        <v>336</v>
      </c>
      <c r="EV3" s="282" t="s">
        <v>4</v>
      </c>
      <c r="EW3" s="282" t="s">
        <v>9</v>
      </c>
      <c r="EX3" s="284" t="s">
        <v>345</v>
      </c>
      <c r="EY3" s="282" t="s">
        <v>4</v>
      </c>
      <c r="EZ3" s="282" t="s">
        <v>9</v>
      </c>
      <c r="FA3" s="284" t="s">
        <v>346</v>
      </c>
      <c r="FB3" s="282" t="s">
        <v>4</v>
      </c>
      <c r="FC3" s="282" t="s">
        <v>9</v>
      </c>
      <c r="FD3" s="284" t="s">
        <v>349</v>
      </c>
      <c r="FE3" s="282" t="s">
        <v>4</v>
      </c>
      <c r="FF3" s="282" t="s">
        <v>9</v>
      </c>
      <c r="FG3" s="284" t="s">
        <v>350</v>
      </c>
      <c r="FH3" s="282" t="s">
        <v>4</v>
      </c>
      <c r="FI3" s="282" t="s">
        <v>9</v>
      </c>
      <c r="FJ3" s="284" t="s">
        <v>356</v>
      </c>
      <c r="FK3" s="282" t="s">
        <v>4</v>
      </c>
      <c r="FL3" s="282" t="s">
        <v>9</v>
      </c>
      <c r="FM3" s="284">
        <v>2014</v>
      </c>
      <c r="FN3" s="282" t="s">
        <v>4</v>
      </c>
      <c r="FO3" s="282" t="s">
        <v>9</v>
      </c>
      <c r="FP3" s="284" t="s">
        <v>361</v>
      </c>
      <c r="FQ3" s="282" t="s">
        <v>4</v>
      </c>
      <c r="FR3" s="282" t="s">
        <v>9</v>
      </c>
      <c r="FS3" s="284" t="s">
        <v>371</v>
      </c>
      <c r="FT3" s="282" t="s">
        <v>4</v>
      </c>
      <c r="FU3" s="282" t="s">
        <v>9</v>
      </c>
      <c r="FV3" s="284" t="s">
        <v>372</v>
      </c>
      <c r="FW3" s="282" t="s">
        <v>4</v>
      </c>
      <c r="FX3" s="282" t="s">
        <v>9</v>
      </c>
      <c r="FY3" s="284" t="s">
        <v>393</v>
      </c>
      <c r="FZ3" s="282" t="s">
        <v>4</v>
      </c>
      <c r="GA3" s="282" t="s">
        <v>9</v>
      </c>
      <c r="GB3" s="284" t="s">
        <v>394</v>
      </c>
      <c r="GC3" s="282" t="s">
        <v>4</v>
      </c>
      <c r="GD3" s="282" t="s">
        <v>9</v>
      </c>
      <c r="GE3" s="284" t="s">
        <v>396</v>
      </c>
      <c r="GF3" s="282" t="s">
        <v>4</v>
      </c>
      <c r="GG3" s="282" t="s">
        <v>9</v>
      </c>
      <c r="GH3" s="284">
        <v>2015</v>
      </c>
      <c r="GI3" s="282" t="s">
        <v>4</v>
      </c>
      <c r="GJ3" s="282" t="s">
        <v>9</v>
      </c>
      <c r="GK3" s="284" t="s">
        <v>455</v>
      </c>
      <c r="GL3" s="282" t="s">
        <v>4</v>
      </c>
      <c r="GM3" s="282" t="s">
        <v>9</v>
      </c>
      <c r="GN3" s="284" t="s">
        <v>819</v>
      </c>
      <c r="GO3" s="282" t="s">
        <v>4</v>
      </c>
      <c r="GP3" s="282" t="s">
        <v>9</v>
      </c>
      <c r="GQ3" s="284" t="s">
        <v>846</v>
      </c>
      <c r="GR3" s="282" t="s">
        <v>4</v>
      </c>
      <c r="GS3" s="282" t="s">
        <v>9</v>
      </c>
      <c r="GT3" s="284" t="s">
        <v>1077</v>
      </c>
      <c r="GU3" s="282" t="s">
        <v>4</v>
      </c>
      <c r="GV3" s="282" t="s">
        <v>9</v>
      </c>
      <c r="GW3" s="284" t="s">
        <v>1081</v>
      </c>
      <c r="GX3" s="282" t="s">
        <v>4</v>
      </c>
      <c r="GY3" s="282" t="s">
        <v>9</v>
      </c>
      <c r="GZ3" s="284" t="s">
        <v>1124</v>
      </c>
      <c r="HA3" s="282" t="s">
        <v>4</v>
      </c>
      <c r="HB3" s="282" t="s">
        <v>9</v>
      </c>
      <c r="HC3" s="284">
        <v>2016</v>
      </c>
      <c r="HD3" s="282" t="s">
        <v>4</v>
      </c>
      <c r="HE3" s="282" t="s">
        <v>9</v>
      </c>
      <c r="HF3" s="284" t="s">
        <v>1163</v>
      </c>
      <c r="HG3" s="282" t="s">
        <v>4</v>
      </c>
      <c r="HH3" s="282" t="s">
        <v>9</v>
      </c>
      <c r="HI3" s="284" t="s">
        <v>1172</v>
      </c>
      <c r="HJ3" s="282" t="s">
        <v>4</v>
      </c>
      <c r="HK3" s="282" t="s">
        <v>9</v>
      </c>
      <c r="HL3" s="284" t="s">
        <v>1202</v>
      </c>
      <c r="HM3" s="282" t="s">
        <v>4</v>
      </c>
      <c r="HN3" s="282" t="s">
        <v>9</v>
      </c>
      <c r="HO3" s="284" t="s">
        <v>1198</v>
      </c>
      <c r="HP3" s="282" t="s">
        <v>4</v>
      </c>
      <c r="HQ3" s="282" t="s">
        <v>9</v>
      </c>
      <c r="HR3" s="284" t="s">
        <v>1223</v>
      </c>
      <c r="HS3" s="282" t="s">
        <v>4</v>
      </c>
      <c r="HT3" s="282" t="s">
        <v>9</v>
      </c>
      <c r="HU3" s="284" t="s">
        <v>1220</v>
      </c>
      <c r="HV3" s="282" t="s">
        <v>4</v>
      </c>
      <c r="HW3" s="282" t="s">
        <v>9</v>
      </c>
      <c r="HX3" s="284">
        <v>2017</v>
      </c>
      <c r="HY3" s="282" t="s">
        <v>4</v>
      </c>
      <c r="HZ3" s="282" t="s">
        <v>9</v>
      </c>
      <c r="IA3" s="284" t="s">
        <v>1251</v>
      </c>
      <c r="IB3" s="282" t="s">
        <v>4</v>
      </c>
      <c r="IC3" s="282" t="s">
        <v>9</v>
      </c>
      <c r="ID3" s="291" t="s">
        <v>1256</v>
      </c>
      <c r="IE3" s="282" t="s">
        <v>4</v>
      </c>
      <c r="IF3" s="282" t="s">
        <v>9</v>
      </c>
      <c r="IG3" s="284" t="s">
        <v>1257</v>
      </c>
      <c r="IH3" s="282" t="s">
        <v>4</v>
      </c>
      <c r="II3" s="282" t="s">
        <v>9</v>
      </c>
      <c r="IJ3" s="284" t="s">
        <v>1279</v>
      </c>
      <c r="IK3" s="282" t="s">
        <v>4</v>
      </c>
      <c r="IL3" s="282" t="s">
        <v>9</v>
      </c>
      <c r="IM3" s="284" t="s">
        <v>1314</v>
      </c>
      <c r="IN3" s="282" t="s">
        <v>4</v>
      </c>
      <c r="IO3" s="282" t="s">
        <v>9</v>
      </c>
      <c r="IP3" s="284" t="s">
        <v>1307</v>
      </c>
      <c r="IQ3" s="282" t="s">
        <v>4</v>
      </c>
      <c r="IR3" s="282" t="s">
        <v>9</v>
      </c>
      <c r="IS3" s="284">
        <v>2018</v>
      </c>
      <c r="IT3" s="282" t="s">
        <v>4</v>
      </c>
      <c r="IU3" s="282" t="s">
        <v>9</v>
      </c>
      <c r="IV3" s="284" t="s">
        <v>1360</v>
      </c>
      <c r="IW3" s="282" t="s">
        <v>4</v>
      </c>
      <c r="IX3" s="282" t="s">
        <v>9</v>
      </c>
      <c r="IY3" s="291" t="s">
        <v>1376</v>
      </c>
      <c r="IZ3" s="282" t="s">
        <v>4</v>
      </c>
      <c r="JA3" s="282" t="s">
        <v>9</v>
      </c>
      <c r="JB3" s="284" t="s">
        <v>1373</v>
      </c>
      <c r="JC3" s="282" t="s">
        <v>4</v>
      </c>
      <c r="JD3" s="282" t="s">
        <v>9</v>
      </c>
      <c r="JE3" s="284" t="s">
        <v>1395</v>
      </c>
      <c r="JF3" s="282" t="s">
        <v>4</v>
      </c>
      <c r="JG3" s="282" t="s">
        <v>9</v>
      </c>
      <c r="JH3" s="284" t="s">
        <v>1394</v>
      </c>
      <c r="JI3" s="282" t="s">
        <v>4</v>
      </c>
      <c r="JJ3" s="282" t="s">
        <v>9</v>
      </c>
      <c r="JK3" s="284" t="s">
        <v>1397</v>
      </c>
      <c r="JL3" s="282" t="s">
        <v>4</v>
      </c>
      <c r="JM3" s="282" t="s">
        <v>9</v>
      </c>
      <c r="JN3" s="284">
        <v>2019</v>
      </c>
      <c r="JO3" s="282" t="s">
        <v>4</v>
      </c>
      <c r="JP3" s="282" t="s">
        <v>9</v>
      </c>
      <c r="JQ3" s="284" t="s">
        <v>1436</v>
      </c>
      <c r="JR3" s="282" t="s">
        <v>4</v>
      </c>
      <c r="JS3" s="282" t="s">
        <v>9</v>
      </c>
      <c r="JT3" s="284" t="s">
        <v>1458</v>
      </c>
      <c r="JU3" s="282" t="s">
        <v>4</v>
      </c>
      <c r="JV3" s="282" t="s">
        <v>9</v>
      </c>
      <c r="JW3" s="284" t="s">
        <v>1459</v>
      </c>
      <c r="JX3" s="282" t="s">
        <v>4</v>
      </c>
      <c r="JY3" s="282" t="s">
        <v>9</v>
      </c>
      <c r="JZ3" s="284" t="s">
        <v>1452</v>
      </c>
      <c r="KA3" s="282" t="s">
        <v>4</v>
      </c>
      <c r="KB3" s="282" t="s">
        <v>9</v>
      </c>
      <c r="KC3" s="284" t="s">
        <v>1466</v>
      </c>
      <c r="KD3" s="282" t="s">
        <v>4</v>
      </c>
      <c r="KE3" s="282" t="s">
        <v>9</v>
      </c>
      <c r="KF3" s="284" t="s">
        <v>1520</v>
      </c>
      <c r="KG3" s="282" t="s">
        <v>4</v>
      </c>
      <c r="KH3" s="282" t="s">
        <v>9</v>
      </c>
      <c r="KI3" s="284">
        <v>2020</v>
      </c>
      <c r="KJ3" s="282" t="s">
        <v>4</v>
      </c>
      <c r="KK3" s="282" t="s">
        <v>9</v>
      </c>
    </row>
    <row r="4" spans="2:297" ht="16.5" customHeight="1">
      <c r="B4" s="66" t="s">
        <v>279</v>
      </c>
      <c r="C4" s="66" t="s">
        <v>214</v>
      </c>
      <c r="D4" s="69" t="s">
        <v>77</v>
      </c>
      <c r="E4" s="70" t="s">
        <v>77</v>
      </c>
      <c r="F4" s="69" t="s">
        <v>77</v>
      </c>
      <c r="G4" s="70" t="s">
        <v>77</v>
      </c>
      <c r="H4" s="69" t="s">
        <v>77</v>
      </c>
      <c r="I4" s="70" t="s">
        <v>77</v>
      </c>
      <c r="J4" s="69" t="s">
        <v>77</v>
      </c>
      <c r="K4" s="70" t="s">
        <v>77</v>
      </c>
      <c r="L4" s="69" t="s">
        <v>77</v>
      </c>
      <c r="M4" s="70" t="s">
        <v>77</v>
      </c>
      <c r="N4" s="69" t="s">
        <v>77</v>
      </c>
      <c r="O4" s="70" t="s">
        <v>77</v>
      </c>
      <c r="P4" s="69" t="s">
        <v>77</v>
      </c>
      <c r="Q4" s="70" t="s">
        <v>77</v>
      </c>
      <c r="R4" s="69" t="s">
        <v>77</v>
      </c>
      <c r="S4" s="70" t="s">
        <v>77</v>
      </c>
      <c r="T4" s="69" t="s">
        <v>77</v>
      </c>
      <c r="U4" s="70" t="s">
        <v>77</v>
      </c>
      <c r="V4" s="69" t="s">
        <v>77</v>
      </c>
      <c r="W4" s="70" t="s">
        <v>77</v>
      </c>
      <c r="X4" s="69" t="s">
        <v>77</v>
      </c>
      <c r="Y4" s="70" t="s">
        <v>77</v>
      </c>
      <c r="Z4" s="69" t="s">
        <v>77</v>
      </c>
      <c r="AA4" s="70" t="s">
        <v>77</v>
      </c>
      <c r="AB4" s="69" t="s">
        <v>77</v>
      </c>
      <c r="AC4" s="70" t="s">
        <v>77</v>
      </c>
      <c r="AD4" s="69" t="s">
        <v>77</v>
      </c>
      <c r="AE4" s="70" t="s">
        <v>77</v>
      </c>
      <c r="AF4" s="69">
        <f>SUM(AF5:AF7)</f>
        <v>14187.485000000001</v>
      </c>
      <c r="AG4" s="70">
        <f>AF4/$AF$16</f>
        <v>3.7006035739717204E-2</v>
      </c>
      <c r="AH4" s="69">
        <f>SUM(AH5:AH7)</f>
        <v>52110</v>
      </c>
      <c r="AI4" s="70">
        <f>AH4/$AH$16</f>
        <v>0.10212720922848979</v>
      </c>
      <c r="AJ4" s="69">
        <f>SUM(AJ5:AJ7)</f>
        <v>96752</v>
      </c>
      <c r="AK4" s="70">
        <f>AJ4/$AJ$16</f>
        <v>0.1082686439227017</v>
      </c>
      <c r="AL4" s="69">
        <f>SUM(AL5:AL7)</f>
        <v>55181</v>
      </c>
      <c r="AM4" s="70">
        <f>AL4/$AL$16</f>
        <v>0.12288824454272951</v>
      </c>
      <c r="AN4" s="69">
        <f>SUM(AN5:AN7)</f>
        <v>151933</v>
      </c>
      <c r="AO4" s="70">
        <f>AN4/$AN$16</f>
        <v>0.11315795549590627</v>
      </c>
      <c r="AP4" s="69">
        <f>SUM(AP5:AP7)</f>
        <v>48950</v>
      </c>
      <c r="AQ4" s="70">
        <f>AP4/$AP$16</f>
        <v>7.9754561244008218E-2</v>
      </c>
      <c r="AR4" s="69">
        <f>SUM(AR5:AR7)</f>
        <v>200883</v>
      </c>
      <c r="AS4" s="70">
        <f>AR4/$AR$16</f>
        <v>0.10267876766873404</v>
      </c>
      <c r="AT4" s="69">
        <f>SUM(AT5:AT7)</f>
        <v>50117</v>
      </c>
      <c r="AU4" s="70">
        <f>AT4/$AT$16</f>
        <v>0.13819698937540156</v>
      </c>
      <c r="AV4" s="70">
        <f>(AT4/AF4)-1</f>
        <v>2.5324795057052043</v>
      </c>
      <c r="AW4" s="69">
        <f>SUM(AW5:AW7)</f>
        <v>50744</v>
      </c>
      <c r="AX4" s="70">
        <f>AW4/$AW$16</f>
        <v>9.1474802246850728E-2</v>
      </c>
      <c r="AY4" s="70">
        <f t="shared" ref="AY4:AY13" si="0">(AW4/AH4)-1</f>
        <v>-2.6213778545384758E-2</v>
      </c>
      <c r="AZ4" s="69">
        <f>SUM(AZ5:AZ7)</f>
        <v>100861</v>
      </c>
      <c r="BA4" s="70">
        <f>AZ4/$AZ$16</f>
        <v>0.10994450506387204</v>
      </c>
      <c r="BB4" s="68">
        <f>AZ4/AJ4-1</f>
        <v>4.246940631718199E-2</v>
      </c>
      <c r="BC4" s="69">
        <f>SUM(BC5:BC7)</f>
        <v>57306</v>
      </c>
      <c r="BD4" s="70">
        <f>BC4/$BC$16</f>
        <v>0.11773673289092515</v>
      </c>
      <c r="BE4" s="70">
        <f t="shared" ref="BE4:BE13" si="1">(BC4/AL4)-1</f>
        <v>3.8509631938529632E-2</v>
      </c>
      <c r="BF4" s="69">
        <f>SUM(BF5:BF7)</f>
        <v>158167</v>
      </c>
      <c r="BG4" s="70">
        <f>BF4/$BF$16</f>
        <v>0.11264565265851489</v>
      </c>
      <c r="BH4" s="68">
        <f>BF4/AN4-1</f>
        <v>4.1031244035199643E-2</v>
      </c>
      <c r="BI4" s="69">
        <f>SUM(BI5:BI7)</f>
        <v>60328.771999999997</v>
      </c>
      <c r="BJ4" s="70">
        <f>BI4/$BI$16</f>
        <v>8.4748323401577272E-2</v>
      </c>
      <c r="BK4" s="71">
        <f t="shared" ref="BK4:BK13" si="2">(BI4/AP4)-1</f>
        <v>0.232457037793667</v>
      </c>
      <c r="BL4" s="69">
        <f>SUM(BL5:BL7)</f>
        <v>218495.772</v>
      </c>
      <c r="BM4" s="70">
        <f>BL4/$BL$16</f>
        <v>0.10326043305002722</v>
      </c>
      <c r="BN4" s="71">
        <f t="shared" ref="BN4:BN13" si="3">(BL4/AR4)-1</f>
        <v>8.7676767073371131E-2</v>
      </c>
      <c r="BO4" s="69">
        <f>SUM(BO5:BO7)</f>
        <v>59476</v>
      </c>
      <c r="BP4" s="70">
        <f>BO4/$BO$16</f>
        <v>0.13509719565879078</v>
      </c>
      <c r="BQ4" s="70">
        <f t="shared" ref="BQ4:BQ13" si="4">(BO4/AT4)-1</f>
        <v>0.18674302133008758</v>
      </c>
      <c r="BR4" s="69">
        <f>SUM(BR5:BR7)</f>
        <v>65178</v>
      </c>
      <c r="BS4" s="70">
        <f>BR4/$BR$16</f>
        <v>0.10345894928324145</v>
      </c>
      <c r="BT4" s="70">
        <f t="shared" ref="BT4:BT13" si="5">(BR4/AW4)-1</f>
        <v>0.28444742235535236</v>
      </c>
      <c r="BU4" s="69">
        <f>SUM(BU5:BU7)</f>
        <v>124655</v>
      </c>
      <c r="BV4" s="70">
        <f>BU4/$BU$16</f>
        <v>0.11647441916962163</v>
      </c>
      <c r="BW4" s="68">
        <f t="shared" ref="BW4:BW11" si="6">BU4/AZ4-1</f>
        <v>0.23590882501660704</v>
      </c>
      <c r="BX4" s="69">
        <f>SUM(BX5:BX7)</f>
        <v>67612</v>
      </c>
      <c r="BY4" s="70">
        <f>BX4/$BX$16</f>
        <v>0.11888033196188065</v>
      </c>
      <c r="BZ4" s="70">
        <f t="shared" ref="BZ4:BZ13" si="7">(BX4/BC4)-1</f>
        <v>0.17984155236798949</v>
      </c>
      <c r="CA4" s="69">
        <f>SUM(CA5:CA7)</f>
        <v>192267</v>
      </c>
      <c r="CB4" s="70">
        <f>CA4/$CA$16</f>
        <v>0.11730929391845513</v>
      </c>
      <c r="CC4" s="68">
        <f t="shared" ref="CC4:CC11" si="8">CA4/BF4-1</f>
        <v>0.21559490917827362</v>
      </c>
      <c r="CD4" s="69">
        <f>SUM(CD5:CD7)</f>
        <v>69295</v>
      </c>
      <c r="CE4" s="70">
        <f>CD4/CD$16</f>
        <v>8.4125583185323941E-2</v>
      </c>
      <c r="CF4" s="70">
        <f t="shared" ref="CF4:CF13" si="9">CD4/BI4-1</f>
        <v>0.1486227500205044</v>
      </c>
      <c r="CG4" s="69">
        <f>SUM(CG5:CG7)</f>
        <v>261561</v>
      </c>
      <c r="CH4" s="70">
        <f>CG4/$CG$16</f>
        <v>0.10620972889741437</v>
      </c>
      <c r="CI4" s="70">
        <f t="shared" ref="CI4:CI13" si="10">CG4/BL4-1</f>
        <v>0.19709867887054577</v>
      </c>
      <c r="CJ4" s="69">
        <f>CJ5+CJ6+CJ7</f>
        <v>74906</v>
      </c>
      <c r="CK4" s="70">
        <f t="shared" ref="CK4:CK9" si="11">CJ4/$CJ$16</f>
        <v>0.14468801851240179</v>
      </c>
      <c r="CL4" s="70">
        <f>(CJ4/BO4)-1</f>
        <v>0.25943237608447101</v>
      </c>
      <c r="CM4" s="69">
        <f>CM5+CM6+CM7</f>
        <v>81242</v>
      </c>
      <c r="CN4" s="70">
        <f t="shared" ref="CN4:CN9" si="12">CM4/$CM$16</f>
        <v>0.10837280715210905</v>
      </c>
      <c r="CO4" s="70">
        <f>(CM4/BR4)-1</f>
        <v>0.2464635306391727</v>
      </c>
      <c r="CP4" s="69">
        <f>CP5+CP6+CP7</f>
        <v>157802</v>
      </c>
      <c r="CQ4" s="70">
        <f t="shared" ref="CQ4:CQ9" si="13">(CP4/$CP$16)</f>
        <v>0.1245123721752304</v>
      </c>
      <c r="CR4" s="68">
        <f>(CP4/BU4)-1</f>
        <v>0.2659099113553407</v>
      </c>
      <c r="CS4" s="69">
        <f>CS5+CS6+CS7</f>
        <v>79558</v>
      </c>
      <c r="CT4" s="70">
        <f t="shared" ref="CT4:CT13" si="14">CS4/$CS$16</f>
        <v>0.12107884019504593</v>
      </c>
      <c r="CU4" s="70">
        <f t="shared" ref="CU4:CU13" si="15">(CS4/BX4)-1</f>
        <v>0.17668461219901799</v>
      </c>
      <c r="CV4" s="69">
        <f>CV5+CV6+CV7</f>
        <v>235704</v>
      </c>
      <c r="CW4" s="70">
        <f t="shared" ref="CW4:CW13" si="16">(CV4/$CV$16)</f>
        <v>0.12247952127272614</v>
      </c>
      <c r="CX4" s="68">
        <f>(CV4/CA4)-1</f>
        <v>0.22592020471531771</v>
      </c>
      <c r="CY4" s="69">
        <f>CY5+CY6+CY7</f>
        <v>85337</v>
      </c>
      <c r="CZ4" s="70">
        <f t="shared" ref="CZ4:CZ13" si="17">(CY4/$CY$16)</f>
        <v>8.7779012117097654E-2</v>
      </c>
      <c r="DA4" s="68">
        <f>(CY4/CD4)-1</f>
        <v>0.23150299444404365</v>
      </c>
      <c r="DB4" s="69">
        <f>DB5+DB6+DB7</f>
        <v>321041</v>
      </c>
      <c r="DC4" s="70">
        <f t="shared" ref="DC4:DC13" si="18">(DB4/$DB$16)</f>
        <v>0.11083308563058215</v>
      </c>
      <c r="DD4" s="68">
        <f>(DB4/CG4)-1</f>
        <v>0.22740393254346025</v>
      </c>
      <c r="DE4" s="69">
        <f>DE5+DE6+DE7</f>
        <v>85866</v>
      </c>
      <c r="DF4" s="70">
        <f t="shared" ref="DF4:DF13" si="19">(DE4/$DE$16)</f>
        <v>0.13867270457478129</v>
      </c>
      <c r="DG4" s="68">
        <f>(DE4/CJ4)-1</f>
        <v>0.14631671695191306</v>
      </c>
      <c r="DH4" s="69">
        <f>DH5+DH6+DH7</f>
        <v>94901</v>
      </c>
      <c r="DI4" s="70">
        <f t="shared" ref="DI4:DI12" si="20">DH4/$DH$16</f>
        <v>0.11097338654698662</v>
      </c>
      <c r="DJ4" s="70">
        <f t="shared" ref="DJ4:DJ9" si="21">(DH4/CM4)-1</f>
        <v>0.16812732330567925</v>
      </c>
      <c r="DK4" s="69">
        <f>DK5+DK6+DK7</f>
        <v>180767</v>
      </c>
      <c r="DL4" s="70">
        <f t="shared" ref="DL4:DL12" si="22">(DK4/$DK$16)</f>
        <v>0.12260643204410296</v>
      </c>
      <c r="DM4" s="70">
        <f>(DK4/CP4)-1</f>
        <v>0.1455304748989239</v>
      </c>
      <c r="DN4" s="69">
        <f>DN5+DN6+DN7</f>
        <v>97389</v>
      </c>
      <c r="DO4" s="70">
        <f t="shared" ref="DO4:DO13" si="23">DN4/$DN$16</f>
        <v>0.12124218808355949</v>
      </c>
      <c r="DP4" s="70">
        <f t="shared" ref="DP4:DP13" si="24">(DN4/CS4)-1</f>
        <v>0.22412579501747154</v>
      </c>
      <c r="DQ4" s="69">
        <f>DQ5+DQ6+DQ7</f>
        <v>278156</v>
      </c>
      <c r="DR4" s="70">
        <f t="shared" ref="DR4:DR13" si="25">(DQ4/$DQ$16)</f>
        <v>0.12212529877574389</v>
      </c>
      <c r="DS4" s="70">
        <f>(DQ4/CV4)-1</f>
        <v>0.18010725316498655</v>
      </c>
      <c r="DT4" s="69">
        <f>DT5+DT6+DT7</f>
        <v>104558</v>
      </c>
      <c r="DU4" s="70">
        <f t="shared" ref="DU4:DU13" si="26">DT4/$DT$16</f>
        <v>8.8284366208124077E-2</v>
      </c>
      <c r="DV4" s="70">
        <f t="shared" ref="DV4:DV13" si="27">(DT4/CY4)-1</f>
        <v>0.2252364156227662</v>
      </c>
      <c r="DW4" s="69">
        <f>DW5+DW6+DW7</f>
        <v>382714</v>
      </c>
      <c r="DX4" s="70">
        <f t="shared" ref="DX4:DX13" si="28">(DW4/$DW$16)</f>
        <v>0.11054835988861801</v>
      </c>
      <c r="DY4" s="70">
        <f>(DW4/DB4)-1</f>
        <v>0.19210318931226844</v>
      </c>
      <c r="DZ4" s="69">
        <f>DZ5+DZ6+DZ7</f>
        <v>103936</v>
      </c>
      <c r="EA4" s="70">
        <f t="shared" ref="EA4:EA13" si="29">(DZ4/$DZ$16)</f>
        <v>0.14301853092822517</v>
      </c>
      <c r="EB4" s="70">
        <f t="shared" ref="EB4:EB13" si="30">(DZ4/DE4)-1</f>
        <v>0.21044418046723967</v>
      </c>
      <c r="EC4" s="69">
        <f>EC5+EC6+EC7</f>
        <v>108956</v>
      </c>
      <c r="ED4" s="70">
        <f t="shared" ref="ED4:ED13" si="31">EC4/$EC$16</f>
        <v>0.11502919648691991</v>
      </c>
      <c r="EE4" s="70">
        <f t="shared" ref="EE4:EE13" si="32">(EC4/DH4)-1</f>
        <v>0.14810170598834582</v>
      </c>
      <c r="EF4" s="69">
        <f>EF5+EF6+EF7</f>
        <v>212892</v>
      </c>
      <c r="EG4" s="70">
        <f t="shared" ref="EG4:EG13" si="33">(EF4/$EF$16)</f>
        <v>0.12718064153066966</v>
      </c>
      <c r="EH4" s="70">
        <f>(EF4/DK4)-1</f>
        <v>0.17771495903566459</v>
      </c>
      <c r="EI4" s="69">
        <f>EI5+EI6+EI7</f>
        <v>109455.3</v>
      </c>
      <c r="EJ4" s="70">
        <f t="shared" ref="EJ4:EJ13" si="34">EI4/$EI$16</f>
        <v>0.1206893015686093</v>
      </c>
      <c r="EK4" s="70">
        <f t="shared" ref="EK4:EK13" si="35">(EI4/DN4)-1</f>
        <v>0.12389797615747167</v>
      </c>
      <c r="EL4" s="69">
        <f>EL5+EL6+EL7</f>
        <v>322347.3</v>
      </c>
      <c r="EM4" s="70">
        <f t="shared" ref="EM4:EM12" si="36">(EL4/$EL$16)</f>
        <v>0.12489956804962082</v>
      </c>
      <c r="EN4" s="70">
        <f>(EL4/DQ4)-1</f>
        <v>0.15887235939544708</v>
      </c>
      <c r="EO4" s="69">
        <f>EO5+EO6+EO7</f>
        <v>117392.99999999999</v>
      </c>
      <c r="EP4" s="70">
        <f t="shared" ref="EP4:EP13" si="37">EO4/$EO$16</f>
        <v>8.8069805859767092E-2</v>
      </c>
      <c r="EQ4" s="70">
        <f t="shared" ref="EQ4:EQ13" si="38">(EO4/DT4)-1</f>
        <v>0.12275483463723469</v>
      </c>
      <c r="ER4" s="69">
        <f>ER5+ER6+ER7</f>
        <v>439740.9</v>
      </c>
      <c r="ES4" s="70">
        <f t="shared" ref="ES4:ES13" si="39">(ER4/$ER$16)</f>
        <v>0.11235624937241445</v>
      </c>
      <c r="ET4" s="70">
        <f t="shared" ref="ET4:ET13" si="40">(ER4/DW4)-1</f>
        <v>0.14900656887388508</v>
      </c>
      <c r="EU4" s="69">
        <f>EU5+EU6+EU7</f>
        <v>120065.5</v>
      </c>
      <c r="EV4" s="70">
        <f t="shared" ref="EV4:EV13" si="41">(EU4/$EU$16)</f>
        <v>0.14740717186648267</v>
      </c>
      <c r="EW4" s="68">
        <f t="shared" ref="EW4:EW13" si="42">(EU4/DZ4)-1</f>
        <v>0.15518684575123154</v>
      </c>
      <c r="EX4" s="69">
        <f>EX5+EX6+EX7</f>
        <v>140463</v>
      </c>
      <c r="EY4" s="70">
        <f t="shared" ref="EY4:EY13" si="43">EX4/$EX$16</f>
        <v>0.12640681498706802</v>
      </c>
      <c r="EZ4" s="70">
        <f t="shared" ref="EZ4:EZ13" si="44">(EX4/EC4)-1</f>
        <v>0.28917177576269326</v>
      </c>
      <c r="FA4" s="69">
        <f>FA5+FA6+FA7</f>
        <v>260528.50000000003</v>
      </c>
      <c r="FB4" s="70">
        <f t="shared" ref="FB4:FB13" si="45">(FA4/$FA$16)</f>
        <v>0.13528930048802679</v>
      </c>
      <c r="FC4" s="70">
        <f>(FA4/EF4)-1</f>
        <v>0.22375899517126063</v>
      </c>
      <c r="FD4" s="69">
        <f>FD5+FD6+FD7</f>
        <v>150970</v>
      </c>
      <c r="FE4" s="70">
        <f t="shared" ref="FE4:FE13" si="46">FD4/$FD$16</f>
        <v>0.14418040074835903</v>
      </c>
      <c r="FF4" s="70">
        <f t="shared" ref="FF4:FF13" si="47">(FD4/EI4)-1</f>
        <v>0.37928451157687193</v>
      </c>
      <c r="FG4" s="69">
        <f>FG5+FG6+FG7</f>
        <v>411498.5</v>
      </c>
      <c r="FH4" s="70">
        <f t="shared" ref="FH4:FH13" si="48">(FG4/$FG$16)</f>
        <v>0.13842095260200382</v>
      </c>
      <c r="FI4" s="70">
        <f t="shared" ref="FI4:FI13" si="49">(FG4/EL4)-1</f>
        <v>0.27656878155951681</v>
      </c>
      <c r="FJ4" s="69">
        <f>FJ5+FJ6+FJ7</f>
        <v>139936.37</v>
      </c>
      <c r="FK4" s="70">
        <f t="shared" ref="FK4:FK13" si="50">FJ4/$FJ$16</f>
        <v>8.3803918656467483E-2</v>
      </c>
      <c r="FL4" s="70">
        <f>(FJ4/EO4)-1</f>
        <v>0.19203334099988933</v>
      </c>
      <c r="FM4" s="69">
        <f>FM5+FM6+FM7</f>
        <v>551434.87</v>
      </c>
      <c r="FN4" s="70">
        <f t="shared" ref="FN4:FN13" si="51">(FM4/$FM$16)</f>
        <v>0.11877685880276016</v>
      </c>
      <c r="FO4" s="70">
        <f>(FM4/ER4)-1</f>
        <v>0.25399950288908757</v>
      </c>
      <c r="FP4" s="69">
        <f>FP5+FP6+FP7</f>
        <v>151460.1</v>
      </c>
      <c r="FQ4" s="70">
        <f t="shared" ref="FQ4:FQ13" si="52">(FP4/$FP$16)</f>
        <v>0.14982772691525828</v>
      </c>
      <c r="FR4" s="70">
        <f t="shared" ref="FR4:FR13" si="53">(FP4/EU4)-1</f>
        <v>0.2614789427437525</v>
      </c>
      <c r="FS4" s="69">
        <f>FS5+FS6+FS7</f>
        <v>168541</v>
      </c>
      <c r="FT4" s="70">
        <f t="shared" ref="FT4:FT12" si="54">FS4/$FS$16</f>
        <v>0.12445556542453751</v>
      </c>
      <c r="FU4" s="70">
        <f>(FS4/EX4)-1</f>
        <v>0.19989605803663602</v>
      </c>
      <c r="FV4" s="69">
        <f>FV5+FV6+FV7</f>
        <v>320001.09999999998</v>
      </c>
      <c r="FW4" s="70">
        <f t="shared" ref="FW4:FW13" si="55">(FV4/FV$16)</f>
        <v>0.13530007947954309</v>
      </c>
      <c r="FX4" s="70">
        <f>(FV4/FA4)-1</f>
        <v>0.22827675283126392</v>
      </c>
      <c r="FY4" s="69">
        <f>FY5+FY6+FY7</f>
        <v>161547.37578</v>
      </c>
      <c r="FZ4" s="70">
        <f t="shared" ref="FZ4:FZ13" si="56">(FY4/FY$16)</f>
        <v>0.12940716519607648</v>
      </c>
      <c r="GA4" s="70">
        <f t="shared" ref="GA4:GA12" si="57">(FY4/FD4)-1</f>
        <v>7.0062765979995945E-2</v>
      </c>
      <c r="GB4" s="69">
        <f>GB5+GB6+GB7</f>
        <v>481548.47577999998</v>
      </c>
      <c r="GC4" s="70">
        <f t="shared" ref="GC4:GC13" si="58">(GB4/GB$16)</f>
        <v>0.13326424283365149</v>
      </c>
      <c r="GD4" s="70">
        <f t="shared" ref="GD4:GD13" si="59">(GB4/FG4)-1</f>
        <v>0.170231424367282</v>
      </c>
      <c r="GE4" s="69">
        <f>GE5+GE6+GE7</f>
        <v>167626</v>
      </c>
      <c r="GF4" s="70">
        <f t="shared" ref="GF4:GF13" si="60">(GE4/GE$16)</f>
        <v>9.12316870999028E-2</v>
      </c>
      <c r="GG4" s="70">
        <f t="shared" ref="GG4:GG13" si="61">(GE4/FJ4)-1</f>
        <v>0.19787300470921187</v>
      </c>
      <c r="GH4" s="69">
        <f>GH5+GH6+GH7</f>
        <v>649173.38789999997</v>
      </c>
      <c r="GI4" s="70">
        <f t="shared" ref="GI4:GI13" si="62">(GH4/GH$16)</f>
        <v>0.11909576482722334</v>
      </c>
      <c r="GJ4" s="70">
        <f t="shared" ref="GJ4:GJ13" si="63">(GH4/FM4)-1</f>
        <v>0.1772439923866258</v>
      </c>
      <c r="GK4" s="69">
        <f>GK5+GK6+GK7</f>
        <v>160379</v>
      </c>
      <c r="GL4" s="70">
        <f t="shared" ref="GL4:GL13" si="64">(GK4/GK$16)</f>
        <v>0.14903061660663774</v>
      </c>
      <c r="GM4" s="70">
        <f t="shared" ref="GM4:GM13" si="65">(GK4/FP4)-1</f>
        <v>5.8886135688541064E-2</v>
      </c>
      <c r="GN4" s="69">
        <f>GN5+GN6+GN7</f>
        <v>172594</v>
      </c>
      <c r="GO4" s="70">
        <f t="shared" ref="GO4:GO13" si="66">GN4/GN$16</f>
        <v>0.11783669969304043</v>
      </c>
      <c r="GP4" s="70">
        <f t="shared" ref="GP4:GP13" si="67">(GN4/FS4)-1</f>
        <v>2.4047561127559458E-2</v>
      </c>
      <c r="GQ4" s="69">
        <f>GQ5+GQ6+GQ7</f>
        <v>332973</v>
      </c>
      <c r="GR4" s="70">
        <f t="shared" ref="GR4:GR13" si="68">(GQ4/GQ$16)</f>
        <v>0.13104859975220753</v>
      </c>
      <c r="GS4" s="70">
        <f t="shared" ref="GS4:GS13" si="69">(GQ4/FV4)-1</f>
        <v>4.0537048153897137E-2</v>
      </c>
      <c r="GT4" s="69">
        <f>GT5+GT6+GT7</f>
        <v>175005</v>
      </c>
      <c r="GU4" s="70">
        <f t="shared" ref="GU4:GU13" si="70">GT4/GT$16</f>
        <v>0.13884679526950583</v>
      </c>
      <c r="GV4" s="70">
        <f t="shared" ref="GV4:GV13" si="71">(GT4/FY4)-1</f>
        <v>8.330450528844846E-2</v>
      </c>
      <c r="GW4" s="69">
        <f>GW5+GW6+GW7</f>
        <v>507978</v>
      </c>
      <c r="GX4" s="70">
        <f t="shared" ref="GX4:GX13" si="72">(GW4/GW$16)</f>
        <v>0.13363432172646184</v>
      </c>
      <c r="GY4" s="70">
        <f t="shared" ref="GY4:GY13" si="73">(GW4/GB4)-1</f>
        <v>5.4884452031937592E-2</v>
      </c>
      <c r="GZ4" s="69">
        <f>GZ5+GZ6+GZ7</f>
        <v>183392</v>
      </c>
      <c r="HA4" s="70">
        <f t="shared" ref="HA4:HA13" si="74">GZ4/GZ$16</f>
        <v>9.549160012163474E-2</v>
      </c>
      <c r="HB4" s="70">
        <f t="shared" ref="HB4:HB13" si="75">(GZ4/GE4)-1</f>
        <v>9.4054621598081534E-2</v>
      </c>
      <c r="HC4" s="69">
        <f>HC5+HC6+HC7</f>
        <v>691367</v>
      </c>
      <c r="HD4" s="70">
        <f t="shared" ref="HD4:HD13" si="76">(HC4/HC$16)</f>
        <v>0.12083122005509496</v>
      </c>
      <c r="HE4" s="70">
        <f t="shared" ref="HE4:HE13" si="77">(HC4/GH4)-1</f>
        <v>6.4995905387452035E-2</v>
      </c>
      <c r="HF4" s="69">
        <f>HF5+HF6+HF7</f>
        <v>174209</v>
      </c>
      <c r="HG4" s="70">
        <f t="shared" ref="HG4:HG13" si="78">(HF4/HF$16)</f>
        <v>0.14109602133015411</v>
      </c>
      <c r="HH4" s="70">
        <f t="shared" ref="HH4:HH13" si="79">(HF4/GK4)-1</f>
        <v>8.6233235024535615E-2</v>
      </c>
      <c r="HI4" s="69">
        <f>HI5+HI6+HI7</f>
        <v>195348</v>
      </c>
      <c r="HJ4" s="70">
        <f t="shared" ref="HJ4:HJ13" si="80">HI4/HI$16</f>
        <v>0.11981188084805723</v>
      </c>
      <c r="HK4" s="70">
        <f t="shared" ref="HK4:HK13" si="81">(HI4/GN4)-1</f>
        <v>0.1318354056340314</v>
      </c>
      <c r="HL4" s="69">
        <f>HL5+HL6+HL7</f>
        <v>369557</v>
      </c>
      <c r="HM4" s="70">
        <f t="shared" ref="HM4:HM13" si="82">(HL4/HL$16)</f>
        <v>0.12898392399673314</v>
      </c>
      <c r="HN4" s="70">
        <f t="shared" ref="HN4:HN13" si="83">(HL4/GQ4)-1</f>
        <v>0.10987077030269732</v>
      </c>
      <c r="HO4" s="69">
        <f>HO5+HO6+HO7</f>
        <v>228063.46583</v>
      </c>
      <c r="HP4" s="70">
        <f t="shared" ref="HP4:HP13" si="84">HO4/HO$16</f>
        <v>0.15077798687406535</v>
      </c>
      <c r="HQ4" s="70">
        <f t="shared" ref="HQ4:HQ13" si="85">(HO4/GT4)-1</f>
        <v>0.30318257095511547</v>
      </c>
      <c r="HR4" s="69">
        <f>HR5+HR6+HR7</f>
        <v>597620.46583</v>
      </c>
      <c r="HS4" s="70">
        <f t="shared" ref="HS4:HS13" si="86">(HR4/HR$16)</f>
        <v>0.13651415322549329</v>
      </c>
      <c r="HT4" s="70">
        <f t="shared" ref="HT4:HT13" si="87">(HR4/GW4)-1</f>
        <v>0.1764691892759136</v>
      </c>
      <c r="HU4" s="69">
        <f>HU5+HU6+HU7</f>
        <v>224578.82906000002</v>
      </c>
      <c r="HV4" s="70">
        <f t="shared" ref="HV4:HV13" si="88">HU4/HU$16</f>
        <v>0.1010544350745043</v>
      </c>
      <c r="HW4" s="70">
        <f t="shared" ref="HW4:HW13" si="89">(HU4/GZ4)-1</f>
        <v>0.22458356449572503</v>
      </c>
      <c r="HX4" s="69">
        <f>HX5+HX6+HX7</f>
        <v>822199.29489000002</v>
      </c>
      <c r="HY4" s="70">
        <f t="shared" ref="HY4:HY13" si="90">(HX4/HX$16)</f>
        <v>0.12457427287395155</v>
      </c>
      <c r="HZ4" s="70">
        <f t="shared" ref="HZ4:HZ13" si="91">(HX4/HC4)-1</f>
        <v>0.18923711269123356</v>
      </c>
      <c r="IA4" s="69">
        <f>IA5+IA6+IA7</f>
        <v>222683</v>
      </c>
      <c r="IB4" s="70">
        <f t="shared" ref="IB4:IB13" si="92">(IA4/IA$16)</f>
        <v>0.15919357686734309</v>
      </c>
      <c r="IC4" s="70">
        <f>(IA4/HF4)-1</f>
        <v>0.27825198468506218</v>
      </c>
      <c r="ID4" s="69">
        <f>ID5+ID6+ID7</f>
        <v>232840</v>
      </c>
      <c r="IE4" s="70">
        <f t="shared" ref="IE4:IE13" si="93">(ID4/ID$16)</f>
        <v>0.13080671066964564</v>
      </c>
      <c r="IF4" s="70">
        <f>(ID4/HI4)-1</f>
        <v>0.19192415586542988</v>
      </c>
      <c r="IG4" s="69">
        <f>IG5+IG6+IG7</f>
        <v>455523</v>
      </c>
      <c r="IH4" s="70">
        <f t="shared" ref="IH4:IH13" si="94">(IG4/IG$16)</f>
        <v>0.14329804803623952</v>
      </c>
      <c r="II4" s="70">
        <f>(IG4/HL4)-1</f>
        <v>0.23261905470603983</v>
      </c>
      <c r="IJ4" s="69">
        <f>IJ5+IJ6+IJ7</f>
        <v>224966.28662</v>
      </c>
      <c r="IK4" s="70">
        <f t="shared" ref="IK4" si="95">(IJ4/IJ$16)</f>
        <v>0.13144692553321402</v>
      </c>
      <c r="IL4" s="70">
        <f>(IJ4/HO4)-1</f>
        <v>-1.358033913379475E-2</v>
      </c>
      <c r="IM4" s="69">
        <f>IJ4+IG4</f>
        <v>680489.28662000003</v>
      </c>
      <c r="IN4" s="70">
        <f t="shared" ref="IN4" si="96">(IM4/IM$16)</f>
        <v>0.13915049465694732</v>
      </c>
      <c r="IO4" s="70">
        <f>(IM4/HR4)-1</f>
        <v>0.13866463002552698</v>
      </c>
      <c r="IP4" s="69">
        <f>IP5+IP6+IP7</f>
        <v>233499.9290900004</v>
      </c>
      <c r="IQ4" s="70">
        <f t="shared" ref="IQ4:IQ13" si="97">(IP4/IP$16)</f>
        <v>8.9976474743769422E-2</v>
      </c>
      <c r="IR4" s="70">
        <f>(IP4/HU4)-1</f>
        <v>3.9723691085845614E-2</v>
      </c>
      <c r="IS4" s="69">
        <f>IM4+IP4</f>
        <v>913989.21571000037</v>
      </c>
      <c r="IT4" s="70">
        <f t="shared" ref="IT4:IT13" si="98">(IS4/IS$16)</f>
        <v>0.12210238415199233</v>
      </c>
      <c r="IU4" s="70">
        <f>(IS4/HX4)-1</f>
        <v>0.1116395032086237</v>
      </c>
      <c r="IV4" s="69">
        <f>IV5+IV6+IV7</f>
        <v>236178.60819</v>
      </c>
      <c r="IW4" s="70">
        <f t="shared" ref="IW4" si="99">(IV4/IV$16)</f>
        <v>0.1431093214234426</v>
      </c>
      <c r="IX4" s="70">
        <f>(IV4/IA4)-1</f>
        <v>6.0604573272319939E-2</v>
      </c>
      <c r="IY4" s="69">
        <f>IY5+IY6+IY7</f>
        <v>266874.77643000003</v>
      </c>
      <c r="IZ4" s="70">
        <f t="shared" ref="IZ4:IZ13" si="100">(IY4/IY$16)</f>
        <v>0.13215718159687112</v>
      </c>
      <c r="JA4" s="70">
        <f>(IY4/ID4)-1</f>
        <v>0.14617237772719482</v>
      </c>
      <c r="JB4" s="69">
        <f>JB5+JB6+JB7</f>
        <v>503053.38462000003</v>
      </c>
      <c r="JC4" s="70">
        <f t="shared" ref="JC4:JC13" si="101">(JB4/JB$16)</f>
        <v>0.13708256171126282</v>
      </c>
      <c r="JD4" s="70">
        <f>(JB4/IG4)-1</f>
        <v>0.1043424472968435</v>
      </c>
      <c r="JE4" s="69">
        <f>JE5+JE6+JE7</f>
        <v>286666.40789000003</v>
      </c>
      <c r="JF4" s="70">
        <f t="shared" ref="JF4:JF13" si="102">(JE4/JE$16)</f>
        <v>0.14838389496170659</v>
      </c>
      <c r="JG4" s="70">
        <f>(JE4/IJ4)-1</f>
        <v>0.2742638561404549</v>
      </c>
      <c r="JH4" s="69">
        <f>JE4+JB4</f>
        <v>789719.79251000006</v>
      </c>
      <c r="JI4" s="70">
        <f t="shared" ref="JI4:JI13" si="103">(JH4/JH$16)</f>
        <v>0.14098023032739548</v>
      </c>
      <c r="JJ4" s="70">
        <f>(JH4/IM4)-1</f>
        <v>0.16051759820136113</v>
      </c>
      <c r="JK4" s="69">
        <f>JK5+JK6+JK7</f>
        <v>300808.04796742985</v>
      </c>
      <c r="JL4" s="70">
        <f t="shared" ref="JL4:JL13" si="104">(JK4/JK$16)</f>
        <v>0.10469960855904401</v>
      </c>
      <c r="JM4" s="70">
        <f>(JK4/IP4)-1</f>
        <v>0.2882575559647651</v>
      </c>
      <c r="JN4" s="69">
        <f>JK4+JH4</f>
        <v>1090527.8404774298</v>
      </c>
      <c r="JO4" s="70">
        <f t="shared" ref="JO4:JO13" si="105">(JN4/JN$16)</f>
        <v>0.12868051273095435</v>
      </c>
      <c r="JP4" s="70">
        <f>(JN4/IS4)-1</f>
        <v>0.19315175905034243</v>
      </c>
      <c r="JQ4" s="69">
        <f>JQ5+JQ6+JQ7</f>
        <v>308147.22655999998</v>
      </c>
      <c r="JR4" s="70">
        <f t="shared" ref="JR4:JR13" si="106">(JQ4/JQ$16)</f>
        <v>0.19878157798449211</v>
      </c>
      <c r="JS4" s="70">
        <f>(JQ4/IV4)-1</f>
        <v>0.30472115540668687</v>
      </c>
      <c r="JT4" s="69">
        <f>JT5+JT6+JT7</f>
        <v>262068.17787000001</v>
      </c>
      <c r="JU4" s="70">
        <f>(JT4/JT$16)</f>
        <v>0.4856387970224374</v>
      </c>
      <c r="JV4" s="70">
        <f>(JT4/IY4)-1</f>
        <v>-1.8010688849272927E-2</v>
      </c>
      <c r="JW4" s="69">
        <f>JW5+JW6+JW7</f>
        <v>570215.40443</v>
      </c>
      <c r="JX4" s="70">
        <f t="shared" ref="JX4:JX6" si="107">(JW4/JW$16)</f>
        <v>0.27285435867559632</v>
      </c>
      <c r="JY4" s="70">
        <f>(JW4/JB4)-1</f>
        <v>0.13350873259849605</v>
      </c>
      <c r="JZ4" s="69">
        <f>JZ5+JZ6+JZ7</f>
        <v>132473.62887000002</v>
      </c>
      <c r="KA4" s="70">
        <f t="shared" ref="KA4:KA6" si="108">(JZ4/JZ$16)</f>
        <v>8.0228845419413927E-2</v>
      </c>
      <c r="KB4" s="70">
        <f>(JZ4/JE4)-1</f>
        <v>-0.53788227283040102</v>
      </c>
      <c r="KC4" s="69">
        <f>KC5+KC6+KC7</f>
        <v>702689.03330000001</v>
      </c>
      <c r="KD4" s="70">
        <f t="shared" ref="KD4:KD6" si="109">(KC4/KC$16)</f>
        <v>0.1878338923975939</v>
      </c>
      <c r="KE4" s="70">
        <f>(KC4/JH4)-1</f>
        <v>-0.11020460679272892</v>
      </c>
      <c r="KF4" s="69">
        <f>KF5+KF6+KF7</f>
        <v>151658.26866999999</v>
      </c>
      <c r="KG4" s="70">
        <f t="shared" ref="KG4:KG6" si="110">(KF4/KF$16)</f>
        <v>5.1945626245479617E-2</v>
      </c>
      <c r="KH4" s="70">
        <f>(KF4/JK4)-1</f>
        <v>-0.49583041512765358</v>
      </c>
      <c r="KI4" s="69">
        <f>KI5+KI6+KI7</f>
        <v>854347.30197000003</v>
      </c>
      <c r="KJ4" s="70">
        <f t="shared" ref="KJ4:KJ6" si="111">(KI4/KI$16)</f>
        <v>0.12826937840164154</v>
      </c>
      <c r="KK4" s="70">
        <f>(KI4/JN4)-1</f>
        <v>-0.21657451533197969</v>
      </c>
    </row>
    <row r="5" spans="2:297" ht="16.5" customHeight="1">
      <c r="B5" s="218" t="s">
        <v>364</v>
      </c>
      <c r="C5" s="218" t="s">
        <v>376</v>
      </c>
      <c r="D5" s="28" t="s">
        <v>77</v>
      </c>
      <c r="E5" s="186" t="s">
        <v>77</v>
      </c>
      <c r="F5" s="210" t="s">
        <v>77</v>
      </c>
      <c r="G5" s="186" t="s">
        <v>77</v>
      </c>
      <c r="H5" s="210" t="s">
        <v>77</v>
      </c>
      <c r="I5" s="186" t="s">
        <v>77</v>
      </c>
      <c r="J5" s="210" t="s">
        <v>77</v>
      </c>
      <c r="K5" s="186" t="s">
        <v>77</v>
      </c>
      <c r="L5" s="210" t="s">
        <v>77</v>
      </c>
      <c r="M5" s="186" t="s">
        <v>77</v>
      </c>
      <c r="N5" s="210" t="s">
        <v>77</v>
      </c>
      <c r="O5" s="186" t="s">
        <v>77</v>
      </c>
      <c r="P5" s="210" t="s">
        <v>77</v>
      </c>
      <c r="Q5" s="186" t="s">
        <v>77</v>
      </c>
      <c r="R5" s="28" t="s">
        <v>77</v>
      </c>
      <c r="S5" s="186" t="s">
        <v>77</v>
      </c>
      <c r="T5" s="210" t="s">
        <v>77</v>
      </c>
      <c r="U5" s="186" t="s">
        <v>77</v>
      </c>
      <c r="V5" s="210" t="s">
        <v>77</v>
      </c>
      <c r="W5" s="186" t="s">
        <v>77</v>
      </c>
      <c r="X5" s="210" t="s">
        <v>77</v>
      </c>
      <c r="Y5" s="186" t="s">
        <v>77</v>
      </c>
      <c r="Z5" s="210" t="s">
        <v>77</v>
      </c>
      <c r="AA5" s="186" t="s">
        <v>77</v>
      </c>
      <c r="AB5" s="210" t="s">
        <v>77</v>
      </c>
      <c r="AC5" s="186" t="s">
        <v>77</v>
      </c>
      <c r="AD5" s="210" t="s">
        <v>77</v>
      </c>
      <c r="AE5" s="186" t="s">
        <v>77</v>
      </c>
      <c r="AF5" s="229">
        <v>30.484999999999999</v>
      </c>
      <c r="AG5" s="186">
        <f>AF5/$AF$16</f>
        <v>7.9515784476619989E-5</v>
      </c>
      <c r="AH5" s="210">
        <v>36268</v>
      </c>
      <c r="AI5" s="186">
        <f>AH5/$AH$16</f>
        <v>7.1079440113200304E-2</v>
      </c>
      <c r="AJ5" s="211">
        <v>66753</v>
      </c>
      <c r="AK5" s="186">
        <f>AJ5/$AJ$16</f>
        <v>7.4698784394866324E-2</v>
      </c>
      <c r="AL5" s="210">
        <v>39500</v>
      </c>
      <c r="AM5" s="186">
        <f>AL5/$AL$16</f>
        <v>8.7966612773197575E-2</v>
      </c>
      <c r="AN5" s="211">
        <v>106253</v>
      </c>
      <c r="AO5" s="186">
        <f>AN5/$AN$16</f>
        <v>7.913601551543463E-2</v>
      </c>
      <c r="AP5" s="210">
        <v>33420</v>
      </c>
      <c r="AQ5" s="186">
        <f>AP5/$AP$16</f>
        <v>5.4451428739014401E-2</v>
      </c>
      <c r="AR5" s="210">
        <v>139673</v>
      </c>
      <c r="AS5" s="186">
        <f>AR5/$AR$16</f>
        <v>7.1392061630875137E-2</v>
      </c>
      <c r="AT5" s="210">
        <v>35520</v>
      </c>
      <c r="AU5" s="186">
        <f>AT5/$AT$16</f>
        <v>9.7945947734586342E-2</v>
      </c>
      <c r="AV5" s="186">
        <f>(AT5/AF5)-1</f>
        <v>1164.1631950139413</v>
      </c>
      <c r="AW5" s="210">
        <v>36139</v>
      </c>
      <c r="AX5" s="186">
        <f>AW5/$AW$16</f>
        <v>6.5146773577150763E-2</v>
      </c>
      <c r="AY5" s="186">
        <f t="shared" si="0"/>
        <v>-3.5568545274070607E-3</v>
      </c>
      <c r="AZ5" s="211">
        <v>71659</v>
      </c>
      <c r="BA5" s="186">
        <f>AZ5/$AZ$16</f>
        <v>7.8112583539445446E-2</v>
      </c>
      <c r="BB5" s="212">
        <f>AZ5/AJ5-1</f>
        <v>7.3494824202657627E-2</v>
      </c>
      <c r="BC5" s="210">
        <v>37140</v>
      </c>
      <c r="BD5" s="186">
        <f>BC5/$BC$16</f>
        <v>7.6305138372403589E-2</v>
      </c>
      <c r="BE5" s="186">
        <f t="shared" si="1"/>
        <v>-5.9746835443037938E-2</v>
      </c>
      <c r="BF5" s="211">
        <v>108799</v>
      </c>
      <c r="BG5" s="186">
        <f>BF5/$BF$16</f>
        <v>7.7486039209150842E-2</v>
      </c>
      <c r="BH5" s="212">
        <f>BF5/AN5-1</f>
        <v>2.3961676376196506E-2</v>
      </c>
      <c r="BI5" s="210">
        <v>38433.771999999997</v>
      </c>
      <c r="BJ5" s="186">
        <f>BI5/$BI$16</f>
        <v>5.3990784678966869E-2</v>
      </c>
      <c r="BK5" s="213">
        <f t="shared" si="2"/>
        <v>0.1500230999401555</v>
      </c>
      <c r="BL5" s="210">
        <v>147232.772</v>
      </c>
      <c r="BM5" s="186">
        <f>BL5/$BL$16</f>
        <v>6.95817573800738E-2</v>
      </c>
      <c r="BN5" s="213">
        <f t="shared" si="3"/>
        <v>5.4124791477236034E-2</v>
      </c>
      <c r="BO5" s="28">
        <v>39714</v>
      </c>
      <c r="BP5" s="186">
        <f>BO5/$BO$16</f>
        <v>9.0208656069561105E-2</v>
      </c>
      <c r="BQ5" s="186">
        <f t="shared" si="4"/>
        <v>0.1180743243243243</v>
      </c>
      <c r="BR5" s="210">
        <v>46602</v>
      </c>
      <c r="BS5" s="186">
        <f>BR5/$BR$16</f>
        <v>7.397272015860594E-2</v>
      </c>
      <c r="BT5" s="186">
        <f t="shared" si="5"/>
        <v>0.28952101607681446</v>
      </c>
      <c r="BU5" s="211">
        <v>86316</v>
      </c>
      <c r="BV5" s="186">
        <f>BU5/$BU$16</f>
        <v>8.0651445710521519E-2</v>
      </c>
      <c r="BW5" s="212">
        <f t="shared" si="6"/>
        <v>0.20453815989617485</v>
      </c>
      <c r="BX5" s="210">
        <v>47313</v>
      </c>
      <c r="BY5" s="186">
        <f>BX5/$BX$16</f>
        <v>8.3189154974153398E-2</v>
      </c>
      <c r="BZ5" s="186">
        <f t="shared" si="7"/>
        <v>0.27390953150242336</v>
      </c>
      <c r="CA5" s="211">
        <v>133629</v>
      </c>
      <c r="CB5" s="186">
        <f>CA5/$CA$16</f>
        <v>8.1532055095410241E-2</v>
      </c>
      <c r="CC5" s="212">
        <f t="shared" si="8"/>
        <v>0.2282190093658949</v>
      </c>
      <c r="CD5" s="210">
        <v>47389</v>
      </c>
      <c r="CE5" s="186">
        <f>CD5/CD$16</f>
        <v>5.7531239794636216E-2</v>
      </c>
      <c r="CF5" s="186">
        <f t="shared" si="9"/>
        <v>0.2330041402129357</v>
      </c>
      <c r="CG5" s="210">
        <v>181019</v>
      </c>
      <c r="CH5" s="186">
        <f>CG5/$CG$16</f>
        <v>7.350476147163014E-2</v>
      </c>
      <c r="CI5" s="186">
        <f t="shared" si="10"/>
        <v>0.2294749160872962</v>
      </c>
      <c r="CJ5" s="210">
        <v>53247</v>
      </c>
      <c r="CK5" s="186">
        <f t="shared" si="11"/>
        <v>0.10285161297799721</v>
      </c>
      <c r="CL5" s="186">
        <f>(CJ5/BO5)-1</f>
        <v>0.34076144432693756</v>
      </c>
      <c r="CM5" s="210">
        <v>59749</v>
      </c>
      <c r="CN5" s="186">
        <f t="shared" si="12"/>
        <v>7.970220888864582E-2</v>
      </c>
      <c r="CO5" s="186">
        <f>(CM5/BR5)-1</f>
        <v>0.28211235569288862</v>
      </c>
      <c r="CP5" s="210">
        <v>112994</v>
      </c>
      <c r="CQ5" s="186">
        <f t="shared" si="13"/>
        <v>8.9156987754071451E-2</v>
      </c>
      <c r="CR5" s="212">
        <f>(CP5/BU5)-1</f>
        <v>0.30907363640576491</v>
      </c>
      <c r="CS5" s="210">
        <v>56935</v>
      </c>
      <c r="CT5" s="186">
        <f t="shared" si="14"/>
        <v>8.6649032988573627E-2</v>
      </c>
      <c r="CU5" s="186">
        <f t="shared" si="15"/>
        <v>0.20336905290300766</v>
      </c>
      <c r="CV5" s="210">
        <v>169929</v>
      </c>
      <c r="CW5" s="186">
        <f t="shared" si="16"/>
        <v>8.8300676146153986E-2</v>
      </c>
      <c r="CX5" s="212">
        <f>(CV5/CA5)-1</f>
        <v>0.27164762139954646</v>
      </c>
      <c r="CY5" s="210">
        <v>60189</v>
      </c>
      <c r="CZ5" s="186">
        <f t="shared" si="17"/>
        <v>6.1911374436832686E-2</v>
      </c>
      <c r="DA5" s="212">
        <f>(CY5/CD5)-1</f>
        <v>0.27010487665914029</v>
      </c>
      <c r="DB5" s="210">
        <v>230118</v>
      </c>
      <c r="DC5" s="186">
        <f t="shared" si="18"/>
        <v>7.9443709679256874E-2</v>
      </c>
      <c r="DD5" s="212">
        <f>(DB5/CG5)-1</f>
        <v>0.2712367210071871</v>
      </c>
      <c r="DE5" s="210">
        <v>60657</v>
      </c>
      <c r="DF5" s="186">
        <f t="shared" si="19"/>
        <v>9.7960429522657502E-2</v>
      </c>
      <c r="DG5" s="212">
        <f>(DE5/CJ5)-1</f>
        <v>0.13916276973350605</v>
      </c>
      <c r="DH5" s="210">
        <v>67159</v>
      </c>
      <c r="DI5" s="186">
        <f t="shared" si="20"/>
        <v>7.8533015111632909E-2</v>
      </c>
      <c r="DJ5" s="186">
        <f t="shared" si="21"/>
        <v>0.12401881203032694</v>
      </c>
      <c r="DK5" s="210">
        <v>127816</v>
      </c>
      <c r="DL5" s="186">
        <f t="shared" si="22"/>
        <v>8.6692060598168169E-2</v>
      </c>
      <c r="DM5" s="186">
        <f>(DK5/CP5)-1</f>
        <v>0.13117510664283061</v>
      </c>
      <c r="DN5" s="210">
        <v>66500</v>
      </c>
      <c r="DO5" s="186">
        <f t="shared" si="23"/>
        <v>8.2787640365510548E-2</v>
      </c>
      <c r="DP5" s="186">
        <f t="shared" si="24"/>
        <v>0.16799859488890845</v>
      </c>
      <c r="DQ5" s="210">
        <v>194316</v>
      </c>
      <c r="DR5" s="186">
        <f t="shared" si="25"/>
        <v>8.5315073400924119E-2</v>
      </c>
      <c r="DS5" s="186">
        <f>(DQ5/CV5)-1</f>
        <v>0.14351287890824982</v>
      </c>
      <c r="DT5" s="210">
        <v>68577</v>
      </c>
      <c r="DU5" s="186">
        <f t="shared" si="26"/>
        <v>5.7903527051536223E-2</v>
      </c>
      <c r="DV5" s="186">
        <f t="shared" si="27"/>
        <v>0.13936101280964963</v>
      </c>
      <c r="DW5" s="210">
        <v>262893</v>
      </c>
      <c r="DX5" s="186">
        <f t="shared" si="28"/>
        <v>7.5937619152156577E-2</v>
      </c>
      <c r="DY5" s="186">
        <f>(DW5/DB5)-1</f>
        <v>0.14242692879305396</v>
      </c>
      <c r="DZ5" s="210">
        <v>72971</v>
      </c>
      <c r="EA5" s="186">
        <f t="shared" si="29"/>
        <v>0.10040991783754924</v>
      </c>
      <c r="EB5" s="186">
        <f t="shared" si="30"/>
        <v>0.20301036978419629</v>
      </c>
      <c r="EC5" s="210">
        <v>78070</v>
      </c>
      <c r="ED5" s="186">
        <f t="shared" si="31"/>
        <v>8.2421613951813924E-2</v>
      </c>
      <c r="EE5" s="186">
        <f t="shared" si="32"/>
        <v>0.16246519453833441</v>
      </c>
      <c r="EF5" s="210">
        <v>151041</v>
      </c>
      <c r="EG5" s="186">
        <f t="shared" si="33"/>
        <v>9.023115606708508E-2</v>
      </c>
      <c r="EH5" s="186">
        <f>(EF5/DK5)-1</f>
        <v>0.18170651561619833</v>
      </c>
      <c r="EI5" s="210">
        <v>74287.5</v>
      </c>
      <c r="EJ5" s="186">
        <f t="shared" si="34"/>
        <v>8.1912036148802866E-2</v>
      </c>
      <c r="EK5" s="186">
        <f t="shared" si="35"/>
        <v>0.11710526315789482</v>
      </c>
      <c r="EL5" s="210">
        <v>225328.5</v>
      </c>
      <c r="EM5" s="186">
        <f t="shared" si="36"/>
        <v>8.7307796030148183E-2</v>
      </c>
      <c r="EN5" s="186">
        <f>(EL5/DQ5)-1</f>
        <v>0.15959828320879388</v>
      </c>
      <c r="EO5" s="210">
        <v>75161.899999999994</v>
      </c>
      <c r="EP5" s="186">
        <f t="shared" si="37"/>
        <v>5.6387467234428189E-2</v>
      </c>
      <c r="EQ5" s="186">
        <f t="shared" si="38"/>
        <v>9.6021989879988778E-2</v>
      </c>
      <c r="ER5" s="210">
        <v>300490.7</v>
      </c>
      <c r="ES5" s="186">
        <f t="shared" si="39"/>
        <v>7.6777047628026812E-2</v>
      </c>
      <c r="ET5" s="186">
        <f t="shared" si="40"/>
        <v>0.14301521911956572</v>
      </c>
      <c r="EU5" s="210">
        <v>72087.199999999997</v>
      </c>
      <c r="EV5" s="186">
        <f t="shared" si="41"/>
        <v>8.8503111049997793E-2</v>
      </c>
      <c r="EW5" s="212">
        <f t="shared" si="42"/>
        <v>-1.2111660796754964E-2</v>
      </c>
      <c r="EX5" s="210">
        <v>86368</v>
      </c>
      <c r="EY5" s="186">
        <f t="shared" si="43"/>
        <v>7.7725121895467777E-2</v>
      </c>
      <c r="EZ5" s="186">
        <f t="shared" si="44"/>
        <v>0.10628922761624193</v>
      </c>
      <c r="FA5" s="210">
        <v>158455.20000000001</v>
      </c>
      <c r="FB5" s="186">
        <f t="shared" si="45"/>
        <v>8.2283869775054863E-2</v>
      </c>
      <c r="FC5" s="186">
        <f>(FA5/EF5)-1</f>
        <v>4.9087333902715136E-2</v>
      </c>
      <c r="FD5" s="210">
        <v>89171.799999999988</v>
      </c>
      <c r="FE5" s="186">
        <f t="shared" si="46"/>
        <v>8.5161461611263964E-2</v>
      </c>
      <c r="FF5" s="186">
        <f t="shared" si="47"/>
        <v>0.20036076055864016</v>
      </c>
      <c r="FG5" s="210">
        <v>247627</v>
      </c>
      <c r="FH5" s="186">
        <f t="shared" si="48"/>
        <v>8.3297424486301661E-2</v>
      </c>
      <c r="FI5" s="186">
        <f t="shared" si="49"/>
        <v>9.8959962898612419E-2</v>
      </c>
      <c r="FJ5" s="210">
        <v>78533.97</v>
      </c>
      <c r="FK5" s="186">
        <f t="shared" si="50"/>
        <v>4.70317647488602E-2</v>
      </c>
      <c r="FL5" s="186">
        <f>(FJ5/EO5)-1</f>
        <v>4.4864086724790253E-2</v>
      </c>
      <c r="FM5" s="210">
        <v>326160.96999999997</v>
      </c>
      <c r="FN5" s="186">
        <f t="shared" si="51"/>
        <v>7.0253764475687389E-2</v>
      </c>
      <c r="FO5" s="186">
        <f>(FM5/ER5)-1</f>
        <v>8.5427835204217484E-2</v>
      </c>
      <c r="FP5" s="210">
        <v>81456</v>
      </c>
      <c r="FQ5" s="186">
        <f t="shared" si="52"/>
        <v>8.0578101583250489E-2</v>
      </c>
      <c r="FR5" s="186">
        <f t="shared" si="53"/>
        <v>0.12996482038420143</v>
      </c>
      <c r="FS5" s="210">
        <v>91699</v>
      </c>
      <c r="FT5" s="186">
        <f t="shared" si="54"/>
        <v>6.7713202685783666E-2</v>
      </c>
      <c r="FU5" s="186">
        <f t="shared" ref="FU5:FU13" si="112">(FS5/EX5)-1</f>
        <v>6.1724249722119318E-2</v>
      </c>
      <c r="FV5" s="34">
        <f>FP5+FS5</f>
        <v>173155</v>
      </c>
      <c r="FW5" s="186">
        <f t="shared" si="55"/>
        <v>7.3211889778754771E-2</v>
      </c>
      <c r="FX5" s="186">
        <f t="shared" ref="FX5:FX13" si="113">(FV5/FA5)-1</f>
        <v>9.2769438932897019E-2</v>
      </c>
      <c r="FY5" s="210">
        <v>81566.549880000006</v>
      </c>
      <c r="FZ5" s="186">
        <f t="shared" si="56"/>
        <v>6.5338702927429076E-2</v>
      </c>
      <c r="GA5" s="186">
        <f t="shared" si="57"/>
        <v>-8.5287614694331437E-2</v>
      </c>
      <c r="GB5" s="34">
        <f>FV5+FY5</f>
        <v>254721.54988000001</v>
      </c>
      <c r="GC5" s="186">
        <f t="shared" si="58"/>
        <v>7.0491915529768204E-2</v>
      </c>
      <c r="GD5" s="186">
        <f t="shared" si="59"/>
        <v>2.8650146712595914E-2</v>
      </c>
      <c r="GE5" s="210">
        <v>82411</v>
      </c>
      <c r="GF5" s="186">
        <f t="shared" si="60"/>
        <v>4.4852794707205858E-2</v>
      </c>
      <c r="GG5" s="186">
        <f t="shared" si="61"/>
        <v>4.9367553938760578E-2</v>
      </c>
      <c r="GH5" s="34">
        <f>GB5+GE5</f>
        <v>337132.54988000001</v>
      </c>
      <c r="GI5" s="186">
        <f t="shared" si="62"/>
        <v>6.1849514512593629E-2</v>
      </c>
      <c r="GJ5" s="186">
        <f t="shared" si="63"/>
        <v>3.3638543201536475E-2</v>
      </c>
      <c r="GK5" s="210">
        <v>74809</v>
      </c>
      <c r="GL5" s="186">
        <f t="shared" si="64"/>
        <v>6.9515531320970728E-2</v>
      </c>
      <c r="GM5" s="186">
        <f t="shared" si="65"/>
        <v>-8.1602337458259622E-2</v>
      </c>
      <c r="GN5" s="210">
        <v>83309</v>
      </c>
      <c r="GO5" s="186">
        <f t="shared" si="66"/>
        <v>5.6878324940192043E-2</v>
      </c>
      <c r="GP5" s="186">
        <f t="shared" si="67"/>
        <v>-9.1494999945473832E-2</v>
      </c>
      <c r="GQ5" s="34">
        <f>GK5+GN5</f>
        <v>158118</v>
      </c>
      <c r="GR5" s="186">
        <f t="shared" si="68"/>
        <v>6.2230698872339653E-2</v>
      </c>
      <c r="GS5" s="186">
        <f t="shared" si="69"/>
        <v>-8.6841269382922803E-2</v>
      </c>
      <c r="GT5" s="210">
        <v>82502</v>
      </c>
      <c r="GU5" s="186">
        <f t="shared" si="70"/>
        <v>6.5456062988627578E-2</v>
      </c>
      <c r="GV5" s="186">
        <f t="shared" si="71"/>
        <v>1.1468550789217158E-2</v>
      </c>
      <c r="GW5" s="34">
        <f>GQ5+GT5</f>
        <v>240620</v>
      </c>
      <c r="GX5" s="186">
        <f t="shared" si="72"/>
        <v>6.3300163577598337E-2</v>
      </c>
      <c r="GY5" s="186">
        <f t="shared" si="73"/>
        <v>-5.5360647289729892E-2</v>
      </c>
      <c r="GZ5" s="210">
        <v>88364</v>
      </c>
      <c r="HA5" s="186">
        <f t="shared" si="74"/>
        <v>4.6010838821476031E-2</v>
      </c>
      <c r="HB5" s="186">
        <f t="shared" si="75"/>
        <v>7.2235502542136398E-2</v>
      </c>
      <c r="HC5" s="34">
        <v>328981</v>
      </c>
      <c r="HD5" s="186">
        <f t="shared" si="76"/>
        <v>5.7496489715223885E-2</v>
      </c>
      <c r="HE5" s="186">
        <f t="shared" si="77"/>
        <v>-2.417906512705903E-2</v>
      </c>
      <c r="HF5" s="210">
        <v>83675</v>
      </c>
      <c r="HG5" s="186">
        <f t="shared" si="78"/>
        <v>6.7770376873758795E-2</v>
      </c>
      <c r="HH5" s="186">
        <f t="shared" si="79"/>
        <v>0.11851515192022344</v>
      </c>
      <c r="HI5" s="210">
        <v>88836</v>
      </c>
      <c r="HJ5" s="186">
        <f t="shared" si="80"/>
        <v>5.4485370963705856E-2</v>
      </c>
      <c r="HK5" s="186">
        <f t="shared" si="81"/>
        <v>6.6343372264701328E-2</v>
      </c>
      <c r="HL5" s="34">
        <f>HF5+HI5</f>
        <v>172511</v>
      </c>
      <c r="HM5" s="186">
        <f t="shared" si="82"/>
        <v>6.0210321310651488E-2</v>
      </c>
      <c r="HN5" s="186">
        <f t="shared" si="83"/>
        <v>9.1026954552928752E-2</v>
      </c>
      <c r="HO5" s="210">
        <v>81784</v>
      </c>
      <c r="HP5" s="186">
        <f t="shared" si="84"/>
        <v>5.4069277749643326E-2</v>
      </c>
      <c r="HQ5" s="186">
        <f t="shared" si="85"/>
        <v>-8.7028193255921371E-3</v>
      </c>
      <c r="HR5" s="34">
        <f>HL5+HO5</f>
        <v>254295</v>
      </c>
      <c r="HS5" s="186">
        <f t="shared" si="86"/>
        <v>5.8088483543252446E-2</v>
      </c>
      <c r="HT5" s="186">
        <f t="shared" si="87"/>
        <v>5.6832349763112022E-2</v>
      </c>
      <c r="HU5" s="210">
        <v>87042.316049999892</v>
      </c>
      <c r="HV5" s="186">
        <f t="shared" si="88"/>
        <v>3.916670201205473E-2</v>
      </c>
      <c r="HW5" s="186">
        <f t="shared" si="89"/>
        <v>-1.4957267099725113E-2</v>
      </c>
      <c r="HX5" s="34">
        <f>HR5+HU5</f>
        <v>341337.31604999991</v>
      </c>
      <c r="HY5" s="186">
        <f t="shared" si="90"/>
        <v>5.1717203135480456E-2</v>
      </c>
      <c r="HZ5" s="186">
        <f t="shared" si="91"/>
        <v>3.7559360722959401E-2</v>
      </c>
      <c r="IA5" s="210">
        <v>73103</v>
      </c>
      <c r="IB5" s="186">
        <f t="shared" si="92"/>
        <v>5.2260514047921855E-2</v>
      </c>
      <c r="IC5" s="186">
        <f t="shared" ref="IC5:IC13" si="114">(IA5/HF5)-1</f>
        <v>-0.12634598147594867</v>
      </c>
      <c r="ID5" s="210">
        <v>79071</v>
      </c>
      <c r="IE5" s="186">
        <f t="shared" si="93"/>
        <v>4.4421136485825248E-2</v>
      </c>
      <c r="IF5" s="186">
        <f t="shared" ref="IF5:IF13" si="115">(ID5/HI5)-1</f>
        <v>-0.10992165338376336</v>
      </c>
      <c r="IG5" s="210">
        <v>152175</v>
      </c>
      <c r="IH5" s="186">
        <f t="shared" si="94"/>
        <v>4.7871085455431998E-2</v>
      </c>
      <c r="II5" s="186">
        <f t="shared" ref="II5:II13" si="116">(IG5/HL5)-1</f>
        <v>-0.11788233793787062</v>
      </c>
      <c r="IJ5" s="210">
        <v>72816.525900000008</v>
      </c>
      <c r="IK5" s="186">
        <f t="shared" ref="IK5:IK13" si="117">(IJ5/IJ$16)</f>
        <v>4.2546412626405163E-2</v>
      </c>
      <c r="IL5" s="186">
        <f t="shared" ref="IL5:IL13" si="118">(IJ5/HO5)-1</f>
        <v>-0.10964826983273002</v>
      </c>
      <c r="IM5" s="210">
        <f t="shared" ref="IM5:IM13" si="119">IJ5+IG5</f>
        <v>224991.52590000001</v>
      </c>
      <c r="IN5" s="186">
        <f t="shared" ref="IN5:IN13" si="120">(IM5/IM$16)</f>
        <v>4.600760473116642E-2</v>
      </c>
      <c r="IO5" s="186">
        <f t="shared" ref="IO5:IO13" si="121">(IM5/HR5)-1</f>
        <v>-0.11523417330266028</v>
      </c>
      <c r="IP5" s="210">
        <v>74148.829770000404</v>
      </c>
      <c r="IQ5" s="186">
        <f t="shared" si="97"/>
        <v>2.8572386874297397E-2</v>
      </c>
      <c r="IR5" s="186">
        <f t="shared" ref="IR5:IR13" si="122">(IP5/HU5)-1</f>
        <v>-0.14812894308319025</v>
      </c>
      <c r="IS5" s="210">
        <f t="shared" ref="IS5:IS13" si="123">IM5+IP5</f>
        <v>299140.35567000043</v>
      </c>
      <c r="IT5" s="186">
        <f t="shared" si="98"/>
        <v>3.9962999557941463E-2</v>
      </c>
      <c r="IU5" s="186">
        <f t="shared" ref="IU5:IU13" si="124">(IS5/HX5)-1</f>
        <v>-0.12362246492211348</v>
      </c>
      <c r="IV5" s="210">
        <f>73444.75913+18030.75972</f>
        <v>91475.518850000008</v>
      </c>
      <c r="IW5" s="70">
        <f t="shared" ref="IW5:IW13" si="125">(IV5/IV$16)</f>
        <v>5.5428387565691135E-2</v>
      </c>
      <c r="IX5" s="70">
        <f t="shared" ref="IX5:IX13" si="126">(IV5/IA5)-1</f>
        <v>0.25132373295213606</v>
      </c>
      <c r="IY5" s="210">
        <f>85586.08353+19472.62123</f>
        <v>105058.70476000001</v>
      </c>
      <c r="IZ5" s="186">
        <f t="shared" si="100"/>
        <v>5.2025382499725166E-2</v>
      </c>
      <c r="JA5" s="186">
        <f t="shared" ref="JA5:JA13" si="127">(IY5/ID5)-1</f>
        <v>0.32866290751350058</v>
      </c>
      <c r="JB5" s="210">
        <f>IV5+IY5</f>
        <v>196534.22361000002</v>
      </c>
      <c r="JC5" s="186">
        <f t="shared" si="101"/>
        <v>5.3555776901777825E-2</v>
      </c>
      <c r="JD5" s="186">
        <f t="shared" ref="JD5:JD13" si="128">(JB5/IG5)-1</f>
        <v>0.29150138728437658</v>
      </c>
      <c r="JE5" s="210">
        <f>88963.48393+22319.46695</f>
        <v>111282.95088</v>
      </c>
      <c r="JF5" s="186">
        <f t="shared" si="102"/>
        <v>5.7602136978473273E-2</v>
      </c>
      <c r="JG5" s="186">
        <f t="shared" ref="JG5:JG13" si="129">(JE5/IJ5)-1</f>
        <v>0.52826504017544718</v>
      </c>
      <c r="JH5" s="210">
        <f t="shared" ref="JH5:JH13" si="130">JE5+JB5</f>
        <v>307817.17449</v>
      </c>
      <c r="JI5" s="186">
        <f t="shared" si="103"/>
        <v>5.4951308767886523E-2</v>
      </c>
      <c r="JJ5" s="186">
        <f t="shared" ref="JJ5:JJ13" si="131">(JH5/IM5)-1</f>
        <v>0.36812785841015527</v>
      </c>
      <c r="JK5" s="210">
        <f>80925.85614+26003.01149</f>
        <v>106928.86763000001</v>
      </c>
      <c r="JL5" s="186">
        <f t="shared" si="104"/>
        <v>3.7217789418104337E-2</v>
      </c>
      <c r="JM5" s="186">
        <f t="shared" ref="JM5:JM13" si="132">(JK5/IP5)-1</f>
        <v>0.44208435873740459</v>
      </c>
      <c r="JN5" s="210">
        <f t="shared" ref="JN5:JN13" si="133">JK5+JH5</f>
        <v>414746.04212</v>
      </c>
      <c r="JO5" s="186">
        <f t="shared" si="105"/>
        <v>4.8939358879430794E-2</v>
      </c>
      <c r="JP5" s="186">
        <f t="shared" ref="JP5:JP13" si="134">(JN5/IS5)-1</f>
        <v>0.38645968107870776</v>
      </c>
      <c r="JQ5" s="210">
        <v>113253.93488</v>
      </c>
      <c r="JR5" s="186">
        <f t="shared" si="106"/>
        <v>7.3058570540195336E-2</v>
      </c>
      <c r="JS5" s="186">
        <f t="shared" ref="JS5:JS13" si="135">(JQ5/IV5)-1</f>
        <v>0.23807917466652317</v>
      </c>
      <c r="JT5" s="210">
        <v>85948.452720000001</v>
      </c>
      <c r="JU5" s="186">
        <f t="shared" ref="JU5:JU6" si="136">(JT5/JT$16)</f>
        <v>0.15927116189431395</v>
      </c>
      <c r="JV5" s="186">
        <f t="shared" ref="JV5:JV6" si="137">(JT5/IY5)-1</f>
        <v>-0.18190070098100075</v>
      </c>
      <c r="JW5" s="210">
        <f>JQ5+JT5</f>
        <v>199202.38760000002</v>
      </c>
      <c r="JX5" s="186">
        <f t="shared" si="107"/>
        <v>9.532053903310149E-2</v>
      </c>
      <c r="JY5" s="186">
        <f t="shared" ref="JY5:JY6" si="138">(JW5/JB5)-1</f>
        <v>1.3576078206585906E-2</v>
      </c>
      <c r="JZ5" s="210">
        <v>18027.157809999997</v>
      </c>
      <c r="KA5" s="186">
        <f t="shared" si="108"/>
        <v>1.0917629943610603E-2</v>
      </c>
      <c r="KB5" s="186">
        <f t="shared" ref="KB5:KB6" si="139">(JZ5/JE5)-1</f>
        <v>-0.83800611263948899</v>
      </c>
      <c r="KC5" s="210">
        <f>JW5+JZ5</f>
        <v>217229.54541000002</v>
      </c>
      <c r="KD5" s="186">
        <f t="shared" si="109"/>
        <v>5.8067038369019303E-2</v>
      </c>
      <c r="KE5" s="186">
        <f t="shared" ref="KE5:KE6" si="140">(KC5/JH5)-1</f>
        <v>-0.29429036644913675</v>
      </c>
      <c r="KF5" s="210">
        <v>29633.424369999997</v>
      </c>
      <c r="KG5" s="186">
        <f t="shared" si="110"/>
        <v>1.0149969402902767E-2</v>
      </c>
      <c r="KH5" s="186">
        <f t="shared" ref="KH5:KH6" si="141">(KF5/JK5)-1</f>
        <v>-0.72286787444024114</v>
      </c>
      <c r="KI5" s="210">
        <f>KC5+KF5</f>
        <v>246862.96978000001</v>
      </c>
      <c r="KJ5" s="186">
        <f t="shared" si="111"/>
        <v>3.7063334326741658E-2</v>
      </c>
      <c r="KK5" s="186">
        <f t="shared" ref="KK5:KK6" si="142">(KI5/JN5)-1</f>
        <v>-0.40478523069648908</v>
      </c>
    </row>
    <row r="6" spans="2:297" ht="16.5" customHeight="1">
      <c r="B6" s="222" t="s">
        <v>365</v>
      </c>
      <c r="C6" s="222" t="s">
        <v>1068</v>
      </c>
      <c r="D6" s="190" t="s">
        <v>77</v>
      </c>
      <c r="E6" s="190" t="s">
        <v>77</v>
      </c>
      <c r="F6" s="190" t="s">
        <v>77</v>
      </c>
      <c r="G6" s="190" t="s">
        <v>77</v>
      </c>
      <c r="H6" s="190" t="s">
        <v>77</v>
      </c>
      <c r="I6" s="190" t="s">
        <v>77</v>
      </c>
      <c r="J6" s="190" t="s">
        <v>77</v>
      </c>
      <c r="K6" s="190" t="s">
        <v>77</v>
      </c>
      <c r="L6" s="190" t="s">
        <v>77</v>
      </c>
      <c r="M6" s="190" t="s">
        <v>77</v>
      </c>
      <c r="N6" s="190" t="s">
        <v>77</v>
      </c>
      <c r="O6" s="190" t="s">
        <v>77</v>
      </c>
      <c r="P6" s="190" t="s">
        <v>77</v>
      </c>
      <c r="Q6" s="190" t="s">
        <v>77</v>
      </c>
      <c r="R6" s="190" t="s">
        <v>77</v>
      </c>
      <c r="S6" s="190" t="s">
        <v>77</v>
      </c>
      <c r="T6" s="190" t="s">
        <v>77</v>
      </c>
      <c r="U6" s="190" t="s">
        <v>77</v>
      </c>
      <c r="V6" s="190" t="s">
        <v>77</v>
      </c>
      <c r="W6" s="190" t="s">
        <v>77</v>
      </c>
      <c r="X6" s="190" t="s">
        <v>77</v>
      </c>
      <c r="Y6" s="190" t="s">
        <v>77</v>
      </c>
      <c r="Z6" s="190" t="s">
        <v>77</v>
      </c>
      <c r="AA6" s="190" t="s">
        <v>77</v>
      </c>
      <c r="AB6" s="190" t="s">
        <v>77</v>
      </c>
      <c r="AC6" s="190" t="s">
        <v>77</v>
      </c>
      <c r="AD6" s="190" t="s">
        <v>77</v>
      </c>
      <c r="AE6" s="190" t="s">
        <v>77</v>
      </c>
      <c r="AF6" s="190" t="s">
        <v>77</v>
      </c>
      <c r="AG6" s="190" t="s">
        <v>77</v>
      </c>
      <c r="AH6" s="190" t="s">
        <v>77</v>
      </c>
      <c r="AI6" s="190" t="s">
        <v>77</v>
      </c>
      <c r="AJ6" s="190" t="s">
        <v>77</v>
      </c>
      <c r="AK6" s="190" t="s">
        <v>77</v>
      </c>
      <c r="AL6" s="190" t="s">
        <v>77</v>
      </c>
      <c r="AM6" s="190" t="s">
        <v>77</v>
      </c>
      <c r="AN6" s="190" t="s">
        <v>77</v>
      </c>
      <c r="AO6" s="190" t="s">
        <v>77</v>
      </c>
      <c r="AP6" s="190" t="s">
        <v>77</v>
      </c>
      <c r="AQ6" s="190" t="s">
        <v>77</v>
      </c>
      <c r="AR6" s="190" t="s">
        <v>77</v>
      </c>
      <c r="AS6" s="190" t="s">
        <v>77</v>
      </c>
      <c r="AT6" s="190" t="s">
        <v>77</v>
      </c>
      <c r="AU6" s="190" t="s">
        <v>77</v>
      </c>
      <c r="AV6" s="190" t="s">
        <v>77</v>
      </c>
      <c r="AW6" s="190" t="s">
        <v>77</v>
      </c>
      <c r="AX6" s="190" t="s">
        <v>77</v>
      </c>
      <c r="AY6" s="190" t="s">
        <v>77</v>
      </c>
      <c r="AZ6" s="190" t="s">
        <v>77</v>
      </c>
      <c r="BA6" s="190" t="s">
        <v>77</v>
      </c>
      <c r="BB6" s="190" t="s">
        <v>77</v>
      </c>
      <c r="BC6" s="190" t="s">
        <v>77</v>
      </c>
      <c r="BD6" s="190" t="s">
        <v>77</v>
      </c>
      <c r="BE6" s="190" t="s">
        <v>77</v>
      </c>
      <c r="BF6" s="190" t="s">
        <v>77</v>
      </c>
      <c r="BG6" s="190" t="s">
        <v>77</v>
      </c>
      <c r="BH6" s="190" t="s">
        <v>77</v>
      </c>
      <c r="BI6" s="190" t="s">
        <v>77</v>
      </c>
      <c r="BJ6" s="190" t="s">
        <v>77</v>
      </c>
      <c r="BK6" s="190" t="s">
        <v>77</v>
      </c>
      <c r="BL6" s="190" t="s">
        <v>77</v>
      </c>
      <c r="BM6" s="190" t="s">
        <v>77</v>
      </c>
      <c r="BN6" s="190" t="s">
        <v>77</v>
      </c>
      <c r="BO6" s="190" t="s">
        <v>77</v>
      </c>
      <c r="BP6" s="190" t="s">
        <v>77</v>
      </c>
      <c r="BQ6" s="190" t="s">
        <v>77</v>
      </c>
      <c r="BR6" s="190" t="s">
        <v>77</v>
      </c>
      <c r="BS6" s="190" t="s">
        <v>77</v>
      </c>
      <c r="BT6" s="190" t="s">
        <v>77</v>
      </c>
      <c r="BU6" s="190" t="s">
        <v>77</v>
      </c>
      <c r="BV6" s="190" t="s">
        <v>77</v>
      </c>
      <c r="BW6" s="190" t="s">
        <v>77</v>
      </c>
      <c r="BX6" s="190" t="s">
        <v>77</v>
      </c>
      <c r="BY6" s="190" t="s">
        <v>77</v>
      </c>
      <c r="BZ6" s="190" t="s">
        <v>77</v>
      </c>
      <c r="CA6" s="190" t="s">
        <v>77</v>
      </c>
      <c r="CB6" s="190" t="s">
        <v>77</v>
      </c>
      <c r="CC6" s="190" t="s">
        <v>77</v>
      </c>
      <c r="CD6" s="190" t="s">
        <v>77</v>
      </c>
      <c r="CE6" s="190" t="s">
        <v>77</v>
      </c>
      <c r="CF6" s="190" t="s">
        <v>77</v>
      </c>
      <c r="CG6" s="190" t="s">
        <v>77</v>
      </c>
      <c r="CH6" s="190" t="s">
        <v>77</v>
      </c>
      <c r="CI6" s="190" t="s">
        <v>77</v>
      </c>
      <c r="CJ6" s="28">
        <v>347</v>
      </c>
      <c r="CK6" s="70">
        <f t="shared" si="11"/>
        <v>6.7026329564792437E-4</v>
      </c>
      <c r="CL6" s="70" t="s">
        <v>112</v>
      </c>
      <c r="CM6" s="28">
        <v>1309</v>
      </c>
      <c r="CN6" s="70">
        <f t="shared" si="12"/>
        <v>1.7461412146686534E-3</v>
      </c>
      <c r="CO6" s="70" t="s">
        <v>112</v>
      </c>
      <c r="CP6" s="34">
        <f>SUM(CM6,CJ6)</f>
        <v>1656</v>
      </c>
      <c r="CQ6" s="70">
        <f t="shared" si="13"/>
        <v>1.3066532003534908E-3</v>
      </c>
      <c r="CR6" s="68" t="s">
        <v>112</v>
      </c>
      <c r="CS6" s="28">
        <v>2288</v>
      </c>
      <c r="CT6" s="70">
        <f t="shared" si="14"/>
        <v>3.4820933955889426E-3</v>
      </c>
      <c r="CU6" s="70" t="s">
        <v>112</v>
      </c>
      <c r="CV6" s="34">
        <f>CS6+CM6+CJ6</f>
        <v>3944</v>
      </c>
      <c r="CW6" s="186">
        <f t="shared" si="16"/>
        <v>2.0494316256814984E-3</v>
      </c>
      <c r="CX6" s="68" t="s">
        <v>112</v>
      </c>
      <c r="CY6" s="34">
        <v>3018</v>
      </c>
      <c r="CZ6" s="186">
        <f t="shared" si="17"/>
        <v>3.1043633894957722E-3</v>
      </c>
      <c r="DA6" s="68" t="s">
        <v>112</v>
      </c>
      <c r="DB6" s="34">
        <f t="shared" ref="DB6:DB12" si="143">CY6+CV6</f>
        <v>6962</v>
      </c>
      <c r="DC6" s="186">
        <f t="shared" si="18"/>
        <v>2.4034934546058383E-3</v>
      </c>
      <c r="DD6" s="68" t="s">
        <v>112</v>
      </c>
      <c r="DE6" s="34">
        <v>4676</v>
      </c>
      <c r="DF6" s="186">
        <f t="shared" si="19"/>
        <v>7.5516917824479694E-3</v>
      </c>
      <c r="DG6" s="68">
        <f>(DE6/CJ6)-1</f>
        <v>12.47550432276657</v>
      </c>
      <c r="DH6" s="34">
        <v>6824</v>
      </c>
      <c r="DI6" s="186">
        <f t="shared" si="20"/>
        <v>7.9797092738394405E-3</v>
      </c>
      <c r="DJ6" s="70">
        <f t="shared" si="21"/>
        <v>4.2131398013750951</v>
      </c>
      <c r="DK6" s="34">
        <f t="shared" ref="DK6:DK13" si="144">DH6+DE6</f>
        <v>11500</v>
      </c>
      <c r="DL6" s="186">
        <f t="shared" si="22"/>
        <v>7.7999522507270916E-3</v>
      </c>
      <c r="DM6" s="70">
        <f>(DK6/CP6)-1</f>
        <v>5.9444444444444446</v>
      </c>
      <c r="DN6" s="34">
        <v>10509</v>
      </c>
      <c r="DO6" s="186">
        <f t="shared" si="23"/>
        <v>1.3082937031596246E-2</v>
      </c>
      <c r="DP6" s="186">
        <f t="shared" si="24"/>
        <v>3.5930944055944058</v>
      </c>
      <c r="DQ6" s="34">
        <f>DN6+DK6</f>
        <v>22009</v>
      </c>
      <c r="DR6" s="186">
        <f t="shared" si="25"/>
        <v>9.6631232141508629E-3</v>
      </c>
      <c r="DS6" s="186">
        <f t="shared" ref="DS6:DS12" si="145">(DQ6/CV6)-1</f>
        <v>4.580375253549696</v>
      </c>
      <c r="DT6" s="34">
        <v>12409</v>
      </c>
      <c r="DU6" s="186">
        <f t="shared" si="26"/>
        <v>1.0477636338459148E-2</v>
      </c>
      <c r="DV6" s="186">
        <f t="shared" si="27"/>
        <v>3.1116633532140492</v>
      </c>
      <c r="DW6" s="34">
        <f t="shared" ref="DW6:DW12" si="146">DT6+DQ6</f>
        <v>34418</v>
      </c>
      <c r="DX6" s="186">
        <f t="shared" si="28"/>
        <v>9.9417670914741935E-3</v>
      </c>
      <c r="DY6" s="186">
        <f t="shared" ref="DY6:DY12" si="147">(DW6/DB6)-1</f>
        <v>3.9436943407066938</v>
      </c>
      <c r="DZ6" s="34">
        <v>10779</v>
      </c>
      <c r="EA6" s="186">
        <f t="shared" si="29"/>
        <v>1.4832173114948997E-2</v>
      </c>
      <c r="EB6" s="186">
        <f t="shared" si="30"/>
        <v>1.3051753635585972</v>
      </c>
      <c r="EC6" s="34">
        <v>10848</v>
      </c>
      <c r="ED6" s="186">
        <f t="shared" si="31"/>
        <v>1.1452666429477103E-2</v>
      </c>
      <c r="EE6" s="186">
        <f t="shared" si="32"/>
        <v>0.58968347010551003</v>
      </c>
      <c r="EF6" s="34">
        <f t="shared" ref="EF6:EF13" si="148">DZ6+EC6</f>
        <v>21627</v>
      </c>
      <c r="EG6" s="186">
        <f t="shared" si="33"/>
        <v>1.2919864224037507E-2</v>
      </c>
      <c r="EH6" s="186">
        <f t="shared" ref="EH6:EH12" si="149">(EF6/DK6)-1</f>
        <v>0.88060869565217392</v>
      </c>
      <c r="EI6" s="34">
        <v>13344.6</v>
      </c>
      <c r="EJ6" s="186">
        <f t="shared" si="34"/>
        <v>1.4714229952432304E-2</v>
      </c>
      <c r="EK6" s="186">
        <f t="shared" si="35"/>
        <v>0.2698258635455324</v>
      </c>
      <c r="EL6" s="34">
        <f t="shared" ref="EL6:EL13" si="150">EF6+EI6</f>
        <v>34971.599999999999</v>
      </c>
      <c r="EM6" s="186">
        <f t="shared" si="36"/>
        <v>1.3550408934723882E-2</v>
      </c>
      <c r="EN6" s="186">
        <f t="shared" ref="EN6:EN12" si="151">(EL6/DQ6)-1</f>
        <v>0.58896814939342979</v>
      </c>
      <c r="EO6" s="34">
        <v>19383.900000000001</v>
      </c>
      <c r="EP6" s="186">
        <f t="shared" si="37"/>
        <v>1.4542062216700652E-2</v>
      </c>
      <c r="EQ6" s="186">
        <f t="shared" si="38"/>
        <v>0.56208397131114518</v>
      </c>
      <c r="ER6" s="34">
        <v>54355.9</v>
      </c>
      <c r="ES6" s="186">
        <f t="shared" si="39"/>
        <v>1.3888235220471924E-2</v>
      </c>
      <c r="ET6" s="186">
        <f t="shared" si="40"/>
        <v>0.57928700098785524</v>
      </c>
      <c r="EU6" s="34">
        <v>24344.7</v>
      </c>
      <c r="EV6" s="186">
        <f t="shared" si="41"/>
        <v>2.9888547309076804E-2</v>
      </c>
      <c r="EW6" s="39">
        <f t="shared" si="42"/>
        <v>1.2585304759254106</v>
      </c>
      <c r="EX6" s="34">
        <v>29988</v>
      </c>
      <c r="EY6" s="186">
        <f t="shared" si="43"/>
        <v>2.6987089609592532E-2</v>
      </c>
      <c r="EZ6" s="186">
        <f t="shared" si="44"/>
        <v>1.7643805309734515</v>
      </c>
      <c r="FA6" s="34">
        <f t="shared" ref="FA6:FA13" si="152">EU6+EX6</f>
        <v>54332.7</v>
      </c>
      <c r="FB6" s="186">
        <f t="shared" si="45"/>
        <v>2.8214314275120812E-2</v>
      </c>
      <c r="FC6" s="186">
        <f>(FA6/EF6)-1</f>
        <v>1.512262449715633</v>
      </c>
      <c r="FD6" s="34">
        <v>35935.300000000003</v>
      </c>
      <c r="FE6" s="186">
        <f t="shared" si="46"/>
        <v>3.4319175697241217E-2</v>
      </c>
      <c r="FF6" s="186">
        <f t="shared" si="47"/>
        <v>1.6928720231404464</v>
      </c>
      <c r="FG6" s="34">
        <f t="shared" ref="FG6:FG13" si="153">FA6+FD6</f>
        <v>90268</v>
      </c>
      <c r="FH6" s="186">
        <f t="shared" si="48"/>
        <v>3.0364588326513176E-2</v>
      </c>
      <c r="FI6" s="186">
        <f t="shared" si="49"/>
        <v>1.5811801576136064</v>
      </c>
      <c r="FJ6" s="34">
        <v>35117.379999999997</v>
      </c>
      <c r="FK6" s="186">
        <f t="shared" si="50"/>
        <v>2.1030801763317557E-2</v>
      </c>
      <c r="FL6" s="186">
        <f t="shared" ref="FL6:FL13" si="154">(FJ6/EO6)-1</f>
        <v>0.81167773255124076</v>
      </c>
      <c r="FM6" s="34">
        <v>125385.38</v>
      </c>
      <c r="FN6" s="186">
        <f t="shared" si="51"/>
        <v>2.7007507842567936E-2</v>
      </c>
      <c r="FO6" s="26">
        <f>(FM6/ER6)-1</f>
        <v>1.3067483014723331</v>
      </c>
      <c r="FP6" s="34">
        <v>43546</v>
      </c>
      <c r="FQ6" s="186">
        <f t="shared" si="52"/>
        <v>4.3076679576019267E-2</v>
      </c>
      <c r="FR6" s="26">
        <f t="shared" si="53"/>
        <v>0.78872608822454171</v>
      </c>
      <c r="FS6" s="34">
        <v>48227</v>
      </c>
      <c r="FT6" s="186">
        <f t="shared" si="54"/>
        <v>3.5612216337444123E-2</v>
      </c>
      <c r="FU6" s="186">
        <f t="shared" si="112"/>
        <v>0.6082099506469254</v>
      </c>
      <c r="FV6" s="34">
        <f>FP6+FS6</f>
        <v>91773</v>
      </c>
      <c r="FW6" s="186">
        <f t="shared" si="55"/>
        <v>3.8802660972340745E-2</v>
      </c>
      <c r="FX6" s="186">
        <f t="shared" si="113"/>
        <v>0.68909330844960781</v>
      </c>
      <c r="FY6" s="34">
        <v>51134.838019999996</v>
      </c>
      <c r="FZ6" s="186">
        <f t="shared" si="56"/>
        <v>4.0961447989970881E-2</v>
      </c>
      <c r="GA6" s="186">
        <f t="shared" si="57"/>
        <v>0.42296955973652617</v>
      </c>
      <c r="GB6" s="34">
        <f>FV6+FY6</f>
        <v>142907.83802</v>
      </c>
      <c r="GC6" s="186">
        <f t="shared" si="58"/>
        <v>3.9548468714144733E-2</v>
      </c>
      <c r="GD6" s="186">
        <f t="shared" si="59"/>
        <v>0.58315059622457577</v>
      </c>
      <c r="GE6" s="34">
        <v>51118</v>
      </c>
      <c r="GF6" s="186">
        <f t="shared" si="60"/>
        <v>2.7821348604469658E-2</v>
      </c>
      <c r="GG6" s="186">
        <f t="shared" si="61"/>
        <v>0.45563251017017792</v>
      </c>
      <c r="GH6" s="34">
        <f>GB6+GE6</f>
        <v>194025.83802</v>
      </c>
      <c r="GI6" s="186">
        <f t="shared" si="62"/>
        <v>3.5595506540995789E-2</v>
      </c>
      <c r="GJ6" s="186">
        <f t="shared" si="63"/>
        <v>0.54743589739090792</v>
      </c>
      <c r="GK6" s="34">
        <v>55715</v>
      </c>
      <c r="GL6" s="186">
        <f t="shared" si="64"/>
        <v>5.1772618636098382E-2</v>
      </c>
      <c r="GM6" s="26">
        <f t="shared" si="65"/>
        <v>0.27945161438478849</v>
      </c>
      <c r="GN6" s="34">
        <v>61859</v>
      </c>
      <c r="GO6" s="186">
        <f t="shared" si="66"/>
        <v>4.2233567831510874E-2</v>
      </c>
      <c r="GP6" s="186">
        <f t="shared" si="67"/>
        <v>0.28266323843490171</v>
      </c>
      <c r="GQ6" s="34">
        <f>GK6+GN6</f>
        <v>117574</v>
      </c>
      <c r="GR6" s="186">
        <f t="shared" si="68"/>
        <v>4.6273746121355333E-2</v>
      </c>
      <c r="GS6" s="186">
        <f t="shared" si="69"/>
        <v>0.28113933291926818</v>
      </c>
      <c r="GT6" s="34">
        <v>63888</v>
      </c>
      <c r="GU6" s="186">
        <f t="shared" si="70"/>
        <v>5.0687946379693087E-2</v>
      </c>
      <c r="GV6" s="186">
        <f>(GT6/FY6)-1</f>
        <v>0.24940260835503092</v>
      </c>
      <c r="GW6" s="34">
        <f>GQ6+GT6</f>
        <v>181462</v>
      </c>
      <c r="GX6" s="186">
        <f t="shared" si="72"/>
        <v>4.7737404551234937E-2</v>
      </c>
      <c r="GY6" s="186">
        <f t="shared" si="73"/>
        <v>0.26978339686731756</v>
      </c>
      <c r="GZ6" s="34">
        <v>66103</v>
      </c>
      <c r="HA6" s="186">
        <f t="shared" si="74"/>
        <v>3.441961068552838E-2</v>
      </c>
      <c r="HB6" s="186">
        <f t="shared" si="75"/>
        <v>0.29314527172424576</v>
      </c>
      <c r="HC6" s="34">
        <f>GW6+GZ6</f>
        <v>247565</v>
      </c>
      <c r="HD6" s="186">
        <f t="shared" si="76"/>
        <v>4.3267296519706004E-2</v>
      </c>
      <c r="HE6" s="186">
        <f t="shared" si="77"/>
        <v>0.27593831072375652</v>
      </c>
      <c r="HF6" s="34">
        <v>65170</v>
      </c>
      <c r="HG6" s="186">
        <f t="shared" si="78"/>
        <v>5.2782736311477271E-2</v>
      </c>
      <c r="HH6" s="26">
        <f t="shared" si="79"/>
        <v>0.16970295252624967</v>
      </c>
      <c r="HI6" s="34">
        <v>84193</v>
      </c>
      <c r="HJ6" s="186">
        <f t="shared" si="80"/>
        <v>5.1637701354713038E-2</v>
      </c>
      <c r="HK6" s="186">
        <f t="shared" si="81"/>
        <v>0.36104689697537951</v>
      </c>
      <c r="HL6" s="34">
        <f>HF6+HI6</f>
        <v>149363</v>
      </c>
      <c r="HM6" s="186">
        <f t="shared" si="82"/>
        <v>5.2131134953265809E-2</v>
      </c>
      <c r="HN6" s="186">
        <f t="shared" si="83"/>
        <v>0.27037440250395495</v>
      </c>
      <c r="HO6" s="34">
        <v>126560.7598</v>
      </c>
      <c r="HP6" s="186">
        <f t="shared" si="84"/>
        <v>8.3672220407807071E-2</v>
      </c>
      <c r="HQ6" s="186">
        <f t="shared" si="85"/>
        <v>0.98097858439769592</v>
      </c>
      <c r="HR6" s="34">
        <f>HL6+HO6</f>
        <v>275923.7598</v>
      </c>
      <c r="HS6" s="186">
        <f t="shared" si="86"/>
        <v>6.302913065665719E-2</v>
      </c>
      <c r="HT6" s="186">
        <f t="shared" si="87"/>
        <v>0.52055945487209443</v>
      </c>
      <c r="HU6" s="210">
        <v>113114.26735000013</v>
      </c>
      <c r="HV6" s="186">
        <f t="shared" si="88"/>
        <v>5.0898379129347075E-2</v>
      </c>
      <c r="HW6" s="186">
        <f t="shared" si="89"/>
        <v>0.71118205452097683</v>
      </c>
      <c r="HX6" s="34">
        <f>HR6+HU6</f>
        <v>389038.0271500001</v>
      </c>
      <c r="HY6" s="186">
        <f t="shared" si="90"/>
        <v>5.8944503666853394E-2</v>
      </c>
      <c r="HZ6" s="186">
        <f t="shared" si="91"/>
        <v>0.57145811059721718</v>
      </c>
      <c r="IA6" s="34">
        <v>126470</v>
      </c>
      <c r="IB6" s="186">
        <f t="shared" si="92"/>
        <v>9.0411983251585795E-2</v>
      </c>
      <c r="IC6" s="26">
        <f t="shared" si="114"/>
        <v>0.94061684824305658</v>
      </c>
      <c r="ID6" s="34">
        <v>130731</v>
      </c>
      <c r="IE6" s="186">
        <f t="shared" si="93"/>
        <v>7.3443102957195694E-2</v>
      </c>
      <c r="IF6" s="26">
        <f t="shared" si="115"/>
        <v>0.55275379188293572</v>
      </c>
      <c r="IG6" s="34">
        <v>257201</v>
      </c>
      <c r="IH6" s="186">
        <f t="shared" si="94"/>
        <v>8.0910077543765821E-2</v>
      </c>
      <c r="II6" s="26">
        <f t="shared" si="116"/>
        <v>0.72198603402449057</v>
      </c>
      <c r="IJ6" s="34">
        <v>131359.18132</v>
      </c>
      <c r="IK6" s="186">
        <f t="shared" si="117"/>
        <v>7.6752658296040638E-2</v>
      </c>
      <c r="IL6" s="26">
        <f t="shared" si="118"/>
        <v>3.7913975292047875E-2</v>
      </c>
      <c r="IM6" s="34">
        <f t="shared" si="119"/>
        <v>388560.18131999997</v>
      </c>
      <c r="IN6" s="186">
        <f t="shared" si="120"/>
        <v>7.9455095763857439E-2</v>
      </c>
      <c r="IO6" s="26">
        <f t="shared" si="121"/>
        <v>0.40821573902023922</v>
      </c>
      <c r="IP6" s="34">
        <v>139689.34219</v>
      </c>
      <c r="IQ6" s="186">
        <f t="shared" si="97"/>
        <v>5.3827659042619186E-2</v>
      </c>
      <c r="IR6" s="26">
        <f t="shared" si="122"/>
        <v>0.23494007840558973</v>
      </c>
      <c r="IS6" s="34">
        <f t="shared" si="123"/>
        <v>528249.52350999997</v>
      </c>
      <c r="IT6" s="186">
        <f t="shared" si="98"/>
        <v>7.0570336213015325E-2</v>
      </c>
      <c r="IU6" s="26">
        <f t="shared" si="124"/>
        <v>0.35783518999371378</v>
      </c>
      <c r="IV6" s="34">
        <v>144703.08934000001</v>
      </c>
      <c r="IW6" s="70">
        <f t="shared" si="125"/>
        <v>8.7680933857751484E-2</v>
      </c>
      <c r="IX6" s="70">
        <f t="shared" si="126"/>
        <v>0.14416928394085549</v>
      </c>
      <c r="IY6" s="34">
        <v>161816.07167</v>
      </c>
      <c r="IZ6" s="186">
        <f t="shared" si="100"/>
        <v>8.0131799097145948E-2</v>
      </c>
      <c r="JA6" s="26">
        <f t="shared" si="127"/>
        <v>0.23777888695106753</v>
      </c>
      <c r="JB6" s="210">
        <f t="shared" ref="JB6" si="155">IV6+IY6</f>
        <v>306519.16101000004</v>
      </c>
      <c r="JC6" s="186">
        <f t="shared" si="101"/>
        <v>8.3526784809485013E-2</v>
      </c>
      <c r="JD6" s="26">
        <f t="shared" si="128"/>
        <v>0.19174949168160316</v>
      </c>
      <c r="JE6" s="210">
        <v>175383.45701000001</v>
      </c>
      <c r="JF6" s="186">
        <f t="shared" si="102"/>
        <v>9.0781757983233305E-2</v>
      </c>
      <c r="JG6" s="26">
        <f t="shared" si="129"/>
        <v>0.33514426055042046</v>
      </c>
      <c r="JH6" s="34">
        <f t="shared" si="130"/>
        <v>481902.61802000005</v>
      </c>
      <c r="JI6" s="186">
        <f t="shared" si="103"/>
        <v>8.6028921559508975E-2</v>
      </c>
      <c r="JJ6" s="26">
        <f t="shared" si="131"/>
        <v>0.2402264595999033</v>
      </c>
      <c r="JK6" s="210">
        <v>193879.18033742986</v>
      </c>
      <c r="JL6" s="186">
        <f t="shared" si="104"/>
        <v>6.7481819140939675E-2</v>
      </c>
      <c r="JM6" s="26">
        <f t="shared" si="132"/>
        <v>0.38793108549199817</v>
      </c>
      <c r="JN6" s="34">
        <f t="shared" si="133"/>
        <v>675781.79835742991</v>
      </c>
      <c r="JO6" s="186">
        <f t="shared" si="105"/>
        <v>7.9741153851523583E-2</v>
      </c>
      <c r="JP6" s="26">
        <f t="shared" si="134"/>
        <v>0.27928520193854389</v>
      </c>
      <c r="JQ6" s="210">
        <v>194893.29167999999</v>
      </c>
      <c r="JR6" s="186">
        <f t="shared" si="106"/>
        <v>0.12572300744429679</v>
      </c>
      <c r="JS6" s="26">
        <f t="shared" si="135"/>
        <v>0.34684955634963077</v>
      </c>
      <c r="JT6" s="210">
        <v>176119.72515000001</v>
      </c>
      <c r="JU6" s="186">
        <f t="shared" si="136"/>
        <v>0.32636763512812345</v>
      </c>
      <c r="JV6" s="26">
        <f t="shared" si="137"/>
        <v>8.8394516888101293E-2</v>
      </c>
      <c r="JW6" s="210">
        <f>JQ6+JT6</f>
        <v>371013.01682999998</v>
      </c>
      <c r="JX6" s="186">
        <f t="shared" si="107"/>
        <v>0.17753381964249484</v>
      </c>
      <c r="JY6" s="26">
        <f t="shared" si="138"/>
        <v>0.2104072567844979</v>
      </c>
      <c r="JZ6" s="210">
        <v>114446.47106000001</v>
      </c>
      <c r="KA6" s="186">
        <f t="shared" si="108"/>
        <v>6.9311215475803323E-2</v>
      </c>
      <c r="KB6" s="26">
        <f t="shared" si="139"/>
        <v>-0.34745002173452144</v>
      </c>
      <c r="KC6" s="210">
        <f>JW6+JZ6</f>
        <v>485459.48788999999</v>
      </c>
      <c r="KD6" s="186">
        <f t="shared" si="109"/>
        <v>0.1297668540285746</v>
      </c>
      <c r="KE6" s="26">
        <f t="shared" si="140"/>
        <v>7.3808892855036223E-3</v>
      </c>
      <c r="KF6" s="210">
        <v>122024.84429999998</v>
      </c>
      <c r="KG6" s="186">
        <f t="shared" si="110"/>
        <v>4.1795656842576849E-2</v>
      </c>
      <c r="KH6" s="26">
        <f t="shared" si="141"/>
        <v>-0.3706139870839853</v>
      </c>
      <c r="KI6" s="210">
        <f>KC6+KF6</f>
        <v>607484.33218999999</v>
      </c>
      <c r="KJ6" s="186">
        <f t="shared" si="111"/>
        <v>9.1206044074899878E-2</v>
      </c>
      <c r="KK6" s="26">
        <f t="shared" si="142"/>
        <v>-0.10106437659823819</v>
      </c>
    </row>
    <row r="7" spans="2:297" ht="16.5" customHeight="1">
      <c r="B7" s="222" t="s">
        <v>366</v>
      </c>
      <c r="C7" s="222" t="s">
        <v>1069</v>
      </c>
      <c r="D7" s="28" t="s">
        <v>77</v>
      </c>
      <c r="E7" s="26" t="s">
        <v>77</v>
      </c>
      <c r="F7" s="28" t="s">
        <v>77</v>
      </c>
      <c r="G7" s="26" t="s">
        <v>77</v>
      </c>
      <c r="H7" s="223" t="s">
        <v>77</v>
      </c>
      <c r="I7" s="26" t="s">
        <v>77</v>
      </c>
      <c r="J7" s="28" t="s">
        <v>77</v>
      </c>
      <c r="K7" s="26" t="s">
        <v>77</v>
      </c>
      <c r="L7" s="223" t="s">
        <v>77</v>
      </c>
      <c r="M7" s="26" t="s">
        <v>77</v>
      </c>
      <c r="N7" s="28" t="s">
        <v>77</v>
      </c>
      <c r="O7" s="26" t="s">
        <v>77</v>
      </c>
      <c r="P7" s="28" t="s">
        <v>77</v>
      </c>
      <c r="Q7" s="26" t="s">
        <v>77</v>
      </c>
      <c r="R7" s="28" t="s">
        <v>77</v>
      </c>
      <c r="S7" s="26" t="s">
        <v>77</v>
      </c>
      <c r="T7" s="28" t="s">
        <v>77</v>
      </c>
      <c r="U7" s="26" t="s">
        <v>77</v>
      </c>
      <c r="V7" s="223" t="s">
        <v>77</v>
      </c>
      <c r="W7" s="26" t="s">
        <v>77</v>
      </c>
      <c r="X7" s="28" t="s">
        <v>77</v>
      </c>
      <c r="Y7" s="26" t="s">
        <v>77</v>
      </c>
      <c r="Z7" s="223" t="s">
        <v>77</v>
      </c>
      <c r="AA7" s="26" t="s">
        <v>77</v>
      </c>
      <c r="AB7" s="28" t="s">
        <v>77</v>
      </c>
      <c r="AC7" s="26" t="s">
        <v>77</v>
      </c>
      <c r="AD7" s="28" t="s">
        <v>77</v>
      </c>
      <c r="AE7" s="26" t="s">
        <v>77</v>
      </c>
      <c r="AF7" s="28">
        <v>14157</v>
      </c>
      <c r="AG7" s="26">
        <f>AF7/$AF$16</f>
        <v>3.6926519955240579E-2</v>
      </c>
      <c r="AH7" s="28">
        <v>15842</v>
      </c>
      <c r="AI7" s="26">
        <f>AH7/$AH$16</f>
        <v>3.1047769115289489E-2</v>
      </c>
      <c r="AJ7" s="34">
        <f t="shared" ref="AJ7:AJ13" si="156">SUM(AF7+AH7)</f>
        <v>29999</v>
      </c>
      <c r="AK7" s="26">
        <f>AJ7/$AJ$16</f>
        <v>3.356985952783538E-2</v>
      </c>
      <c r="AL7" s="28">
        <v>15681</v>
      </c>
      <c r="AM7" s="26">
        <f>AL7/$AL$16</f>
        <v>3.4921631769531926E-2</v>
      </c>
      <c r="AN7" s="34">
        <f t="shared" ref="AN7:AN13" si="157">SUM(AJ7+AL7)</f>
        <v>45680</v>
      </c>
      <c r="AO7" s="26">
        <f>AN7/$AN$16</f>
        <v>3.4021939980471642E-2</v>
      </c>
      <c r="AP7" s="28">
        <v>15530</v>
      </c>
      <c r="AQ7" s="26">
        <f>AP7/$AP$16</f>
        <v>2.5303132504993824E-2</v>
      </c>
      <c r="AR7" s="28">
        <f>SUM(AN7,AP7)</f>
        <v>61210</v>
      </c>
      <c r="AS7" s="26">
        <f>AR7/$AR$16</f>
        <v>3.1286706037858908E-2</v>
      </c>
      <c r="AT7" s="28">
        <v>14597</v>
      </c>
      <c r="AU7" s="26">
        <f>AT7/$AT$16</f>
        <v>4.0251041640815222E-2</v>
      </c>
      <c r="AV7" s="26">
        <f t="shared" ref="AV7:AV13" si="158">(AT7/AF7)-1</f>
        <v>3.108003108003099E-2</v>
      </c>
      <c r="AW7" s="28">
        <v>14605</v>
      </c>
      <c r="AX7" s="26">
        <f>AW7/$AW$16</f>
        <v>2.6328028669699962E-2</v>
      </c>
      <c r="AY7" s="26">
        <f t="shared" si="0"/>
        <v>-7.8083575306148179E-2</v>
      </c>
      <c r="AZ7" s="34">
        <f t="shared" ref="AZ7:AZ13" si="159">SUM(AT7+AW7)</f>
        <v>29202</v>
      </c>
      <c r="BA7" s="26">
        <f>AZ7/$AZ$16</f>
        <v>3.1831921524426599E-2</v>
      </c>
      <c r="BB7" s="72" t="s">
        <v>112</v>
      </c>
      <c r="BC7" s="28">
        <v>20166</v>
      </c>
      <c r="BD7" s="26">
        <f>BC7/$BC$16</f>
        <v>4.1431594518521561E-2</v>
      </c>
      <c r="BE7" s="26">
        <f t="shared" si="1"/>
        <v>0.28601492251769667</v>
      </c>
      <c r="BF7" s="34">
        <f t="shared" ref="BF7:BF13" si="160">SUM(AZ7+BC7)</f>
        <v>49368</v>
      </c>
      <c r="BG7" s="26">
        <f>BF7/$BF$16</f>
        <v>3.5159613449364045E-2</v>
      </c>
      <c r="BH7" s="72" t="s">
        <v>112</v>
      </c>
      <c r="BI7" s="28">
        <v>21895</v>
      </c>
      <c r="BJ7" s="26">
        <f>BI7/$BI$16</f>
        <v>3.075753872261041E-2</v>
      </c>
      <c r="BK7" s="27">
        <f t="shared" si="2"/>
        <v>0.40985189954925949</v>
      </c>
      <c r="BL7" s="28">
        <f>SUM(BF7,BI7)</f>
        <v>71263</v>
      </c>
      <c r="BM7" s="26">
        <f>BL7/$BL$16</f>
        <v>3.3678675669953424E-2</v>
      </c>
      <c r="BN7" s="27">
        <f t="shared" si="3"/>
        <v>0.16423786962914555</v>
      </c>
      <c r="BO7" s="28">
        <v>19762</v>
      </c>
      <c r="BP7" s="26">
        <f>BO7/$BO$16</f>
        <v>4.4888539589229656E-2</v>
      </c>
      <c r="BQ7" s="26">
        <f t="shared" si="4"/>
        <v>0.35383983010207576</v>
      </c>
      <c r="BR7" s="28">
        <v>18576</v>
      </c>
      <c r="BS7" s="26">
        <f>BR7/$BR$16</f>
        <v>2.9486229124635509E-2</v>
      </c>
      <c r="BT7" s="26">
        <f t="shared" si="5"/>
        <v>0.27189318726463529</v>
      </c>
      <c r="BU7" s="34">
        <v>38339</v>
      </c>
      <c r="BV7" s="26">
        <f>BU7/$BU$16</f>
        <v>3.5822973459100106E-2</v>
      </c>
      <c r="BW7" s="39">
        <f t="shared" si="6"/>
        <v>0.31288952811451276</v>
      </c>
      <c r="BX7" s="28">
        <v>20299</v>
      </c>
      <c r="BY7" s="26">
        <f>BX7/$BX$16</f>
        <v>3.5691176987727259E-2</v>
      </c>
      <c r="BZ7" s="26">
        <f t="shared" si="7"/>
        <v>6.5952593474163379E-3</v>
      </c>
      <c r="CA7" s="34">
        <f t="shared" ref="CA7:CA13" si="161">SUM(BU7+BX7)</f>
        <v>58638</v>
      </c>
      <c r="CB7" s="26">
        <f>CA7/$CA$16</f>
        <v>3.5777238823044892E-2</v>
      </c>
      <c r="CC7" s="39">
        <f t="shared" si="8"/>
        <v>0.18777345649003396</v>
      </c>
      <c r="CD7" s="28">
        <v>21906</v>
      </c>
      <c r="CE7" s="26">
        <f>CD7/$CD$16</f>
        <v>2.6594343390687732E-2</v>
      </c>
      <c r="CF7" s="26">
        <f t="shared" si="9"/>
        <v>5.0239780771854647E-4</v>
      </c>
      <c r="CG7" s="28">
        <v>80542</v>
      </c>
      <c r="CH7" s="26">
        <f>CG7/$CG$16</f>
        <v>3.2704967425784229E-2</v>
      </c>
      <c r="CI7" s="26">
        <f t="shared" si="10"/>
        <v>0.13020782173077183</v>
      </c>
      <c r="CJ7" s="28">
        <v>21312</v>
      </c>
      <c r="CK7" s="70">
        <f t="shared" si="11"/>
        <v>4.116614223875667E-2</v>
      </c>
      <c r="CL7" s="70">
        <f t="shared" ref="CL7:CL13" si="162">(CJ7/BO7)-1</f>
        <v>7.8433356947677391E-2</v>
      </c>
      <c r="CM7" s="28">
        <v>20184</v>
      </c>
      <c r="CN7" s="70">
        <f t="shared" si="12"/>
        <v>2.6924457048794575E-2</v>
      </c>
      <c r="CO7" s="70">
        <f t="shared" ref="CO7:CO12" si="163">(CM7/BR7)-1</f>
        <v>8.6563307493540131E-2</v>
      </c>
      <c r="CP7" s="34">
        <v>43152</v>
      </c>
      <c r="CQ7" s="26">
        <f t="shared" si="13"/>
        <v>3.4048731220805456E-2</v>
      </c>
      <c r="CR7" s="39">
        <f t="shared" ref="CR7:CR12" si="164">(CP7/BU7)-1</f>
        <v>0.12553796395315464</v>
      </c>
      <c r="CS7" s="185">
        <v>20335</v>
      </c>
      <c r="CT7" s="70">
        <f t="shared" si="14"/>
        <v>3.0947713810883369E-2</v>
      </c>
      <c r="CU7" s="186">
        <f t="shared" si="15"/>
        <v>1.7734863786393884E-3</v>
      </c>
      <c r="CV7" s="34">
        <f>CS7+CM7+CJ7</f>
        <v>61831</v>
      </c>
      <c r="CW7" s="186">
        <f t="shared" si="16"/>
        <v>3.2129413500890651E-2</v>
      </c>
      <c r="CX7" s="39">
        <f t="shared" ref="CX7:CX12" si="165">(CV7/CA7)-1</f>
        <v>5.4452743954432226E-2</v>
      </c>
      <c r="CY7" s="34">
        <v>22130</v>
      </c>
      <c r="CZ7" s="186">
        <f t="shared" si="17"/>
        <v>2.27632742907692E-2</v>
      </c>
      <c r="DA7" s="39">
        <f t="shared" ref="DA7:DA12" si="166">(CY7/CD7)-1</f>
        <v>1.0225508992969923E-2</v>
      </c>
      <c r="DB7" s="34">
        <f t="shared" si="143"/>
        <v>83961</v>
      </c>
      <c r="DC7" s="186">
        <f t="shared" si="18"/>
        <v>2.8985882496719448E-2</v>
      </c>
      <c r="DD7" s="39">
        <f t="shared" ref="DD7:DD12" si="167">(DB7/CG7)-1</f>
        <v>4.244990191452902E-2</v>
      </c>
      <c r="DE7" s="34">
        <v>20533</v>
      </c>
      <c r="DF7" s="186">
        <f t="shared" si="19"/>
        <v>3.3160583269675824E-2</v>
      </c>
      <c r="DG7" s="39">
        <f t="shared" ref="DG7:DG12" si="168">(DE7/CJ7)-1</f>
        <v>-3.6552177177177181E-2</v>
      </c>
      <c r="DH7" s="34">
        <v>20918</v>
      </c>
      <c r="DI7" s="186">
        <f t="shared" si="20"/>
        <v>2.4460662161514275E-2</v>
      </c>
      <c r="DJ7" s="186">
        <f t="shared" si="21"/>
        <v>3.6365437970669934E-2</v>
      </c>
      <c r="DK7" s="34">
        <f t="shared" si="144"/>
        <v>41451</v>
      </c>
      <c r="DL7" s="186">
        <f t="shared" si="22"/>
        <v>2.8114419195207709E-2</v>
      </c>
      <c r="DM7" s="186">
        <f t="shared" ref="DM7:DM12" si="169">(DK7/CP7)-1</f>
        <v>-3.9418798665183497E-2</v>
      </c>
      <c r="DN7" s="34">
        <v>20380</v>
      </c>
      <c r="DO7" s="186">
        <f t="shared" si="23"/>
        <v>2.5371610686452706E-2</v>
      </c>
      <c r="DP7" s="186">
        <f t="shared" si="24"/>
        <v>2.2129333661176087E-3</v>
      </c>
      <c r="DQ7" s="34">
        <f>DN7+DK7</f>
        <v>61831</v>
      </c>
      <c r="DR7" s="186">
        <f t="shared" si="25"/>
        <v>2.7147102160668908E-2</v>
      </c>
      <c r="DS7" s="186">
        <f t="shared" si="145"/>
        <v>0</v>
      </c>
      <c r="DT7" s="34">
        <v>23572</v>
      </c>
      <c r="DU7" s="186">
        <f t="shared" si="26"/>
        <v>1.9903202818128702E-2</v>
      </c>
      <c r="DV7" s="186">
        <f t="shared" si="27"/>
        <v>6.5160415725259879E-2</v>
      </c>
      <c r="DW7" s="34">
        <f t="shared" si="146"/>
        <v>85403</v>
      </c>
      <c r="DX7" s="186">
        <f t="shared" si="28"/>
        <v>2.4668973644987234E-2</v>
      </c>
      <c r="DY7" s="186">
        <f>(DW7/DB7)-1</f>
        <v>1.7174640606948399E-2</v>
      </c>
      <c r="DZ7" s="34">
        <v>20186</v>
      </c>
      <c r="EA7" s="186">
        <f t="shared" si="29"/>
        <v>2.7776439975726919E-2</v>
      </c>
      <c r="EB7" s="186">
        <f t="shared" si="30"/>
        <v>-1.6899624993912288E-2</v>
      </c>
      <c r="EC7" s="34">
        <v>20038</v>
      </c>
      <c r="ED7" s="186">
        <f t="shared" si="31"/>
        <v>2.1154916105628887E-2</v>
      </c>
      <c r="EE7" s="186">
        <f t="shared" si="32"/>
        <v>-4.2069031456162143E-2</v>
      </c>
      <c r="EF7" s="34">
        <f t="shared" si="148"/>
        <v>40224</v>
      </c>
      <c r="EG7" s="186">
        <f t="shared" si="33"/>
        <v>2.4029621239547078E-2</v>
      </c>
      <c r="EH7" s="186">
        <f t="shared" si="149"/>
        <v>-2.9601215893464539E-2</v>
      </c>
      <c r="EI7" s="34">
        <v>21823.200000000001</v>
      </c>
      <c r="EJ7" s="186">
        <f t="shared" si="34"/>
        <v>2.4063035467374119E-2</v>
      </c>
      <c r="EK7" s="186">
        <f t="shared" si="35"/>
        <v>7.0814524043179672E-2</v>
      </c>
      <c r="EL7" s="34">
        <f t="shared" si="150"/>
        <v>62047.199999999997</v>
      </c>
      <c r="EM7" s="186">
        <f t="shared" si="36"/>
        <v>2.4041363084748756E-2</v>
      </c>
      <c r="EN7" s="186">
        <f t="shared" si="151"/>
        <v>3.4966279050960836E-3</v>
      </c>
      <c r="EO7" s="34">
        <v>22847.200000000001</v>
      </c>
      <c r="EP7" s="186">
        <f t="shared" si="37"/>
        <v>1.7140276408638258E-2</v>
      </c>
      <c r="EQ7" s="186">
        <f t="shared" si="38"/>
        <v>-3.0748345494654661E-2</v>
      </c>
      <c r="ER7" s="34">
        <v>84894.3</v>
      </c>
      <c r="ES7" s="186">
        <f t="shared" si="39"/>
        <v>2.1690966523915705E-2</v>
      </c>
      <c r="ET7" s="186">
        <f t="shared" si="40"/>
        <v>-5.9564652295586162E-3</v>
      </c>
      <c r="EU7" s="34">
        <v>23633.599999999999</v>
      </c>
      <c r="EV7" s="186">
        <f t="shared" si="41"/>
        <v>2.9015513507408077E-2</v>
      </c>
      <c r="EW7" s="39">
        <f t="shared" si="42"/>
        <v>0.17079163776875061</v>
      </c>
      <c r="EX7" s="34">
        <v>24107</v>
      </c>
      <c r="EY7" s="186">
        <f t="shared" si="43"/>
        <v>2.1694603482007708E-2</v>
      </c>
      <c r="EZ7" s="186">
        <f t="shared" si="44"/>
        <v>0.20306417806168287</v>
      </c>
      <c r="FA7" s="34">
        <f t="shared" si="152"/>
        <v>47740.6</v>
      </c>
      <c r="FB7" s="186">
        <f t="shared" si="45"/>
        <v>2.4791116437851101E-2</v>
      </c>
      <c r="FC7" s="186">
        <f>(FA7/EF7)-1</f>
        <v>0.18686853619729504</v>
      </c>
      <c r="FD7" s="34">
        <v>25862.9</v>
      </c>
      <c r="FE7" s="186">
        <f t="shared" si="46"/>
        <v>2.4699763439853844E-2</v>
      </c>
      <c r="FF7" s="186">
        <f t="shared" si="47"/>
        <v>0.1851103412881705</v>
      </c>
      <c r="FG7" s="34">
        <f t="shared" si="153"/>
        <v>73603.5</v>
      </c>
      <c r="FH7" s="186">
        <f t="shared" si="48"/>
        <v>2.4758939789189E-2</v>
      </c>
      <c r="FI7" s="186">
        <f t="shared" si="49"/>
        <v>0.18625014505086446</v>
      </c>
      <c r="FJ7" s="34">
        <v>26285.02</v>
      </c>
      <c r="FK7" s="186">
        <f t="shared" si="50"/>
        <v>1.574135214428973E-2</v>
      </c>
      <c r="FL7" s="186">
        <f t="shared" si="154"/>
        <v>0.15047007948457569</v>
      </c>
      <c r="FM7" s="34">
        <f>SUM(FJ7,FG7)</f>
        <v>99888.52</v>
      </c>
      <c r="FN7" s="186">
        <f t="shared" si="51"/>
        <v>2.1515586484504846E-2</v>
      </c>
      <c r="FO7" s="26">
        <f t="shared" ref="FO7:FO13" si="170">(FM7/ER7)-1</f>
        <v>0.17662222316457044</v>
      </c>
      <c r="FP7" s="34">
        <v>26458.1</v>
      </c>
      <c r="FQ7" s="186">
        <f t="shared" si="52"/>
        <v>2.6172945755988504E-2</v>
      </c>
      <c r="FR7" s="26">
        <f t="shared" si="53"/>
        <v>0.11951205063976711</v>
      </c>
      <c r="FS7" s="34">
        <v>28615</v>
      </c>
      <c r="FT7" s="186">
        <f t="shared" si="54"/>
        <v>2.1130146401309714E-2</v>
      </c>
      <c r="FU7" s="186">
        <f t="shared" si="112"/>
        <v>0.18699962666445424</v>
      </c>
      <c r="FV7" s="34">
        <f>FP7+FS7</f>
        <v>55073.1</v>
      </c>
      <c r="FW7" s="186">
        <f t="shared" si="55"/>
        <v>2.3285528728447573E-2</v>
      </c>
      <c r="FX7" s="186">
        <f t="shared" si="113"/>
        <v>0.15359044503001629</v>
      </c>
      <c r="FY7" s="34">
        <v>28845.987880000001</v>
      </c>
      <c r="FZ7" s="186">
        <f t="shared" si="56"/>
        <v>2.3107014278676511E-2</v>
      </c>
      <c r="GA7" s="186">
        <f t="shared" si="57"/>
        <v>0.11534235835888462</v>
      </c>
      <c r="GB7" s="34">
        <f>FV7+FY7</f>
        <v>83919.087880000006</v>
      </c>
      <c r="GC7" s="186">
        <f t="shared" si="58"/>
        <v>2.3223858589738553E-2</v>
      </c>
      <c r="GD7" s="186">
        <f t="shared" si="59"/>
        <v>0.14015077924283492</v>
      </c>
      <c r="GE7" s="34">
        <v>34097</v>
      </c>
      <c r="GF7" s="186">
        <f t="shared" si="60"/>
        <v>1.8557543788227278E-2</v>
      </c>
      <c r="GG7" s="186">
        <f>(GE7/FJ7)-1</f>
        <v>0.29720274133327651</v>
      </c>
      <c r="GH7" s="34">
        <v>118015</v>
      </c>
      <c r="GI7" s="186">
        <f t="shared" si="62"/>
        <v>2.1650743773633921E-2</v>
      </c>
      <c r="GJ7" s="186">
        <f t="shared" si="63"/>
        <v>0.18146709952254758</v>
      </c>
      <c r="GK7" s="34">
        <v>29855</v>
      </c>
      <c r="GL7" s="186">
        <f t="shared" si="64"/>
        <v>2.7742466649568646E-2</v>
      </c>
      <c r="GM7" s="26">
        <f t="shared" si="65"/>
        <v>0.12838790389332577</v>
      </c>
      <c r="GN7" s="34">
        <v>27426</v>
      </c>
      <c r="GO7" s="186">
        <f t="shared" si="66"/>
        <v>1.8724806921337513E-2</v>
      </c>
      <c r="GP7" s="186">
        <f t="shared" si="67"/>
        <v>-4.1551633758518225E-2</v>
      </c>
      <c r="GQ7" s="34">
        <f>GK7+GN7</f>
        <v>57281</v>
      </c>
      <c r="GR7" s="186">
        <f t="shared" si="68"/>
        <v>2.2544154758512552E-2</v>
      </c>
      <c r="GS7" s="186">
        <f t="shared" si="69"/>
        <v>4.0090352640399729E-2</v>
      </c>
      <c r="GT7" s="34">
        <v>28615</v>
      </c>
      <c r="GU7" s="186">
        <f t="shared" si="70"/>
        <v>2.2702785901185161E-2</v>
      </c>
      <c r="GV7" s="186">
        <f t="shared" si="71"/>
        <v>-8.0076259118223581E-3</v>
      </c>
      <c r="GW7" s="34">
        <f>GQ7+GT7</f>
        <v>85896</v>
      </c>
      <c r="GX7" s="186">
        <f t="shared" si="72"/>
        <v>2.2596753597628572E-2</v>
      </c>
      <c r="GY7" s="186">
        <f t="shared" si="73"/>
        <v>2.3557359474960959E-2</v>
      </c>
      <c r="GZ7" s="34">
        <v>28925</v>
      </c>
      <c r="HA7" s="186">
        <f t="shared" si="74"/>
        <v>1.5061150614630326E-2</v>
      </c>
      <c r="HB7" s="186">
        <f t="shared" si="75"/>
        <v>-0.15168489896471826</v>
      </c>
      <c r="HC7" s="34">
        <f>GW7+GZ7</f>
        <v>114821</v>
      </c>
      <c r="HD7" s="186">
        <f t="shared" si="76"/>
        <v>2.006743382016506E-2</v>
      </c>
      <c r="HE7" s="186">
        <f t="shared" si="77"/>
        <v>-2.706435622590353E-2</v>
      </c>
      <c r="HF7" s="34">
        <v>25364</v>
      </c>
      <c r="HG7" s="186">
        <f t="shared" si="78"/>
        <v>2.0542908144918052E-2</v>
      </c>
      <c r="HH7" s="26">
        <f t="shared" si="79"/>
        <v>-0.1504270641433596</v>
      </c>
      <c r="HI7" s="34">
        <v>22319</v>
      </c>
      <c r="HJ7" s="186">
        <f t="shared" si="80"/>
        <v>1.3688808529638335E-2</v>
      </c>
      <c r="HK7" s="186">
        <f t="shared" si="81"/>
        <v>-0.18621016553635239</v>
      </c>
      <c r="HL7" s="34">
        <f>HF7+HI7</f>
        <v>47683</v>
      </c>
      <c r="HM7" s="186">
        <f t="shared" si="82"/>
        <v>1.6642467732815847E-2</v>
      </c>
      <c r="HN7" s="186">
        <f t="shared" si="83"/>
        <v>-0.16755992388401042</v>
      </c>
      <c r="HO7" s="34">
        <v>19718.706029999998</v>
      </c>
      <c r="HP7" s="186">
        <f t="shared" si="84"/>
        <v>1.3036488716614943E-2</v>
      </c>
      <c r="HQ7" s="186">
        <f t="shared" si="85"/>
        <v>-0.31089617228726196</v>
      </c>
      <c r="HR7" s="34">
        <f>HL7+HO7</f>
        <v>67401.706030000001</v>
      </c>
      <c r="HS7" s="186">
        <f t="shared" si="86"/>
        <v>1.5396539025583649E-2</v>
      </c>
      <c r="HT7" s="186">
        <f t="shared" si="87"/>
        <v>-0.21531030513644411</v>
      </c>
      <c r="HU7" s="210">
        <v>24422.24566</v>
      </c>
      <c r="HV7" s="186">
        <f t="shared" si="88"/>
        <v>1.0989353933102497E-2</v>
      </c>
      <c r="HW7" s="186">
        <f t="shared" si="89"/>
        <v>-0.15566998582541047</v>
      </c>
      <c r="HX7" s="34">
        <f>HR7+HU7</f>
        <v>91823.951690000002</v>
      </c>
      <c r="HY7" s="186">
        <f t="shared" si="90"/>
        <v>1.3912566071617692E-2</v>
      </c>
      <c r="HZ7" s="186">
        <f t="shared" si="91"/>
        <v>-0.20028608277231519</v>
      </c>
      <c r="IA7" s="34">
        <v>23110</v>
      </c>
      <c r="IB7" s="186">
        <f t="shared" si="92"/>
        <v>1.6521079567835439E-2</v>
      </c>
      <c r="IC7" s="26">
        <f t="shared" si="114"/>
        <v>-8.8866109446459562E-2</v>
      </c>
      <c r="ID7" s="34">
        <v>23038</v>
      </c>
      <c r="IE7" s="186">
        <f t="shared" si="93"/>
        <v>1.2942471226624706E-2</v>
      </c>
      <c r="IF7" s="26">
        <f t="shared" si="115"/>
        <v>3.2214704959899532E-2</v>
      </c>
      <c r="IG7" s="34">
        <v>46147</v>
      </c>
      <c r="IH7" s="186">
        <f t="shared" si="94"/>
        <v>1.4516885037041698E-2</v>
      </c>
      <c r="II7" s="26">
        <f t="shared" si="116"/>
        <v>-3.2212738292473175E-2</v>
      </c>
      <c r="IJ7" s="34">
        <v>20790.579399999999</v>
      </c>
      <c r="IK7" s="186">
        <f t="shared" si="117"/>
        <v>1.2147854610768226E-2</v>
      </c>
      <c r="IL7" s="26">
        <f t="shared" si="118"/>
        <v>5.4358200196770179E-2</v>
      </c>
      <c r="IM7" s="34">
        <f t="shared" si="119"/>
        <v>66937.579400000002</v>
      </c>
      <c r="IN7" s="186">
        <f t="shared" si="120"/>
        <v>1.3687794161923447E-2</v>
      </c>
      <c r="IO7" s="26">
        <f t="shared" si="121"/>
        <v>-6.8859774824308051E-3</v>
      </c>
      <c r="IP7" s="34">
        <v>19661.757129999998</v>
      </c>
      <c r="IQ7" s="186">
        <f t="shared" si="97"/>
        <v>7.576428826852841E-3</v>
      </c>
      <c r="IR7" s="26">
        <f t="shared" si="122"/>
        <v>-0.19492427503491105</v>
      </c>
      <c r="IS7" s="34">
        <f t="shared" si="123"/>
        <v>86599.33653</v>
      </c>
      <c r="IT7" s="186">
        <f t="shared" si="98"/>
        <v>1.156904838103554E-2</v>
      </c>
      <c r="IU7" s="26">
        <f t="shared" si="124"/>
        <v>-5.6898173775383087E-2</v>
      </c>
      <c r="IV7" s="34"/>
      <c r="IW7" s="70"/>
      <c r="IX7" s="70"/>
      <c r="IY7" s="34"/>
      <c r="IZ7" s="186"/>
      <c r="JA7" s="26"/>
      <c r="JB7" s="210"/>
      <c r="JC7" s="186"/>
      <c r="JD7" s="26"/>
      <c r="JE7" s="210"/>
      <c r="JF7" s="186"/>
      <c r="JG7" s="26"/>
      <c r="JH7" s="34"/>
      <c r="JI7" s="186"/>
      <c r="JJ7" s="26"/>
      <c r="JK7" s="210"/>
      <c r="JL7" s="186"/>
      <c r="JM7" s="26"/>
      <c r="JN7" s="34"/>
      <c r="JO7" s="186"/>
      <c r="JP7" s="26"/>
      <c r="JQ7" s="210"/>
      <c r="JR7" s="186"/>
      <c r="JS7" s="26"/>
      <c r="JT7" s="210"/>
      <c r="JU7" s="186"/>
      <c r="JV7" s="26"/>
      <c r="JW7" s="210"/>
      <c r="JX7" s="186"/>
      <c r="JY7" s="26"/>
      <c r="JZ7" s="210"/>
      <c r="KA7" s="186"/>
      <c r="KB7" s="26"/>
      <c r="KC7" s="210"/>
      <c r="KD7" s="186"/>
      <c r="KE7" s="26"/>
      <c r="KF7" s="210"/>
      <c r="KG7" s="186"/>
      <c r="KH7" s="26"/>
      <c r="KI7" s="210"/>
      <c r="KJ7" s="186"/>
      <c r="KK7" s="26"/>
    </row>
    <row r="8" spans="2:297" ht="16.5" customHeight="1">
      <c r="B8" s="66" t="s">
        <v>213</v>
      </c>
      <c r="C8" s="66" t="s">
        <v>216</v>
      </c>
      <c r="D8" s="69" t="s">
        <v>77</v>
      </c>
      <c r="E8" s="22" t="s">
        <v>77</v>
      </c>
      <c r="F8" s="69" t="s">
        <v>77</v>
      </c>
      <c r="G8" s="22" t="s">
        <v>77</v>
      </c>
      <c r="H8" s="69" t="s">
        <v>77</v>
      </c>
      <c r="I8" s="70" t="s">
        <v>77</v>
      </c>
      <c r="J8" s="69" t="s">
        <v>77</v>
      </c>
      <c r="K8" s="22" t="s">
        <v>77</v>
      </c>
      <c r="L8" s="69" t="s">
        <v>77</v>
      </c>
      <c r="M8" s="70" t="s">
        <v>77</v>
      </c>
      <c r="N8" s="69" t="s">
        <v>77</v>
      </c>
      <c r="O8" s="22" t="s">
        <v>77</v>
      </c>
      <c r="P8" s="69" t="s">
        <v>77</v>
      </c>
      <c r="Q8" s="22" t="s">
        <v>77</v>
      </c>
      <c r="R8" s="69" t="s">
        <v>77</v>
      </c>
      <c r="S8" s="22" t="s">
        <v>77</v>
      </c>
      <c r="T8" s="69" t="s">
        <v>77</v>
      </c>
      <c r="U8" s="22" t="s">
        <v>77</v>
      </c>
      <c r="V8" s="69" t="s">
        <v>77</v>
      </c>
      <c r="W8" s="70" t="s">
        <v>77</v>
      </c>
      <c r="X8" s="69" t="s">
        <v>77</v>
      </c>
      <c r="Y8" s="22" t="s">
        <v>77</v>
      </c>
      <c r="Z8" s="69" t="s">
        <v>77</v>
      </c>
      <c r="AA8" s="70" t="s">
        <v>77</v>
      </c>
      <c r="AB8" s="69" t="s">
        <v>77</v>
      </c>
      <c r="AC8" s="22" t="s">
        <v>77</v>
      </c>
      <c r="AD8" s="69" t="s">
        <v>77</v>
      </c>
      <c r="AE8" s="22" t="s">
        <v>77</v>
      </c>
      <c r="AF8" s="69">
        <f>SUM(AF9:AF11)</f>
        <v>-22079</v>
      </c>
      <c r="AG8" s="22">
        <f>AF8/$AF$16</f>
        <v>-5.7589929652592839E-2</v>
      </c>
      <c r="AH8" s="69">
        <f>SUM(AH9:AH11)</f>
        <v>-29959</v>
      </c>
      <c r="AI8" s="22">
        <f>AH8/$AH$16</f>
        <v>-5.8714815990718205E-2</v>
      </c>
      <c r="AJ8" s="69">
        <f>SUM(AJ9:AJ11)</f>
        <v>-52038</v>
      </c>
      <c r="AK8" s="70">
        <f>AJ8/AJ16</f>
        <v>-5.8232219410963612E-2</v>
      </c>
      <c r="AL8" s="69">
        <f>SUM(AL9:AL11)</f>
        <v>-26464</v>
      </c>
      <c r="AM8" s="22">
        <f>AL8/$AL$16</f>
        <v>-5.8935403555187359E-2</v>
      </c>
      <c r="AN8" s="69">
        <f>SUM(AN9:AN11)</f>
        <v>-78502</v>
      </c>
      <c r="AO8" s="70">
        <f>AN8/AN16</f>
        <v>-5.8467389061886713E-2</v>
      </c>
      <c r="AP8" s="69">
        <f>SUM(AP9:AP11)</f>
        <v>-32625</v>
      </c>
      <c r="AQ8" s="22">
        <f>AP8/$AP$16</f>
        <v>-5.3156129940465133E-2</v>
      </c>
      <c r="AR8" s="69">
        <f>SUM(AR9:AR11)</f>
        <v>-111127</v>
      </c>
      <c r="AS8" s="22">
        <f>AR8/$AR$16</f>
        <v>-5.6801140040338947E-2</v>
      </c>
      <c r="AT8" s="69">
        <f>SUM(AT9:AT11)</f>
        <v>-22262</v>
      </c>
      <c r="AU8" s="22">
        <f>AT8/$AT$16</f>
        <v>-6.1387181544689216E-2</v>
      </c>
      <c r="AV8" s="70">
        <f t="shared" si="158"/>
        <v>8.2884188595497843E-3</v>
      </c>
      <c r="AW8" s="69">
        <f>SUM(AW9:AW11)</f>
        <v>-32035</v>
      </c>
      <c r="AX8" s="22">
        <f>AW8/$AW$16</f>
        <v>-5.7748606534326487E-2</v>
      </c>
      <c r="AY8" s="70">
        <f t="shared" si="0"/>
        <v>6.9294702760439364E-2</v>
      </c>
      <c r="AZ8" s="69">
        <f>SUM(AZ9:AZ11)</f>
        <v>-54297</v>
      </c>
      <c r="BA8" s="70">
        <f>AZ8/AZ16</f>
        <v>-5.9186968119025789E-2</v>
      </c>
      <c r="BB8" s="68">
        <f>AZ8/AJ8-1</f>
        <v>4.3410584572812105E-2</v>
      </c>
      <c r="BC8" s="69">
        <f>SUM(BC9:BC11)</f>
        <v>-28486</v>
      </c>
      <c r="BD8" s="22">
        <f>BC8/$BC$16</f>
        <v>-5.8525260411316338E-2</v>
      </c>
      <c r="BE8" s="70">
        <f t="shared" si="1"/>
        <v>7.6405683192261264E-2</v>
      </c>
      <c r="BF8" s="69">
        <f>SUM(BF9:BF11)</f>
        <v>-82783</v>
      </c>
      <c r="BG8" s="70">
        <f>BF8/BF16</f>
        <v>-5.8957589535300274E-2</v>
      </c>
      <c r="BH8" s="68">
        <f>BF8/AN8-1</f>
        <v>5.4533642454969389E-2</v>
      </c>
      <c r="BI8" s="69">
        <f>SUM(BI9:BI11)</f>
        <v>-29635</v>
      </c>
      <c r="BJ8" s="22">
        <f>BI8/$BI$16</f>
        <v>-4.1630493722062546E-2</v>
      </c>
      <c r="BK8" s="71">
        <f t="shared" si="2"/>
        <v>-9.1647509578544062E-2</v>
      </c>
      <c r="BL8" s="69">
        <f>SUM(BL9:BL11)</f>
        <v>-112418</v>
      </c>
      <c r="BM8" s="22">
        <f>BL8/$BL$16</f>
        <v>-5.3128402697961409E-2</v>
      </c>
      <c r="BN8" s="71">
        <f t="shared" si="3"/>
        <v>1.161733872056292E-2</v>
      </c>
      <c r="BO8" s="69">
        <f>SUM(BO9:BO11)</f>
        <v>-23584</v>
      </c>
      <c r="BP8" s="22">
        <f>BO8/$BO$16</f>
        <v>-5.3570049472340467E-2</v>
      </c>
      <c r="BQ8" s="70">
        <f t="shared" si="4"/>
        <v>5.9383703171323354E-2</v>
      </c>
      <c r="BR8" s="69">
        <f>SUM(BR9:BR11)</f>
        <v>-28569</v>
      </c>
      <c r="BS8" s="22">
        <f>BR8/$BR$16</f>
        <v>-4.5348410845268729E-2</v>
      </c>
      <c r="BT8" s="70">
        <f t="shared" si="5"/>
        <v>-0.10819416263461834</v>
      </c>
      <c r="BU8" s="69">
        <f>SUM(BU9:BU11)</f>
        <v>-52153</v>
      </c>
      <c r="BV8" s="70">
        <f>BU8/BU16</f>
        <v>-4.8730419020121749E-2</v>
      </c>
      <c r="BW8" s="68">
        <f t="shared" si="6"/>
        <v>-3.9486527800799309E-2</v>
      </c>
      <c r="BX8" s="69">
        <f>SUM(BX9:BX11)</f>
        <v>-18758</v>
      </c>
      <c r="BY8" s="22">
        <f>BX8/$BX$16</f>
        <v>-3.298167879874811E-2</v>
      </c>
      <c r="BZ8" s="70">
        <f t="shared" si="7"/>
        <v>-0.34150108825387915</v>
      </c>
      <c r="CA8" s="69">
        <f>SUM(CA9:CA11)</f>
        <v>-70911</v>
      </c>
      <c r="CB8" s="70">
        <f>CA8/CA16</f>
        <v>-4.3265455543861256E-2</v>
      </c>
      <c r="CC8" s="68">
        <f t="shared" si="8"/>
        <v>-0.14341108681734172</v>
      </c>
      <c r="CD8" s="69">
        <f>SUM(CD9:CD11)</f>
        <v>-17262</v>
      </c>
      <c r="CE8" s="22">
        <f>CD8/$CD$16</f>
        <v>-2.0956430001371845E-2</v>
      </c>
      <c r="CF8" s="70">
        <f t="shared" si="9"/>
        <v>-0.41751307575501939</v>
      </c>
      <c r="CG8" s="69">
        <f>SUM(CG9:CG11)</f>
        <v>-88170</v>
      </c>
      <c r="CH8" s="22">
        <f>CG8/$CG$16</f>
        <v>-3.5802400957654329E-2</v>
      </c>
      <c r="CI8" s="70">
        <f t="shared" si="10"/>
        <v>-0.21569499546335991</v>
      </c>
      <c r="CJ8" s="69">
        <f>SUM(CJ9:CJ11)</f>
        <v>-18810</v>
      </c>
      <c r="CK8" s="70">
        <f t="shared" si="11"/>
        <v>-3.6333292769848584E-2</v>
      </c>
      <c r="CL8" s="70">
        <f t="shared" si="162"/>
        <v>-0.2024253731343284</v>
      </c>
      <c r="CM8" s="69">
        <f>SUM(CM9:CM11)</f>
        <v>-28926</v>
      </c>
      <c r="CN8" s="70">
        <f t="shared" si="12"/>
        <v>-3.8585852387704712E-2</v>
      </c>
      <c r="CO8" s="70">
        <f>(CM8/BR8)-1</f>
        <v>1.2496062165284094E-2</v>
      </c>
      <c r="CP8" s="69">
        <f>SUM(CP9:CP11)</f>
        <v>-47736</v>
      </c>
      <c r="CQ8" s="70">
        <f t="shared" si="13"/>
        <v>-3.7665698775407146E-2</v>
      </c>
      <c r="CR8" s="68">
        <f t="shared" si="164"/>
        <v>-8.4693114490058119E-2</v>
      </c>
      <c r="CS8" s="69">
        <f>SUM(CS9:CS11)</f>
        <v>-24384</v>
      </c>
      <c r="CT8" s="70">
        <f t="shared" si="14"/>
        <v>-3.7109862481661177E-2</v>
      </c>
      <c r="CU8" s="70">
        <f t="shared" si="15"/>
        <v>0.29992536517752422</v>
      </c>
      <c r="CV8" s="69">
        <f>SUM(CV9:CV11)</f>
        <v>-72120</v>
      </c>
      <c r="CW8" s="70">
        <f t="shared" si="16"/>
        <v>-3.7475915021336119E-2</v>
      </c>
      <c r="CX8" s="68">
        <f t="shared" si="165"/>
        <v>1.7049540973896882E-2</v>
      </c>
      <c r="CY8" s="69">
        <f>SUM(CY9:CY11)</f>
        <v>-37308</v>
      </c>
      <c r="CZ8" s="70">
        <f t="shared" si="17"/>
        <v>-3.8375609455039192E-2</v>
      </c>
      <c r="DA8" s="68">
        <f t="shared" si="166"/>
        <v>1.1612791101842195</v>
      </c>
      <c r="DB8" s="69">
        <f>SUM(DB9:DB11)</f>
        <v>-109428</v>
      </c>
      <c r="DC8" s="70">
        <f t="shared" si="18"/>
        <v>-3.7777862934588867E-2</v>
      </c>
      <c r="DD8" s="68">
        <f t="shared" si="167"/>
        <v>0.24110241578768288</v>
      </c>
      <c r="DE8" s="69">
        <f>SUM(DE9:DE11)</f>
        <v>-20227</v>
      </c>
      <c r="DF8" s="70">
        <f t="shared" si="19"/>
        <v>-3.2666396425058829E-2</v>
      </c>
      <c r="DG8" s="68">
        <f t="shared" si="168"/>
        <v>7.5332270069112139E-2</v>
      </c>
      <c r="DH8" s="69">
        <f>SUM(DH9:DH11)</f>
        <v>-33398</v>
      </c>
      <c r="DI8" s="70">
        <f t="shared" si="20"/>
        <v>-3.905426880534725E-2</v>
      </c>
      <c r="DJ8" s="70">
        <f t="shared" si="21"/>
        <v>0.15460139666735806</v>
      </c>
      <c r="DK8" s="69">
        <f>SUM(DK9:DK11)</f>
        <v>-53625</v>
      </c>
      <c r="DL8" s="70">
        <f t="shared" si="22"/>
        <v>-3.6371516473499156E-2</v>
      </c>
      <c r="DM8" s="70">
        <f t="shared" si="169"/>
        <v>0.12336601307189543</v>
      </c>
      <c r="DN8" s="69">
        <f>SUM(DN9:DN11)</f>
        <v>-29018</v>
      </c>
      <c r="DO8" s="70">
        <f t="shared" si="23"/>
        <v>-3.6125289445509551E-2</v>
      </c>
      <c r="DP8" s="70">
        <f t="shared" si="24"/>
        <v>0.19004265091863526</v>
      </c>
      <c r="DQ8" s="69">
        <f>SUM(DQ9:DQ11)</f>
        <v>-82643</v>
      </c>
      <c r="DR8" s="70">
        <f t="shared" si="25"/>
        <v>-3.6284678621794256E-2</v>
      </c>
      <c r="DS8" s="70">
        <f t="shared" si="145"/>
        <v>0.14590959511924573</v>
      </c>
      <c r="DT8" s="69">
        <f>SUM(DT9:DT11)</f>
        <v>-43440</v>
      </c>
      <c r="DU8" s="70">
        <f t="shared" si="26"/>
        <v>-3.6678904226179823E-2</v>
      </c>
      <c r="DV8" s="70">
        <f t="shared" si="27"/>
        <v>0.16436153103891926</v>
      </c>
      <c r="DW8" s="69">
        <f>SUM(DW9:DW11)</f>
        <v>-126085</v>
      </c>
      <c r="DX8" s="70">
        <f t="shared" si="28"/>
        <v>-3.6420120394227547E-2</v>
      </c>
      <c r="DY8" s="70">
        <f t="shared" si="147"/>
        <v>0.15221881054209163</v>
      </c>
      <c r="DZ8" s="69">
        <f>SUM(DZ9:DZ11)</f>
        <v>-28825</v>
      </c>
      <c r="EA8" s="70">
        <f t="shared" si="29"/>
        <v>-3.9663919662158348E-2</v>
      </c>
      <c r="EB8" s="70">
        <f t="shared" si="30"/>
        <v>0.42507539427497898</v>
      </c>
      <c r="EC8" s="69">
        <f>SUM(EC9:EC11)</f>
        <v>-37145</v>
      </c>
      <c r="ED8" s="70">
        <f t="shared" si="31"/>
        <v>-3.9215458565904034E-2</v>
      </c>
      <c r="EE8" s="70">
        <f t="shared" si="32"/>
        <v>0.11219234684711665</v>
      </c>
      <c r="EF8" s="69">
        <f>SUM(EF9:EF11)</f>
        <v>-65970</v>
      </c>
      <c r="EG8" s="70">
        <f t="shared" si="33"/>
        <v>-3.941015595596959E-2</v>
      </c>
      <c r="EH8" s="70">
        <f t="shared" si="149"/>
        <v>0.23020979020979015</v>
      </c>
      <c r="EI8" s="69">
        <f>SUM(EI9:EI11)</f>
        <v>-33115</v>
      </c>
      <c r="EJ8" s="70">
        <f t="shared" si="34"/>
        <v>-3.6513775225544096E-2</v>
      </c>
      <c r="EK8" s="70">
        <f t="shared" si="35"/>
        <v>0.14118822799641606</v>
      </c>
      <c r="EL8" s="69">
        <f>SUM(EL9:EL11)</f>
        <v>-99085</v>
      </c>
      <c r="EM8" s="70">
        <f t="shared" si="36"/>
        <v>-3.8392360352317759E-2</v>
      </c>
      <c r="EN8" s="70">
        <f t="shared" si="151"/>
        <v>0.19895211935675139</v>
      </c>
      <c r="EO8" s="69">
        <f>SUM(EO9:EO11)</f>
        <v>-43403.4</v>
      </c>
      <c r="EP8" s="70">
        <f t="shared" si="37"/>
        <v>-3.2561813836036353E-2</v>
      </c>
      <c r="EQ8" s="70">
        <f t="shared" si="38"/>
        <v>-8.4254143646400603E-4</v>
      </c>
      <c r="ER8" s="69">
        <f>SUM(ER9:ER11)</f>
        <v>-142489.29999999999</v>
      </c>
      <c r="ES8" s="70">
        <f t="shared" si="39"/>
        <v>-3.6406809836657839E-2</v>
      </c>
      <c r="ET8" s="70">
        <f t="shared" si="40"/>
        <v>0.1301050878375698</v>
      </c>
      <c r="EU8" s="69">
        <f>SUM(EU9:EU11)</f>
        <v>-29171.200000000001</v>
      </c>
      <c r="EV8" s="70">
        <f t="shared" si="41"/>
        <v>-3.5814152208182529E-2</v>
      </c>
      <c r="EW8" s="68">
        <f t="shared" si="42"/>
        <v>1.2010407632263576E-2</v>
      </c>
      <c r="EX8" s="69">
        <f>SUM(EX9:EX11)</f>
        <v>-54043</v>
      </c>
      <c r="EY8" s="70">
        <f t="shared" si="43"/>
        <v>-4.8634896751074068E-2</v>
      </c>
      <c r="EZ8" s="70">
        <f t="shared" si="44"/>
        <v>0.45491990846681918</v>
      </c>
      <c r="FA8" s="69">
        <f>SUM(FA9:FA11)</f>
        <v>-83214.2</v>
      </c>
      <c r="FB8" s="70">
        <f t="shared" si="45"/>
        <v>-4.3212128073016033E-2</v>
      </c>
      <c r="FC8" s="70">
        <f t="shared" ref="FC8:FC13" si="171">(FA8/EF8)-1</f>
        <v>0.26139457329088978</v>
      </c>
      <c r="FD8" s="69">
        <f>SUM(FD9:FD11)</f>
        <v>-51852.619999999995</v>
      </c>
      <c r="FE8" s="70">
        <f t="shared" si="46"/>
        <v>-4.9520643382475825E-2</v>
      </c>
      <c r="FF8" s="70">
        <f t="shared" si="47"/>
        <v>0.56583481805828151</v>
      </c>
      <c r="FG8" s="69">
        <f>SUM(FG9:FG11)</f>
        <v>-135066.82</v>
      </c>
      <c r="FH8" s="70">
        <f t="shared" si="48"/>
        <v>-4.5434133755829935E-2</v>
      </c>
      <c r="FI8" s="70">
        <f t="shared" si="49"/>
        <v>0.36314093959731553</v>
      </c>
      <c r="FJ8" s="69">
        <f>SUM(FJ9:FJ11)</f>
        <v>-53392.459999999992</v>
      </c>
      <c r="FK8" s="70">
        <f t="shared" si="50"/>
        <v>-3.1975228274884457E-2</v>
      </c>
      <c r="FL8" s="70">
        <f t="shared" si="154"/>
        <v>0.23014464304639715</v>
      </c>
      <c r="FM8" s="69">
        <f>SUM(FM9:FM11)</f>
        <v>-188459.28</v>
      </c>
      <c r="FN8" s="70">
        <f t="shared" si="51"/>
        <v>-4.0593372868548999E-2</v>
      </c>
      <c r="FO8" s="22">
        <f t="shared" si="170"/>
        <v>0.32262057572042258</v>
      </c>
      <c r="FP8" s="69">
        <f>SUM(FP9:FP11)</f>
        <v>-45736.72</v>
      </c>
      <c r="FQ8" s="70">
        <f t="shared" si="52"/>
        <v>-4.5243788919719655E-2</v>
      </c>
      <c r="FR8" s="22">
        <f t="shared" si="53"/>
        <v>0.56787242211496269</v>
      </c>
      <c r="FS8" s="69">
        <f>SUM(FS9:FS11)</f>
        <v>-74136</v>
      </c>
      <c r="FT8" s="70">
        <f t="shared" si="54"/>
        <v>-5.4744173811200315E-2</v>
      </c>
      <c r="FU8" s="70">
        <f t="shared" si="112"/>
        <v>0.37179653239087385</v>
      </c>
      <c r="FV8" s="69">
        <f>SUM(FV9:FV11)</f>
        <v>-119872.72</v>
      </c>
      <c r="FW8" s="70">
        <f t="shared" si="55"/>
        <v>-5.0683539973547014E-2</v>
      </c>
      <c r="FX8" s="70">
        <f t="shared" si="113"/>
        <v>0.44053202458234297</v>
      </c>
      <c r="FY8" s="69">
        <f>SUM(FY9:FY11)</f>
        <v>-76307.037290000007</v>
      </c>
      <c r="FZ8" s="70">
        <f t="shared" si="56"/>
        <v>-6.1125582093378143E-2</v>
      </c>
      <c r="GA8" s="70">
        <f t="shared" si="57"/>
        <v>0.47161391825523991</v>
      </c>
      <c r="GB8" s="69">
        <f>SUM(GB9:GB11)</f>
        <v>-196179.75728999998</v>
      </c>
      <c r="GC8" s="70">
        <f t="shared" si="58"/>
        <v>-5.4290996918211383E-2</v>
      </c>
      <c r="GD8" s="70">
        <f t="shared" si="59"/>
        <v>0.45246447121506206</v>
      </c>
      <c r="GE8" s="69">
        <f>SUM(GE9:GE11)</f>
        <v>-84962.580940378</v>
      </c>
      <c r="GF8" s="70">
        <f t="shared" si="60"/>
        <v>-4.6241511457367775E-2</v>
      </c>
      <c r="GG8" s="70">
        <f t="shared" si="61"/>
        <v>0.59128425512475014</v>
      </c>
      <c r="GH8" s="69">
        <f>SUM(GH9:GH11)</f>
        <v>-281143.33235320012</v>
      </c>
      <c r="GI8" s="70">
        <f t="shared" si="62"/>
        <v>-5.1577869359358888E-2</v>
      </c>
      <c r="GJ8" s="70">
        <f t="shared" si="63"/>
        <v>0.49179882441023937</v>
      </c>
      <c r="GK8" s="69">
        <f>SUM(GK9:GK11)</f>
        <v>-50177</v>
      </c>
      <c r="GL8" s="70">
        <f t="shared" si="64"/>
        <v>-4.6626486319725539E-2</v>
      </c>
      <c r="GM8" s="22">
        <f t="shared" si="65"/>
        <v>9.7083481281561079E-2</v>
      </c>
      <c r="GN8" s="69">
        <f>SUM(GN9:GN11)</f>
        <v>-77523</v>
      </c>
      <c r="GO8" s="70">
        <f t="shared" si="66"/>
        <v>-5.2927995586773427E-2</v>
      </c>
      <c r="GP8" s="70">
        <f t="shared" si="67"/>
        <v>4.5686306247976649E-2</v>
      </c>
      <c r="GQ8" s="69">
        <f>SUM(GQ9:GQ11)</f>
        <v>-127700</v>
      </c>
      <c r="GR8" s="70">
        <f t="shared" si="68"/>
        <v>-5.0259048596603635E-2</v>
      </c>
      <c r="GS8" s="70">
        <f t="shared" si="69"/>
        <v>6.5296591251120306E-2</v>
      </c>
      <c r="GT8" s="69">
        <f>SUM(GT9:GT11)</f>
        <v>-68812</v>
      </c>
      <c r="GU8" s="70">
        <f t="shared" si="70"/>
        <v>-5.4594586875147767E-2</v>
      </c>
      <c r="GV8" s="70">
        <f t="shared" si="71"/>
        <v>-9.8222097937253117E-2</v>
      </c>
      <c r="GW8" s="69">
        <f>SUM(GW9:GW11)</f>
        <v>-196512</v>
      </c>
      <c r="GX8" s="70">
        <f t="shared" si="72"/>
        <v>-5.169662432449923E-2</v>
      </c>
      <c r="GY8" s="70">
        <f t="shared" si="73"/>
        <v>1.6935626518739255E-3</v>
      </c>
      <c r="GZ8" s="69">
        <f>SUM(GZ9:GZ11)</f>
        <v>-65692</v>
      </c>
      <c r="HA8" s="70">
        <f t="shared" si="74"/>
        <v>-3.4205604362188259E-2</v>
      </c>
      <c r="HB8" s="70">
        <f t="shared" si="75"/>
        <v>-0.22681256533274363</v>
      </c>
      <c r="HC8" s="69">
        <f>SUM(HC9:HC11)</f>
        <v>-262204</v>
      </c>
      <c r="HD8" s="70">
        <f t="shared" si="76"/>
        <v>-4.5825775924112834E-2</v>
      </c>
      <c r="HE8" s="70">
        <f t="shared" si="77"/>
        <v>-6.7365397552472173E-2</v>
      </c>
      <c r="HF8" s="69">
        <f>SUM(HF9:HF11)</f>
        <v>-46366</v>
      </c>
      <c r="HG8" s="70">
        <f t="shared" si="78"/>
        <v>-3.7552928522601732E-2</v>
      </c>
      <c r="HH8" s="22">
        <f t="shared" si="79"/>
        <v>-7.5951132989218184E-2</v>
      </c>
      <c r="HI8" s="69">
        <f>SUM(HI9:HI11)</f>
        <v>-59277</v>
      </c>
      <c r="HJ8" s="70">
        <f t="shared" si="80"/>
        <v>-3.6356086886122657E-2</v>
      </c>
      <c r="HK8" s="70">
        <f t="shared" si="81"/>
        <v>-0.23536240857551949</v>
      </c>
      <c r="HL8" s="69">
        <f>SUM(HL9:HL11)</f>
        <v>-105643</v>
      </c>
      <c r="HM8" s="70">
        <f t="shared" si="82"/>
        <v>-3.6871845703874855E-2</v>
      </c>
      <c r="HN8" s="70">
        <f t="shared" si="83"/>
        <v>-0.1727251370399373</v>
      </c>
      <c r="HO8" s="69">
        <f>SUM(HO9:HO11)</f>
        <v>-71408</v>
      </c>
      <c r="HP8" s="70">
        <f t="shared" si="84"/>
        <v>-4.7209466222568358E-2</v>
      </c>
      <c r="HQ8" s="70">
        <f t="shared" si="85"/>
        <v>3.7725978027088214E-2</v>
      </c>
      <c r="HR8" s="69">
        <f>SUM(HR9:HR11)</f>
        <v>-177051</v>
      </c>
      <c r="HS8" s="70">
        <f t="shared" si="86"/>
        <v>-4.0443674078595289E-2</v>
      </c>
      <c r="HT8" s="70">
        <f t="shared" si="87"/>
        <v>-9.9032120175867155E-2</v>
      </c>
      <c r="HU8" s="69">
        <f>SUM(HU9:HU11)</f>
        <v>-78784</v>
      </c>
      <c r="HV8" s="70">
        <f t="shared" si="88"/>
        <v>-3.545068182176115E-2</v>
      </c>
      <c r="HW8" s="70">
        <f t="shared" si="89"/>
        <v>0.19929367350666749</v>
      </c>
      <c r="HX8" s="69">
        <f>SUM(HX9:HX11)</f>
        <v>-255835</v>
      </c>
      <c r="HY8" s="70">
        <f t="shared" si="90"/>
        <v>-3.8762450051688824E-2</v>
      </c>
      <c r="HZ8" s="70">
        <f t="shared" si="91"/>
        <v>-2.4290247288370925E-2</v>
      </c>
      <c r="IA8" s="69">
        <f>SUM(IA9:IA11)</f>
        <v>-57423</v>
      </c>
      <c r="IB8" s="70">
        <f t="shared" si="92"/>
        <v>-4.1051058071130006E-2</v>
      </c>
      <c r="IC8" s="22">
        <f t="shared" si="114"/>
        <v>0.23847215632144247</v>
      </c>
      <c r="ID8" s="69">
        <f>SUM(ID9:ID11)</f>
        <v>-79119</v>
      </c>
      <c r="IE8" s="70">
        <f t="shared" si="93"/>
        <v>-4.4448102308330587E-2</v>
      </c>
      <c r="IF8" s="22">
        <f t="shared" si="115"/>
        <v>0.33473353914671788</v>
      </c>
      <c r="IG8" s="69">
        <f>SUM(IG9:IG11)</f>
        <v>-136542</v>
      </c>
      <c r="IH8" s="70">
        <f t="shared" si="94"/>
        <v>-4.2953269264042027E-2</v>
      </c>
      <c r="II8" s="22">
        <f t="shared" si="116"/>
        <v>0.29248506763344473</v>
      </c>
      <c r="IJ8" s="69">
        <f>SUM(IJ9:IJ11)</f>
        <v>-68260.352049999899</v>
      </c>
      <c r="IK8" s="70">
        <f t="shared" si="117"/>
        <v>-3.9884257981922987E-2</v>
      </c>
      <c r="IL8" s="22">
        <f t="shared" si="118"/>
        <v>-4.4079766272687948E-2</v>
      </c>
      <c r="IM8" s="69">
        <f t="shared" si="119"/>
        <v>-204802.3520499999</v>
      </c>
      <c r="IN8" s="70">
        <f t="shared" si="120"/>
        <v>-4.1879202443017814E-2</v>
      </c>
      <c r="IO8" s="22">
        <f t="shared" si="121"/>
        <v>0.15674213672896453</v>
      </c>
      <c r="IP8" s="69">
        <f>SUM(IP9:IP11)</f>
        <v>-75870.733059999897</v>
      </c>
      <c r="IQ8" s="70">
        <f t="shared" si="97"/>
        <v>-2.9235902227332626E-2</v>
      </c>
      <c r="IR8" s="22">
        <f t="shared" si="122"/>
        <v>-3.697790084281205E-2</v>
      </c>
      <c r="IS8" s="69">
        <f t="shared" si="123"/>
        <v>-280673.08510999981</v>
      </c>
      <c r="IT8" s="70">
        <f t="shared" si="98"/>
        <v>-3.7495905061203517E-2</v>
      </c>
      <c r="IU8" s="22">
        <f t="shared" si="124"/>
        <v>9.7086345144330677E-2</v>
      </c>
      <c r="IV8" s="69">
        <f>SUM(IV9:IV11)</f>
        <v>-72515.700909999985</v>
      </c>
      <c r="IW8" s="70">
        <f t="shared" si="125"/>
        <v>-4.3939935243529037E-2</v>
      </c>
      <c r="IX8" s="70">
        <f t="shared" si="126"/>
        <v>0.26283372359507484</v>
      </c>
      <c r="IY8" s="69">
        <f>SUM(IY9:IY11)</f>
        <v>-98455.720109999995</v>
      </c>
      <c r="IZ8" s="70">
        <f t="shared" si="100"/>
        <v>-4.8755564897834676E-2</v>
      </c>
      <c r="JA8" s="22">
        <f t="shared" si="127"/>
        <v>0.24440046145679295</v>
      </c>
      <c r="JB8" s="69">
        <f>SUM(JB9:JB11)</f>
        <v>-170971.42102000001</v>
      </c>
      <c r="JC8" s="70">
        <f t="shared" si="101"/>
        <v>-4.6589887056501182E-2</v>
      </c>
      <c r="JD8" s="22">
        <f t="shared" si="128"/>
        <v>0.25215260520572436</v>
      </c>
      <c r="JE8" s="69">
        <f>SUM(JE9:JE11)</f>
        <v>-101370.70172</v>
      </c>
      <c r="JF8" s="70">
        <f t="shared" si="102"/>
        <v>-5.2471371399703093E-2</v>
      </c>
      <c r="JG8" s="22">
        <f t="shared" si="129"/>
        <v>0.48505975541625035</v>
      </c>
      <c r="JH8" s="69">
        <f t="shared" si="130"/>
        <v>-272342.12274000002</v>
      </c>
      <c r="JI8" s="70">
        <f t="shared" si="103"/>
        <v>-4.8618327102711981E-2</v>
      </c>
      <c r="JJ8" s="22">
        <f t="shared" si="131"/>
        <v>0.32978024917170456</v>
      </c>
      <c r="JK8" s="69">
        <f>SUM(JK9:JK11)</f>
        <v>-108706.75409999999</v>
      </c>
      <c r="JL8" s="70">
        <f t="shared" si="104"/>
        <v>-3.7836602706941523E-2</v>
      </c>
      <c r="JM8" s="22">
        <f t="shared" si="132"/>
        <v>0.43278903096972576</v>
      </c>
      <c r="JN8" s="69">
        <f t="shared" si="133"/>
        <v>-381048.87684000004</v>
      </c>
      <c r="JO8" s="70">
        <f t="shared" si="105"/>
        <v>-4.4963148144717462E-2</v>
      </c>
      <c r="JP8" s="22">
        <f t="shared" si="134"/>
        <v>0.35762528384458925</v>
      </c>
      <c r="JQ8" s="69">
        <f>SUM(JQ9:JQ11)</f>
        <v>-199324.57105000003</v>
      </c>
      <c r="JR8" s="70">
        <f t="shared" si="106"/>
        <v>-0.12858156539885693</v>
      </c>
      <c r="JS8" s="22">
        <f t="shared" si="135"/>
        <v>1.7487091560679238</v>
      </c>
      <c r="JT8" s="69">
        <f>SUM(JT9:JT11)</f>
        <v>-133865.55582000001</v>
      </c>
      <c r="JU8" s="70">
        <f t="shared" ref="JU8:JU10" si="172">(JT8/JT$16)</f>
        <v>-0.24806639256832386</v>
      </c>
      <c r="JV8" s="22">
        <f t="shared" ref="JV8:JV13" si="173">(JT8/IY8)-1</f>
        <v>0.35965239673670824</v>
      </c>
      <c r="JW8" s="69">
        <f>SUM(JW9:JW11)</f>
        <v>-333190.12687000004</v>
      </c>
      <c r="JX8" s="70">
        <f t="shared" ref="JX8:JX10" si="174">(JW8/JW$16)</f>
        <v>-0.15943514973088541</v>
      </c>
      <c r="JY8" s="22">
        <f t="shared" ref="JY8:JY10" si="175">(JW8/JB8)-1</f>
        <v>0.94880597518706877</v>
      </c>
      <c r="JZ8" s="69">
        <f>SUM(JZ9:JZ11)</f>
        <v>-91399.251179999992</v>
      </c>
      <c r="KA8" s="70">
        <f t="shared" ref="KA8:KA10" si="176">(JZ8/JZ$16)</f>
        <v>-5.5353329239333643E-2</v>
      </c>
      <c r="KB8" s="22">
        <f t="shared" ref="KB8:KB10" si="177">(JZ8/JE8)-1</f>
        <v>-9.8366198228976853E-2</v>
      </c>
      <c r="KC8" s="69">
        <f>SUM(KC9:KC11)</f>
        <v>-424589.37805000006</v>
      </c>
      <c r="KD8" s="70">
        <f t="shared" ref="KD8:KD10" si="178">(KC8/KC$16)</f>
        <v>-0.11349583068810508</v>
      </c>
      <c r="KE8" s="22">
        <f t="shared" ref="KE8:KE10" si="179">(KC8/JH8)-1</f>
        <v>0.55902940675595625</v>
      </c>
      <c r="KF8" s="69">
        <f>SUM(KF9:KF11)</f>
        <v>11953.581200000001</v>
      </c>
      <c r="KG8" s="70">
        <f t="shared" ref="KG8:KG10" si="180">(KF8/KF$16)</f>
        <v>4.0943119472194077E-3</v>
      </c>
      <c r="KH8" s="22">
        <f t="shared" ref="KH8:KH10" si="181">(KF8/JK8)-1</f>
        <v>-1.1099617158010608</v>
      </c>
      <c r="KI8" s="69">
        <f>SUM(KI9:KI11)</f>
        <v>-412635.79685000004</v>
      </c>
      <c r="KJ8" s="70">
        <f t="shared" ref="KJ8:KJ10" si="182">(KI8/KI$16)</f>
        <v>-6.1952015352737783E-2</v>
      </c>
      <c r="KK8" s="22">
        <f t="shared" ref="KK8:KK10" si="183">(KI8/JN8)-1</f>
        <v>8.2894667665594834E-2</v>
      </c>
    </row>
    <row r="9" spans="2:297" ht="16.5" customHeight="1">
      <c r="B9" s="222" t="s">
        <v>364</v>
      </c>
      <c r="C9" s="218" t="s">
        <v>376</v>
      </c>
      <c r="D9" s="210" t="s">
        <v>77</v>
      </c>
      <c r="E9" s="26" t="s">
        <v>77</v>
      </c>
      <c r="F9" s="210" t="s">
        <v>77</v>
      </c>
      <c r="G9" s="26" t="s">
        <v>77</v>
      </c>
      <c r="H9" s="210" t="s">
        <v>77</v>
      </c>
      <c r="I9" s="186" t="s">
        <v>77</v>
      </c>
      <c r="J9" s="210" t="s">
        <v>77</v>
      </c>
      <c r="K9" s="26" t="s">
        <v>77</v>
      </c>
      <c r="L9" s="210" t="s">
        <v>77</v>
      </c>
      <c r="M9" s="186" t="s">
        <v>77</v>
      </c>
      <c r="N9" s="210" t="s">
        <v>77</v>
      </c>
      <c r="O9" s="26" t="s">
        <v>77</v>
      </c>
      <c r="P9" s="210" t="s">
        <v>77</v>
      </c>
      <c r="Q9" s="26" t="s">
        <v>77</v>
      </c>
      <c r="R9" s="210" t="s">
        <v>77</v>
      </c>
      <c r="S9" s="26" t="s">
        <v>77</v>
      </c>
      <c r="T9" s="210" t="s">
        <v>77</v>
      </c>
      <c r="U9" s="26" t="s">
        <v>77</v>
      </c>
      <c r="V9" s="210" t="s">
        <v>77</v>
      </c>
      <c r="W9" s="186" t="s">
        <v>77</v>
      </c>
      <c r="X9" s="210" t="s">
        <v>77</v>
      </c>
      <c r="Y9" s="26" t="s">
        <v>77</v>
      </c>
      <c r="Z9" s="210" t="s">
        <v>77</v>
      </c>
      <c r="AA9" s="186" t="s">
        <v>77</v>
      </c>
      <c r="AB9" s="210" t="s">
        <v>77</v>
      </c>
      <c r="AC9" s="26" t="s">
        <v>77</v>
      </c>
      <c r="AD9" s="210" t="s">
        <v>77</v>
      </c>
      <c r="AE9" s="26" t="s">
        <v>77</v>
      </c>
      <c r="AF9" s="210">
        <v>-15924</v>
      </c>
      <c r="AG9" s="26">
        <f>AF9/$AF$16</f>
        <v>-4.1535488010683831E-2</v>
      </c>
      <c r="AH9" s="210">
        <v>-23730</v>
      </c>
      <c r="AI9" s="26">
        <f>AH9/$AH$16</f>
        <v>-4.6506978986606461E-2</v>
      </c>
      <c r="AJ9" s="211">
        <v>-39654</v>
      </c>
      <c r="AK9" s="186">
        <f>AJ9/AJ$16</f>
        <v>-4.4374119461208172E-2</v>
      </c>
      <c r="AL9" s="210">
        <v>-21331</v>
      </c>
      <c r="AM9" s="26">
        <f>AL9/$AL$16</f>
        <v>-4.7504197900381712E-2</v>
      </c>
      <c r="AN9" s="211">
        <v>-60985</v>
      </c>
      <c r="AO9" s="186">
        <f>AN9/AN$16</f>
        <v>-4.5420928408692281E-2</v>
      </c>
      <c r="AP9" s="210">
        <v>-27621</v>
      </c>
      <c r="AQ9" s="26">
        <f>AP9/$AP$16</f>
        <v>-4.5003079389596551E-2</v>
      </c>
      <c r="AR9" s="210">
        <v>-88606</v>
      </c>
      <c r="AS9" s="26">
        <f>AR9/$AR$16</f>
        <v>-4.5289819885484826E-2</v>
      </c>
      <c r="AT9" s="210">
        <v>-17008</v>
      </c>
      <c r="AU9" s="26">
        <f>AT9/$AT$16</f>
        <v>-4.6899343442281652E-2</v>
      </c>
      <c r="AV9" s="186">
        <f>(AT9/AF9)-1</f>
        <v>6.8073348404923406E-2</v>
      </c>
      <c r="AW9" s="210">
        <v>-25930</v>
      </c>
      <c r="AX9" s="26">
        <f>AW9/$AW$16</f>
        <v>-4.6743292256440951E-2</v>
      </c>
      <c r="AY9" s="186">
        <f>(AW9/AH9)-1</f>
        <v>9.2709650231774132E-2</v>
      </c>
      <c r="AZ9" s="211">
        <v>-42938</v>
      </c>
      <c r="BA9" s="186">
        <f>AZ9/AZ$16</f>
        <v>-4.6804980700494124E-2</v>
      </c>
      <c r="BB9" s="212">
        <f>AZ9/AJ9-1</f>
        <v>8.2816361527210391E-2</v>
      </c>
      <c r="BC9" s="210">
        <v>-22949</v>
      </c>
      <c r="BD9" s="26">
        <f>BC9/$BC$16</f>
        <v>-4.7149343578575392E-2</v>
      </c>
      <c r="BE9" s="186">
        <f>(BC9/AL9)-1</f>
        <v>7.5852046317566035E-2</v>
      </c>
      <c r="BF9" s="211">
        <v>-65887</v>
      </c>
      <c r="BG9" s="186">
        <f>BF9/BF16</f>
        <v>-4.6924352846747869E-2</v>
      </c>
      <c r="BH9" s="212">
        <f>BF9/AN9-1</f>
        <v>8.0380421415102044E-2</v>
      </c>
      <c r="BI9" s="210">
        <v>-24347</v>
      </c>
      <c r="BJ9" s="26">
        <f>BI9/$BI$16</f>
        <v>-3.4202045913651315E-2</v>
      </c>
      <c r="BK9" s="213">
        <f>(BI9/AP9)-1</f>
        <v>-0.11853300025343039</v>
      </c>
      <c r="BL9" s="210">
        <v>-90234</v>
      </c>
      <c r="BM9" s="26">
        <f>BL9/$BL$16</f>
        <v>-4.2644312201318736E-2</v>
      </c>
      <c r="BN9" s="213">
        <f>(BL9/AR9)-1</f>
        <v>1.8373473579667232E-2</v>
      </c>
      <c r="BO9" s="28">
        <v>-18914</v>
      </c>
      <c r="BP9" s="26">
        <f>BO9/$BO$16</f>
        <v>-4.2962343780522709E-2</v>
      </c>
      <c r="BQ9" s="186">
        <f>(BO9/AT9)-1</f>
        <v>0.11206491063029156</v>
      </c>
      <c r="BR9" s="210">
        <v>-22990</v>
      </c>
      <c r="BS9" s="26">
        <f>BR9/$BR$16</f>
        <v>-3.649270066620211E-2</v>
      </c>
      <c r="BT9" s="186">
        <f>(BR9/AW9)-1</f>
        <v>-0.11338218279984569</v>
      </c>
      <c r="BU9" s="211">
        <v>-41904</v>
      </c>
      <c r="BV9" s="186">
        <f>BU9/BU16</f>
        <v>-3.9154017575579195E-2</v>
      </c>
      <c r="BW9" s="212">
        <f>BU9/AZ9-1</f>
        <v>-2.4081233406306746E-2</v>
      </c>
      <c r="BX9" s="210">
        <v>-13343</v>
      </c>
      <c r="BY9" s="26">
        <f>BX9/$BX$16</f>
        <v>-2.3460632274853184E-2</v>
      </c>
      <c r="BZ9" s="186">
        <f>(BX9/BC9)-1</f>
        <v>-0.41858033029761643</v>
      </c>
      <c r="CA9" s="211">
        <v>-55247</v>
      </c>
      <c r="CB9" s="186">
        <f>CA9/CA$16</f>
        <v>-3.3708262786192593E-2</v>
      </c>
      <c r="CC9" s="212">
        <f>CA9/BF9-1</f>
        <v>-0.16148860928559505</v>
      </c>
      <c r="CD9" s="210">
        <v>-12569</v>
      </c>
      <c r="CE9" s="26">
        <f>CD9/$CD$16</f>
        <v>-1.5259029584477042E-2</v>
      </c>
      <c r="CF9" s="186">
        <f>CD9/BI9-1</f>
        <v>-0.48375569885406822</v>
      </c>
      <c r="CG9" s="210">
        <v>-67815</v>
      </c>
      <c r="CH9" s="26">
        <f>CG9/$CG$16</f>
        <v>-2.7537028705266288E-2</v>
      </c>
      <c r="CI9" s="186">
        <f>CG9/BL9-1</f>
        <v>-0.24845401954917212</v>
      </c>
      <c r="CJ9" s="210">
        <v>-13092</v>
      </c>
      <c r="CK9" s="186">
        <f t="shared" si="11"/>
        <v>-2.5288435350497483E-2</v>
      </c>
      <c r="CL9" s="186">
        <f>(CJ9/BO9)-1</f>
        <v>-0.30781431743681931</v>
      </c>
      <c r="CM9" s="210">
        <v>-21849</v>
      </c>
      <c r="CN9" s="186">
        <f t="shared" si="12"/>
        <v>-2.9145484644228729E-2</v>
      </c>
      <c r="CO9" s="186">
        <f>(CM9/BR9)-1</f>
        <v>-4.9630274032187893E-2</v>
      </c>
      <c r="CP9" s="210">
        <v>-34941</v>
      </c>
      <c r="CQ9" s="186">
        <f t="shared" si="13"/>
        <v>-2.7569909102386062E-2</v>
      </c>
      <c r="CR9" s="212">
        <f>(CP9/BU9)-1</f>
        <v>-0.16616552119129435</v>
      </c>
      <c r="CS9" s="210">
        <v>-16607</v>
      </c>
      <c r="CT9" s="186">
        <f t="shared" si="14"/>
        <v>-2.5274093103385301E-2</v>
      </c>
      <c r="CU9" s="186">
        <f>(CS9/BX9)-1</f>
        <v>0.24462264857977956</v>
      </c>
      <c r="CV9" s="210">
        <v>-51548</v>
      </c>
      <c r="CW9" s="186">
        <f t="shared" si="16"/>
        <v>-2.6786029777035973E-2</v>
      </c>
      <c r="CX9" s="212">
        <f>(CV9/CA9)-1</f>
        <v>-6.6953861748149213E-2</v>
      </c>
      <c r="CY9" s="210">
        <v>-30773</v>
      </c>
      <c r="CZ9" s="186">
        <f t="shared" si="17"/>
        <v>-3.1653603242197945E-2</v>
      </c>
      <c r="DA9" s="212">
        <f>(CY9/CD9)-1</f>
        <v>1.4483252446495345</v>
      </c>
      <c r="DB9" s="210">
        <v>-82321</v>
      </c>
      <c r="DC9" s="186">
        <f t="shared" si="18"/>
        <v>-2.8419704779748239E-2</v>
      </c>
      <c r="DD9" s="212">
        <f>(DB9/CG9)-1</f>
        <v>0.21390547813905481</v>
      </c>
      <c r="DE9" s="210">
        <v>-13413</v>
      </c>
      <c r="DF9" s="186">
        <f t="shared" si="19"/>
        <v>-2.166185668904504E-2</v>
      </c>
      <c r="DG9" s="212">
        <f>(DE9/CJ9)-1</f>
        <v>2.4518790100825028E-2</v>
      </c>
      <c r="DH9" s="210">
        <v>-26471</v>
      </c>
      <c r="DI9" s="186">
        <f t="shared" si="20"/>
        <v>-3.0954115502315915E-2</v>
      </c>
      <c r="DJ9" s="186">
        <f t="shared" si="21"/>
        <v>0.21154286237356401</v>
      </c>
      <c r="DK9" s="210">
        <v>-39884</v>
      </c>
      <c r="DL9" s="186">
        <f t="shared" si="22"/>
        <v>-2.705159091895646E-2</v>
      </c>
      <c r="DM9" s="186">
        <f>(DK9/CP9)-1</f>
        <v>0.14146704444635239</v>
      </c>
      <c r="DN9" s="210">
        <v>-19321</v>
      </c>
      <c r="DO9" s="186">
        <f t="shared" si="23"/>
        <v>-2.4053233075218484E-2</v>
      </c>
      <c r="DP9" s="186">
        <f t="shared" si="24"/>
        <v>0.16342506172096094</v>
      </c>
      <c r="DQ9" s="210">
        <v>-59205</v>
      </c>
      <c r="DR9" s="186">
        <f t="shared" si="25"/>
        <v>-2.5994148298141753E-2</v>
      </c>
      <c r="DS9" s="186">
        <f>(DQ9/CV9)-1</f>
        <v>0.1485411655156359</v>
      </c>
      <c r="DT9" s="210">
        <v>-32658</v>
      </c>
      <c r="DU9" s="186">
        <f t="shared" si="26"/>
        <v>-2.7575038080538228E-2</v>
      </c>
      <c r="DV9" s="186">
        <f t="shared" si="27"/>
        <v>6.1254996262957828E-2</v>
      </c>
      <c r="DW9" s="210">
        <v>-91863</v>
      </c>
      <c r="DX9" s="186">
        <f t="shared" si="28"/>
        <v>-2.6534968630486776E-2</v>
      </c>
      <c r="DY9" s="186">
        <f>(DW9/DB9)-1</f>
        <v>0.11591210019314624</v>
      </c>
      <c r="DZ9" s="210">
        <v>-15946</v>
      </c>
      <c r="EA9" s="186">
        <f t="shared" si="29"/>
        <v>-2.1942094117355666E-2</v>
      </c>
      <c r="EB9" s="186">
        <f t="shared" si="30"/>
        <v>0.18884664131812423</v>
      </c>
      <c r="EC9" s="210">
        <v>-26288</v>
      </c>
      <c r="ED9" s="186">
        <f t="shared" si="31"/>
        <v>-2.7753290477331681E-2</v>
      </c>
      <c r="EE9" s="186">
        <f t="shared" si="32"/>
        <v>-6.913225794265454E-3</v>
      </c>
      <c r="EF9" s="210">
        <v>-42234</v>
      </c>
      <c r="EG9" s="186">
        <f t="shared" si="33"/>
        <v>-2.5230385427382443E-2</v>
      </c>
      <c r="EH9" s="186">
        <f>(EF9/DK9)-1</f>
        <v>5.8920870524521218E-2</v>
      </c>
      <c r="EI9" s="210">
        <v>-22273</v>
      </c>
      <c r="EJ9" s="186">
        <f t="shared" si="34"/>
        <v>-2.4559000924008565E-2</v>
      </c>
      <c r="EK9" s="186">
        <f t="shared" si="35"/>
        <v>0.15278712281972973</v>
      </c>
      <c r="EL9" s="210">
        <v>-64507</v>
      </c>
      <c r="EM9" s="186">
        <f t="shared" si="36"/>
        <v>-2.4994459194095594E-2</v>
      </c>
      <c r="EN9" s="186">
        <f>(EL9/DQ9)-1</f>
        <v>8.9553247191960228E-2</v>
      </c>
      <c r="EO9" s="210">
        <v>-32078.5</v>
      </c>
      <c r="EP9" s="186">
        <f t="shared" si="37"/>
        <v>-2.406572169782303E-2</v>
      </c>
      <c r="EQ9" s="186">
        <f>(EO9/DT9)-1</f>
        <v>-1.774450364382385E-2</v>
      </c>
      <c r="ER9" s="210">
        <v>-96586.7</v>
      </c>
      <c r="ES9" s="186">
        <f t="shared" si="39"/>
        <v>-2.4678439852328E-2</v>
      </c>
      <c r="ET9" s="186">
        <f>(ER9/DW9)-1</f>
        <v>5.1421137998976629E-2</v>
      </c>
      <c r="EU9" s="210">
        <v>-15014.400000000001</v>
      </c>
      <c r="EV9" s="186">
        <f t="shared" si="41"/>
        <v>-1.8433523712241381E-2</v>
      </c>
      <c r="EW9" s="212">
        <f>(EU9/DZ9)-1</f>
        <v>-5.8422174840085161E-2</v>
      </c>
      <c r="EX9" s="210">
        <v>-37942</v>
      </c>
      <c r="EY9" s="186">
        <f t="shared" si="43"/>
        <v>-3.4145129850845661E-2</v>
      </c>
      <c r="EZ9" s="186">
        <f t="shared" si="44"/>
        <v>0.44332014607425441</v>
      </c>
      <c r="FA9" s="210">
        <v>-52956.4</v>
      </c>
      <c r="FB9" s="186">
        <f t="shared" si="45"/>
        <v>-2.7499618323385509E-2</v>
      </c>
      <c r="FC9" s="186">
        <f t="shared" si="171"/>
        <v>0.2538807595775916</v>
      </c>
      <c r="FD9" s="210">
        <v>-29847.1</v>
      </c>
      <c r="FE9" s="186">
        <f t="shared" si="46"/>
        <v>-2.8504781341831799E-2</v>
      </c>
      <c r="FF9" s="186">
        <f>(FD9/EI9)-1</f>
        <v>0.34005746868405695</v>
      </c>
      <c r="FG9" s="210">
        <v>-82803.5</v>
      </c>
      <c r="FH9" s="186">
        <f t="shared" si="48"/>
        <v>-2.7853660095431755E-2</v>
      </c>
      <c r="FI9" s="186">
        <f>(FG9/EL9)-1</f>
        <v>0.28363588447765364</v>
      </c>
      <c r="FJ9" s="210">
        <v>-34263.949999999997</v>
      </c>
      <c r="FK9" s="186">
        <f t="shared" si="50"/>
        <v>-2.0519706768506778E-2</v>
      </c>
      <c r="FL9" s="186">
        <f>(FJ9/EO9)-1</f>
        <v>6.812818554483524E-2</v>
      </c>
      <c r="FM9" s="210">
        <v>-117067.45</v>
      </c>
      <c r="FN9" s="186">
        <f t="shared" si="51"/>
        <v>-2.5215859089667628E-2</v>
      </c>
      <c r="FO9" s="26">
        <f>(FM9/ER9)-1</f>
        <v>0.21204524018317228</v>
      </c>
      <c r="FP9" s="210">
        <v>-24765</v>
      </c>
      <c r="FQ9" s="186">
        <f t="shared" si="52"/>
        <v>-2.4498093273782145E-2</v>
      </c>
      <c r="FR9" s="26">
        <f t="shared" si="53"/>
        <v>0.64941656010230164</v>
      </c>
      <c r="FS9" s="210">
        <v>-45151</v>
      </c>
      <c r="FT9" s="186">
        <f t="shared" si="54"/>
        <v>-3.3340808672568056E-2</v>
      </c>
      <c r="FU9" s="186">
        <f t="shared" si="112"/>
        <v>0.19000052712034154</v>
      </c>
      <c r="FV9" s="34">
        <f>FP9+FS9</f>
        <v>-69916</v>
      </c>
      <c r="FW9" s="186">
        <f t="shared" si="55"/>
        <v>-2.9561274498405583E-2</v>
      </c>
      <c r="FX9" s="186">
        <f t="shared" si="113"/>
        <v>0.32025590863427267</v>
      </c>
      <c r="FY9" s="210">
        <v>-41657.216569999997</v>
      </c>
      <c r="FZ9" s="186">
        <f t="shared" si="56"/>
        <v>-3.3369420457959008E-2</v>
      </c>
      <c r="GA9" s="186">
        <f t="shared" si="57"/>
        <v>0.39568723829115715</v>
      </c>
      <c r="GB9" s="34">
        <f>FV9+FY9</f>
        <v>-111573.21656999999</v>
      </c>
      <c r="GC9" s="186">
        <f t="shared" si="58"/>
        <v>-3.0876891890545582E-2</v>
      </c>
      <c r="GD9" s="186">
        <f t="shared" si="59"/>
        <v>0.34744565833569818</v>
      </c>
      <c r="GE9" s="210">
        <v>-53166.789307177904</v>
      </c>
      <c r="GF9" s="186">
        <f t="shared" si="60"/>
        <v>-2.8936417299099855E-2</v>
      </c>
      <c r="GG9" s="186">
        <f t="shared" si="61"/>
        <v>0.55168301690779686</v>
      </c>
      <c r="GH9" s="34">
        <v>-164741</v>
      </c>
      <c r="GI9" s="186">
        <f t="shared" si="62"/>
        <v>-3.0222981654977974E-2</v>
      </c>
      <c r="GJ9" s="186">
        <f t="shared" si="63"/>
        <v>0.40723147211287181</v>
      </c>
      <c r="GK9" s="210">
        <v>-18550</v>
      </c>
      <c r="GL9" s="186">
        <f t="shared" si="64"/>
        <v>-1.7237406007352147E-2</v>
      </c>
      <c r="GM9" s="26">
        <f t="shared" si="65"/>
        <v>-0.25095901473854232</v>
      </c>
      <c r="GN9" s="210">
        <v>-41890</v>
      </c>
      <c r="GO9" s="186">
        <f t="shared" si="66"/>
        <v>-2.8599947565624898E-2</v>
      </c>
      <c r="GP9" s="186">
        <f t="shared" si="67"/>
        <v>-7.2224313968682896E-2</v>
      </c>
      <c r="GQ9" s="34">
        <f>GK9+GN9</f>
        <v>-60440</v>
      </c>
      <c r="GR9" s="186">
        <f t="shared" si="68"/>
        <v>-2.3787446336560093E-2</v>
      </c>
      <c r="GS9" s="186">
        <f t="shared" si="69"/>
        <v>-0.13553406945477431</v>
      </c>
      <c r="GT9" s="210">
        <v>-31812</v>
      </c>
      <c r="GU9" s="186">
        <f t="shared" si="70"/>
        <v>-2.5239246027905029E-2</v>
      </c>
      <c r="GV9" s="186">
        <f t="shared" si="71"/>
        <v>-0.23633879986811601</v>
      </c>
      <c r="GW9" s="34">
        <f>GQ9+GT9</f>
        <v>-92252</v>
      </c>
      <c r="GX9" s="186">
        <f t="shared" si="72"/>
        <v>-2.4268833390244379E-2</v>
      </c>
      <c r="GY9" s="186">
        <f t="shared" si="73"/>
        <v>-0.17317074082809147</v>
      </c>
      <c r="GZ9" s="210">
        <v>-33963</v>
      </c>
      <c r="HA9" s="186">
        <f t="shared" si="74"/>
        <v>-1.768442033966084E-2</v>
      </c>
      <c r="HB9" s="186">
        <f t="shared" si="75"/>
        <v>-0.36119896569690457</v>
      </c>
      <c r="HC9" s="34">
        <f>GW9+GZ9</f>
        <v>-126215</v>
      </c>
      <c r="HD9" s="186">
        <f t="shared" si="76"/>
        <v>-2.2058779836546739E-2</v>
      </c>
      <c r="HE9" s="186">
        <f t="shared" si="77"/>
        <v>-0.23385799527743545</v>
      </c>
      <c r="HF9" s="210">
        <v>-18732</v>
      </c>
      <c r="HG9" s="186">
        <f t="shared" si="78"/>
        <v>-1.5171493272772629E-2</v>
      </c>
      <c r="HH9" s="26">
        <f t="shared" si="79"/>
        <v>9.8113207547170234E-3</v>
      </c>
      <c r="HI9" s="210">
        <v>-30931</v>
      </c>
      <c r="HJ9" s="186">
        <f t="shared" si="80"/>
        <v>-1.8970766460425795E-2</v>
      </c>
      <c r="HK9" s="186">
        <f t="shared" si="81"/>
        <v>-0.26161375029840062</v>
      </c>
      <c r="HL9" s="34">
        <f>HF9+HI9</f>
        <v>-49663</v>
      </c>
      <c r="HM9" s="186">
        <f t="shared" si="82"/>
        <v>-1.7333533439901714E-2</v>
      </c>
      <c r="HN9" s="186">
        <f t="shared" si="83"/>
        <v>-0.17830906684315018</v>
      </c>
      <c r="HO9" s="210">
        <v>-25959</v>
      </c>
      <c r="HP9" s="186">
        <f t="shared" si="84"/>
        <v>-1.7162090153367296E-2</v>
      </c>
      <c r="HQ9" s="186">
        <f t="shared" si="85"/>
        <v>-0.18398717465107506</v>
      </c>
      <c r="HR9" s="34">
        <f>HL9+HO9</f>
        <v>-75622</v>
      </c>
      <c r="HS9" s="186">
        <f t="shared" si="86"/>
        <v>-1.727429679115923E-2</v>
      </c>
      <c r="HT9" s="186">
        <f t="shared" si="87"/>
        <v>-0.18026709448033651</v>
      </c>
      <c r="HU9" s="210">
        <v>-33717</v>
      </c>
      <c r="HV9" s="186">
        <f t="shared" si="88"/>
        <v>-1.5171743488326573E-2</v>
      </c>
      <c r="HW9" s="186">
        <f t="shared" si="89"/>
        <v>-7.2431763978446639E-3</v>
      </c>
      <c r="HX9" s="34">
        <f>HR9+HU9</f>
        <v>-109339</v>
      </c>
      <c r="HY9" s="186">
        <f t="shared" si="90"/>
        <v>-1.656633191784394E-2</v>
      </c>
      <c r="HZ9" s="186">
        <f t="shared" si="91"/>
        <v>-0.13370835479142729</v>
      </c>
      <c r="IA9" s="210">
        <v>-19981</v>
      </c>
      <c r="IB9" s="186">
        <f t="shared" si="92"/>
        <v>-1.428419259389528E-2</v>
      </c>
      <c r="IC9" s="26">
        <f t="shared" si="114"/>
        <v>6.6677343583173121E-2</v>
      </c>
      <c r="ID9" s="210">
        <v>-34423</v>
      </c>
      <c r="IE9" s="186">
        <f t="shared" si="93"/>
        <v>-1.9338427252109654E-2</v>
      </c>
      <c r="IF9" s="26">
        <f t="shared" si="115"/>
        <v>0.11289644693026424</v>
      </c>
      <c r="IG9" s="210">
        <v>-54404</v>
      </c>
      <c r="IH9" s="186">
        <f t="shared" si="94"/>
        <v>-1.7114365257876275E-2</v>
      </c>
      <c r="II9" s="26">
        <f t="shared" si="116"/>
        <v>9.5463423474216214E-2</v>
      </c>
      <c r="IJ9" s="210">
        <v>-15701.438030000005</v>
      </c>
      <c r="IK9" s="186">
        <f t="shared" si="117"/>
        <v>-9.1742891190626057E-3</v>
      </c>
      <c r="IL9" s="26">
        <f t="shared" si="118"/>
        <v>-0.39514472706960957</v>
      </c>
      <c r="IM9" s="210">
        <f t="shared" si="119"/>
        <v>-70105.438030000005</v>
      </c>
      <c r="IN9" s="186">
        <f t="shared" si="120"/>
        <v>-1.4335576726667831E-2</v>
      </c>
      <c r="IO9" s="26">
        <f t="shared" si="121"/>
        <v>-7.2949167834757023E-2</v>
      </c>
      <c r="IP9" s="210">
        <v>-28512.460059999899</v>
      </c>
      <c r="IQ9" s="186">
        <f t="shared" si="97"/>
        <v>-1.098694398953109E-2</v>
      </c>
      <c r="IR9" s="26">
        <f t="shared" si="122"/>
        <v>-0.15435952012338283</v>
      </c>
      <c r="IS9" s="210">
        <f t="shared" si="123"/>
        <v>-98617.898089999901</v>
      </c>
      <c r="IT9" s="186">
        <f t="shared" si="98"/>
        <v>-1.3174641746175525E-2</v>
      </c>
      <c r="IU9" s="26">
        <f t="shared" si="124"/>
        <v>-9.8053776877418897E-2</v>
      </c>
      <c r="IV9" s="210">
        <f>-28692.71304-9.22065000000021</f>
        <v>-28701.933689999998</v>
      </c>
      <c r="IW9" s="70">
        <f t="shared" si="125"/>
        <v>-1.7391559233053612E-2</v>
      </c>
      <c r="IX9" s="70">
        <f t="shared" si="126"/>
        <v>0.43646132275661875</v>
      </c>
      <c r="IY9" s="210">
        <f>-38775.31018-1321.39129</f>
        <v>-40096.70147</v>
      </c>
      <c r="IZ9" s="186">
        <f t="shared" si="100"/>
        <v>-1.9856005608668827E-2</v>
      </c>
      <c r="JA9" s="26">
        <f t="shared" si="127"/>
        <v>0.16482298085582303</v>
      </c>
      <c r="JB9" s="210">
        <f>IV9+IY9</f>
        <v>-68798.635160000005</v>
      </c>
      <c r="JC9" s="186">
        <f t="shared" si="101"/>
        <v>-1.8747698431838367E-2</v>
      </c>
      <c r="JD9" s="26">
        <f t="shared" si="128"/>
        <v>0.26458780898463363</v>
      </c>
      <c r="JE9" s="210">
        <f>-44033.6893-1223.28656</f>
        <v>-45256.975859999999</v>
      </c>
      <c r="JF9" s="186">
        <f t="shared" si="102"/>
        <v>-2.3425857259395295E-2</v>
      </c>
      <c r="JG9" s="26">
        <f t="shared" si="129"/>
        <v>1.8823459210251703</v>
      </c>
      <c r="JH9" s="210">
        <f t="shared" si="130"/>
        <v>-114055.61102000001</v>
      </c>
      <c r="JI9" s="186">
        <f t="shared" si="103"/>
        <v>-2.0361128674038921E-2</v>
      </c>
      <c r="JJ9" s="26">
        <f t="shared" si="131"/>
        <v>0.62691531819817659</v>
      </c>
      <c r="JK9" s="210">
        <f>-54262.42702-210.40156</f>
        <v>-54472.828580000001</v>
      </c>
      <c r="JL9" s="186">
        <f t="shared" si="104"/>
        <v>-1.8959877795714532E-2</v>
      </c>
      <c r="JM9" s="26">
        <f t="shared" si="132"/>
        <v>0.91049206085236656</v>
      </c>
      <c r="JN9" s="210">
        <f t="shared" si="133"/>
        <v>-168528.43960000001</v>
      </c>
      <c r="JO9" s="186">
        <f t="shared" si="105"/>
        <v>-1.9886081961907057E-2</v>
      </c>
      <c r="JP9" s="26">
        <f t="shared" si="134"/>
        <v>0.70890317948369663</v>
      </c>
      <c r="JQ9" s="210">
        <v>-67445.107919999995</v>
      </c>
      <c r="JR9" s="186">
        <f t="shared" si="106"/>
        <v>-4.35079203189307E-2</v>
      </c>
      <c r="JS9" s="26">
        <f t="shared" si="135"/>
        <v>1.3498454371908206</v>
      </c>
      <c r="JT9" s="210">
        <v>-56705.672979999996</v>
      </c>
      <c r="JU9" s="186">
        <f t="shared" si="172"/>
        <v>-0.10508133812421706</v>
      </c>
      <c r="JV9" s="26">
        <f t="shared" si="173"/>
        <v>0.41422288869389123</v>
      </c>
      <c r="JW9" s="210">
        <f>JQ9+JT9</f>
        <v>-124150.78089999998</v>
      </c>
      <c r="JX9" s="186">
        <f t="shared" si="174"/>
        <v>-5.9407517647486661E-2</v>
      </c>
      <c r="JY9" s="26">
        <f t="shared" si="175"/>
        <v>0.80455296258816045</v>
      </c>
      <c r="JZ9" s="210">
        <v>-13810.881690000002</v>
      </c>
      <c r="KA9" s="186">
        <f t="shared" si="176"/>
        <v>-8.3641635068377688E-3</v>
      </c>
      <c r="KB9" s="26">
        <f t="shared" si="177"/>
        <v>-0.69483419014290271</v>
      </c>
      <c r="KC9" s="210">
        <f>JW9+JZ9</f>
        <v>-137961.66258999999</v>
      </c>
      <c r="KD9" s="186">
        <f t="shared" si="178"/>
        <v>-3.68781564218034E-2</v>
      </c>
      <c r="KE9" s="26">
        <f t="shared" si="179"/>
        <v>0.20959996054738572</v>
      </c>
      <c r="KF9" s="210">
        <v>30805.645140000001</v>
      </c>
      <c r="KG9" s="186">
        <f t="shared" si="180"/>
        <v>1.0551475648026174E-2</v>
      </c>
      <c r="KH9" s="26">
        <f t="shared" si="181"/>
        <v>-1.5655231414090816</v>
      </c>
      <c r="KI9" s="210">
        <f>KC9+KF9</f>
        <v>-107156.01744999998</v>
      </c>
      <c r="KJ9" s="186">
        <f t="shared" si="182"/>
        <v>-1.6088112783423522E-2</v>
      </c>
      <c r="KK9" s="26">
        <f t="shared" si="183"/>
        <v>-0.36416656022963634</v>
      </c>
    </row>
    <row r="10" spans="2:297" ht="16.5" customHeight="1">
      <c r="B10" s="222" t="s">
        <v>365</v>
      </c>
      <c r="C10" s="222" t="s">
        <v>1068</v>
      </c>
      <c r="D10" s="190" t="s">
        <v>77</v>
      </c>
      <c r="E10" s="190" t="s">
        <v>77</v>
      </c>
      <c r="F10" s="190" t="s">
        <v>77</v>
      </c>
      <c r="G10" s="190" t="s">
        <v>77</v>
      </c>
      <c r="H10" s="190" t="s">
        <v>77</v>
      </c>
      <c r="I10" s="190" t="s">
        <v>77</v>
      </c>
      <c r="J10" s="190" t="s">
        <v>77</v>
      </c>
      <c r="K10" s="190" t="s">
        <v>77</v>
      </c>
      <c r="L10" s="190" t="s">
        <v>77</v>
      </c>
      <c r="M10" s="190" t="s">
        <v>77</v>
      </c>
      <c r="N10" s="190" t="s">
        <v>77</v>
      </c>
      <c r="O10" s="190" t="s">
        <v>77</v>
      </c>
      <c r="P10" s="190" t="s">
        <v>77</v>
      </c>
      <c r="Q10" s="190" t="s">
        <v>77</v>
      </c>
      <c r="R10" s="190" t="s">
        <v>77</v>
      </c>
      <c r="S10" s="190" t="s">
        <v>77</v>
      </c>
      <c r="T10" s="190" t="s">
        <v>77</v>
      </c>
      <c r="U10" s="190" t="s">
        <v>77</v>
      </c>
      <c r="V10" s="190" t="s">
        <v>77</v>
      </c>
      <c r="W10" s="190" t="s">
        <v>77</v>
      </c>
      <c r="X10" s="190" t="s">
        <v>77</v>
      </c>
      <c r="Y10" s="190" t="s">
        <v>77</v>
      </c>
      <c r="Z10" s="190" t="s">
        <v>77</v>
      </c>
      <c r="AA10" s="190" t="s">
        <v>77</v>
      </c>
      <c r="AB10" s="190" t="s">
        <v>77</v>
      </c>
      <c r="AC10" s="190" t="s">
        <v>77</v>
      </c>
      <c r="AD10" s="190" t="s">
        <v>77</v>
      </c>
      <c r="AE10" s="190" t="s">
        <v>77</v>
      </c>
      <c r="AF10" s="190" t="s">
        <v>77</v>
      </c>
      <c r="AG10" s="190" t="s">
        <v>77</v>
      </c>
      <c r="AH10" s="190" t="s">
        <v>77</v>
      </c>
      <c r="AI10" s="190" t="s">
        <v>77</v>
      </c>
      <c r="AJ10" s="190" t="s">
        <v>77</v>
      </c>
      <c r="AK10" s="190" t="s">
        <v>77</v>
      </c>
      <c r="AL10" s="190" t="s">
        <v>77</v>
      </c>
      <c r="AM10" s="190" t="s">
        <v>77</v>
      </c>
      <c r="AN10" s="190" t="s">
        <v>77</v>
      </c>
      <c r="AO10" s="190" t="s">
        <v>77</v>
      </c>
      <c r="AP10" s="190" t="s">
        <v>77</v>
      </c>
      <c r="AQ10" s="190" t="s">
        <v>77</v>
      </c>
      <c r="AR10" s="190" t="s">
        <v>77</v>
      </c>
      <c r="AS10" s="190" t="s">
        <v>77</v>
      </c>
      <c r="AT10" s="190" t="s">
        <v>77</v>
      </c>
      <c r="AU10" s="190" t="s">
        <v>77</v>
      </c>
      <c r="AV10" s="190" t="s">
        <v>77</v>
      </c>
      <c r="AW10" s="190" t="s">
        <v>77</v>
      </c>
      <c r="AX10" s="190" t="s">
        <v>77</v>
      </c>
      <c r="AY10" s="190" t="s">
        <v>77</v>
      </c>
      <c r="AZ10" s="190" t="s">
        <v>77</v>
      </c>
      <c r="BA10" s="190" t="s">
        <v>77</v>
      </c>
      <c r="BB10" s="190" t="s">
        <v>77</v>
      </c>
      <c r="BC10" s="190" t="s">
        <v>77</v>
      </c>
      <c r="BD10" s="190" t="s">
        <v>77</v>
      </c>
      <c r="BE10" s="190" t="s">
        <v>77</v>
      </c>
      <c r="BF10" s="190" t="s">
        <v>77</v>
      </c>
      <c r="BG10" s="190" t="s">
        <v>77</v>
      </c>
      <c r="BH10" s="190" t="s">
        <v>77</v>
      </c>
      <c r="BI10" s="190" t="s">
        <v>77</v>
      </c>
      <c r="BJ10" s="190" t="s">
        <v>77</v>
      </c>
      <c r="BK10" s="190" t="s">
        <v>77</v>
      </c>
      <c r="BL10" s="190" t="s">
        <v>77</v>
      </c>
      <c r="BM10" s="190" t="s">
        <v>77</v>
      </c>
      <c r="BN10" s="190" t="s">
        <v>77</v>
      </c>
      <c r="BO10" s="190" t="s">
        <v>77</v>
      </c>
      <c r="BP10" s="190" t="s">
        <v>77</v>
      </c>
      <c r="BQ10" s="190" t="s">
        <v>77</v>
      </c>
      <c r="BR10" s="190" t="s">
        <v>77</v>
      </c>
      <c r="BS10" s="190" t="s">
        <v>77</v>
      </c>
      <c r="BT10" s="190" t="s">
        <v>77</v>
      </c>
      <c r="BU10" s="190" t="s">
        <v>77</v>
      </c>
      <c r="BV10" s="190" t="s">
        <v>77</v>
      </c>
      <c r="BW10" s="190" t="s">
        <v>77</v>
      </c>
      <c r="BX10" s="190" t="s">
        <v>77</v>
      </c>
      <c r="BY10" s="190" t="s">
        <v>77</v>
      </c>
      <c r="BZ10" s="190" t="s">
        <v>77</v>
      </c>
      <c r="CA10" s="190" t="s">
        <v>77</v>
      </c>
      <c r="CB10" s="190" t="s">
        <v>77</v>
      </c>
      <c r="CC10" s="190" t="s">
        <v>77</v>
      </c>
      <c r="CD10" s="190" t="s">
        <v>77</v>
      </c>
      <c r="CE10" s="190" t="s">
        <v>77</v>
      </c>
      <c r="CF10" s="190" t="s">
        <v>77</v>
      </c>
      <c r="CG10" s="190" t="s">
        <v>77</v>
      </c>
      <c r="CH10" s="190" t="s">
        <v>77</v>
      </c>
      <c r="CI10" s="190" t="s">
        <v>77</v>
      </c>
      <c r="CJ10" s="190" t="s">
        <v>77</v>
      </c>
      <c r="CK10" s="190" t="s">
        <v>77</v>
      </c>
      <c r="CL10" s="190" t="s">
        <v>77</v>
      </c>
      <c r="CM10" s="190" t="s">
        <v>77</v>
      </c>
      <c r="CN10" s="190" t="s">
        <v>77</v>
      </c>
      <c r="CO10" s="190" t="s">
        <v>77</v>
      </c>
      <c r="CP10" s="190" t="s">
        <v>77</v>
      </c>
      <c r="CQ10" s="190" t="s">
        <v>77</v>
      </c>
      <c r="CR10" s="190" t="s">
        <v>77</v>
      </c>
      <c r="CS10" s="28">
        <v>-1237</v>
      </c>
      <c r="CT10" s="186">
        <f t="shared" si="14"/>
        <v>-1.8825828366886021E-3</v>
      </c>
      <c r="CU10" s="186" t="s">
        <v>112</v>
      </c>
      <c r="CV10" s="34">
        <v>-1611</v>
      </c>
      <c r="CW10" s="186">
        <f t="shared" si="16"/>
        <v>-8.3712838462801566E-4</v>
      </c>
      <c r="CX10" s="190" t="s">
        <v>112</v>
      </c>
      <c r="CY10" s="34">
        <v>-1113</v>
      </c>
      <c r="CZ10" s="186">
        <f t="shared" si="17"/>
        <v>-1.1448497191878047E-3</v>
      </c>
      <c r="DA10" s="190" t="s">
        <v>112</v>
      </c>
      <c r="DB10" s="34">
        <f t="shared" si="143"/>
        <v>-2724</v>
      </c>
      <c r="DC10" s="186">
        <f t="shared" si="18"/>
        <v>-9.4040737867657337E-4</v>
      </c>
      <c r="DD10" s="190" t="s">
        <v>112</v>
      </c>
      <c r="DE10" s="34">
        <v>-2069</v>
      </c>
      <c r="DF10" s="186">
        <f t="shared" si="19"/>
        <v>-3.3414136650737484E-3</v>
      </c>
      <c r="DG10" s="190" t="s">
        <v>112</v>
      </c>
      <c r="DH10" s="34">
        <v>-2659</v>
      </c>
      <c r="DI10" s="186">
        <f t="shared" si="20"/>
        <v>-3.1093269283615286E-3</v>
      </c>
      <c r="DJ10" s="186" t="s">
        <v>112</v>
      </c>
      <c r="DK10" s="34">
        <f t="shared" si="144"/>
        <v>-4728</v>
      </c>
      <c r="DL10" s="186">
        <f t="shared" si="22"/>
        <v>-3.2067977601250163E-3</v>
      </c>
      <c r="DM10" s="186" t="s">
        <v>112</v>
      </c>
      <c r="DN10" s="34">
        <v>-4266</v>
      </c>
      <c r="DO10" s="186">
        <f t="shared" si="23"/>
        <v>-5.3108582526205711E-3</v>
      </c>
      <c r="DP10" s="186">
        <f t="shared" si="24"/>
        <v>2.4486661277283752</v>
      </c>
      <c r="DQ10" s="34">
        <f>DN10+DH10+DE10</f>
        <v>-8994</v>
      </c>
      <c r="DR10" s="186">
        <f t="shared" si="25"/>
        <v>-3.9488450264924735E-3</v>
      </c>
      <c r="DS10" s="186">
        <f t="shared" si="145"/>
        <v>4.5828677839851029</v>
      </c>
      <c r="DT10" s="34">
        <v>-6470</v>
      </c>
      <c r="DU10" s="186">
        <f t="shared" si="26"/>
        <v>-5.4629951736506321E-3</v>
      </c>
      <c r="DV10" s="186">
        <f t="shared" si="27"/>
        <v>4.813117699910153</v>
      </c>
      <c r="DW10" s="34">
        <f>DT10+DQ10-2</f>
        <v>-15466</v>
      </c>
      <c r="DX10" s="186">
        <f t="shared" si="28"/>
        <v>-4.4674115241077313E-3</v>
      </c>
      <c r="DY10" s="186">
        <f t="shared" si="147"/>
        <v>4.6776798825256973</v>
      </c>
      <c r="DZ10" s="34">
        <v>-7454</v>
      </c>
      <c r="EA10" s="186">
        <f t="shared" si="29"/>
        <v>-1.0256890101013993E-2</v>
      </c>
      <c r="EB10" s="186">
        <f t="shared" si="30"/>
        <v>2.6027066215563073</v>
      </c>
      <c r="EC10" s="34">
        <v>-5850</v>
      </c>
      <c r="ED10" s="186">
        <f t="shared" si="31"/>
        <v>-6.1760784119138136E-3</v>
      </c>
      <c r="EE10" s="186">
        <f t="shared" si="32"/>
        <v>1.2000752162467094</v>
      </c>
      <c r="EF10" s="34">
        <f t="shared" si="148"/>
        <v>-13304</v>
      </c>
      <c r="EG10" s="186">
        <f t="shared" si="33"/>
        <v>-7.9477446542097832E-3</v>
      </c>
      <c r="EH10" s="186">
        <f t="shared" si="149"/>
        <v>1.8138747884940778</v>
      </c>
      <c r="EI10" s="34">
        <v>-4923</v>
      </c>
      <c r="EJ10" s="186">
        <f t="shared" si="34"/>
        <v>-5.4282746620973451E-3</v>
      </c>
      <c r="EK10" s="186">
        <f t="shared" si="35"/>
        <v>0.15400843881856541</v>
      </c>
      <c r="EL10" s="34">
        <f t="shared" si="150"/>
        <v>-18227</v>
      </c>
      <c r="EM10" s="186">
        <f t="shared" si="36"/>
        <v>-7.0623964489246183E-3</v>
      </c>
      <c r="EN10" s="186">
        <f t="shared" si="151"/>
        <v>1.0265732710696018</v>
      </c>
      <c r="EO10" s="34">
        <v>-5626.9</v>
      </c>
      <c r="EP10" s="186">
        <f t="shared" si="37"/>
        <v>-4.2213759814667268E-3</v>
      </c>
      <c r="EQ10" s="186">
        <f t="shared" si="38"/>
        <v>-0.13030911901081921</v>
      </c>
      <c r="ER10" s="34">
        <v>-23854.799999999999</v>
      </c>
      <c r="ES10" s="186">
        <f t="shared" si="39"/>
        <v>-6.0950342747947079E-3</v>
      </c>
      <c r="ET10" s="186">
        <f t="shared" si="40"/>
        <v>0.54240268977111072</v>
      </c>
      <c r="EU10" s="34">
        <v>-8323.7999999999993</v>
      </c>
      <c r="EV10" s="186">
        <f t="shared" si="41"/>
        <v>-1.0219320430783434E-2</v>
      </c>
      <c r="EW10" s="39">
        <f t="shared" si="42"/>
        <v>0.1166890260262945</v>
      </c>
      <c r="EX10" s="34">
        <v>-11616</v>
      </c>
      <c r="EY10" s="186">
        <f t="shared" si="43"/>
        <v>-1.0453582529846166E-2</v>
      </c>
      <c r="EZ10" s="186">
        <f t="shared" si="44"/>
        <v>0.98564102564102574</v>
      </c>
      <c r="FA10" s="34">
        <f t="shared" si="152"/>
        <v>-19939.8</v>
      </c>
      <c r="FB10" s="186">
        <f t="shared" si="45"/>
        <v>-1.0354497085236955E-2</v>
      </c>
      <c r="FC10" s="186">
        <f t="shared" si="171"/>
        <v>0.49878232110643417</v>
      </c>
      <c r="FD10" s="34">
        <v>-14356.1</v>
      </c>
      <c r="FE10" s="186">
        <f t="shared" si="46"/>
        <v>-1.3710460695393237E-2</v>
      </c>
      <c r="FF10" s="186">
        <f t="shared" si="47"/>
        <v>1.916128377005891</v>
      </c>
      <c r="FG10" s="34">
        <f t="shared" si="153"/>
        <v>-34295.9</v>
      </c>
      <c r="FH10" s="186">
        <f t="shared" si="48"/>
        <v>-1.1536545451181629E-2</v>
      </c>
      <c r="FI10" s="186">
        <f t="shared" si="49"/>
        <v>0.88159872716299992</v>
      </c>
      <c r="FJ10" s="34">
        <v>-12773.78</v>
      </c>
      <c r="FK10" s="186">
        <f t="shared" si="50"/>
        <v>-7.6498541448203295E-3</v>
      </c>
      <c r="FL10" s="186">
        <f t="shared" si="154"/>
        <v>1.2701274236257976</v>
      </c>
      <c r="FM10" s="34">
        <f>SUM(FJ10,FG10)</f>
        <v>-47069.68</v>
      </c>
      <c r="FN10" s="186">
        <f t="shared" si="51"/>
        <v>-1.0138620242225713E-2</v>
      </c>
      <c r="FO10" s="26">
        <f t="shared" si="170"/>
        <v>0.97317437161493703</v>
      </c>
      <c r="FP10" s="34">
        <v>-13812.7</v>
      </c>
      <c r="FQ10" s="186">
        <f t="shared" si="52"/>
        <v>-1.3663832544428453E-2</v>
      </c>
      <c r="FR10" s="26">
        <f t="shared" si="53"/>
        <v>0.65942237920180702</v>
      </c>
      <c r="FS10" s="34">
        <v>-18701</v>
      </c>
      <c r="FT10" s="186">
        <f t="shared" si="54"/>
        <v>-1.3809361099105119E-2</v>
      </c>
      <c r="FU10" s="186">
        <f t="shared" si="112"/>
        <v>0.60993457300275478</v>
      </c>
      <c r="FV10" s="34">
        <f>FP10+FS10</f>
        <v>-32513.7</v>
      </c>
      <c r="FW10" s="186">
        <f t="shared" si="55"/>
        <v>-1.3747159600932686E-2</v>
      </c>
      <c r="FX10" s="186">
        <f t="shared" si="113"/>
        <v>0.63059308518641122</v>
      </c>
      <c r="FY10" s="34">
        <v>-22791.742820000003</v>
      </c>
      <c r="FZ10" s="186">
        <f t="shared" si="56"/>
        <v>-1.8257274771400996E-2</v>
      </c>
      <c r="GA10" s="186">
        <f t="shared" si="57"/>
        <v>0.58759989272852664</v>
      </c>
      <c r="GB10" s="34">
        <f>FV10+FY10</f>
        <v>-55305.442820000004</v>
      </c>
      <c r="GC10" s="186">
        <f t="shared" si="58"/>
        <v>-1.5305287697254122E-2</v>
      </c>
      <c r="GD10" s="186">
        <f t="shared" si="59"/>
        <v>0.61259634008729913</v>
      </c>
      <c r="GE10" s="34">
        <v>-21412.88219</v>
      </c>
      <c r="GF10" s="186">
        <f t="shared" si="60"/>
        <v>-1.165411909766481E-2</v>
      </c>
      <c r="GG10" s="186">
        <f t="shared" si="61"/>
        <v>0.67631524810979982</v>
      </c>
      <c r="GH10" s="34">
        <f>GB10+GE10</f>
        <v>-76718.32501</v>
      </c>
      <c r="GI10" s="186">
        <f t="shared" si="62"/>
        <v>-1.4074556603261288E-2</v>
      </c>
      <c r="GJ10" s="186">
        <f t="shared" si="63"/>
        <v>0.62988839121064766</v>
      </c>
      <c r="GK10" s="34">
        <v>-22381</v>
      </c>
      <c r="GL10" s="186">
        <f t="shared" si="64"/>
        <v>-2.079732527496218E-2</v>
      </c>
      <c r="GM10" s="26">
        <f t="shared" si="65"/>
        <v>0.62032042974943336</v>
      </c>
      <c r="GN10" s="34">
        <v>-24636</v>
      </c>
      <c r="GO10" s="186">
        <f t="shared" si="66"/>
        <v>-1.6819964388320244E-2</v>
      </c>
      <c r="GP10" s="186">
        <f t="shared" si="67"/>
        <v>0.31736270787658416</v>
      </c>
      <c r="GQ10" s="34">
        <f>GK10+GN10</f>
        <v>-47017</v>
      </c>
      <c r="GR10" s="186">
        <f t="shared" si="68"/>
        <v>-1.8504539450794937E-2</v>
      </c>
      <c r="GS10" s="186">
        <f t="shared" si="69"/>
        <v>0.44606735007089315</v>
      </c>
      <c r="GT10" s="34">
        <v>-30270</v>
      </c>
      <c r="GU10" s="186">
        <f t="shared" si="70"/>
        <v>-2.4015842363406426E-2</v>
      </c>
      <c r="GV10" s="186">
        <f t="shared" si="71"/>
        <v>0.32811256423259327</v>
      </c>
      <c r="GW10" s="34">
        <f>GQ10+GT10</f>
        <v>-77287</v>
      </c>
      <c r="GX10" s="186">
        <f t="shared" si="72"/>
        <v>-2.0331974658888884E-2</v>
      </c>
      <c r="GY10" s="186">
        <f t="shared" si="73"/>
        <v>0.39745739404966574</v>
      </c>
      <c r="GZ10" s="34">
        <v>-26282</v>
      </c>
      <c r="HA10" s="186">
        <f t="shared" si="74"/>
        <v>-1.3684949367457708E-2</v>
      </c>
      <c r="HB10" s="186">
        <f t="shared" si="75"/>
        <v>0.22739198613225087</v>
      </c>
      <c r="HC10" s="34">
        <f>GW10+GZ10</f>
        <v>-103569</v>
      </c>
      <c r="HD10" s="186">
        <f t="shared" si="76"/>
        <v>-1.8100905351117611E-2</v>
      </c>
      <c r="HE10" s="186">
        <f t="shared" si="77"/>
        <v>0.34999037044278669</v>
      </c>
      <c r="HF10" s="34">
        <v>-23570</v>
      </c>
      <c r="HG10" s="186">
        <f t="shared" si="78"/>
        <v>-1.9089904785353985E-2</v>
      </c>
      <c r="HH10" s="26">
        <f t="shared" si="79"/>
        <v>5.3125418882087549E-2</v>
      </c>
      <c r="HI10" s="34">
        <v>-23752</v>
      </c>
      <c r="HJ10" s="186">
        <f t="shared" si="80"/>
        <v>-1.4567703758948418E-2</v>
      </c>
      <c r="HK10" s="186">
        <f t="shared" si="81"/>
        <v>-3.5882448449423565E-2</v>
      </c>
      <c r="HL10" s="34">
        <f>HF10+HI10</f>
        <v>-47322</v>
      </c>
      <c r="HM10" s="186">
        <f t="shared" si="82"/>
        <v>-1.6516470399352213E-2</v>
      </c>
      <c r="HN10" s="186">
        <f t="shared" si="83"/>
        <v>6.4870153348788318E-3</v>
      </c>
      <c r="HO10" s="34">
        <v>-46583</v>
      </c>
      <c r="HP10" s="186">
        <f t="shared" si="84"/>
        <v>-3.079708947241068E-2</v>
      </c>
      <c r="HQ10" s="186">
        <f t="shared" si="85"/>
        <v>0.53891641889659736</v>
      </c>
      <c r="HR10" s="34">
        <f>HL10+HO10</f>
        <v>-93905</v>
      </c>
      <c r="HS10" s="186">
        <f t="shared" si="86"/>
        <v>-2.145067361579709E-2</v>
      </c>
      <c r="HT10" s="186">
        <f t="shared" si="87"/>
        <v>0.21501675572864776</v>
      </c>
      <c r="HU10" s="34">
        <v>-45207</v>
      </c>
      <c r="HV10" s="186">
        <f t="shared" si="88"/>
        <v>-2.0341934569409477E-2</v>
      </c>
      <c r="HW10" s="186">
        <f t="shared" si="89"/>
        <v>0.72007457575526979</v>
      </c>
      <c r="HX10" s="34">
        <f>HR10+HU10</f>
        <v>-139112</v>
      </c>
      <c r="HY10" s="186">
        <f t="shared" si="90"/>
        <v>-2.1077342629392131E-2</v>
      </c>
      <c r="HZ10" s="186">
        <f t="shared" si="91"/>
        <v>0.34318184012590636</v>
      </c>
      <c r="IA10" s="34">
        <v>-37875</v>
      </c>
      <c r="IB10" s="186">
        <f t="shared" si="92"/>
        <v>-2.7076412316389756E-2</v>
      </c>
      <c r="IC10" s="26">
        <f t="shared" si="114"/>
        <v>0.60691557064064483</v>
      </c>
      <c r="ID10" s="34">
        <v>-43772</v>
      </c>
      <c r="IE10" s="186">
        <f t="shared" si="93"/>
        <v>-2.4590582972993168E-2</v>
      </c>
      <c r="IF10" s="26">
        <f t="shared" si="115"/>
        <v>0.84287638935668574</v>
      </c>
      <c r="IG10" s="34">
        <v>-81647</v>
      </c>
      <c r="IH10" s="186">
        <f t="shared" si="94"/>
        <v>-2.5684445632854647E-2</v>
      </c>
      <c r="II10" s="26">
        <f t="shared" si="116"/>
        <v>0.72534973162588234</v>
      </c>
      <c r="IJ10" s="34">
        <v>-52105.681199999999</v>
      </c>
      <c r="IK10" s="186">
        <f t="shared" si="117"/>
        <v>-3.0445146690459203E-2</v>
      </c>
      <c r="IL10" s="26">
        <f t="shared" si="118"/>
        <v>0.11855572204452258</v>
      </c>
      <c r="IM10" s="34">
        <f t="shared" si="119"/>
        <v>-133752.68119999999</v>
      </c>
      <c r="IN10" s="186">
        <f t="shared" si="120"/>
        <v>-2.7350543376101943E-2</v>
      </c>
      <c r="IO10" s="26">
        <f t="shared" si="121"/>
        <v>0.42434035674351733</v>
      </c>
      <c r="IP10" s="34">
        <v>-47572.139629999998</v>
      </c>
      <c r="IQ10" s="186">
        <f t="shared" si="97"/>
        <v>-1.8331369249692305E-2</v>
      </c>
      <c r="IR10" s="26">
        <f t="shared" si="122"/>
        <v>5.2317995664388217E-2</v>
      </c>
      <c r="IS10" s="34">
        <f t="shared" si="123"/>
        <v>-181324.82082999998</v>
      </c>
      <c r="IT10" s="186">
        <f t="shared" si="98"/>
        <v>-2.4223691646161283E-2</v>
      </c>
      <c r="IU10" s="26">
        <f t="shared" si="124"/>
        <v>0.30344485615906591</v>
      </c>
      <c r="IV10" s="34">
        <v>-43813.767219999994</v>
      </c>
      <c r="IW10" s="70">
        <f t="shared" si="125"/>
        <v>-2.6548376010475432E-2</v>
      </c>
      <c r="IX10" s="70">
        <f t="shared" si="126"/>
        <v>0.15679913452145189</v>
      </c>
      <c r="IY10" s="34">
        <v>-58359.018640000002</v>
      </c>
      <c r="IZ10" s="186">
        <f t="shared" si="100"/>
        <v>-2.8899559289165853E-2</v>
      </c>
      <c r="JA10" s="26">
        <f t="shared" si="127"/>
        <v>0.33324999177556425</v>
      </c>
      <c r="JB10" s="210">
        <f t="shared" ref="JB10" si="184">IV10+IY10</f>
        <v>-102172.78586</v>
      </c>
      <c r="JC10" s="186">
        <f t="shared" si="101"/>
        <v>-2.7842188624662815E-2</v>
      </c>
      <c r="JD10" s="26">
        <f t="shared" si="128"/>
        <v>0.25139669381606189</v>
      </c>
      <c r="JE10" s="210">
        <v>-56113.725859999999</v>
      </c>
      <c r="JF10" s="186">
        <f t="shared" si="102"/>
        <v>-2.9045514140307795E-2</v>
      </c>
      <c r="JG10" s="26">
        <f t="shared" si="129"/>
        <v>7.6921452089182107E-2</v>
      </c>
      <c r="JH10" s="34">
        <f t="shared" si="130"/>
        <v>-158286.51172000001</v>
      </c>
      <c r="JI10" s="186">
        <f t="shared" si="103"/>
        <v>-2.825719842867306E-2</v>
      </c>
      <c r="JJ10" s="26">
        <f t="shared" si="131"/>
        <v>0.18342683152134098</v>
      </c>
      <c r="JK10" s="210">
        <v>-54233.925519999997</v>
      </c>
      <c r="JL10" s="186">
        <f t="shared" si="104"/>
        <v>-1.8876724911226991E-2</v>
      </c>
      <c r="JM10" s="26">
        <f t="shared" si="132"/>
        <v>0.14003544809657753</v>
      </c>
      <c r="JN10" s="34">
        <f t="shared" si="133"/>
        <v>-212520.43724</v>
      </c>
      <c r="JO10" s="186">
        <f t="shared" si="105"/>
        <v>-2.5077066182810397E-2</v>
      </c>
      <c r="JP10" s="26">
        <f t="shared" si="134"/>
        <v>0.17204272568534495</v>
      </c>
      <c r="JQ10" s="210">
        <v>-131879.46313000002</v>
      </c>
      <c r="JR10" s="186">
        <f t="shared" si="106"/>
        <v>-8.5073645079926208E-2</v>
      </c>
      <c r="JS10" s="26">
        <f t="shared" si="135"/>
        <v>2.0100005431580423</v>
      </c>
      <c r="JT10" s="210">
        <v>-77159.882840000006</v>
      </c>
      <c r="JU10" s="186">
        <f t="shared" si="172"/>
        <v>-0.14298505444410678</v>
      </c>
      <c r="JV10" s="26">
        <f t="shared" si="173"/>
        <v>0.32215867638174522</v>
      </c>
      <c r="JW10" s="210">
        <f>JQ10+JT10</f>
        <v>-209039.34597000002</v>
      </c>
      <c r="JX10" s="186">
        <f t="shared" si="174"/>
        <v>-0.10002763208339874</v>
      </c>
      <c r="JY10" s="26">
        <f t="shared" si="175"/>
        <v>1.0459395739334303</v>
      </c>
      <c r="JZ10" s="210">
        <v>-77588.369489999997</v>
      </c>
      <c r="KA10" s="186">
        <f t="shared" si="176"/>
        <v>-4.6989165732495876E-2</v>
      </c>
      <c r="KB10" s="26">
        <f t="shared" si="177"/>
        <v>0.38269858757156494</v>
      </c>
      <c r="KC10" s="210">
        <f>JW10+JZ10</f>
        <v>-286627.71546000004</v>
      </c>
      <c r="KD10" s="186">
        <f t="shared" si="178"/>
        <v>-7.6617674266301672E-2</v>
      </c>
      <c r="KE10" s="26">
        <f t="shared" si="179"/>
        <v>0.81081579438068885</v>
      </c>
      <c r="KF10" s="210">
        <v>-18852.06394</v>
      </c>
      <c r="KG10" s="186">
        <f t="shared" si="180"/>
        <v>-6.4571637008067661E-3</v>
      </c>
      <c r="KH10" s="26">
        <f t="shared" si="181"/>
        <v>-0.65239352012149898</v>
      </c>
      <c r="KI10" s="210">
        <f>KC10+KF10</f>
        <v>-305479.77940000006</v>
      </c>
      <c r="KJ10" s="186">
        <f t="shared" si="182"/>
        <v>-4.586390256931426E-2</v>
      </c>
      <c r="KK10" s="26">
        <f t="shared" si="183"/>
        <v>0.43741365944500088</v>
      </c>
    </row>
    <row r="11" spans="2:297" ht="16.5" customHeight="1">
      <c r="B11" s="222" t="s">
        <v>366</v>
      </c>
      <c r="C11" s="222" t="s">
        <v>1070</v>
      </c>
      <c r="D11" s="28" t="s">
        <v>77</v>
      </c>
      <c r="E11" s="26" t="s">
        <v>77</v>
      </c>
      <c r="F11" s="28" t="s">
        <v>77</v>
      </c>
      <c r="G11" s="26" t="s">
        <v>77</v>
      </c>
      <c r="H11" s="223" t="s">
        <v>77</v>
      </c>
      <c r="I11" s="26" t="s">
        <v>77</v>
      </c>
      <c r="J11" s="28" t="s">
        <v>77</v>
      </c>
      <c r="K11" s="26" t="s">
        <v>77</v>
      </c>
      <c r="L11" s="223" t="s">
        <v>77</v>
      </c>
      <c r="M11" s="26" t="s">
        <v>77</v>
      </c>
      <c r="N11" s="28" t="s">
        <v>77</v>
      </c>
      <c r="O11" s="26" t="s">
        <v>77</v>
      </c>
      <c r="P11" s="28" t="s">
        <v>77</v>
      </c>
      <c r="Q11" s="26" t="s">
        <v>77</v>
      </c>
      <c r="R11" s="28" t="s">
        <v>77</v>
      </c>
      <c r="S11" s="26" t="s">
        <v>77</v>
      </c>
      <c r="T11" s="28" t="s">
        <v>77</v>
      </c>
      <c r="U11" s="26" t="s">
        <v>77</v>
      </c>
      <c r="V11" s="223" t="s">
        <v>77</v>
      </c>
      <c r="W11" s="26" t="s">
        <v>77</v>
      </c>
      <c r="X11" s="28" t="s">
        <v>77</v>
      </c>
      <c r="Y11" s="26" t="s">
        <v>77</v>
      </c>
      <c r="Z11" s="223" t="s">
        <v>77</v>
      </c>
      <c r="AA11" s="26" t="s">
        <v>77</v>
      </c>
      <c r="AB11" s="28" t="s">
        <v>77</v>
      </c>
      <c r="AC11" s="26" t="s">
        <v>77</v>
      </c>
      <c r="AD11" s="28" t="s">
        <v>77</v>
      </c>
      <c r="AE11" s="26" t="s">
        <v>77</v>
      </c>
      <c r="AF11" s="28">
        <v>-6155</v>
      </c>
      <c r="AG11" s="26">
        <f>AF11/$AF$16</f>
        <v>-1.6054441641909004E-2</v>
      </c>
      <c r="AH11" s="28">
        <v>-6229</v>
      </c>
      <c r="AI11" s="26">
        <f>AH11/$AH$16</f>
        <v>-1.2207837004111741E-2</v>
      </c>
      <c r="AJ11" s="34">
        <f t="shared" si="156"/>
        <v>-12384</v>
      </c>
      <c r="AK11" s="26">
        <f>AJ11/$AJ$16</f>
        <v>-1.3858099949755436E-2</v>
      </c>
      <c r="AL11" s="28">
        <v>-5133</v>
      </c>
      <c r="AM11" s="26">
        <f>AL11/$AL$16</f>
        <v>-1.1431205654805649E-2</v>
      </c>
      <c r="AN11" s="34">
        <f t="shared" si="157"/>
        <v>-17517</v>
      </c>
      <c r="AO11" s="26">
        <f>AN11/$AN$16</f>
        <v>-1.3046460653194435E-2</v>
      </c>
      <c r="AP11" s="28">
        <v>-5004</v>
      </c>
      <c r="AQ11" s="26">
        <f>AP11/$AP$16</f>
        <v>-8.1530505508685836E-3</v>
      </c>
      <c r="AR11" s="28">
        <f>SUM(AN11,AP11)</f>
        <v>-22521</v>
      </c>
      <c r="AS11" s="26">
        <f>AR11/$AR$16</f>
        <v>-1.1511320154854116E-2</v>
      </c>
      <c r="AT11" s="28">
        <v>-5254</v>
      </c>
      <c r="AU11" s="26">
        <f>AT11/$AT$16</f>
        <v>-1.4487838102407563E-2</v>
      </c>
      <c r="AV11" s="26">
        <f t="shared" si="158"/>
        <v>-0.1463850528025995</v>
      </c>
      <c r="AW11" s="28">
        <v>-6105</v>
      </c>
      <c r="AX11" s="26">
        <f>AW11/$AW$16</f>
        <v>-1.1005314277885538E-2</v>
      </c>
      <c r="AY11" s="26">
        <f t="shared" si="0"/>
        <v>-1.9906887140793028E-2</v>
      </c>
      <c r="AZ11" s="34">
        <f t="shared" si="159"/>
        <v>-11359</v>
      </c>
      <c r="BA11" s="26">
        <f>AZ11/$AZ$16</f>
        <v>-1.2381987418531668E-2</v>
      </c>
      <c r="BB11" s="72" t="s">
        <v>112</v>
      </c>
      <c r="BC11" s="28">
        <v>-5537</v>
      </c>
      <c r="BD11" s="26">
        <f>BC11/$BC$16</f>
        <v>-1.1375916832740945E-2</v>
      </c>
      <c r="BE11" s="26">
        <f t="shared" si="1"/>
        <v>7.8706409507110831E-2</v>
      </c>
      <c r="BF11" s="34">
        <f t="shared" si="160"/>
        <v>-16896</v>
      </c>
      <c r="BG11" s="26">
        <f>BF11/$BF$16</f>
        <v>-1.20332366885524E-2</v>
      </c>
      <c r="BH11" s="72" t="s">
        <v>112</v>
      </c>
      <c r="BI11" s="28">
        <v>-5288</v>
      </c>
      <c r="BJ11" s="26">
        <f>BI11/$BI$16</f>
        <v>-7.4284478084112281E-3</v>
      </c>
      <c r="BK11" s="27">
        <f t="shared" si="2"/>
        <v>5.6754596322941664E-2</v>
      </c>
      <c r="BL11" s="28">
        <f>SUM(BF11,BI11)</f>
        <v>-22184</v>
      </c>
      <c r="BM11" s="26">
        <f>BL11/$BL$16</f>
        <v>-1.0484090496642671E-2</v>
      </c>
      <c r="BN11" s="27">
        <f t="shared" si="3"/>
        <v>-1.4963811553660999E-2</v>
      </c>
      <c r="BO11" s="28">
        <v>-4670</v>
      </c>
      <c r="BP11" s="26">
        <f>BO11/$BO$16</f>
        <v>-1.0607705691817756E-2</v>
      </c>
      <c r="BQ11" s="26">
        <f t="shared" si="4"/>
        <v>-0.11115340692805487</v>
      </c>
      <c r="BR11" s="28">
        <v>-5579</v>
      </c>
      <c r="BS11" s="26">
        <f>BR11/$BR$16</f>
        <v>-8.8557101790666184E-3</v>
      </c>
      <c r="BT11" s="26">
        <f t="shared" si="5"/>
        <v>-8.6158886158886117E-2</v>
      </c>
      <c r="BU11" s="34">
        <v>-10249</v>
      </c>
      <c r="BV11" s="26">
        <f>BU11/$BU$16</f>
        <v>-9.5764014445425538E-3</v>
      </c>
      <c r="BW11" s="39">
        <f t="shared" si="6"/>
        <v>-9.7719869706840434E-2</v>
      </c>
      <c r="BX11" s="28">
        <v>-5415</v>
      </c>
      <c r="BY11" s="26">
        <f>BX11/$BX$16</f>
        <v>-9.5210465238949257E-3</v>
      </c>
      <c r="BZ11" s="26">
        <f t="shared" si="7"/>
        <v>-2.2033592197941099E-2</v>
      </c>
      <c r="CA11" s="34">
        <f>SUM(BU11+BX11)</f>
        <v>-15664</v>
      </c>
      <c r="CB11" s="26">
        <f>CA11/$CA$16</f>
        <v>-9.5571927576686647E-3</v>
      </c>
      <c r="CC11" s="39">
        <f t="shared" si="8"/>
        <v>-7.291666666666663E-2</v>
      </c>
      <c r="CD11" s="28">
        <v>-4693</v>
      </c>
      <c r="CE11" s="26">
        <f>CD11/$CD$16</f>
        <v>-5.6974004168948017E-3</v>
      </c>
      <c r="CF11" s="26">
        <f t="shared" si="9"/>
        <v>-0.11251891074130105</v>
      </c>
      <c r="CG11" s="28">
        <v>-20355</v>
      </c>
      <c r="CH11" s="26">
        <f>CG11/$CG$16</f>
        <v>-8.2653722523880445E-3</v>
      </c>
      <c r="CI11" s="26">
        <f t="shared" si="10"/>
        <v>-8.2446808510638347E-2</v>
      </c>
      <c r="CJ11" s="28">
        <v>-5718</v>
      </c>
      <c r="CK11" s="186">
        <f>CJ11/$CJ$16</f>
        <v>-1.1044857419351101E-2</v>
      </c>
      <c r="CL11" s="186">
        <f t="shared" si="162"/>
        <v>0.22441113490364017</v>
      </c>
      <c r="CM11" s="28">
        <v>-7077</v>
      </c>
      <c r="CN11" s="186">
        <f>CM11/$CM$16</f>
        <v>-9.440367743475982E-3</v>
      </c>
      <c r="CO11" s="186">
        <f t="shared" si="163"/>
        <v>0.26850690087829365</v>
      </c>
      <c r="CP11" s="34">
        <v>-12795</v>
      </c>
      <c r="CQ11" s="26">
        <f>(CP11/$CP$16)</f>
        <v>-1.0095789673021082E-2</v>
      </c>
      <c r="CR11" s="39">
        <f t="shared" si="164"/>
        <v>0.24841447946141093</v>
      </c>
      <c r="CS11" s="28">
        <v>-6540</v>
      </c>
      <c r="CT11" s="186">
        <f t="shared" si="14"/>
        <v>-9.9531865415872743E-3</v>
      </c>
      <c r="CU11" s="186">
        <f t="shared" si="15"/>
        <v>0.20775623268698062</v>
      </c>
      <c r="CV11" s="34">
        <v>-18961</v>
      </c>
      <c r="CW11" s="186">
        <f t="shared" si="16"/>
        <v>-9.8527568596721328E-3</v>
      </c>
      <c r="CX11" s="39">
        <f t="shared" si="165"/>
        <v>0.21048263534218581</v>
      </c>
      <c r="CY11" s="34">
        <v>-5422</v>
      </c>
      <c r="CZ11" s="186">
        <f t="shared" si="17"/>
        <v>-5.5771564936534391E-3</v>
      </c>
      <c r="DA11" s="39">
        <f t="shared" si="166"/>
        <v>0.1553377370551885</v>
      </c>
      <c r="DB11" s="34">
        <f t="shared" si="143"/>
        <v>-24383</v>
      </c>
      <c r="DC11" s="186">
        <f t="shared" si="18"/>
        <v>-8.4177507761640565E-3</v>
      </c>
      <c r="DD11" s="39">
        <f t="shared" si="167"/>
        <v>0.19788749692950125</v>
      </c>
      <c r="DE11" s="34">
        <v>-4745</v>
      </c>
      <c r="DF11" s="186">
        <f t="shared" si="19"/>
        <v>-7.663126070940037E-3</v>
      </c>
      <c r="DG11" s="39">
        <f t="shared" si="168"/>
        <v>-0.17016439314445608</v>
      </c>
      <c r="DH11" s="34">
        <v>-4268</v>
      </c>
      <c r="DI11" s="186">
        <f t="shared" si="20"/>
        <v>-4.9908263746698024E-3</v>
      </c>
      <c r="DJ11" s="186">
        <f>(DH11/CM11)-1</f>
        <v>-0.39691959870001414</v>
      </c>
      <c r="DK11" s="34">
        <f t="shared" si="144"/>
        <v>-9013</v>
      </c>
      <c r="DL11" s="186">
        <f t="shared" si="22"/>
        <v>-6.1131277944176761E-3</v>
      </c>
      <c r="DM11" s="186">
        <f t="shared" si="169"/>
        <v>-0.29558421258304024</v>
      </c>
      <c r="DN11" s="34">
        <v>-5431</v>
      </c>
      <c r="DO11" s="186">
        <f t="shared" si="23"/>
        <v>-6.7611981176704927E-3</v>
      </c>
      <c r="DP11" s="186">
        <f t="shared" si="24"/>
        <v>-0.16957186544342506</v>
      </c>
      <c r="DQ11" s="34">
        <f>DN11+DH11+DE11</f>
        <v>-14444</v>
      </c>
      <c r="DR11" s="186">
        <f t="shared" si="25"/>
        <v>-6.341685297160028E-3</v>
      </c>
      <c r="DS11" s="186">
        <f t="shared" si="145"/>
        <v>-0.23822583197088765</v>
      </c>
      <c r="DT11" s="34">
        <v>-4312</v>
      </c>
      <c r="DU11" s="186">
        <f t="shared" si="26"/>
        <v>-3.6408709719909622E-3</v>
      </c>
      <c r="DV11" s="186">
        <f t="shared" si="27"/>
        <v>-0.20472150497971231</v>
      </c>
      <c r="DW11" s="34">
        <f t="shared" si="146"/>
        <v>-18756</v>
      </c>
      <c r="DX11" s="186">
        <f t="shared" si="28"/>
        <v>-5.4177402396330399E-3</v>
      </c>
      <c r="DY11" s="186">
        <f t="shared" si="147"/>
        <v>-0.23077554033547965</v>
      </c>
      <c r="DZ11" s="34">
        <v>-5425</v>
      </c>
      <c r="EA11" s="186">
        <f t="shared" si="29"/>
        <v>-7.4649354437886922E-3</v>
      </c>
      <c r="EB11" s="186">
        <f t="shared" si="30"/>
        <v>0.1433087460484721</v>
      </c>
      <c r="EC11" s="34">
        <v>-5007</v>
      </c>
      <c r="ED11" s="186">
        <f t="shared" si="31"/>
        <v>-5.2860896766585407E-3</v>
      </c>
      <c r="EE11" s="186">
        <f t="shared" si="32"/>
        <v>0.17314901593252108</v>
      </c>
      <c r="EF11" s="34">
        <f t="shared" si="148"/>
        <v>-10432</v>
      </c>
      <c r="EG11" s="186">
        <f t="shared" si="33"/>
        <v>-6.2320258743773652E-3</v>
      </c>
      <c r="EH11" s="186">
        <f t="shared" si="149"/>
        <v>0.15743925441029627</v>
      </c>
      <c r="EI11" s="34">
        <v>-5919</v>
      </c>
      <c r="EJ11" s="186">
        <f t="shared" si="34"/>
        <v>-6.5264996394381854E-3</v>
      </c>
      <c r="EK11" s="186">
        <f t="shared" si="35"/>
        <v>8.9854538758976199E-2</v>
      </c>
      <c r="EL11" s="34">
        <f t="shared" si="150"/>
        <v>-16351</v>
      </c>
      <c r="EM11" s="186">
        <f t="shared" si="36"/>
        <v>-6.33550470929755E-3</v>
      </c>
      <c r="EN11" s="186">
        <f t="shared" si="151"/>
        <v>0.13202713929659371</v>
      </c>
      <c r="EO11" s="34">
        <v>-5698</v>
      </c>
      <c r="EP11" s="186">
        <f t="shared" si="37"/>
        <v>-4.2747161567465945E-3</v>
      </c>
      <c r="EQ11" s="186">
        <f t="shared" si="38"/>
        <v>0.3214285714285714</v>
      </c>
      <c r="ER11" s="34">
        <v>-22047.8</v>
      </c>
      <c r="ES11" s="186">
        <f t="shared" si="39"/>
        <v>-5.6333357095351352E-3</v>
      </c>
      <c r="ET11" s="186">
        <f t="shared" si="40"/>
        <v>0.17550650458519934</v>
      </c>
      <c r="EU11" s="34">
        <v>-5833</v>
      </c>
      <c r="EV11" s="186">
        <f t="shared" si="41"/>
        <v>-7.1613080651577133E-3</v>
      </c>
      <c r="EW11" s="39">
        <f t="shared" si="42"/>
        <v>7.5207373271889422E-2</v>
      </c>
      <c r="EX11" s="34">
        <v>-4485</v>
      </c>
      <c r="EY11" s="186">
        <f t="shared" si="43"/>
        <v>-4.0361843703822361E-3</v>
      </c>
      <c r="EZ11" s="186">
        <f t="shared" si="44"/>
        <v>-0.10425404433792695</v>
      </c>
      <c r="FA11" s="34">
        <f t="shared" si="152"/>
        <v>-10318</v>
      </c>
      <c r="FB11" s="186">
        <f t="shared" si="45"/>
        <v>-5.3580126643935702E-3</v>
      </c>
      <c r="FC11" s="186">
        <f t="shared" si="171"/>
        <v>-1.0927914110429482E-2</v>
      </c>
      <c r="FD11" s="34">
        <v>-7649.42</v>
      </c>
      <c r="FE11" s="186">
        <f t="shared" si="46"/>
        <v>-7.3054013452507945E-3</v>
      </c>
      <c r="FF11" s="186">
        <f t="shared" si="47"/>
        <v>0.29235005913161016</v>
      </c>
      <c r="FG11" s="34">
        <f t="shared" si="153"/>
        <v>-17967.419999999998</v>
      </c>
      <c r="FH11" s="186">
        <f t="shared" si="48"/>
        <v>-6.0439282092165474E-3</v>
      </c>
      <c r="FI11" s="186">
        <f t="shared" si="49"/>
        <v>9.8857562228609863E-2</v>
      </c>
      <c r="FJ11" s="34">
        <v>-6354.73</v>
      </c>
      <c r="FK11" s="186">
        <f t="shared" si="50"/>
        <v>-3.8056673615573535E-3</v>
      </c>
      <c r="FL11" s="186">
        <f t="shared" si="154"/>
        <v>0.11525623025623011</v>
      </c>
      <c r="FM11" s="34">
        <f>SUM(FJ11,FG11)</f>
        <v>-24322.149999999998</v>
      </c>
      <c r="FN11" s="186">
        <f t="shared" si="51"/>
        <v>-5.238893536655658E-3</v>
      </c>
      <c r="FO11" s="26">
        <f t="shared" si="170"/>
        <v>0.10315541686698904</v>
      </c>
      <c r="FP11" s="34">
        <v>-7159.02</v>
      </c>
      <c r="FQ11" s="186">
        <f t="shared" si="52"/>
        <v>-7.0818631015090588E-3</v>
      </c>
      <c r="FR11" s="26">
        <f t="shared" si="53"/>
        <v>0.22733070461169214</v>
      </c>
      <c r="FS11" s="34">
        <v>-10284</v>
      </c>
      <c r="FT11" s="186">
        <f t="shared" si="54"/>
        <v>-7.5940040395271399E-3</v>
      </c>
      <c r="FU11" s="186">
        <f t="shared" si="112"/>
        <v>1.2929765886287625</v>
      </c>
      <c r="FV11" s="34">
        <f>FP11+FS11</f>
        <v>-17443.02</v>
      </c>
      <c r="FW11" s="186">
        <f t="shared" si="55"/>
        <v>-7.3751058742087443E-3</v>
      </c>
      <c r="FX11" s="186">
        <f t="shared" si="113"/>
        <v>0.69054274084124834</v>
      </c>
      <c r="FY11" s="34">
        <v>-11858.077899999998</v>
      </c>
      <c r="FZ11" s="186">
        <f t="shared" si="56"/>
        <v>-9.4988868640181346E-3</v>
      </c>
      <c r="GA11" s="186">
        <f t="shared" si="57"/>
        <v>0.55019307346177859</v>
      </c>
      <c r="GB11" s="34">
        <f>FV11+FY11</f>
        <v>-29301.097900000001</v>
      </c>
      <c r="GC11" s="186">
        <f t="shared" si="58"/>
        <v>-8.1088173304116849E-3</v>
      </c>
      <c r="GD11" s="186">
        <f t="shared" si="59"/>
        <v>0.63079050303271167</v>
      </c>
      <c r="GE11" s="34">
        <v>-10382.9094432001</v>
      </c>
      <c r="GF11" s="186">
        <f t="shared" si="60"/>
        <v>-5.6509750606031136E-3</v>
      </c>
      <c r="GG11" s="186">
        <f t="shared" si="61"/>
        <v>0.63388679663811076</v>
      </c>
      <c r="GH11" s="34">
        <f>GB11+GE11</f>
        <v>-39684.007343200101</v>
      </c>
      <c r="GI11" s="186">
        <f t="shared" si="62"/>
        <v>-7.2803311011196232E-3</v>
      </c>
      <c r="GJ11" s="186">
        <f t="shared" si="63"/>
        <v>0.63159948208526395</v>
      </c>
      <c r="GK11" s="34">
        <v>-9246</v>
      </c>
      <c r="GL11" s="186">
        <f t="shared" si="64"/>
        <v>-8.5917550374112108E-3</v>
      </c>
      <c r="GM11" s="26">
        <f t="shared" si="65"/>
        <v>0.29151755407863078</v>
      </c>
      <c r="GN11" s="34">
        <v>-10997</v>
      </c>
      <c r="GO11" s="186">
        <f t="shared" si="66"/>
        <v>-7.5080836328282885E-3</v>
      </c>
      <c r="GP11" s="186">
        <f t="shared" si="67"/>
        <v>6.9330999611046273E-2</v>
      </c>
      <c r="GQ11" s="34">
        <f>GK11+GN11</f>
        <v>-20243</v>
      </c>
      <c r="GR11" s="186">
        <f t="shared" si="68"/>
        <v>-7.9670628092486095E-3</v>
      </c>
      <c r="GS11" s="186">
        <f t="shared" si="69"/>
        <v>0.1605215151963364</v>
      </c>
      <c r="GT11" s="34">
        <v>-6730</v>
      </c>
      <c r="GU11" s="186">
        <f t="shared" si="70"/>
        <v>-5.3394984838363146E-3</v>
      </c>
      <c r="GV11" s="186">
        <f t="shared" si="71"/>
        <v>-0.43245439465362245</v>
      </c>
      <c r="GW11" s="34">
        <f>GQ11+GT11</f>
        <v>-26973</v>
      </c>
      <c r="GX11" s="186">
        <f t="shared" si="72"/>
        <v>-7.0958162753659709E-3</v>
      </c>
      <c r="GY11" s="186">
        <f t="shared" si="73"/>
        <v>-7.9454288980755239E-2</v>
      </c>
      <c r="GZ11" s="34">
        <v>-5447</v>
      </c>
      <c r="HA11" s="186">
        <f t="shared" si="74"/>
        <v>-2.8362346550697107E-3</v>
      </c>
      <c r="HB11" s="186">
        <f t="shared" si="75"/>
        <v>-0.47538789297952422</v>
      </c>
      <c r="HC11" s="34">
        <f>GW11+GZ11</f>
        <v>-32420</v>
      </c>
      <c r="HD11" s="186">
        <f t="shared" si="76"/>
        <v>-5.6660907364484833E-3</v>
      </c>
      <c r="HE11" s="186">
        <f t="shared" si="77"/>
        <v>-0.18304621507547414</v>
      </c>
      <c r="HF11" s="34">
        <v>-4064</v>
      </c>
      <c r="HG11" s="186">
        <f t="shared" si="78"/>
        <v>-3.2915304644751207E-3</v>
      </c>
      <c r="HH11" s="26">
        <f t="shared" si="79"/>
        <v>-0.56045857668180843</v>
      </c>
      <c r="HI11" s="34">
        <v>-4594</v>
      </c>
      <c r="HJ11" s="186">
        <f t="shared" si="80"/>
        <v>-2.8176166667484436E-3</v>
      </c>
      <c r="HK11" s="186">
        <f t="shared" si="81"/>
        <v>-0.58224970446485402</v>
      </c>
      <c r="HL11" s="34">
        <f>HF11+HI11</f>
        <v>-8658</v>
      </c>
      <c r="HM11" s="186">
        <f t="shared" si="82"/>
        <v>-3.021841864620926E-3</v>
      </c>
      <c r="HN11" s="186">
        <f t="shared" si="83"/>
        <v>-0.57229659635429531</v>
      </c>
      <c r="HO11" s="34">
        <v>1134</v>
      </c>
      <c r="HP11" s="186">
        <f t="shared" si="84"/>
        <v>7.4971340320961961E-4</v>
      </c>
      <c r="HQ11" s="186">
        <f t="shared" si="85"/>
        <v>-1.1684992570579495</v>
      </c>
      <c r="HR11" s="34">
        <f>HL11+HO11</f>
        <v>-7524</v>
      </c>
      <c r="HS11" s="186">
        <f t="shared" si="86"/>
        <v>-1.718703671638968E-3</v>
      </c>
      <c r="HT11" s="186">
        <f t="shared" si="87"/>
        <v>-0.72105438772105446</v>
      </c>
      <c r="HU11" s="34">
        <v>140</v>
      </c>
      <c r="HV11" s="186">
        <f t="shared" si="88"/>
        <v>6.29962359749005E-5</v>
      </c>
      <c r="HW11" s="186">
        <f t="shared" si="89"/>
        <v>-1.0257022214062788</v>
      </c>
      <c r="HX11" s="34">
        <f>HR11+HU11</f>
        <v>-7384</v>
      </c>
      <c r="HY11" s="186">
        <f t="shared" si="90"/>
        <v>-1.1187755044527537E-3</v>
      </c>
      <c r="HZ11" s="186">
        <f t="shared" si="91"/>
        <v>-0.77223935842072788</v>
      </c>
      <c r="IA11" s="34">
        <v>433</v>
      </c>
      <c r="IB11" s="186">
        <f t="shared" si="92"/>
        <v>3.0954683915503008E-4</v>
      </c>
      <c r="IC11" s="26">
        <f t="shared" si="114"/>
        <v>-1.1065452755905512</v>
      </c>
      <c r="ID11" s="34">
        <v>-924</v>
      </c>
      <c r="IE11" s="186">
        <f t="shared" si="93"/>
        <v>-5.1909208322776406E-4</v>
      </c>
      <c r="IF11" s="26">
        <f t="shared" si="115"/>
        <v>-0.79886808881149329</v>
      </c>
      <c r="IG11" s="34">
        <v>-491</v>
      </c>
      <c r="IH11" s="186">
        <f t="shared" si="94"/>
        <v>-1.5445837331110306E-4</v>
      </c>
      <c r="II11" s="26">
        <f t="shared" si="116"/>
        <v>-0.94328944328944331</v>
      </c>
      <c r="IJ11" s="34">
        <v>-453.23281999988967</v>
      </c>
      <c r="IK11" s="186">
        <f t="shared" si="117"/>
        <v>-2.6482217240117635E-4</v>
      </c>
      <c r="IL11" s="26">
        <f t="shared" si="118"/>
        <v>-1.3996762081127776</v>
      </c>
      <c r="IM11" s="34">
        <f t="shared" si="119"/>
        <v>-944.23281999988967</v>
      </c>
      <c r="IN11" s="186">
        <f t="shared" si="120"/>
        <v>-1.9308234024804013E-4</v>
      </c>
      <c r="IO11" s="26">
        <f t="shared" si="121"/>
        <v>-0.8745038782562613</v>
      </c>
      <c r="IP11" s="34">
        <v>213.86663000000044</v>
      </c>
      <c r="IQ11" s="186">
        <f t="shared" si="97"/>
        <v>8.241101189077063E-5</v>
      </c>
      <c r="IR11" s="26">
        <f t="shared" si="122"/>
        <v>0.52761878571428888</v>
      </c>
      <c r="IS11" s="34">
        <f t="shared" si="123"/>
        <v>-730.36618999988923</v>
      </c>
      <c r="IT11" s="186">
        <f t="shared" si="98"/>
        <v>-9.7571668866702738E-5</v>
      </c>
      <c r="IU11" s="26">
        <f t="shared" si="124"/>
        <v>-0.90108800243771814</v>
      </c>
      <c r="IV11" s="34"/>
      <c r="IW11" s="70"/>
      <c r="IX11" s="70"/>
      <c r="IY11" s="34"/>
      <c r="IZ11" s="186"/>
      <c r="JA11" s="26"/>
      <c r="JB11" s="210"/>
      <c r="JC11" s="186"/>
      <c r="JD11" s="26"/>
      <c r="JE11" s="210"/>
      <c r="JF11" s="186"/>
      <c r="JG11" s="26"/>
      <c r="JH11" s="34"/>
      <c r="JI11" s="186"/>
      <c r="JJ11" s="26"/>
      <c r="JK11" s="210"/>
      <c r="JL11" s="186"/>
      <c r="JM11" s="26"/>
      <c r="JN11" s="34"/>
      <c r="JO11" s="186"/>
      <c r="JP11" s="26"/>
      <c r="JQ11" s="210"/>
      <c r="JR11" s="186"/>
      <c r="JS11" s="26" t="e">
        <f t="shared" si="135"/>
        <v>#DIV/0!</v>
      </c>
      <c r="JT11" s="210"/>
      <c r="JU11" s="186"/>
      <c r="JV11" s="26" t="e">
        <f t="shared" si="173"/>
        <v>#DIV/0!</v>
      </c>
      <c r="JW11" s="210"/>
      <c r="JX11" s="186"/>
      <c r="JY11" s="26"/>
      <c r="JZ11" s="210"/>
      <c r="KA11" s="186"/>
      <c r="KB11" s="26"/>
      <c r="KC11" s="210"/>
      <c r="KD11" s="186"/>
      <c r="KE11" s="26"/>
      <c r="KF11" s="210"/>
      <c r="KG11" s="186"/>
      <c r="KH11" s="26"/>
      <c r="KI11" s="210"/>
      <c r="KJ11" s="186"/>
      <c r="KK11" s="26"/>
    </row>
    <row r="12" spans="2:297" ht="16.5" customHeight="1">
      <c r="B12" s="66" t="s">
        <v>1529</v>
      </c>
      <c r="C12" s="66" t="s">
        <v>212</v>
      </c>
      <c r="D12" s="69" t="s">
        <v>77</v>
      </c>
      <c r="E12" s="22" t="s">
        <v>77</v>
      </c>
      <c r="F12" s="69" t="s">
        <v>77</v>
      </c>
      <c r="G12" s="22" t="s">
        <v>77</v>
      </c>
      <c r="H12" s="69" t="s">
        <v>77</v>
      </c>
      <c r="I12" s="70" t="s">
        <v>77</v>
      </c>
      <c r="J12" s="69" t="s">
        <v>77</v>
      </c>
      <c r="K12" s="22" t="s">
        <v>77</v>
      </c>
      <c r="L12" s="69" t="s">
        <v>77</v>
      </c>
      <c r="M12" s="70" t="s">
        <v>77</v>
      </c>
      <c r="N12" s="69" t="s">
        <v>77</v>
      </c>
      <c r="O12" s="22" t="s">
        <v>77</v>
      </c>
      <c r="P12" s="30" t="s">
        <v>77</v>
      </c>
      <c r="Q12" s="22" t="s">
        <v>77</v>
      </c>
      <c r="R12" s="69" t="s">
        <v>77</v>
      </c>
      <c r="S12" s="22" t="s">
        <v>77</v>
      </c>
      <c r="T12" s="69" t="s">
        <v>77</v>
      </c>
      <c r="U12" s="22" t="s">
        <v>77</v>
      </c>
      <c r="V12" s="69" t="s">
        <v>77</v>
      </c>
      <c r="W12" s="70" t="s">
        <v>77</v>
      </c>
      <c r="X12" s="69" t="s">
        <v>77</v>
      </c>
      <c r="Y12" s="22" t="s">
        <v>77</v>
      </c>
      <c r="Z12" s="69" t="s">
        <v>77</v>
      </c>
      <c r="AA12" s="70" t="s">
        <v>77</v>
      </c>
      <c r="AB12" s="69" t="s">
        <v>77</v>
      </c>
      <c r="AC12" s="22" t="s">
        <v>77</v>
      </c>
      <c r="AD12" s="30" t="s">
        <v>77</v>
      </c>
      <c r="AE12" s="22" t="s">
        <v>77</v>
      </c>
      <c r="AF12" s="69">
        <v>-7831</v>
      </c>
      <c r="AG12" s="22">
        <f>AF12/$AF$16</f>
        <v>-2.0426049146675777E-2</v>
      </c>
      <c r="AH12" s="69">
        <v>-10546</v>
      </c>
      <c r="AI12" s="22">
        <f>AH12/$AH$16</f>
        <v>-2.0668461879172009E-2</v>
      </c>
      <c r="AJ12" s="67">
        <f t="shared" si="156"/>
        <v>-18377</v>
      </c>
      <c r="AK12" s="70">
        <f>AJ12/AJ16</f>
        <v>-2.0564462433515476E-2</v>
      </c>
      <c r="AL12" s="69">
        <v>-9061</v>
      </c>
      <c r="AM12" s="22">
        <f>AL12/$AL$16</f>
        <v>-2.017887286931502E-2</v>
      </c>
      <c r="AN12" s="67">
        <f t="shared" si="157"/>
        <v>-27438</v>
      </c>
      <c r="AO12" s="70">
        <f>AN12/AN16</f>
        <v>-2.0435507644137062E-2</v>
      </c>
      <c r="AP12" s="69">
        <v>-10646</v>
      </c>
      <c r="AQ12" s="22">
        <f>AP12/$AP$16</f>
        <v>-1.7345598753906264E-2</v>
      </c>
      <c r="AR12" s="30">
        <f>SUM(AN12,AP12)</f>
        <v>-38084</v>
      </c>
      <c r="AS12" s="22">
        <f>AR12/$AR$16</f>
        <v>-1.9466147896517214E-2</v>
      </c>
      <c r="AT12" s="69">
        <v>-7767</v>
      </c>
      <c r="AU12" s="22">
        <f>AT12/$AT$16</f>
        <v>-2.1417403605138854E-2</v>
      </c>
      <c r="AV12" s="70">
        <f t="shared" si="158"/>
        <v>-8.1726471714979043E-3</v>
      </c>
      <c r="AW12" s="69">
        <v>-9637</v>
      </c>
      <c r="AX12" s="22">
        <f>AW12/$AW$16</f>
        <v>-1.737235277575478E-2</v>
      </c>
      <c r="AY12" s="70">
        <f t="shared" si="0"/>
        <v>-8.6193817561160624E-2</v>
      </c>
      <c r="AZ12" s="67">
        <f t="shared" si="159"/>
        <v>-17404</v>
      </c>
      <c r="BA12" s="70">
        <f>AZ12/AZ16</f>
        <v>-1.8971397925180485E-2</v>
      </c>
      <c r="BB12" s="68">
        <f>AZ12/AJ12-1</f>
        <v>-5.2946618055177641E-2</v>
      </c>
      <c r="BC12" s="69">
        <v>-9668</v>
      </c>
      <c r="BD12" s="22">
        <f>BC12/$BC$16</f>
        <v>-1.986316849177162E-2</v>
      </c>
      <c r="BE12" s="70">
        <f t="shared" si="1"/>
        <v>6.6990398410771368E-2</v>
      </c>
      <c r="BF12" s="67">
        <f t="shared" si="160"/>
        <v>-27072</v>
      </c>
      <c r="BG12" s="70">
        <f>BF12/BF16</f>
        <v>-1.9280526966885096E-2</v>
      </c>
      <c r="BH12" s="68">
        <f>BF12/AN12-1</f>
        <v>-1.3339164662147351E-2</v>
      </c>
      <c r="BI12" s="69">
        <v>-11429</v>
      </c>
      <c r="BJ12" s="22">
        <f>BI12/$BI$16</f>
        <v>-1.6055168306038564E-2</v>
      </c>
      <c r="BK12" s="71">
        <f t="shared" si="2"/>
        <v>7.3548750704489851E-2</v>
      </c>
      <c r="BL12" s="30">
        <f>SUM(BF12,BI12)</f>
        <v>-38501</v>
      </c>
      <c r="BM12" s="22">
        <f>BL12/$BL$16</f>
        <v>-1.8195454751678664E-2</v>
      </c>
      <c r="BN12" s="71">
        <f t="shared" si="3"/>
        <v>1.094948009662855E-2</v>
      </c>
      <c r="BO12" s="30">
        <v>-9570</v>
      </c>
      <c r="BP12" s="22">
        <f>BO12/$BO$16</f>
        <v>-2.1737846567600843E-2</v>
      </c>
      <c r="BQ12" s="70">
        <f t="shared" si="4"/>
        <v>0.23213595983005031</v>
      </c>
      <c r="BR12" s="69">
        <v>-11871</v>
      </c>
      <c r="BS12" s="22">
        <f>BR12/$BR$16</f>
        <v>-1.8843186150869301E-2</v>
      </c>
      <c r="BT12" s="70">
        <f t="shared" si="5"/>
        <v>0.2318148801494242</v>
      </c>
      <c r="BU12" s="21">
        <v>-21442</v>
      </c>
      <c r="BV12" s="70">
        <f>BU12/BU16</f>
        <v>-2.0034852158638056E-2</v>
      </c>
      <c r="BW12" s="68">
        <f>BU12/AZ12-1</f>
        <v>0.23201562859112856</v>
      </c>
      <c r="BX12" s="69">
        <v>-12365</v>
      </c>
      <c r="BY12" s="22">
        <f>BX12/$BX$16</f>
        <v>-2.1741041600731443E-2</v>
      </c>
      <c r="BZ12" s="70">
        <f t="shared" si="7"/>
        <v>0.27896152254861395</v>
      </c>
      <c r="CA12" s="67">
        <f t="shared" si="161"/>
        <v>-33807</v>
      </c>
      <c r="CB12" s="70">
        <f>CA12/CA16</f>
        <v>-2.0626916212876951E-2</v>
      </c>
      <c r="CC12" s="68">
        <f>CA12/BF12-1</f>
        <v>0.24878102836879434</v>
      </c>
      <c r="CD12" s="69">
        <v>-18540</v>
      </c>
      <c r="CE12" s="22">
        <f>CD12/$CD$16</f>
        <v>-2.2507948802307613E-2</v>
      </c>
      <c r="CF12" s="70">
        <f t="shared" si="9"/>
        <v>0.62218916790620349</v>
      </c>
      <c r="CG12" s="69">
        <f>SUM(CA12,CD12)</f>
        <v>-52347</v>
      </c>
      <c r="CH12" s="22">
        <f>CG12/$CG$16</f>
        <v>-2.1256076703304198E-2</v>
      </c>
      <c r="CI12" s="70">
        <f t="shared" si="10"/>
        <v>0.35962702267473579</v>
      </c>
      <c r="CJ12" s="69">
        <v>-17629</v>
      </c>
      <c r="CK12" s="70">
        <f>CJ12/$CJ$16</f>
        <v>-3.4052079651231297E-2</v>
      </c>
      <c r="CL12" s="70">
        <f t="shared" si="162"/>
        <v>0.84211076280041808</v>
      </c>
      <c r="CM12" s="69">
        <v>-20167</v>
      </c>
      <c r="CN12" s="70">
        <f>CM12/$CM$16</f>
        <v>-2.6901779890162514E-2</v>
      </c>
      <c r="CO12" s="70">
        <f t="shared" si="163"/>
        <v>0.69884592704911119</v>
      </c>
      <c r="CP12" s="21">
        <v>-37796</v>
      </c>
      <c r="CQ12" s="70">
        <f>(CP12/$CP$16)</f>
        <v>-2.982262340613559E-2</v>
      </c>
      <c r="CR12" s="68">
        <f t="shared" si="164"/>
        <v>0.76270870254640433</v>
      </c>
      <c r="CS12" s="69">
        <v>-21205.325000000001</v>
      </c>
      <c r="CT12" s="70">
        <f t="shared" si="14"/>
        <v>-3.2272256177367613E-2</v>
      </c>
      <c r="CU12" s="70">
        <f t="shared" si="15"/>
        <v>0.71494743226849988</v>
      </c>
      <c r="CV12" s="21">
        <f>(CP12+CS12)</f>
        <v>-59001.324999999997</v>
      </c>
      <c r="CW12" s="70">
        <f t="shared" si="16"/>
        <v>-3.0659021656215119E-2</v>
      </c>
      <c r="CX12" s="68">
        <f t="shared" si="165"/>
        <v>0.74523989114680389</v>
      </c>
      <c r="CY12" s="21">
        <v>-27541</v>
      </c>
      <c r="CZ12" s="70">
        <f t="shared" si="17"/>
        <v>-2.8329116007323747E-2</v>
      </c>
      <c r="DA12" s="68">
        <f t="shared" si="166"/>
        <v>0.48549083063646181</v>
      </c>
      <c r="DB12" s="21">
        <f t="shared" si="143"/>
        <v>-86542.324999999997</v>
      </c>
      <c r="DC12" s="70">
        <f t="shared" si="18"/>
        <v>-2.9877034140171101E-2</v>
      </c>
      <c r="DD12" s="68">
        <f t="shared" si="167"/>
        <v>0.65324326131392429</v>
      </c>
      <c r="DE12" s="21">
        <v>-24735</v>
      </c>
      <c r="DF12" s="70">
        <f t="shared" si="19"/>
        <v>-3.9946769939873936E-2</v>
      </c>
      <c r="DG12" s="68">
        <f t="shared" si="168"/>
        <v>0.40308582449373187</v>
      </c>
      <c r="DH12" s="21">
        <v>-29247</v>
      </c>
      <c r="DI12" s="70">
        <f t="shared" si="20"/>
        <v>-3.4200257492963376E-2</v>
      </c>
      <c r="DJ12" s="70">
        <f>(DH12/CM12)-1</f>
        <v>0.45024049189269588</v>
      </c>
      <c r="DK12" s="21">
        <f t="shared" si="144"/>
        <v>-53982</v>
      </c>
      <c r="DL12" s="70">
        <f t="shared" si="22"/>
        <v>-3.6613654121630423E-2</v>
      </c>
      <c r="DM12" s="70">
        <f t="shared" si="169"/>
        <v>0.42824637527780718</v>
      </c>
      <c r="DN12" s="21">
        <v>-25388</v>
      </c>
      <c r="DO12" s="70">
        <f t="shared" si="23"/>
        <v>-3.1606204715783182E-2</v>
      </c>
      <c r="DP12" s="70">
        <f t="shared" si="24"/>
        <v>0.1972464463525081</v>
      </c>
      <c r="DQ12" s="21">
        <f>DN12+DH12+DE12</f>
        <v>-79370</v>
      </c>
      <c r="DR12" s="70">
        <f t="shared" si="25"/>
        <v>-3.4847657299611701E-2</v>
      </c>
      <c r="DS12" s="70">
        <f t="shared" si="145"/>
        <v>0.34522402674855179</v>
      </c>
      <c r="DT12" s="21">
        <v>-28405</v>
      </c>
      <c r="DU12" s="70">
        <f t="shared" si="26"/>
        <v>-2.3983984220640835E-2</v>
      </c>
      <c r="DV12" s="70">
        <f t="shared" si="27"/>
        <v>3.137140989797027E-2</v>
      </c>
      <c r="DW12" s="21">
        <f t="shared" si="146"/>
        <v>-107775</v>
      </c>
      <c r="DX12" s="70">
        <f t="shared" si="28"/>
        <v>-3.1131208910559337E-2</v>
      </c>
      <c r="DY12" s="70">
        <f t="shared" si="147"/>
        <v>0.24534440229101784</v>
      </c>
      <c r="DZ12" s="21">
        <v>-27545</v>
      </c>
      <c r="EA12" s="70">
        <f t="shared" si="29"/>
        <v>-3.7902607704914201E-2</v>
      </c>
      <c r="EB12" s="70">
        <f t="shared" si="30"/>
        <v>0.11360420456842535</v>
      </c>
      <c r="EC12" s="21">
        <v>-30667</v>
      </c>
      <c r="ED12" s="70">
        <f t="shared" si="31"/>
        <v>-3.2376375497121523E-2</v>
      </c>
      <c r="EE12" s="70">
        <f t="shared" si="32"/>
        <v>4.85519882381098E-2</v>
      </c>
      <c r="EF12" s="21">
        <f t="shared" si="148"/>
        <v>-58212</v>
      </c>
      <c r="EG12" s="70">
        <f t="shared" si="33"/>
        <v>-3.4775564627996088E-2</v>
      </c>
      <c r="EH12" s="70">
        <f t="shared" si="149"/>
        <v>7.8359453151050307E-2</v>
      </c>
      <c r="EI12" s="21">
        <v>-31322</v>
      </c>
      <c r="EJ12" s="70">
        <f t="shared" si="34"/>
        <v>-3.4536749739226699E-2</v>
      </c>
      <c r="EK12" s="70">
        <f t="shared" si="35"/>
        <v>0.23373247203403191</v>
      </c>
      <c r="EL12" s="21">
        <f t="shared" si="150"/>
        <v>-89534</v>
      </c>
      <c r="EM12" s="70">
        <f t="shared" si="36"/>
        <v>-3.4691644464696157E-2</v>
      </c>
      <c r="EN12" s="70">
        <f t="shared" si="151"/>
        <v>0.12805846037545665</v>
      </c>
      <c r="EO12" s="21">
        <v>-33864.199999999997</v>
      </c>
      <c r="EP12" s="70">
        <f t="shared" si="37"/>
        <v>-2.540537782999263E-2</v>
      </c>
      <c r="EQ12" s="70">
        <f t="shared" si="38"/>
        <v>0.19219151557824321</v>
      </c>
      <c r="ER12" s="21">
        <v>-123398.5</v>
      </c>
      <c r="ES12" s="70">
        <f t="shared" si="39"/>
        <v>-3.1529004098053842E-2</v>
      </c>
      <c r="ET12" s="70">
        <f t="shared" si="40"/>
        <v>0.14496404546508934</v>
      </c>
      <c r="EU12" s="21">
        <v>-29477.5</v>
      </c>
      <c r="EV12" s="70">
        <f t="shared" si="41"/>
        <v>-3.6190203752903563E-2</v>
      </c>
      <c r="EW12" s="68">
        <f t="shared" si="42"/>
        <v>7.0157923398075805E-2</v>
      </c>
      <c r="EX12" s="21">
        <v>-34028</v>
      </c>
      <c r="EY12" s="70">
        <f t="shared" si="43"/>
        <v>-3.0622805296625803E-2</v>
      </c>
      <c r="EZ12" s="70">
        <f t="shared" si="44"/>
        <v>0.1095966348191868</v>
      </c>
      <c r="FA12" s="21">
        <f t="shared" si="152"/>
        <v>-63505.5</v>
      </c>
      <c r="FB12" s="70">
        <f t="shared" si="45"/>
        <v>-3.2977638423981964E-2</v>
      </c>
      <c r="FC12" s="70">
        <f t="shared" si="171"/>
        <v>9.0934858792001583E-2</v>
      </c>
      <c r="FD12" s="21">
        <v>-37434.800000000003</v>
      </c>
      <c r="FE12" s="70">
        <f t="shared" si="46"/>
        <v>-3.5751238431043726E-2</v>
      </c>
      <c r="FF12" s="70">
        <f t="shared" si="47"/>
        <v>0.19515995147180898</v>
      </c>
      <c r="FG12" s="21">
        <f t="shared" si="153"/>
        <v>-100940.3</v>
      </c>
      <c r="FH12" s="70">
        <f t="shared" si="48"/>
        <v>-3.3954564796547369E-2</v>
      </c>
      <c r="FI12" s="70">
        <f t="shared" si="49"/>
        <v>0.12739629637902916</v>
      </c>
      <c r="FJ12" s="21">
        <v>-44477.5</v>
      </c>
      <c r="FK12" s="70">
        <f t="shared" si="50"/>
        <v>-2.6636311861191142E-2</v>
      </c>
      <c r="FL12" s="70">
        <f t="shared" si="154"/>
        <v>0.31340766945623999</v>
      </c>
      <c r="FM12" s="207">
        <f>SUM(FJ12,FG12)</f>
        <v>-145417.79999999999</v>
      </c>
      <c r="FN12" s="70">
        <f t="shared" si="51"/>
        <v>-3.1322410746364326E-2</v>
      </c>
      <c r="FO12" s="70">
        <f t="shared" si="170"/>
        <v>0.17844058072018698</v>
      </c>
      <c r="FP12" s="21">
        <v>-37620.699999999997</v>
      </c>
      <c r="FQ12" s="70">
        <f t="shared" si="52"/>
        <v>-3.7215239960628942E-2</v>
      </c>
      <c r="FR12" s="70">
        <f t="shared" si="53"/>
        <v>0.2762513781697904</v>
      </c>
      <c r="FS12" s="21">
        <v>-40433</v>
      </c>
      <c r="FT12" s="70">
        <f t="shared" si="54"/>
        <v>-2.9856900557195726E-2</v>
      </c>
      <c r="FU12" s="70">
        <f t="shared" si="112"/>
        <v>0.18822734218878567</v>
      </c>
      <c r="FV12" s="21">
        <f>FP12+FS12</f>
        <v>-78053.7</v>
      </c>
      <c r="FW12" s="70">
        <f t="shared" si="55"/>
        <v>-3.3001985973399504E-2</v>
      </c>
      <c r="FX12" s="70">
        <f>(FV12/FA12)-1</f>
        <v>0.22908566974514022</v>
      </c>
      <c r="FY12" s="21">
        <v>-37366</v>
      </c>
      <c r="FZ12" s="70">
        <f t="shared" si="56"/>
        <v>-2.9931950991897403E-2</v>
      </c>
      <c r="GA12" s="70">
        <f t="shared" si="57"/>
        <v>-1.8378620962313796E-3</v>
      </c>
      <c r="GB12" s="21">
        <f>FV12+FY12</f>
        <v>-115419.7</v>
      </c>
      <c r="GC12" s="70">
        <f t="shared" si="58"/>
        <v>-3.194137184978716E-2</v>
      </c>
      <c r="GD12" s="70">
        <f t="shared" si="59"/>
        <v>0.14344518492613956</v>
      </c>
      <c r="GE12" s="21">
        <v>-44221</v>
      </c>
      <c r="GF12" s="70">
        <f t="shared" si="60"/>
        <v>-2.4067605474358402E-2</v>
      </c>
      <c r="GG12" s="70">
        <f t="shared" si="61"/>
        <v>-5.7669608228879676E-3</v>
      </c>
      <c r="GH12" s="21">
        <f>GB12+GE12</f>
        <v>-159640.70000000001</v>
      </c>
      <c r="GI12" s="70">
        <f t="shared" si="62"/>
        <v>-2.9287293069046823E-2</v>
      </c>
      <c r="GJ12" s="70">
        <f t="shared" si="63"/>
        <v>9.7807146030266079E-2</v>
      </c>
      <c r="GK12" s="21">
        <v>-41367</v>
      </c>
      <c r="GL12" s="70">
        <f t="shared" si="64"/>
        <v>-3.8439880016503308E-2</v>
      </c>
      <c r="GM12" s="70">
        <f t="shared" si="65"/>
        <v>9.9580815880619067E-2</v>
      </c>
      <c r="GN12" s="21">
        <v>-40828</v>
      </c>
      <c r="GO12" s="70">
        <f t="shared" si="66"/>
        <v>-2.7874878472411872E-2</v>
      </c>
      <c r="GP12" s="70">
        <f t="shared" si="67"/>
        <v>9.7692478915736292E-3</v>
      </c>
      <c r="GQ12" s="21">
        <f>GK12+GN12</f>
        <v>-82195</v>
      </c>
      <c r="GR12" s="70">
        <f t="shared" si="68"/>
        <v>-3.2349588875472485E-2</v>
      </c>
      <c r="GS12" s="70">
        <f t="shared" si="69"/>
        <v>5.305706199706095E-2</v>
      </c>
      <c r="GT12" s="21">
        <v>-40858</v>
      </c>
      <c r="GU12" s="70">
        <f t="shared" si="70"/>
        <v>-3.2416230171260642E-2</v>
      </c>
      <c r="GV12" s="70">
        <f t="shared" si="71"/>
        <v>9.3453942086388686E-2</v>
      </c>
      <c r="GW12" s="21">
        <f>GQ12+GT12</f>
        <v>-123053</v>
      </c>
      <c r="GX12" s="70">
        <f t="shared" si="72"/>
        <v>-3.2371685764750267E-2</v>
      </c>
      <c r="GY12" s="70">
        <f t="shared" si="73"/>
        <v>6.6135157169876502E-2</v>
      </c>
      <c r="GZ12" s="21">
        <v>-54845</v>
      </c>
      <c r="HA12" s="70">
        <f t="shared" si="74"/>
        <v>-2.855760779462058E-2</v>
      </c>
      <c r="HB12" s="70">
        <f t="shared" si="75"/>
        <v>0.24024784604599625</v>
      </c>
      <c r="HC12" s="21">
        <f>GW12+GZ12</f>
        <v>-177898</v>
      </c>
      <c r="HD12" s="70">
        <f t="shared" si="76"/>
        <v>-3.1091493208905373E-2</v>
      </c>
      <c r="HE12" s="70">
        <f t="shared" si="77"/>
        <v>0.11436494578137024</v>
      </c>
      <c r="HF12" s="21">
        <v>-48785</v>
      </c>
      <c r="HG12" s="70">
        <f t="shared" si="78"/>
        <v>-3.9512134278892413E-2</v>
      </c>
      <c r="HH12" s="70">
        <f t="shared" si="79"/>
        <v>0.17932168153358963</v>
      </c>
      <c r="HI12" s="21">
        <v>-57083</v>
      </c>
      <c r="HJ12" s="70">
        <f t="shared" si="80"/>
        <v>-3.501045106399682E-2</v>
      </c>
      <c r="HK12" s="70">
        <f t="shared" si="81"/>
        <v>0.39813363378073863</v>
      </c>
      <c r="HL12" s="21">
        <f>HF12+HI12</f>
        <v>-105868</v>
      </c>
      <c r="HM12" s="70">
        <f t="shared" si="82"/>
        <v>-3.6950375897861883E-2</v>
      </c>
      <c r="HN12" s="70">
        <f t="shared" si="83"/>
        <v>0.28801021959973228</v>
      </c>
      <c r="HO12" s="21">
        <v>-58835</v>
      </c>
      <c r="HP12" s="70">
        <f t="shared" si="84"/>
        <v>-3.8897167617141064E-2</v>
      </c>
      <c r="HQ12" s="70">
        <f t="shared" si="85"/>
        <v>0.43998727299427287</v>
      </c>
      <c r="HR12" s="21">
        <f>HL12+HO12</f>
        <v>-164703</v>
      </c>
      <c r="HS12" s="70">
        <f t="shared" si="86"/>
        <v>-3.7623026426096884E-2</v>
      </c>
      <c r="HT12" s="70">
        <f t="shared" si="87"/>
        <v>0.33847204050287272</v>
      </c>
      <c r="HU12" s="21">
        <v>-70069</v>
      </c>
      <c r="HV12" s="70">
        <f t="shared" si="88"/>
        <v>-3.1529166132323594E-2</v>
      </c>
      <c r="HW12" s="70">
        <f t="shared" si="89"/>
        <v>0.27758227732701246</v>
      </c>
      <c r="HX12" s="21">
        <f>HR12+HU12</f>
        <v>-234772</v>
      </c>
      <c r="HY12" s="70">
        <f t="shared" si="90"/>
        <v>-3.5571121713350744E-2</v>
      </c>
      <c r="HZ12" s="70">
        <f t="shared" si="91"/>
        <v>0.3197000528392675</v>
      </c>
      <c r="IA12" s="21">
        <v>-62474</v>
      </c>
      <c r="IB12" s="70">
        <f t="shared" si="92"/>
        <v>-4.4661961268756004E-2</v>
      </c>
      <c r="IC12" s="70">
        <f t="shared" si="114"/>
        <v>0.28059854463462131</v>
      </c>
      <c r="ID12" s="21">
        <v>-72410</v>
      </c>
      <c r="IE12" s="70">
        <f t="shared" si="93"/>
        <v>-4.0679066825240681E-2</v>
      </c>
      <c r="IF12" s="70">
        <f t="shared" si="115"/>
        <v>0.26850375768617618</v>
      </c>
      <c r="IG12" s="21">
        <v>-134884</v>
      </c>
      <c r="IH12" s="70">
        <f t="shared" si="94"/>
        <v>-4.2431696997341804E-2</v>
      </c>
      <c r="II12" s="70">
        <f t="shared" si="116"/>
        <v>0.27407715268069666</v>
      </c>
      <c r="IJ12" s="21">
        <v>-70086.577829999995</v>
      </c>
      <c r="IK12" s="70">
        <f t="shared" si="117"/>
        <v>-4.0951314596125762E-2</v>
      </c>
      <c r="IL12" s="70">
        <f t="shared" si="118"/>
        <v>0.19123953140137662</v>
      </c>
      <c r="IM12" s="21">
        <f t="shared" si="119"/>
        <v>-204970.57782999999</v>
      </c>
      <c r="IN12" s="70">
        <f t="shared" si="120"/>
        <v>-4.1913602250570017E-2</v>
      </c>
      <c r="IO12" s="70">
        <f t="shared" si="121"/>
        <v>0.24448600104430396</v>
      </c>
      <c r="IP12" s="21">
        <v>-78915.414560000005</v>
      </c>
      <c r="IQ12" s="70">
        <f t="shared" si="97"/>
        <v>-3.0409134738174162E-2</v>
      </c>
      <c r="IR12" s="70">
        <f t="shared" si="122"/>
        <v>0.12625290156845392</v>
      </c>
      <c r="IS12" s="21">
        <f t="shared" si="123"/>
        <v>-283885.99239000003</v>
      </c>
      <c r="IT12" s="70">
        <f t="shared" si="98"/>
        <v>-3.7925126360759627E-2</v>
      </c>
      <c r="IU12" s="70">
        <f t="shared" si="124"/>
        <v>0.20919867952737126</v>
      </c>
      <c r="IV12" s="21">
        <v>-65947.373099999997</v>
      </c>
      <c r="IW12" s="70">
        <f t="shared" si="125"/>
        <v>-3.9959943393379653E-2</v>
      </c>
      <c r="IX12" s="70">
        <f t="shared" si="126"/>
        <v>5.559709799276491E-2</v>
      </c>
      <c r="IY12" s="21">
        <v>-77364.12662000001</v>
      </c>
      <c r="IZ12" s="70">
        <f t="shared" si="100"/>
        <v>-3.8310945184002569E-2</v>
      </c>
      <c r="JA12" s="70">
        <f t="shared" si="127"/>
        <v>6.8417713299268268E-2</v>
      </c>
      <c r="JB12" s="21">
        <f>IY12+IV12</f>
        <v>-143311.49972000002</v>
      </c>
      <c r="JC12" s="70">
        <f t="shared" si="101"/>
        <v>-3.9052530218319649E-2</v>
      </c>
      <c r="JD12" s="70">
        <f t="shared" si="128"/>
        <v>6.247961003528979E-2</v>
      </c>
      <c r="JE12" s="21">
        <v>-82060.299540000007</v>
      </c>
      <c r="JF12" s="70">
        <f t="shared" si="102"/>
        <v>-4.2475946020650919E-2</v>
      </c>
      <c r="JG12" s="70">
        <f t="shared" si="129"/>
        <v>0.17084186560004588</v>
      </c>
      <c r="JH12" s="21">
        <f t="shared" si="130"/>
        <v>-225371.79926000003</v>
      </c>
      <c r="JI12" s="70">
        <f t="shared" si="103"/>
        <v>-4.0233217490964694E-2</v>
      </c>
      <c r="JJ12" s="70">
        <f t="shared" si="131"/>
        <v>9.9532438489394082E-2</v>
      </c>
      <c r="JK12" s="21">
        <v>-92692.489909999989</v>
      </c>
      <c r="JL12" s="70">
        <f t="shared" si="104"/>
        <v>-3.2262658780296112E-2</v>
      </c>
      <c r="JM12" s="70">
        <f t="shared" si="132"/>
        <v>0.17458028227837752</v>
      </c>
      <c r="JN12" s="21">
        <f t="shared" si="133"/>
        <v>-318064.28917</v>
      </c>
      <c r="JO12" s="70">
        <f t="shared" si="105"/>
        <v>-3.7531069169113265E-2</v>
      </c>
      <c r="JP12" s="70">
        <f t="shared" si="134"/>
        <v>0.1203944459966384</v>
      </c>
      <c r="JQ12" s="21">
        <v>-88158.157919999998</v>
      </c>
      <c r="JR12" s="70">
        <f t="shared" si="106"/>
        <v>-5.6869626701415321E-2</v>
      </c>
      <c r="JS12" s="70">
        <f t="shared" si="135"/>
        <v>0.33679559588098296</v>
      </c>
      <c r="JT12" s="21">
        <v>-75395.570749999999</v>
      </c>
      <c r="JU12" s="70">
        <f t="shared" ref="JU12:JU13" si="185">(JT12/JT$16)</f>
        <v>-0.1397156059825512</v>
      </c>
      <c r="JV12" s="70">
        <f t="shared" si="173"/>
        <v>-2.5445331783673253E-2</v>
      </c>
      <c r="JW12" s="21">
        <f>JT12+JQ12</f>
        <v>-163553.72866999998</v>
      </c>
      <c r="JX12" s="70">
        <f t="shared" ref="JX12:JX13" si="186">(JW12/JW$16)</f>
        <v>-7.8262262644175365E-2</v>
      </c>
      <c r="JY12" s="70">
        <f t="shared" ref="JY12:JY13" si="187">(JW12/JB12)-1</f>
        <v>0.14124636885071284</v>
      </c>
      <c r="JZ12" s="21">
        <v>-92231.391420000014</v>
      </c>
      <c r="KA12" s="70">
        <f t="shared" ref="KA12:KA13" si="188">(JZ12/JZ$16)</f>
        <v>-5.5857291056124747E-2</v>
      </c>
      <c r="KB12" s="70">
        <f t="shared" ref="KB12:KB13" si="189">(JZ12/JE12)-1</f>
        <v>0.12394656048071262</v>
      </c>
      <c r="KC12" s="21">
        <f>JZ12+JW12</f>
        <v>-255785.12008999998</v>
      </c>
      <c r="KD12" s="70">
        <f t="shared" ref="KD12:KD13" si="190">(KC12/KC$16)</f>
        <v>-6.8373224067919569E-2</v>
      </c>
      <c r="KE12" s="70">
        <f t="shared" ref="KE12:KE13" si="191">(KC12/JH12)-1</f>
        <v>0.13494732229081441</v>
      </c>
      <c r="KF12" s="21">
        <v>-104013.03438</v>
      </c>
      <c r="KG12" s="70">
        <f t="shared" ref="KG12:KG13" si="192">(KF12/KF$16)</f>
        <v>-3.5626294932315096E-2</v>
      </c>
      <c r="KH12" s="70">
        <f t="shared" ref="KH12:KH13" si="193">(KF12/JK12)-1</f>
        <v>0.12213011519047257</v>
      </c>
      <c r="KI12" s="21">
        <f>KF12+KC12</f>
        <v>-359798.15446999995</v>
      </c>
      <c r="KJ12" s="70">
        <f t="shared" ref="KJ12:KJ13" si="194">(KI12/KI$16)</f>
        <v>-5.4019115548802038E-2</v>
      </c>
      <c r="KK12" s="70">
        <f t="shared" ref="KK12:KK13" si="195">(KI12/JN12)-1</f>
        <v>0.13121204335420966</v>
      </c>
    </row>
    <row r="13" spans="2:297" ht="16.5" customHeight="1">
      <c r="B13" s="341" t="s">
        <v>94</v>
      </c>
      <c r="C13" s="341" t="s">
        <v>94</v>
      </c>
      <c r="D13" s="342" t="s">
        <v>77</v>
      </c>
      <c r="E13" s="343" t="s">
        <v>77</v>
      </c>
      <c r="F13" s="342" t="s">
        <v>77</v>
      </c>
      <c r="G13" s="343" t="s">
        <v>77</v>
      </c>
      <c r="H13" s="342" t="s">
        <v>77</v>
      </c>
      <c r="I13" s="343" t="s">
        <v>77</v>
      </c>
      <c r="J13" s="342" t="s">
        <v>77</v>
      </c>
      <c r="K13" s="343" t="s">
        <v>77</v>
      </c>
      <c r="L13" s="342" t="s">
        <v>77</v>
      </c>
      <c r="M13" s="343" t="s">
        <v>77</v>
      </c>
      <c r="N13" s="342" t="s">
        <v>77</v>
      </c>
      <c r="O13" s="343" t="s">
        <v>77</v>
      </c>
      <c r="P13" s="342" t="s">
        <v>77</v>
      </c>
      <c r="Q13" s="343" t="s">
        <v>77</v>
      </c>
      <c r="R13" s="342" t="s">
        <v>77</v>
      </c>
      <c r="S13" s="343" t="s">
        <v>77</v>
      </c>
      <c r="T13" s="342" t="s">
        <v>77</v>
      </c>
      <c r="U13" s="343" t="s">
        <v>77</v>
      </c>
      <c r="V13" s="342" t="s">
        <v>77</v>
      </c>
      <c r="W13" s="343" t="s">
        <v>77</v>
      </c>
      <c r="X13" s="342" t="s">
        <v>77</v>
      </c>
      <c r="Y13" s="343" t="s">
        <v>77</v>
      </c>
      <c r="Z13" s="342" t="s">
        <v>77</v>
      </c>
      <c r="AA13" s="343" t="s">
        <v>77</v>
      </c>
      <c r="AB13" s="342" t="s">
        <v>77</v>
      </c>
      <c r="AC13" s="343" t="s">
        <v>77</v>
      </c>
      <c r="AD13" s="342" t="s">
        <v>77</v>
      </c>
      <c r="AE13" s="343" t="s">
        <v>77</v>
      </c>
      <c r="AF13" s="342">
        <f>SUM(AF4,AF8,AF12)</f>
        <v>-15722.514999999999</v>
      </c>
      <c r="AG13" s="343">
        <f>AF13/$AF$16</f>
        <v>-4.1009943059551413E-2</v>
      </c>
      <c r="AH13" s="342">
        <f>SUM(AH4,AH8,AH12)</f>
        <v>11605</v>
      </c>
      <c r="AI13" s="343">
        <f>AH13/$AH$16</f>
        <v>2.2743931358599579E-2</v>
      </c>
      <c r="AJ13" s="344">
        <f t="shared" si="156"/>
        <v>-4117.5149999999994</v>
      </c>
      <c r="AK13" s="343">
        <f>AJ13/AJ16</f>
        <v>-4.607633592911599E-3</v>
      </c>
      <c r="AL13" s="342">
        <f>AL4+AL8+AL12</f>
        <v>19656</v>
      </c>
      <c r="AM13" s="343">
        <f>AL13/$AL$16</f>
        <v>4.3773968118227126E-2</v>
      </c>
      <c r="AN13" s="344">
        <f t="shared" si="157"/>
        <v>15538.485000000001</v>
      </c>
      <c r="AO13" s="343">
        <f>AN13/AN16</f>
        <v>1.1572885377790257E-2</v>
      </c>
      <c r="AP13" s="342">
        <f>AP4+AP8+AP12</f>
        <v>5679</v>
      </c>
      <c r="AQ13" s="343">
        <f>AP13/$AP$16</f>
        <v>9.2528325496368281E-3</v>
      </c>
      <c r="AR13" s="342">
        <f>AR4+AR8+AR12</f>
        <v>51672</v>
      </c>
      <c r="AS13" s="343">
        <f>AR13/$AR$16</f>
        <v>2.6411479731877886E-2</v>
      </c>
      <c r="AT13" s="342">
        <f>AT4+AT8+AT12</f>
        <v>20088</v>
      </c>
      <c r="AU13" s="343">
        <f>AT13/$AT$16</f>
        <v>5.539240422557349E-2</v>
      </c>
      <c r="AV13" s="343">
        <f t="shared" si="158"/>
        <v>-2.2776581863652221</v>
      </c>
      <c r="AW13" s="342">
        <f>AW4+AW8+AW12</f>
        <v>9072</v>
      </c>
      <c r="AX13" s="343">
        <f>AW13/$AW$16</f>
        <v>1.6353842936769468E-2</v>
      </c>
      <c r="AY13" s="343">
        <f t="shared" si="0"/>
        <v>-0.21826798793623436</v>
      </c>
      <c r="AZ13" s="344">
        <f t="shared" si="159"/>
        <v>29160</v>
      </c>
      <c r="BA13" s="343">
        <f>AZ13/AZ16</f>
        <v>3.1786139019665767E-2</v>
      </c>
      <c r="BB13" s="345">
        <f>AZ13/AJ13-1</f>
        <v>-8.0819414136924834</v>
      </c>
      <c r="BC13" s="342">
        <f>BC4+BC8+BC12</f>
        <v>19152</v>
      </c>
      <c r="BD13" s="343">
        <f>BC13/$BC$16</f>
        <v>3.9348303987837202E-2</v>
      </c>
      <c r="BE13" s="343">
        <f t="shared" si="1"/>
        <v>-2.5641025641025661E-2</v>
      </c>
      <c r="BF13" s="344">
        <f t="shared" si="160"/>
        <v>48312</v>
      </c>
      <c r="BG13" s="343">
        <f>BF13/BF16</f>
        <v>3.4407536156329521E-2</v>
      </c>
      <c r="BH13" s="345">
        <f>BF13/AN13-1</f>
        <v>2.1091834242527505</v>
      </c>
      <c r="BI13" s="342">
        <f>BI4+BI8+BI12</f>
        <v>19264.771999999997</v>
      </c>
      <c r="BJ13" s="343">
        <f>BI13/$BI$16</f>
        <v>2.7062661373476168E-2</v>
      </c>
      <c r="BK13" s="346">
        <f t="shared" si="2"/>
        <v>2.3922824440922694</v>
      </c>
      <c r="BL13" s="342">
        <f>BL4+BL8+BL12</f>
        <v>67576.771999999997</v>
      </c>
      <c r="BM13" s="343">
        <f>BL13/$BL$16</f>
        <v>3.1936575600387151E-2</v>
      </c>
      <c r="BN13" s="346">
        <f t="shared" si="3"/>
        <v>0.30780252361046601</v>
      </c>
      <c r="BO13" s="342">
        <f>BO4+BO8+BO12</f>
        <v>26322</v>
      </c>
      <c r="BP13" s="343">
        <f>BO13/$BO$16</f>
        <v>5.9789299618849462E-2</v>
      </c>
      <c r="BQ13" s="343">
        <f t="shared" si="4"/>
        <v>0.31033452807646356</v>
      </c>
      <c r="BR13" s="342">
        <f>BR4+BR8+BR12</f>
        <v>24738</v>
      </c>
      <c r="BS13" s="343">
        <f>BR13/$BR$16</f>
        <v>3.9267352287103423E-2</v>
      </c>
      <c r="BT13" s="343">
        <f t="shared" si="5"/>
        <v>1.7268518518518516</v>
      </c>
      <c r="BU13" s="344">
        <f>SUM(BU4,BU8,BU12)</f>
        <v>51060</v>
      </c>
      <c r="BV13" s="343">
        <f>BU13/BU16</f>
        <v>4.7709147990861824E-2</v>
      </c>
      <c r="BW13" s="345">
        <f>BU13/AZ13-1</f>
        <v>0.75102880658436222</v>
      </c>
      <c r="BX13" s="342">
        <f>BX4+BX8+BX12</f>
        <v>36489</v>
      </c>
      <c r="BY13" s="343">
        <f>BX13/$BX$16</f>
        <v>6.4157611562401101E-2</v>
      </c>
      <c r="BZ13" s="343">
        <f t="shared" si="7"/>
        <v>0.90523182957393478</v>
      </c>
      <c r="CA13" s="344">
        <f t="shared" si="161"/>
        <v>87549</v>
      </c>
      <c r="CB13" s="343">
        <f>CA13/CA16</f>
        <v>5.341692216171693E-2</v>
      </c>
      <c r="CC13" s="345">
        <f>CA13/BF13-1</f>
        <v>0.81215846994535523</v>
      </c>
      <c r="CD13" s="342">
        <f>CD4+CD8+CD12</f>
        <v>33493</v>
      </c>
      <c r="CE13" s="343">
        <f>CD13/$CD$16</f>
        <v>4.0661204381644486E-2</v>
      </c>
      <c r="CF13" s="343">
        <f t="shared" si="9"/>
        <v>0.73856197208043817</v>
      </c>
      <c r="CG13" s="342">
        <f>SUM(CA13,CD13)</f>
        <v>121042</v>
      </c>
      <c r="CH13" s="343">
        <f>CG13/$CG$16</f>
        <v>4.9150439114397135E-2</v>
      </c>
      <c r="CI13" s="343">
        <f t="shared" si="10"/>
        <v>0.7911775957573115</v>
      </c>
      <c r="CJ13" s="342">
        <f>CJ4+CJ8+CJ12</f>
        <v>38467</v>
      </c>
      <c r="CK13" s="343">
        <f>CJ13/$CJ$16</f>
        <v>7.4302646091321922E-2</v>
      </c>
      <c r="CL13" s="343">
        <f t="shared" si="162"/>
        <v>0.46140110933819622</v>
      </c>
      <c r="CM13" s="342">
        <f>SUM(CM12,CM8,CM4)</f>
        <v>32149</v>
      </c>
      <c r="CN13" s="343">
        <f>CM13/$CM$16</f>
        <v>4.2885174874241816E-2</v>
      </c>
      <c r="CO13" s="343">
        <f>(CM13/BR13)-1</f>
        <v>0.29957959414665702</v>
      </c>
      <c r="CP13" s="342">
        <f>SUM(CP12,CP8,CP4)</f>
        <v>72270</v>
      </c>
      <c r="CQ13" s="343">
        <f>(CP13/$CP$16)</f>
        <v>5.7024049993687667E-2</v>
      </c>
      <c r="CR13" s="345">
        <f>(CP13/BU13)-1</f>
        <v>0.41539365452408927</v>
      </c>
      <c r="CS13" s="342">
        <f>SUM(CS12,CS8,CS4)</f>
        <v>33968.675000000003</v>
      </c>
      <c r="CT13" s="343">
        <f t="shared" si="14"/>
        <v>5.1696721536017148E-2</v>
      </c>
      <c r="CU13" s="343">
        <f t="shared" si="15"/>
        <v>-6.9070815862314561E-2</v>
      </c>
      <c r="CV13" s="342">
        <f>SUM(CV12,CV8,CV4)</f>
        <v>104582.67499999999</v>
      </c>
      <c r="CW13" s="343">
        <f t="shared" si="16"/>
        <v>5.434458459517489E-2</v>
      </c>
      <c r="CX13" s="345">
        <f>(CV13/CA13)-1</f>
        <v>0.19456161692309437</v>
      </c>
      <c r="CY13" s="342">
        <f>SUM(CY12,CY8,CY4)</f>
        <v>20488</v>
      </c>
      <c r="CZ13" s="343">
        <f t="shared" si="17"/>
        <v>2.1074286654734719E-2</v>
      </c>
      <c r="DA13" s="345">
        <f>(CY13/CD13)-1</f>
        <v>-0.38829009046666463</v>
      </c>
      <c r="DB13" s="342">
        <f>SUM(DB12,DB8,DB4)</f>
        <v>125070.67499999999</v>
      </c>
      <c r="DC13" s="343">
        <f t="shared" si="18"/>
        <v>4.3178188555822186E-2</v>
      </c>
      <c r="DD13" s="345">
        <f>(DB13/CG13)-1</f>
        <v>3.3283281836056888E-2</v>
      </c>
      <c r="DE13" s="347">
        <f>DE4+DE8+DE12</f>
        <v>40904</v>
      </c>
      <c r="DF13" s="345">
        <f t="shared" si="19"/>
        <v>6.6059538209848528E-2</v>
      </c>
      <c r="DG13" s="345">
        <f>(DE13/CJ13)-1</f>
        <v>6.3353003873449998E-2</v>
      </c>
      <c r="DH13" s="342">
        <f>SUM(DH12,DH8,DH4)</f>
        <v>32256</v>
      </c>
      <c r="DI13" s="343">
        <f>DH13/DH16</f>
        <v>3.7718860248675989E-2</v>
      </c>
      <c r="DJ13" s="343">
        <f>(DH13/CM13)-1</f>
        <v>3.3282528227938091E-3</v>
      </c>
      <c r="DK13" s="347">
        <f t="shared" si="144"/>
        <v>73160</v>
      </c>
      <c r="DL13" s="343">
        <f>(DK13/DK16)</f>
        <v>4.9621261448973393E-2</v>
      </c>
      <c r="DM13" s="345">
        <f>(DK13/CP13)-1</f>
        <v>1.2314930123149326E-2</v>
      </c>
      <c r="DN13" s="342">
        <f>SUM(DN12,DN8,DN4)</f>
        <v>42983</v>
      </c>
      <c r="DO13" s="345">
        <f t="shared" si="23"/>
        <v>5.3510693922266761E-2</v>
      </c>
      <c r="DP13" s="343">
        <f t="shared" si="24"/>
        <v>0.2653716990727486</v>
      </c>
      <c r="DQ13" s="342">
        <f>SUM(DQ12,DQ8,DQ4)</f>
        <v>116143</v>
      </c>
      <c r="DR13" s="345">
        <f t="shared" si="25"/>
        <v>5.0992962854337937E-2</v>
      </c>
      <c r="DS13" s="345">
        <f>(DQ13/CV13)-1</f>
        <v>0.11053766792635589</v>
      </c>
      <c r="DT13" s="342">
        <f>SUM(DT12,DT8,DT4)</f>
        <v>32713</v>
      </c>
      <c r="DU13" s="345">
        <f t="shared" si="26"/>
        <v>2.7621477761303418E-2</v>
      </c>
      <c r="DV13" s="343">
        <f t="shared" si="27"/>
        <v>0.59669074580242087</v>
      </c>
      <c r="DW13" s="342">
        <f>SUM(DW4,DW8,DW12)</f>
        <v>148854</v>
      </c>
      <c r="DX13" s="345">
        <f t="shared" si="28"/>
        <v>4.2997030583831128E-2</v>
      </c>
      <c r="DY13" s="345">
        <f>(DW13/DB13)-1</f>
        <v>0.19015908405387605</v>
      </c>
      <c r="DZ13" s="342">
        <f>SUM(DZ4,DZ8,DZ12)</f>
        <v>47566</v>
      </c>
      <c r="EA13" s="345">
        <f t="shared" si="29"/>
        <v>6.5452003561152619E-2</v>
      </c>
      <c r="EB13" s="345">
        <f t="shared" si="30"/>
        <v>0.1628691570506553</v>
      </c>
      <c r="EC13" s="342">
        <f>SUM(EC12,EC8,EC4)</f>
        <v>41144</v>
      </c>
      <c r="ED13" s="345">
        <f t="shared" si="31"/>
        <v>4.343736242389435E-2</v>
      </c>
      <c r="EE13" s="345">
        <f t="shared" si="32"/>
        <v>0.27554563492063489</v>
      </c>
      <c r="EF13" s="342">
        <f t="shared" si="148"/>
        <v>88710</v>
      </c>
      <c r="EG13" s="345">
        <f t="shared" si="33"/>
        <v>5.2994920946703994E-2</v>
      </c>
      <c r="EH13" s="345">
        <f>(EF13/DK13)-1</f>
        <v>0.21254784034991792</v>
      </c>
      <c r="EI13" s="342">
        <f>SUM(EI12,EI8,EI4)</f>
        <v>45018.3</v>
      </c>
      <c r="EJ13" s="345">
        <f t="shared" si="34"/>
        <v>4.9638776603838496E-2</v>
      </c>
      <c r="EK13" s="345">
        <f t="shared" si="35"/>
        <v>4.7351278412395725E-2</v>
      </c>
      <c r="EL13" s="342">
        <f t="shared" si="150"/>
        <v>133728.29999999999</v>
      </c>
      <c r="EM13" s="345">
        <f>(EL13/$EF$16)</f>
        <v>7.9888633602041653E-2</v>
      </c>
      <c r="EN13" s="345">
        <f>(EL13/DQ13)-1</f>
        <v>0.15141076087237271</v>
      </c>
      <c r="EO13" s="342">
        <f>SUM(EO12,EO8,EO4)</f>
        <v>40125.39999999998</v>
      </c>
      <c r="EP13" s="345">
        <f t="shared" si="37"/>
        <v>3.0102614193738102E-2</v>
      </c>
      <c r="EQ13" s="345">
        <f t="shared" si="38"/>
        <v>0.22658881790113949</v>
      </c>
      <c r="ER13" s="342">
        <f>SUM(ER4+ER8+ER12)</f>
        <v>173853.10000000003</v>
      </c>
      <c r="ES13" s="345">
        <f t="shared" si="39"/>
        <v>4.4420435437702771E-2</v>
      </c>
      <c r="ET13" s="345">
        <f t="shared" si="40"/>
        <v>0.16794375696991715</v>
      </c>
      <c r="EU13" s="342">
        <f>EU4+EU8+EU12</f>
        <v>61416.800000000003</v>
      </c>
      <c r="EV13" s="345">
        <f t="shared" si="41"/>
        <v>7.5402815905396589E-2</v>
      </c>
      <c r="EW13" s="345">
        <f t="shared" si="42"/>
        <v>0.29119118698229829</v>
      </c>
      <c r="EX13" s="342">
        <f>SUM(EX12,EX8,EX4)</f>
        <v>52392</v>
      </c>
      <c r="EY13" s="345">
        <f t="shared" si="43"/>
        <v>4.7149112939368139E-2</v>
      </c>
      <c r="EZ13" s="345">
        <f t="shared" si="44"/>
        <v>0.27338129496402885</v>
      </c>
      <c r="FA13" s="342">
        <f t="shared" si="152"/>
        <v>113808.8</v>
      </c>
      <c r="FB13" s="345">
        <f t="shared" si="45"/>
        <v>5.9099533991028783E-2</v>
      </c>
      <c r="FC13" s="345">
        <f t="shared" si="171"/>
        <v>0.28293089843309671</v>
      </c>
      <c r="FD13" s="342">
        <f>SUM(FD12,FD8,FD4)</f>
        <v>61682.58</v>
      </c>
      <c r="FE13" s="345">
        <f t="shared" si="46"/>
        <v>5.8908518934839477E-2</v>
      </c>
      <c r="FF13" s="345">
        <f t="shared" si="47"/>
        <v>0.37016679883514025</v>
      </c>
      <c r="FG13" s="342">
        <f t="shared" si="153"/>
        <v>175491.38</v>
      </c>
      <c r="FH13" s="345">
        <f t="shared" si="48"/>
        <v>5.9032254049626531E-2</v>
      </c>
      <c r="FI13" s="345">
        <f t="shared" si="49"/>
        <v>0.31229799526353075</v>
      </c>
      <c r="FJ13" s="342">
        <v>42066.41</v>
      </c>
      <c r="FK13" s="345">
        <f t="shared" si="50"/>
        <v>2.519237852039188E-2</v>
      </c>
      <c r="FL13" s="345">
        <f t="shared" si="154"/>
        <v>4.8373598767863291E-2</v>
      </c>
      <c r="FM13" s="342">
        <f>SUM(FM4+FM8+FM12)</f>
        <v>217557.78999999998</v>
      </c>
      <c r="FN13" s="345">
        <f t="shared" si="51"/>
        <v>4.6861075187846837E-2</v>
      </c>
      <c r="FO13" s="345">
        <f t="shared" si="170"/>
        <v>0.2513886148708302</v>
      </c>
      <c r="FP13" s="342">
        <f>SUM(FP4+FP8+FP12)</f>
        <v>68102.680000000008</v>
      </c>
      <c r="FQ13" s="345">
        <f t="shared" si="52"/>
        <v>6.7368698034909663E-2</v>
      </c>
      <c r="FR13" s="345">
        <f t="shared" si="53"/>
        <v>0.10886076773781772</v>
      </c>
      <c r="FS13" s="342">
        <f>SUM(FS12,FS8,FS4)</f>
        <v>53972</v>
      </c>
      <c r="FT13" s="345">
        <f t="shared" ref="FT13" si="196">FS13/$FS$16</f>
        <v>3.9854491056141458E-2</v>
      </c>
      <c r="FU13" s="345">
        <f t="shared" si="112"/>
        <v>3.0157275919987736E-2</v>
      </c>
      <c r="FV13" s="342">
        <f>FP13+FS13</f>
        <v>122074.68000000001</v>
      </c>
      <c r="FW13" s="345">
        <f t="shared" si="55"/>
        <v>5.1614553532596578E-2</v>
      </c>
      <c r="FX13" s="345">
        <f t="shared" si="113"/>
        <v>7.2629533041381755E-2</v>
      </c>
      <c r="FY13" s="342">
        <f>SUM(FY12,FY8,FY4)</f>
        <v>47874.338489999995</v>
      </c>
      <c r="FZ13" s="345">
        <f t="shared" si="56"/>
        <v>3.8349632110800926E-2</v>
      </c>
      <c r="GA13" s="345">
        <f>(FY13/FD13)-1</f>
        <v>-0.2238596619985741</v>
      </c>
      <c r="GB13" s="342">
        <f>FV13+FY13</f>
        <v>169949.01848999999</v>
      </c>
      <c r="GC13" s="345">
        <f t="shared" si="58"/>
        <v>4.7031874065652943E-2</v>
      </c>
      <c r="GD13" s="345">
        <f t="shared" si="59"/>
        <v>-3.1581958669423038E-2</v>
      </c>
      <c r="GE13" s="342">
        <v>38444</v>
      </c>
      <c r="GF13" s="345">
        <f t="shared" si="60"/>
        <v>2.0923430606640158E-2</v>
      </c>
      <c r="GG13" s="345">
        <f t="shared" si="61"/>
        <v>-8.6111698145860394E-2</v>
      </c>
      <c r="GH13" s="342">
        <v>208392</v>
      </c>
      <c r="GI13" s="345">
        <f t="shared" si="62"/>
        <v>3.8231087543745455E-2</v>
      </c>
      <c r="GJ13" s="345">
        <f t="shared" si="63"/>
        <v>-4.2130369130886969E-2</v>
      </c>
      <c r="GK13" s="342">
        <f>SUM(GK4+GK8+GK12)</f>
        <v>68835</v>
      </c>
      <c r="GL13" s="345">
        <f t="shared" si="64"/>
        <v>6.3964250270408904E-2</v>
      </c>
      <c r="GM13" s="345">
        <f t="shared" si="65"/>
        <v>1.0753174471254123E-2</v>
      </c>
      <c r="GN13" s="342">
        <f>SUM(GN12,GN8,GN4)</f>
        <v>54243</v>
      </c>
      <c r="GO13" s="345">
        <f t="shared" si="66"/>
        <v>3.7033825633855127E-2</v>
      </c>
      <c r="GP13" s="345">
        <f t="shared" si="67"/>
        <v>5.0211220632920828E-3</v>
      </c>
      <c r="GQ13" s="342">
        <f>GK13+GN13</f>
        <v>123078</v>
      </c>
      <c r="GR13" s="345">
        <f t="shared" si="68"/>
        <v>4.8439962280131421E-2</v>
      </c>
      <c r="GS13" s="345">
        <f t="shared" si="69"/>
        <v>8.2189033794721755E-3</v>
      </c>
      <c r="GT13" s="342">
        <f>SUM(GT12,GT8,GT4)</f>
        <v>65335</v>
      </c>
      <c r="GU13" s="345">
        <f t="shared" si="70"/>
        <v>5.183597822309742E-2</v>
      </c>
      <c r="GV13" s="345">
        <f t="shared" si="71"/>
        <v>0.3647185958224195</v>
      </c>
      <c r="GW13" s="342">
        <f>GQ13+GT13</f>
        <v>188413</v>
      </c>
      <c r="GX13" s="345">
        <f t="shared" si="72"/>
        <v>4.9566011637212352E-2</v>
      </c>
      <c r="GY13" s="345">
        <f t="shared" si="73"/>
        <v>0.10864423739573681</v>
      </c>
      <c r="GZ13" s="342">
        <f>SUM(GZ12,GZ8,GZ4)</f>
        <v>62855</v>
      </c>
      <c r="HA13" s="345">
        <f t="shared" si="74"/>
        <v>3.2728387964825897E-2</v>
      </c>
      <c r="HB13" s="345">
        <f t="shared" si="75"/>
        <v>0.63497554885027574</v>
      </c>
      <c r="HC13" s="342">
        <f>GW13+GZ13</f>
        <v>251268</v>
      </c>
      <c r="HD13" s="345">
        <f t="shared" si="76"/>
        <v>4.391447523645705E-2</v>
      </c>
      <c r="HE13" s="345">
        <f t="shared" si="77"/>
        <v>0.20574686168374989</v>
      </c>
      <c r="HF13" s="342">
        <f>SUM(HF4+HF8+HF12)</f>
        <v>79058</v>
      </c>
      <c r="HG13" s="345">
        <f t="shared" si="78"/>
        <v>6.4030958528659962E-2</v>
      </c>
      <c r="HH13" s="345">
        <f t="shared" si="79"/>
        <v>0.14851456381201422</v>
      </c>
      <c r="HI13" s="342">
        <f>SUM(HI12,HI8,HI4)</f>
        <v>78988</v>
      </c>
      <c r="HJ13" s="345">
        <f t="shared" si="80"/>
        <v>4.8445342897937754E-2</v>
      </c>
      <c r="HK13" s="345">
        <f t="shared" si="81"/>
        <v>0.45618789521228553</v>
      </c>
      <c r="HL13" s="342">
        <f>HF13+HI13</f>
        <v>158046</v>
      </c>
      <c r="HM13" s="345">
        <f t="shared" si="82"/>
        <v>5.5161702394996404E-2</v>
      </c>
      <c r="HN13" s="345">
        <f t="shared" si="83"/>
        <v>0.2841125140155023</v>
      </c>
      <c r="HO13" s="342">
        <f>SUM(HO12,HO8,HO4)</f>
        <v>97820.465830000001</v>
      </c>
      <c r="HP13" s="345">
        <f t="shared" si="84"/>
        <v>6.4671353034355922E-2</v>
      </c>
      <c r="HQ13" s="345">
        <f t="shared" si="85"/>
        <v>0.49721383377975048</v>
      </c>
      <c r="HR13" s="342">
        <f>HL13+HO13</f>
        <v>255866.46583</v>
      </c>
      <c r="HS13" s="345">
        <f t="shared" si="86"/>
        <v>5.844745272080111E-2</v>
      </c>
      <c r="HT13" s="345">
        <f t="shared" si="87"/>
        <v>0.35800855477063687</v>
      </c>
      <c r="HU13" s="342">
        <f>SUM(HU12,HU8,HU4)</f>
        <v>75725.829060000018</v>
      </c>
      <c r="HV13" s="345">
        <f t="shared" si="88"/>
        <v>3.407458712041956E-2</v>
      </c>
      <c r="HW13" s="345">
        <f t="shared" si="89"/>
        <v>0.20477017039217271</v>
      </c>
      <c r="HX13" s="342">
        <f>HR13+HU13</f>
        <v>331592.29489000002</v>
      </c>
      <c r="HY13" s="345">
        <f t="shared" si="90"/>
        <v>5.0240701108911982E-2</v>
      </c>
      <c r="HZ13" s="345">
        <f t="shared" si="91"/>
        <v>0.31967578398363505</v>
      </c>
      <c r="IA13" s="342">
        <f>SUM(IA4+IA8+IA12)</f>
        <v>102786</v>
      </c>
      <c r="IB13" s="345">
        <f t="shared" si="92"/>
        <v>7.3480557527457094E-2</v>
      </c>
      <c r="IC13" s="345">
        <f t="shared" si="114"/>
        <v>0.30013407877760634</v>
      </c>
      <c r="ID13" s="342">
        <f>SUM(ID12,ID8,ID4)</f>
        <v>81311</v>
      </c>
      <c r="IE13" s="345">
        <f t="shared" si="93"/>
        <v>4.567954153607437E-2</v>
      </c>
      <c r="IF13" s="345">
        <f t="shared" si="115"/>
        <v>2.9409530561604225E-2</v>
      </c>
      <c r="IG13" s="342">
        <f>SUM(IG12,IG8,IG4)</f>
        <v>184097</v>
      </c>
      <c r="IH13" s="345">
        <f t="shared" si="94"/>
        <v>5.7913081774855685E-2</v>
      </c>
      <c r="II13" s="345">
        <f t="shared" si="116"/>
        <v>0.16483175784265347</v>
      </c>
      <c r="IJ13" s="342">
        <f>SUM(IJ12,IJ8,IJ4)</f>
        <v>86619.356740000105</v>
      </c>
      <c r="IK13" s="345">
        <f t="shared" si="117"/>
        <v>5.0611352955165265E-2</v>
      </c>
      <c r="IL13" s="345">
        <f t="shared" si="118"/>
        <v>-0.11450680586070872</v>
      </c>
      <c r="IM13" s="342">
        <f t="shared" si="119"/>
        <v>270716.35674000008</v>
      </c>
      <c r="IN13" s="345">
        <f t="shared" si="120"/>
        <v>5.5357689963359477E-2</v>
      </c>
      <c r="IO13" s="345">
        <f t="shared" si="121"/>
        <v>5.8037659846626788E-2</v>
      </c>
      <c r="IP13" s="342">
        <f>SUM(IP12,IP8,IP4)</f>
        <v>78713.781470000511</v>
      </c>
      <c r="IQ13" s="345">
        <f t="shared" si="97"/>
        <v>3.0331437778262645E-2</v>
      </c>
      <c r="IR13" s="345">
        <f t="shared" si="122"/>
        <v>3.945750673304671E-2</v>
      </c>
      <c r="IS13" s="342">
        <f t="shared" si="123"/>
        <v>349430.13821000059</v>
      </c>
      <c r="IT13" s="345">
        <f t="shared" si="98"/>
        <v>4.6681352730029192E-2</v>
      </c>
      <c r="IU13" s="345">
        <f t="shared" si="124"/>
        <v>5.3794504863021508E-2</v>
      </c>
      <c r="IV13" s="342">
        <f>SUM(IV12,IV8,IV4)</f>
        <v>97715.534180000017</v>
      </c>
      <c r="IW13" s="345">
        <f t="shared" si="125"/>
        <v>5.9209442786533915E-2</v>
      </c>
      <c r="IX13" s="345">
        <f t="shared" si="126"/>
        <v>-4.9330315607183706E-2</v>
      </c>
      <c r="IY13" s="342">
        <f>SUM(IY12,IY8,IY4)</f>
        <v>91054.929700000037</v>
      </c>
      <c r="IZ13" s="345">
        <f t="shared" si="100"/>
        <v>4.5090671515033882E-2</v>
      </c>
      <c r="JA13" s="345">
        <f t="shared" si="127"/>
        <v>0.11983531994441132</v>
      </c>
      <c r="JB13" s="342">
        <f>SUM(JB12,JB8,JB4)</f>
        <v>188770.46388</v>
      </c>
      <c r="JC13" s="345">
        <f t="shared" si="101"/>
        <v>5.1440144436441994E-2</v>
      </c>
      <c r="JD13" s="345">
        <f t="shared" si="128"/>
        <v>2.5385877445042615E-2</v>
      </c>
      <c r="JE13" s="342">
        <f>SUM(JE12,JE8,JE4)</f>
        <v>103235.40663000004</v>
      </c>
      <c r="JF13" s="345">
        <f t="shared" si="102"/>
        <v>5.343657754135258E-2</v>
      </c>
      <c r="JG13" s="345">
        <f t="shared" si="129"/>
        <v>0.19182836856980234</v>
      </c>
      <c r="JH13" s="342">
        <f t="shared" si="130"/>
        <v>292005.87051000004</v>
      </c>
      <c r="JI13" s="345">
        <f t="shared" si="103"/>
        <v>5.2128685733718823E-2</v>
      </c>
      <c r="JJ13" s="345">
        <f t="shared" si="131"/>
        <v>7.864140174746348E-2</v>
      </c>
      <c r="JK13" s="342">
        <f>SUM(JK12,JK8,JK4)</f>
        <v>99408.803957429889</v>
      </c>
      <c r="JL13" s="345">
        <f t="shared" si="104"/>
        <v>3.4600347071806377E-2</v>
      </c>
      <c r="JM13" s="345">
        <f t="shared" si="132"/>
        <v>0.26291485558112448</v>
      </c>
      <c r="JN13" s="342">
        <f t="shared" si="133"/>
        <v>391414.67446742993</v>
      </c>
      <c r="JO13" s="345">
        <f t="shared" si="105"/>
        <v>4.6186295417123657E-2</v>
      </c>
      <c r="JP13" s="345">
        <f t="shared" si="134"/>
        <v>0.1201514456437569</v>
      </c>
      <c r="JQ13" s="342">
        <f>SUM(JQ12,JQ8,JQ4)</f>
        <v>20664.497589999926</v>
      </c>
      <c r="JR13" s="345">
        <f t="shared" si="106"/>
        <v>1.333038588421985E-2</v>
      </c>
      <c r="JS13" s="345">
        <f t="shared" si="135"/>
        <v>-0.78852392545964878</v>
      </c>
      <c r="JT13" s="342">
        <f>SUM(JT12,JT8,JT4)</f>
        <v>52807.051299999992</v>
      </c>
      <c r="JU13" s="345">
        <f t="shared" si="185"/>
        <v>9.7856798471562298E-2</v>
      </c>
      <c r="JV13" s="345">
        <f t="shared" si="173"/>
        <v>-0.4200528024788539</v>
      </c>
      <c r="JW13" s="342">
        <f>SUM(JW12,JW8,JW4)</f>
        <v>73471.548889999976</v>
      </c>
      <c r="JX13" s="345">
        <f t="shared" si="186"/>
        <v>3.5156946300535535E-2</v>
      </c>
      <c r="JY13" s="345">
        <f t="shared" si="187"/>
        <v>-0.61078895829431601</v>
      </c>
      <c r="JZ13" s="342">
        <f>SUM(JZ12,JZ8,JZ4)</f>
        <v>-51157.013730000006</v>
      </c>
      <c r="KA13" s="345">
        <f t="shared" si="188"/>
        <v>-3.0981774876044473E-2</v>
      </c>
      <c r="KB13" s="345">
        <f t="shared" si="189"/>
        <v>-1.4955374846669502</v>
      </c>
      <c r="KC13" s="342">
        <f>SUM(KC12,KC8,KC4)</f>
        <v>22314.53515999997</v>
      </c>
      <c r="KD13" s="345">
        <f t="shared" si="190"/>
        <v>5.9648376415692679E-3</v>
      </c>
      <c r="KE13" s="345">
        <f t="shared" si="191"/>
        <v>-0.92358189538783331</v>
      </c>
      <c r="KF13" s="342">
        <f>SUM(KF12,KF8,KF4)</f>
        <v>59598.815489999994</v>
      </c>
      <c r="KG13" s="345">
        <f t="shared" si="192"/>
        <v>2.0413643260383932E-2</v>
      </c>
      <c r="KH13" s="345">
        <f t="shared" si="193"/>
        <v>-0.40046743228575443</v>
      </c>
      <c r="KI13" s="342">
        <f>SUM(KI12,KI8,KI4)</f>
        <v>81913.350650000037</v>
      </c>
      <c r="KJ13" s="345">
        <f t="shared" si="194"/>
        <v>1.2298247500101724E-2</v>
      </c>
      <c r="KK13" s="345">
        <f t="shared" si="195"/>
        <v>-0.79072488592448997</v>
      </c>
    </row>
    <row r="14" spans="2:297" ht="16.5" customHeight="1">
      <c r="B14" s="341" t="s">
        <v>1075</v>
      </c>
      <c r="C14" s="341" t="s">
        <v>1076</v>
      </c>
      <c r="D14" s="342" t="s">
        <v>77</v>
      </c>
      <c r="E14" s="343" t="s">
        <v>77</v>
      </c>
      <c r="F14" s="342" t="s">
        <v>77</v>
      </c>
      <c r="G14" s="343" t="s">
        <v>77</v>
      </c>
      <c r="H14" s="342" t="s">
        <v>77</v>
      </c>
      <c r="I14" s="343" t="s">
        <v>77</v>
      </c>
      <c r="J14" s="342" t="s">
        <v>77</v>
      </c>
      <c r="K14" s="343" t="s">
        <v>77</v>
      </c>
      <c r="L14" s="342" t="s">
        <v>77</v>
      </c>
      <c r="M14" s="343" t="s">
        <v>77</v>
      </c>
      <c r="N14" s="342" t="s">
        <v>77</v>
      </c>
      <c r="O14" s="343" t="s">
        <v>77</v>
      </c>
      <c r="P14" s="342" t="s">
        <v>77</v>
      </c>
      <c r="Q14" s="343" t="s">
        <v>77</v>
      </c>
      <c r="R14" s="342" t="s">
        <v>77</v>
      </c>
      <c r="S14" s="343" t="s">
        <v>77</v>
      </c>
      <c r="T14" s="342" t="s">
        <v>77</v>
      </c>
      <c r="U14" s="343" t="s">
        <v>77</v>
      </c>
      <c r="V14" s="342" t="s">
        <v>77</v>
      </c>
      <c r="W14" s="343" t="s">
        <v>77</v>
      </c>
      <c r="X14" s="342" t="s">
        <v>77</v>
      </c>
      <c r="Y14" s="343" t="s">
        <v>77</v>
      </c>
      <c r="Z14" s="342" t="s">
        <v>77</v>
      </c>
      <c r="AA14" s="343" t="s">
        <v>77</v>
      </c>
      <c r="AB14" s="342" t="s">
        <v>77</v>
      </c>
      <c r="AC14" s="343" t="s">
        <v>77</v>
      </c>
      <c r="AD14" s="342" t="s">
        <v>77</v>
      </c>
      <c r="AE14" s="343" t="s">
        <v>77</v>
      </c>
      <c r="AF14" s="343">
        <f>+AF13/AF17</f>
        <v>-0.28877794104141791</v>
      </c>
      <c r="AG14" s="343"/>
      <c r="AH14" s="343">
        <f>+AH13/AH17</f>
        <v>0.13545058767230411</v>
      </c>
      <c r="AI14" s="343"/>
      <c r="AJ14" s="343">
        <f>+AJ13/AJ17</f>
        <v>-2.9385004603098702E-2</v>
      </c>
      <c r="AK14" s="343"/>
      <c r="AL14" s="343">
        <f>+AL13/AL17</f>
        <v>0.31846019247594048</v>
      </c>
      <c r="AM14" s="343"/>
      <c r="AN14" s="343">
        <f>+AN13/AN17</f>
        <v>7.6982263618122826E-2</v>
      </c>
      <c r="AO14" s="343"/>
      <c r="AP14" s="343">
        <f>+AP13/AP17</f>
        <v>5.9613285186429291E-2</v>
      </c>
      <c r="AQ14" s="343"/>
      <c r="AR14" s="343">
        <f>+AR13/AR17</f>
        <v>0.17391597023314675</v>
      </c>
      <c r="AS14" s="343"/>
      <c r="AT14" s="343">
        <f>+AT13/AT17</f>
        <v>0.52690831565937468</v>
      </c>
      <c r="AU14" s="343"/>
      <c r="AV14" s="343"/>
      <c r="AW14" s="343">
        <f>+AW13/AW17</f>
        <v>9.7027836959585473E-2</v>
      </c>
      <c r="AX14" s="343"/>
      <c r="AY14" s="343"/>
      <c r="AZ14" s="343">
        <f>+AZ13/AZ17</f>
        <v>0.22153640705748628</v>
      </c>
      <c r="BA14" s="343"/>
      <c r="BB14" s="345"/>
      <c r="BC14" s="343">
        <f>+BC13/BC17</f>
        <v>0.28093793614719215</v>
      </c>
      <c r="BD14" s="343"/>
      <c r="BE14" s="343"/>
      <c r="BF14" s="343">
        <f>+BF13/BF17</f>
        <v>0.24180317999238091</v>
      </c>
      <c r="BG14" s="343"/>
      <c r="BH14" s="345"/>
      <c r="BI14" s="343">
        <f>+BI13/BI17</f>
        <v>0.1234017629439995</v>
      </c>
      <c r="BJ14" s="343"/>
      <c r="BK14" s="346"/>
      <c r="BL14" s="343">
        <f>+BL13/BL17</f>
        <v>0.18987039420078108</v>
      </c>
      <c r="BM14" s="343"/>
      <c r="BN14" s="346"/>
      <c r="BO14" s="343">
        <f>+BO13/BO17</f>
        <v>0.36002790277796776</v>
      </c>
      <c r="BP14" s="343"/>
      <c r="BQ14" s="343"/>
      <c r="BR14" s="343">
        <f>+BR13/BR17</f>
        <v>0.16221107504671978</v>
      </c>
      <c r="BS14" s="343"/>
      <c r="BT14" s="343"/>
      <c r="BU14" s="343">
        <f>+BU13/BU17</f>
        <v>0.2263137366144245</v>
      </c>
      <c r="BV14" s="343"/>
      <c r="BW14" s="345"/>
      <c r="BX14" s="343">
        <f>+BX13/BX17</f>
        <v>0.36041010242683447</v>
      </c>
      <c r="BY14" s="343"/>
      <c r="BZ14" s="343"/>
      <c r="CA14" s="343">
        <f>+CA13/CA17</f>
        <v>0.26784943966664526</v>
      </c>
      <c r="CB14" s="343"/>
      <c r="CC14" s="345"/>
      <c r="CD14" s="343">
        <f>+CD13/CD17</f>
        <v>0.18788847750476831</v>
      </c>
      <c r="CE14" s="343"/>
      <c r="CF14" s="343"/>
      <c r="CG14" s="343">
        <f>+CG13/CG17</f>
        <v>0.23963018688628446</v>
      </c>
      <c r="CH14" s="343"/>
      <c r="CI14" s="343"/>
      <c r="CJ14" s="343">
        <f>+CJ13/CJ17</f>
        <v>0.45170798154041264</v>
      </c>
      <c r="CK14" s="343"/>
      <c r="CL14" s="343"/>
      <c r="CM14" s="343">
        <f>+CM13/CM17</f>
        <v>0.17893459639670728</v>
      </c>
      <c r="CN14" s="343"/>
      <c r="CO14" s="343"/>
      <c r="CP14" s="343">
        <f>+CP13/CP17</f>
        <v>0.27289410485296117</v>
      </c>
      <c r="CQ14" s="343"/>
      <c r="CR14" s="345"/>
      <c r="CS14" s="343">
        <f>+CS13/CS17</f>
        <v>0.32276673288000363</v>
      </c>
      <c r="CT14" s="343"/>
      <c r="CU14" s="343"/>
      <c r="CV14" s="343">
        <f>+CV13/CV17</f>
        <v>0.28260227465388643</v>
      </c>
      <c r="CW14" s="343"/>
      <c r="CX14" s="345"/>
      <c r="CY14" s="343">
        <f>+CY13/CY17</f>
        <v>9.2057315653967298E-2</v>
      </c>
      <c r="CZ14" s="343"/>
      <c r="DA14" s="345"/>
      <c r="DB14" s="343">
        <f>+DB13/DB17</f>
        <v>0.21104486640815623</v>
      </c>
      <c r="DC14" s="343"/>
      <c r="DD14" s="345"/>
      <c r="DE14" s="343">
        <f>+DE13/DE17</f>
        <v>0.48935253864191031</v>
      </c>
      <c r="DF14" s="345"/>
      <c r="DG14" s="345"/>
      <c r="DH14" s="343">
        <f>+DH13/DH17</f>
        <v>0.16941621366107304</v>
      </c>
      <c r="DI14" s="343"/>
      <c r="DJ14" s="343"/>
      <c r="DK14" s="343">
        <f>+DK13/DK17</f>
        <v>0.26702484104795204</v>
      </c>
      <c r="DL14" s="343"/>
      <c r="DM14" s="345"/>
      <c r="DN14" s="343">
        <f>+DN13/DN17</f>
        <v>0.29006505425686985</v>
      </c>
      <c r="DO14" s="345"/>
      <c r="DP14" s="343"/>
      <c r="DQ14" s="343">
        <f>+DQ13/DQ17</f>
        <v>0.27511215967178787</v>
      </c>
      <c r="DR14" s="345"/>
      <c r="DS14" s="345"/>
      <c r="DT14" s="343">
        <f>+DT13/DT17</f>
        <v>0.11192234923002706</v>
      </c>
      <c r="DU14" s="345"/>
      <c r="DV14" s="343"/>
      <c r="DW14" s="343">
        <f>+DW13/DW17</f>
        <v>0.20834797165367996</v>
      </c>
      <c r="DX14" s="345"/>
      <c r="DY14" s="345"/>
      <c r="DZ14" s="343">
        <f>+DZ13/DZ17</f>
        <v>0.52869909301084828</v>
      </c>
      <c r="EA14" s="345"/>
      <c r="EB14" s="345"/>
      <c r="EC14" s="343">
        <f>+EC13/EC17</f>
        <v>0.20386381991963176</v>
      </c>
      <c r="ED14" s="345"/>
      <c r="EE14" s="345"/>
      <c r="EF14" s="343">
        <f>+EF13/EF17</f>
        <v>0.3040210563112386</v>
      </c>
      <c r="EG14" s="345"/>
      <c r="EH14" s="345"/>
      <c r="EI14" s="343">
        <f>+EI13/EI17</f>
        <v>0.29114314539598773</v>
      </c>
      <c r="EJ14" s="345"/>
      <c r="EK14" s="345"/>
      <c r="EL14" s="343">
        <f>+EL13/EL17</f>
        <v>0.299564524908772</v>
      </c>
      <c r="EM14" s="345"/>
      <c r="EN14" s="345"/>
      <c r="EO14" s="343">
        <f>+EO13/EO17</f>
        <v>0.1026965739996621</v>
      </c>
      <c r="EP14" s="345"/>
      <c r="EQ14" s="345"/>
      <c r="ER14" s="343">
        <f>+ER13/ER17</f>
        <v>0.20767654879625011</v>
      </c>
      <c r="ES14" s="345"/>
      <c r="ET14" s="345"/>
      <c r="EU14" s="343">
        <f>+EU13/EU17</f>
        <v>0.45473553773835246</v>
      </c>
      <c r="EV14" s="345"/>
      <c r="EW14" s="345"/>
      <c r="EX14" s="343">
        <f>+EX13/EX17</f>
        <v>0.21116865843090626</v>
      </c>
      <c r="EY14" s="345"/>
      <c r="EZ14" s="345"/>
      <c r="FA14" s="343">
        <f>+FA13/FA17</f>
        <v>0.29702258147054378</v>
      </c>
      <c r="FB14" s="345"/>
      <c r="FC14" s="345"/>
      <c r="FD14" s="343">
        <f>+FD13/FD17</f>
        <v>0.30185952961212087</v>
      </c>
      <c r="FE14" s="345"/>
      <c r="FF14" s="345"/>
      <c r="FG14" s="343">
        <f>+FG13/FG17</f>
        <v>0.29870492882916155</v>
      </c>
      <c r="FH14" s="345"/>
      <c r="FI14" s="345"/>
      <c r="FJ14" s="343">
        <f>+FJ13/FJ17</f>
        <v>9.034407527649442E-2</v>
      </c>
      <c r="FK14" s="345"/>
      <c r="FL14" s="345"/>
      <c r="FM14" s="343">
        <f>+FM13/FM17</f>
        <v>0.20658170607962373</v>
      </c>
      <c r="FN14" s="345"/>
      <c r="FO14" s="345"/>
      <c r="FP14" s="343">
        <f>+FP13/FP17</f>
        <v>0.34256271393412796</v>
      </c>
      <c r="FQ14" s="345"/>
      <c r="FR14" s="345"/>
      <c r="FS14" s="343">
        <f>+FS13/FS17</f>
        <v>0.16547755432380404</v>
      </c>
      <c r="FT14" s="345"/>
      <c r="FU14" s="345"/>
      <c r="FV14" s="343">
        <f>+FV13/FV17</f>
        <v>0.23253977550606739</v>
      </c>
      <c r="FW14" s="345"/>
      <c r="FX14" s="345"/>
      <c r="FY14" s="343">
        <f>+FY13/FY17</f>
        <v>0.20766804965015853</v>
      </c>
      <c r="FZ14" s="345"/>
      <c r="GA14" s="345"/>
      <c r="GB14" s="343">
        <f>+GB13/GB17</f>
        <v>0.22494987968410021</v>
      </c>
      <c r="GC14" s="345"/>
      <c r="GD14" s="345"/>
      <c r="GE14" s="343">
        <f>+GE13/GE17</f>
        <v>7.8190815365621988E-2</v>
      </c>
      <c r="GF14" s="345"/>
      <c r="GG14" s="345"/>
      <c r="GH14" s="343">
        <f>+GH13/GH17</f>
        <v>0.16709270098805826</v>
      </c>
      <c r="GI14" s="345"/>
      <c r="GJ14" s="345"/>
      <c r="GK14" s="343">
        <f>+GK13/GK17</f>
        <v>0.37048299766412984</v>
      </c>
      <c r="GL14" s="345"/>
      <c r="GM14" s="345"/>
      <c r="GN14" s="343">
        <f>+GN13/GN17</f>
        <v>0.15233716776382306</v>
      </c>
      <c r="GO14" s="345"/>
      <c r="GP14" s="345"/>
      <c r="GQ14" s="343">
        <f>+GQ13/GQ17</f>
        <v>0.22713565984461218</v>
      </c>
      <c r="GR14" s="345"/>
      <c r="GS14" s="345"/>
      <c r="GT14" s="343">
        <f>+GT13/GT17</f>
        <v>0.28467169186527819</v>
      </c>
      <c r="GU14" s="345"/>
      <c r="GV14" s="345"/>
      <c r="GW14" s="343">
        <f>+GW13/GW17</f>
        <v>0.24425445305815552</v>
      </c>
      <c r="GX14" s="345"/>
      <c r="GY14" s="345"/>
      <c r="GZ14" s="343">
        <f>+GZ13/GZ17</f>
        <v>0.11071303385946464</v>
      </c>
      <c r="HA14" s="345"/>
      <c r="HB14" s="345"/>
      <c r="HC14" s="343">
        <f>+HC13/HC17</f>
        <v>0.18763819823479641</v>
      </c>
      <c r="HD14" s="345"/>
      <c r="HE14" s="345"/>
      <c r="HF14" s="343">
        <f>+HF13/HF17</f>
        <v>0.41512901565831078</v>
      </c>
      <c r="HG14" s="345"/>
      <c r="HH14" s="345"/>
      <c r="HI14" s="343">
        <f>+HI13/HI17</f>
        <v>0.20637832019104652</v>
      </c>
      <c r="HJ14" s="345"/>
      <c r="HK14" s="345"/>
      <c r="HL14" s="343">
        <f>+HL13/HL17</f>
        <v>0.2757372953508172</v>
      </c>
      <c r="HM14" s="345"/>
      <c r="HN14" s="345"/>
      <c r="HO14" s="343">
        <f>+HO13/HO17</f>
        <v>0.3268996341695713</v>
      </c>
      <c r="HP14" s="345"/>
      <c r="HQ14" s="345"/>
      <c r="HR14" s="343">
        <f>+HR13/HR17</f>
        <v>0.29328593891883775</v>
      </c>
      <c r="HS14" s="345"/>
      <c r="HT14" s="345"/>
      <c r="HU14" s="343">
        <f>+HU13/HU17</f>
        <v>0.12549502095565757</v>
      </c>
      <c r="HV14" s="345"/>
      <c r="HW14" s="345"/>
      <c r="HX14" s="343">
        <f>+HX13/HX17</f>
        <v>0.22468190434535143</v>
      </c>
      <c r="HY14" s="345"/>
      <c r="HZ14" s="345"/>
      <c r="IA14" s="343">
        <f>+IA13/IA17</f>
        <v>0.41194977375746961</v>
      </c>
      <c r="IB14" s="345"/>
      <c r="IC14" s="345"/>
      <c r="ID14" s="343">
        <f>+ID13/ID17</f>
        <v>0.18727036199726688</v>
      </c>
      <c r="IE14" s="345"/>
      <c r="IF14" s="343"/>
      <c r="IG14" s="343">
        <f>+IG13/IG17</f>
        <v>0.26926536600063478</v>
      </c>
      <c r="IH14" s="345"/>
      <c r="II14" s="343"/>
      <c r="IJ14" s="343">
        <f>+IJ13/IJ17</f>
        <v>0.24965227202323814</v>
      </c>
      <c r="IK14" s="345"/>
      <c r="IL14" s="343"/>
      <c r="IM14" s="343">
        <f>+IM13/IM17</f>
        <v>0.26266273671287654</v>
      </c>
      <c r="IN14" s="345"/>
      <c r="IO14" s="343"/>
      <c r="IP14" s="343">
        <f>+IP13/IP17</f>
        <v>0.10598966244590034</v>
      </c>
      <c r="IQ14" s="345"/>
      <c r="IR14" s="343"/>
      <c r="IS14" s="343">
        <f>+IS13/IS17</f>
        <v>0.19704891650750528</v>
      </c>
      <c r="IT14" s="345"/>
      <c r="IU14" s="343"/>
      <c r="IV14" s="343">
        <f>+IV13/IV17</f>
        <v>0.31852292750497924</v>
      </c>
      <c r="IW14" s="345"/>
      <c r="IX14" s="345"/>
      <c r="IY14" s="343">
        <f>+IY13/IY17</f>
        <v>0.20963943144185282</v>
      </c>
      <c r="IZ14" s="345"/>
      <c r="JA14" s="343"/>
      <c r="JB14" s="343">
        <f>+JB13/JB17</f>
        <v>0.25471048985241135</v>
      </c>
      <c r="JC14" s="345"/>
      <c r="JD14" s="343"/>
      <c r="JE14" s="343">
        <f>+JE13/JE17</f>
        <v>0.29098155310116408</v>
      </c>
      <c r="JF14" s="345"/>
      <c r="JG14" s="343"/>
      <c r="JH14" s="343">
        <f>+JH13/JH17</f>
        <v>0.2664527621111541</v>
      </c>
      <c r="JI14" s="345"/>
      <c r="JJ14" s="343"/>
      <c r="JK14" s="343">
        <f>+JK13/JK17</f>
        <v>0.11595465859693706</v>
      </c>
      <c r="JL14" s="345"/>
      <c r="JM14" s="343"/>
      <c r="JN14" s="343">
        <f>+JN13/JN17</f>
        <v>0.20039573266343916</v>
      </c>
      <c r="JO14" s="345"/>
      <c r="JP14" s="343"/>
      <c r="JQ14" s="343">
        <f>+JQ13/JQ17</f>
        <v>0.19674845929919099</v>
      </c>
      <c r="JR14" s="345"/>
      <c r="JS14" s="343"/>
      <c r="JT14" s="343">
        <f>+JT13/JT17</f>
        <v>0.10415697595572281</v>
      </c>
      <c r="JU14" s="345"/>
      <c r="JV14" s="343"/>
      <c r="JW14" s="343">
        <f>+JW13/JW17</f>
        <v>0.12004666744815716</v>
      </c>
      <c r="JX14" s="345"/>
      <c r="JY14" s="343"/>
      <c r="JZ14" s="343">
        <f>+JZ13/JZ17</f>
        <v>1.3374800027714235</v>
      </c>
      <c r="KA14" s="345"/>
      <c r="KB14" s="343"/>
      <c r="KC14" s="343">
        <f>+KC13/KC17</f>
        <v>3.8890667724106383E-2</v>
      </c>
      <c r="KD14" s="345"/>
      <c r="KE14" s="343"/>
      <c r="KF14" s="343">
        <f>+KF13/KF17</f>
        <v>9.6647977539004823E-2</v>
      </c>
      <c r="KG14" s="345"/>
      <c r="KH14" s="343"/>
      <c r="KI14" s="343">
        <f>+KI13/KI17</f>
        <v>6.8809608068096745E-2</v>
      </c>
      <c r="KJ14" s="345"/>
      <c r="KK14" s="343"/>
    </row>
    <row r="15" spans="2:297" ht="6" customHeight="1">
      <c r="B15" s="266"/>
      <c r="C15" s="319"/>
      <c r="D15" s="320"/>
      <c r="E15" s="320"/>
      <c r="F15" s="320"/>
      <c r="G15" s="320"/>
      <c r="H15" s="320"/>
      <c r="I15" s="320"/>
      <c r="J15" s="320"/>
      <c r="K15" s="320"/>
      <c r="L15" s="320"/>
      <c r="M15" s="320"/>
      <c r="N15" s="320"/>
      <c r="O15" s="320"/>
      <c r="P15" s="321"/>
      <c r="Q15" s="320"/>
      <c r="R15" s="320"/>
      <c r="S15" s="320"/>
      <c r="T15" s="320"/>
      <c r="U15" s="320"/>
      <c r="V15" s="320"/>
      <c r="W15" s="320"/>
      <c r="X15" s="320"/>
      <c r="Y15" s="320"/>
      <c r="Z15" s="320"/>
      <c r="AA15" s="320"/>
      <c r="AB15" s="320"/>
      <c r="AC15" s="320"/>
      <c r="AD15" s="321"/>
      <c r="AE15" s="320"/>
      <c r="AF15" s="320"/>
      <c r="AG15" s="320"/>
      <c r="AH15" s="320"/>
      <c r="AI15" s="320"/>
      <c r="AJ15" s="320"/>
      <c r="AK15" s="320"/>
      <c r="AL15" s="320"/>
      <c r="AM15" s="320"/>
      <c r="AN15" s="320"/>
      <c r="AO15" s="320"/>
      <c r="AP15" s="320"/>
      <c r="AQ15" s="320"/>
      <c r="AR15" s="321"/>
      <c r="AS15" s="320"/>
      <c r="AT15" s="320"/>
      <c r="AU15" s="320"/>
      <c r="AV15" s="320"/>
      <c r="AW15" s="320"/>
      <c r="AX15" s="320"/>
      <c r="AY15" s="320"/>
      <c r="AZ15" s="320"/>
      <c r="BA15" s="320"/>
      <c r="BB15" s="320"/>
      <c r="BC15" s="320"/>
      <c r="BD15" s="320"/>
      <c r="BE15" s="320"/>
      <c r="BF15" s="320"/>
      <c r="BG15" s="320"/>
      <c r="BH15" s="320"/>
      <c r="BI15" s="320"/>
      <c r="BJ15" s="320"/>
      <c r="BK15" s="320"/>
      <c r="BL15" s="321"/>
      <c r="BM15" s="320"/>
      <c r="BN15" s="320"/>
      <c r="BO15" s="320"/>
      <c r="BP15" s="320"/>
      <c r="BQ15" s="320"/>
      <c r="BR15" s="320"/>
      <c r="BS15" s="320"/>
      <c r="BT15" s="320"/>
      <c r="BU15" s="320"/>
      <c r="BV15" s="320"/>
      <c r="BW15" s="320"/>
      <c r="BX15" s="320"/>
      <c r="BY15" s="320"/>
      <c r="BZ15" s="320"/>
      <c r="CA15" s="320"/>
      <c r="CB15" s="320"/>
      <c r="CC15" s="320"/>
      <c r="CD15" s="320"/>
      <c r="CE15" s="320"/>
      <c r="CF15" s="320"/>
      <c r="CG15" s="320"/>
      <c r="CH15" s="320"/>
      <c r="CI15" s="320"/>
      <c r="CJ15" s="320"/>
      <c r="CK15" s="320"/>
      <c r="CL15" s="320"/>
      <c r="CM15" s="320"/>
      <c r="CN15" s="320"/>
      <c r="CO15" s="320"/>
      <c r="CP15" s="320"/>
      <c r="CQ15" s="320"/>
      <c r="CR15" s="320"/>
      <c r="CS15" s="320"/>
      <c r="CT15" s="320"/>
      <c r="CU15" s="320"/>
      <c r="CV15" s="320"/>
      <c r="CW15" s="320"/>
      <c r="CX15" s="320"/>
      <c r="CY15" s="320"/>
      <c r="CZ15" s="320"/>
      <c r="DA15" s="320"/>
      <c r="DB15" s="320"/>
      <c r="DC15" s="320"/>
      <c r="DD15" s="320"/>
      <c r="DE15" s="320"/>
      <c r="DF15" s="320"/>
      <c r="DG15" s="320"/>
      <c r="DH15" s="320"/>
      <c r="DI15" s="320"/>
      <c r="DJ15" s="320"/>
      <c r="DK15" s="320"/>
      <c r="DL15" s="320"/>
      <c r="DM15" s="320"/>
      <c r="DN15" s="320"/>
      <c r="DO15" s="320"/>
      <c r="DP15" s="320"/>
      <c r="DQ15" s="320"/>
      <c r="DR15" s="320"/>
      <c r="DS15" s="320"/>
      <c r="DT15" s="320"/>
      <c r="DU15" s="320"/>
      <c r="DV15" s="320"/>
      <c r="DW15" s="320"/>
      <c r="DX15" s="320"/>
      <c r="DY15" s="320"/>
      <c r="DZ15" s="320"/>
      <c r="EA15" s="320"/>
      <c r="EB15" s="320"/>
      <c r="EC15" s="320"/>
      <c r="ED15" s="320"/>
      <c r="EE15" s="320"/>
      <c r="EF15" s="320"/>
      <c r="EG15" s="320"/>
      <c r="EH15" s="320"/>
      <c r="EI15" s="320"/>
      <c r="EJ15" s="320"/>
      <c r="EK15" s="320"/>
      <c r="EL15" s="320"/>
      <c r="EM15" s="320"/>
      <c r="EN15" s="320"/>
      <c r="EO15" s="320"/>
      <c r="EP15" s="320"/>
      <c r="EQ15" s="320"/>
      <c r="ER15" s="320"/>
      <c r="ES15" s="320"/>
      <c r="ET15" s="320"/>
      <c r="EU15" s="320"/>
      <c r="EV15" s="320"/>
      <c r="EW15" s="320"/>
      <c r="EX15" s="320"/>
      <c r="EY15" s="320"/>
      <c r="EZ15" s="320"/>
      <c r="FA15" s="320"/>
      <c r="FB15" s="320"/>
      <c r="FC15" s="320"/>
      <c r="FD15" s="320"/>
      <c r="FE15" s="320"/>
      <c r="FF15" s="320"/>
      <c r="FG15" s="320"/>
      <c r="FH15" s="320"/>
      <c r="FI15" s="320"/>
      <c r="FJ15" s="320"/>
      <c r="FK15" s="320"/>
      <c r="FL15" s="320"/>
      <c r="FM15" s="320"/>
      <c r="FN15" s="320"/>
      <c r="FO15" s="320"/>
      <c r="FP15" s="320"/>
      <c r="FQ15" s="320"/>
      <c r="FR15" s="320"/>
      <c r="FS15" s="320"/>
      <c r="FT15" s="320"/>
      <c r="FU15" s="320"/>
      <c r="FV15" s="320"/>
      <c r="FW15" s="320"/>
      <c r="FX15" s="320"/>
      <c r="FY15" s="320"/>
      <c r="FZ15" s="320"/>
      <c r="GA15" s="320"/>
      <c r="GB15" s="320"/>
      <c r="GC15" s="320"/>
      <c r="GD15" s="224"/>
      <c r="GE15" s="224"/>
      <c r="GF15" s="224"/>
      <c r="GG15" s="224"/>
      <c r="GH15" s="224"/>
      <c r="GI15" s="224"/>
      <c r="GJ15" s="224"/>
      <c r="GK15" s="224"/>
      <c r="GL15" s="224"/>
      <c r="GM15" s="224"/>
      <c r="GN15" s="224"/>
      <c r="GO15" s="224"/>
      <c r="GP15" s="224"/>
      <c r="GQ15" s="224"/>
      <c r="GR15" s="224"/>
      <c r="GS15" s="224"/>
      <c r="GT15" s="224"/>
      <c r="GU15" s="224"/>
      <c r="GV15" s="224"/>
      <c r="GW15" s="224"/>
      <c r="GX15" s="224"/>
      <c r="GY15" s="224"/>
      <c r="GZ15" s="224"/>
      <c r="HA15" s="224"/>
      <c r="HB15" s="224"/>
      <c r="HC15" s="224"/>
      <c r="HD15" s="224"/>
      <c r="HE15" s="224"/>
      <c r="HF15" s="224"/>
      <c r="HG15" s="224"/>
      <c r="HH15" s="224"/>
      <c r="HI15" s="224"/>
      <c r="HJ15" s="224"/>
      <c r="HK15" s="224"/>
      <c r="HL15" s="224"/>
      <c r="HM15" s="224"/>
      <c r="HN15" s="224"/>
      <c r="HO15" s="224"/>
      <c r="HP15" s="224"/>
      <c r="HQ15" s="224"/>
      <c r="HR15" s="224"/>
      <c r="HS15" s="224"/>
      <c r="HT15" s="224"/>
      <c r="HU15" s="224"/>
      <c r="HV15" s="224"/>
      <c r="HW15" s="224"/>
      <c r="HX15" s="224"/>
      <c r="HY15" s="224"/>
      <c r="HZ15" s="224"/>
      <c r="IA15" s="224"/>
      <c r="IB15" s="224"/>
      <c r="IC15" s="224"/>
      <c r="ID15" s="224"/>
      <c r="IE15" s="224"/>
      <c r="IF15" s="224"/>
      <c r="IG15" s="224"/>
      <c r="IH15" s="224"/>
      <c r="II15" s="224"/>
      <c r="IJ15" s="224"/>
      <c r="IK15" s="224"/>
      <c r="IL15" s="224"/>
      <c r="IM15" s="224"/>
      <c r="IN15" s="224"/>
      <c r="IO15" s="224"/>
      <c r="IP15" s="224"/>
      <c r="IQ15" s="224"/>
      <c r="IR15" s="224"/>
      <c r="IS15" s="224"/>
      <c r="IT15" s="224"/>
      <c r="IU15" s="224"/>
      <c r="IV15" s="224"/>
      <c r="IW15" s="224"/>
      <c r="IX15" s="224"/>
      <c r="IY15" s="224"/>
      <c r="IZ15" s="224"/>
      <c r="JA15" s="224"/>
      <c r="JB15" s="224"/>
      <c r="JC15" s="224"/>
      <c r="JD15" s="224"/>
      <c r="JE15" s="224"/>
      <c r="JF15" s="224"/>
      <c r="JG15" s="224"/>
      <c r="JH15" s="224"/>
      <c r="JI15" s="224"/>
      <c r="JJ15" s="224"/>
      <c r="JK15" s="224"/>
      <c r="JL15" s="224"/>
      <c r="JM15" s="224"/>
      <c r="JN15" s="224"/>
      <c r="JO15" s="224"/>
      <c r="JP15" s="224"/>
      <c r="JQ15" s="224"/>
      <c r="JR15" s="224"/>
      <c r="JS15" s="224"/>
      <c r="JT15" s="224"/>
      <c r="JU15" s="224"/>
      <c r="JV15" s="224"/>
      <c r="JW15" s="224"/>
      <c r="JX15" s="224"/>
      <c r="JY15" s="224"/>
      <c r="JZ15" s="224"/>
      <c r="KA15" s="224"/>
      <c r="KB15" s="224"/>
      <c r="KC15" s="224"/>
      <c r="KD15" s="224"/>
      <c r="KE15" s="224"/>
      <c r="KF15" s="224"/>
      <c r="KG15" s="224"/>
      <c r="KH15" s="224"/>
      <c r="KI15" s="224"/>
      <c r="KJ15" s="224"/>
      <c r="KK15" s="224"/>
    </row>
    <row r="16" spans="2:297" ht="16.5" customHeight="1">
      <c r="B16" s="331" t="s">
        <v>280</v>
      </c>
      <c r="C16" s="331" t="s">
        <v>281</v>
      </c>
      <c r="D16" s="332" t="s">
        <v>77</v>
      </c>
      <c r="E16" s="351"/>
      <c r="F16" s="332" t="s">
        <v>77</v>
      </c>
      <c r="G16" s="351"/>
      <c r="H16" s="332" t="s">
        <v>77</v>
      </c>
      <c r="I16" s="351"/>
      <c r="J16" s="332" t="s">
        <v>77</v>
      </c>
      <c r="K16" s="351"/>
      <c r="L16" s="332" t="s">
        <v>77</v>
      </c>
      <c r="M16" s="351"/>
      <c r="N16" s="332" t="s">
        <v>77</v>
      </c>
      <c r="O16" s="351"/>
      <c r="P16" s="332" t="s">
        <v>77</v>
      </c>
      <c r="Q16" s="351"/>
      <c r="R16" s="332" t="s">
        <v>77</v>
      </c>
      <c r="S16" s="351"/>
      <c r="T16" s="332" t="s">
        <v>77</v>
      </c>
      <c r="U16" s="351"/>
      <c r="V16" s="332" t="s">
        <v>77</v>
      </c>
      <c r="W16" s="351"/>
      <c r="X16" s="332" t="s">
        <v>77</v>
      </c>
      <c r="Y16" s="351"/>
      <c r="Z16" s="332" t="s">
        <v>77</v>
      </c>
      <c r="AA16" s="351"/>
      <c r="AB16" s="332" t="s">
        <v>77</v>
      </c>
      <c r="AC16" s="351"/>
      <c r="AD16" s="332" t="s">
        <v>77</v>
      </c>
      <c r="AE16" s="351"/>
      <c r="AF16" s="333">
        <v>383383</v>
      </c>
      <c r="AG16" s="351"/>
      <c r="AH16" s="333">
        <v>510246</v>
      </c>
      <c r="AI16" s="351"/>
      <c r="AJ16" s="334">
        <f>SUM(AF16+AH16)</f>
        <v>893629</v>
      </c>
      <c r="AK16" s="351"/>
      <c r="AL16" s="333">
        <v>449034</v>
      </c>
      <c r="AM16" s="351"/>
      <c r="AN16" s="334">
        <f>SUM(AJ16+AL16)</f>
        <v>1342663</v>
      </c>
      <c r="AO16" s="351"/>
      <c r="AP16" s="333">
        <v>613758</v>
      </c>
      <c r="AQ16" s="351"/>
      <c r="AR16" s="333">
        <v>1956422</v>
      </c>
      <c r="AS16" s="351"/>
      <c r="AT16" s="333">
        <v>362649</v>
      </c>
      <c r="AU16" s="351"/>
      <c r="AV16" s="352"/>
      <c r="AW16" s="333">
        <v>554732</v>
      </c>
      <c r="AX16" s="351"/>
      <c r="AY16" s="352"/>
      <c r="AZ16" s="334">
        <f>SUM(AT16+AW16)</f>
        <v>917381</v>
      </c>
      <c r="BA16" s="351"/>
      <c r="BB16" s="352"/>
      <c r="BC16" s="333">
        <v>486730</v>
      </c>
      <c r="BD16" s="351"/>
      <c r="BE16" s="352"/>
      <c r="BF16" s="334">
        <f>SUM(AZ16+BC16)</f>
        <v>1404111</v>
      </c>
      <c r="BG16" s="351"/>
      <c r="BH16" s="352"/>
      <c r="BI16" s="333">
        <v>711858</v>
      </c>
      <c r="BJ16" s="351"/>
      <c r="BK16" s="352"/>
      <c r="BL16" s="333">
        <v>2115968</v>
      </c>
      <c r="BM16" s="351"/>
      <c r="BN16" s="352"/>
      <c r="BO16" s="333">
        <v>440246</v>
      </c>
      <c r="BP16" s="351"/>
      <c r="BQ16" s="352"/>
      <c r="BR16" s="333">
        <v>629989</v>
      </c>
      <c r="BS16" s="351"/>
      <c r="BT16" s="352"/>
      <c r="BU16" s="334">
        <f>SUM(BO16+BR16)</f>
        <v>1070235</v>
      </c>
      <c r="BV16" s="351"/>
      <c r="BW16" s="352"/>
      <c r="BX16" s="333">
        <v>568740</v>
      </c>
      <c r="BY16" s="351"/>
      <c r="BZ16" s="352"/>
      <c r="CA16" s="334">
        <f>SUM(BU16+BX16)</f>
        <v>1638975</v>
      </c>
      <c r="CB16" s="351"/>
      <c r="CC16" s="352"/>
      <c r="CD16" s="333">
        <v>823709</v>
      </c>
      <c r="CE16" s="351"/>
      <c r="CF16" s="352"/>
      <c r="CG16" s="333">
        <v>2462684</v>
      </c>
      <c r="CH16" s="351"/>
      <c r="CI16" s="352"/>
      <c r="CJ16" s="333">
        <v>517707</v>
      </c>
      <c r="CK16" s="351"/>
      <c r="CL16" s="352"/>
      <c r="CM16" s="333">
        <v>749653</v>
      </c>
      <c r="CN16" s="351"/>
      <c r="CO16" s="352"/>
      <c r="CP16" s="333">
        <v>1267360</v>
      </c>
      <c r="CQ16" s="351"/>
      <c r="CR16" s="352"/>
      <c r="CS16" s="333">
        <v>657076</v>
      </c>
      <c r="CT16" s="351"/>
      <c r="CU16" s="352"/>
      <c r="CV16" s="333">
        <v>1924436</v>
      </c>
      <c r="CW16" s="351"/>
      <c r="CX16" s="352"/>
      <c r="CY16" s="333">
        <v>972180</v>
      </c>
      <c r="CZ16" s="351"/>
      <c r="DA16" s="352"/>
      <c r="DB16" s="333">
        <v>2896617</v>
      </c>
      <c r="DC16" s="351"/>
      <c r="DD16" s="352"/>
      <c r="DE16" s="333">
        <v>619199</v>
      </c>
      <c r="DF16" s="351"/>
      <c r="DG16" s="352"/>
      <c r="DH16" s="333">
        <v>855169</v>
      </c>
      <c r="DI16" s="351"/>
      <c r="DJ16" s="352"/>
      <c r="DK16" s="333">
        <v>1474368</v>
      </c>
      <c r="DL16" s="351"/>
      <c r="DM16" s="352"/>
      <c r="DN16" s="333">
        <v>803260</v>
      </c>
      <c r="DO16" s="351"/>
      <c r="DP16" s="352"/>
      <c r="DQ16" s="333">
        <v>2277628</v>
      </c>
      <c r="DR16" s="351"/>
      <c r="DS16" s="352"/>
      <c r="DT16" s="333">
        <v>1184332</v>
      </c>
      <c r="DU16" s="351"/>
      <c r="DV16" s="352"/>
      <c r="DW16" s="333">
        <f>DQ16+DT16</f>
        <v>3461960</v>
      </c>
      <c r="DX16" s="351"/>
      <c r="DY16" s="352"/>
      <c r="DZ16" s="333">
        <v>726731</v>
      </c>
      <c r="EA16" s="351"/>
      <c r="EB16" s="352"/>
      <c r="EC16" s="333">
        <v>947203</v>
      </c>
      <c r="ED16" s="351"/>
      <c r="EE16" s="352"/>
      <c r="EF16" s="333">
        <f>DZ16+EC16</f>
        <v>1673934</v>
      </c>
      <c r="EG16" s="351"/>
      <c r="EH16" s="352"/>
      <c r="EI16" s="333">
        <v>906918</v>
      </c>
      <c r="EJ16" s="351"/>
      <c r="EK16" s="352"/>
      <c r="EL16" s="333">
        <f>EF16+EI16</f>
        <v>2580852</v>
      </c>
      <c r="EM16" s="351"/>
      <c r="EN16" s="352"/>
      <c r="EO16" s="333">
        <v>1332954</v>
      </c>
      <c r="EP16" s="351"/>
      <c r="EQ16" s="352"/>
      <c r="ER16" s="333">
        <v>3913809</v>
      </c>
      <c r="ES16" s="351"/>
      <c r="ET16" s="352"/>
      <c r="EU16" s="333">
        <v>814516</v>
      </c>
      <c r="EV16" s="351"/>
      <c r="EW16" s="352"/>
      <c r="EX16" s="333">
        <v>1111198</v>
      </c>
      <c r="EY16" s="351"/>
      <c r="EZ16" s="352"/>
      <c r="FA16" s="333">
        <f>SUM(EX16,EU16)</f>
        <v>1925714</v>
      </c>
      <c r="FB16" s="351"/>
      <c r="FC16" s="352"/>
      <c r="FD16" s="333">
        <v>1047091</v>
      </c>
      <c r="FE16" s="351"/>
      <c r="FF16" s="352"/>
      <c r="FG16" s="333">
        <f>SUM(FD16,FA16)</f>
        <v>2972805</v>
      </c>
      <c r="FH16" s="351"/>
      <c r="FI16" s="352"/>
      <c r="FJ16" s="333">
        <v>1669807</v>
      </c>
      <c r="FK16" s="351"/>
      <c r="FL16" s="352"/>
      <c r="FM16" s="333">
        <f>FJ16+FG16</f>
        <v>4642612</v>
      </c>
      <c r="FN16" s="351"/>
      <c r="FO16" s="352"/>
      <c r="FP16" s="333">
        <v>1010895</v>
      </c>
      <c r="FQ16" s="351"/>
      <c r="FR16" s="352"/>
      <c r="FS16" s="333">
        <v>1354226.30096999</v>
      </c>
      <c r="FT16" s="351"/>
      <c r="FU16" s="352"/>
      <c r="FV16" s="333">
        <f>SUM(FS16,FP16)</f>
        <v>2365121.30096999</v>
      </c>
      <c r="FW16" s="351"/>
      <c r="FX16" s="352"/>
      <c r="FY16" s="333">
        <v>1248365</v>
      </c>
      <c r="FZ16" s="351"/>
      <c r="GA16" s="352"/>
      <c r="GB16" s="333">
        <v>3613486</v>
      </c>
      <c r="GC16" s="351"/>
      <c r="GD16" s="352"/>
      <c r="GE16" s="333">
        <f>+'DRE | IncS'!HN8</f>
        <v>1837366</v>
      </c>
      <c r="GF16" s="351"/>
      <c r="GG16" s="352"/>
      <c r="GH16" s="333">
        <f>+'DRE | IncS'!HQ8</f>
        <v>5450852</v>
      </c>
      <c r="GI16" s="351"/>
      <c r="GJ16" s="352"/>
      <c r="GK16" s="333">
        <v>1076148</v>
      </c>
      <c r="GL16" s="351"/>
      <c r="GM16" s="352"/>
      <c r="GN16" s="333">
        <v>1464688</v>
      </c>
      <c r="GO16" s="351"/>
      <c r="GP16" s="352"/>
      <c r="GQ16" s="333">
        <f>SUM(GN16,GK16)</f>
        <v>2540836</v>
      </c>
      <c r="GR16" s="351"/>
      <c r="GS16" s="224"/>
      <c r="GT16" s="333">
        <f>+'DRE | IncS'!IC8</f>
        <v>1260418</v>
      </c>
      <c r="GU16" s="351"/>
      <c r="GV16" s="352"/>
      <c r="GW16" s="333">
        <f>SUM(GT16,GQ16)</f>
        <v>3801254</v>
      </c>
      <c r="GX16" s="351"/>
      <c r="GY16" s="224"/>
      <c r="GZ16" s="333">
        <f>+'DRE | IncS'!II8</f>
        <v>1920504</v>
      </c>
      <c r="HA16" s="351"/>
      <c r="HB16" s="352"/>
      <c r="HC16" s="333">
        <f>SUM(GZ16,GW16)</f>
        <v>5721758</v>
      </c>
      <c r="HD16" s="351"/>
      <c r="HE16" s="224"/>
      <c r="HF16" s="333">
        <v>1234684</v>
      </c>
      <c r="HG16" s="351"/>
      <c r="HH16" s="352"/>
      <c r="HI16" s="333">
        <v>1630456</v>
      </c>
      <c r="HJ16" s="351"/>
      <c r="HK16" s="352"/>
      <c r="HL16" s="333">
        <f>SUM(HI16,HF16)</f>
        <v>2865140</v>
      </c>
      <c r="HM16" s="351"/>
      <c r="HN16" s="224"/>
      <c r="HO16" s="333">
        <v>1512578</v>
      </c>
      <c r="HP16" s="351"/>
      <c r="HQ16" s="352"/>
      <c r="HR16" s="333">
        <f>SUM(HO16,HL16)</f>
        <v>4377718</v>
      </c>
      <c r="HS16" s="351"/>
      <c r="HT16" s="224"/>
      <c r="HU16" s="333">
        <f>'DRE | IncS'!JD8</f>
        <v>2222355</v>
      </c>
      <c r="HV16" s="351"/>
      <c r="HW16" s="352"/>
      <c r="HX16" s="333">
        <f>SUM(HU16,HR16)</f>
        <v>6600073</v>
      </c>
      <c r="HY16" s="351"/>
      <c r="HZ16" s="224"/>
      <c r="IA16" s="333">
        <v>1398819</v>
      </c>
      <c r="IB16" s="351"/>
      <c r="IC16" s="352"/>
      <c r="ID16" s="333">
        <f>'DRE | IncS'!JM8</f>
        <v>1780031</v>
      </c>
      <c r="IE16" s="351"/>
      <c r="IF16" s="352"/>
      <c r="IG16" s="333">
        <v>3178850</v>
      </c>
      <c r="IH16" s="351"/>
      <c r="II16" s="352"/>
      <c r="IJ16" s="333">
        <f>'DRE | IncS'!JS8</f>
        <v>1711461</v>
      </c>
      <c r="IK16" s="351"/>
      <c r="IL16" s="352"/>
      <c r="IM16" s="333">
        <v>4890311.6607499998</v>
      </c>
      <c r="IN16" s="351"/>
      <c r="IO16" s="352"/>
      <c r="IP16" s="333">
        <f>'DRE | IncS'!JY8</f>
        <v>2595122</v>
      </c>
      <c r="IQ16" s="351"/>
      <c r="IR16" s="352"/>
      <c r="IS16" s="333">
        <f>'DRE | IncS'!KB8</f>
        <v>7485433</v>
      </c>
      <c r="IT16" s="351"/>
      <c r="IU16" s="352"/>
      <c r="IV16" s="333">
        <f>'DRE | IncS'!KE8</f>
        <v>1650337</v>
      </c>
      <c r="IW16" s="351"/>
      <c r="IX16" s="352"/>
      <c r="IY16" s="333">
        <f>'DRE | IncS'!KH8</f>
        <v>2019374</v>
      </c>
      <c r="IZ16" s="351"/>
      <c r="JA16" s="352"/>
      <c r="JB16" s="333">
        <f>'DRE | IncS'!KK8</f>
        <v>3669711</v>
      </c>
      <c r="JC16" s="351"/>
      <c r="JD16" s="352"/>
      <c r="JE16" s="333">
        <f>'DRE | IncS'!KN8</f>
        <v>1931924</v>
      </c>
      <c r="JF16" s="351"/>
      <c r="JG16" s="352"/>
      <c r="JH16" s="333">
        <f>'DRE | IncS'!KQ8</f>
        <v>5601635</v>
      </c>
      <c r="JI16" s="351"/>
      <c r="JJ16" s="352"/>
      <c r="JK16" s="333">
        <f>'DRE | IncS'!KT8</f>
        <v>2873058</v>
      </c>
      <c r="JL16" s="351"/>
      <c r="JM16" s="352"/>
      <c r="JN16" s="333">
        <f>'DRE | IncS'!KW8</f>
        <v>8474693</v>
      </c>
      <c r="JO16" s="351"/>
      <c r="JP16" s="352"/>
      <c r="JQ16" s="333">
        <f>'DRE | IncS'!KZ8</f>
        <v>1550180</v>
      </c>
      <c r="JR16" s="351"/>
      <c r="JS16" s="352"/>
      <c r="JT16" s="333">
        <f>'DRE | IncS'!LC8</f>
        <v>539636</v>
      </c>
      <c r="JU16" s="351"/>
      <c r="JV16" s="352"/>
      <c r="JW16" s="333">
        <f>'DRE | IncS'!LF8</f>
        <v>2089816</v>
      </c>
      <c r="JX16" s="351"/>
      <c r="JY16" s="539"/>
      <c r="JZ16" s="333">
        <f>'DRE | IncS'!LI8</f>
        <v>1651197</v>
      </c>
      <c r="KA16" s="351"/>
      <c r="KB16" s="539"/>
      <c r="KC16" s="333">
        <f>'DRE | IncS'!LL8</f>
        <v>3741013</v>
      </c>
      <c r="KD16" s="351"/>
      <c r="KE16" s="539"/>
      <c r="KF16" s="333">
        <f>'DRE | IncS'!LO8</f>
        <v>2919558</v>
      </c>
      <c r="KG16" s="351"/>
      <c r="KH16" s="539"/>
      <c r="KI16" s="333">
        <f>'DRE | IncS'!LR8</f>
        <v>6660571</v>
      </c>
      <c r="KJ16" s="351"/>
      <c r="KK16" s="539"/>
    </row>
    <row r="17" spans="2:297" ht="16.5" customHeight="1">
      <c r="B17" s="331" t="s">
        <v>1073</v>
      </c>
      <c r="C17" s="331" t="s">
        <v>1074</v>
      </c>
      <c r="D17" s="332">
        <f>+'DRE | IncS'!R40</f>
        <v>29752</v>
      </c>
      <c r="E17" s="351"/>
      <c r="F17" s="332">
        <f>+'DRE | IncS'!U40</f>
        <v>46767</v>
      </c>
      <c r="G17" s="351"/>
      <c r="H17" s="332">
        <f>+'DRE | IncS'!X40</f>
        <v>76519</v>
      </c>
      <c r="I17" s="351"/>
      <c r="J17" s="332">
        <f>+'DRE | IncS'!AA40</f>
        <v>33079</v>
      </c>
      <c r="K17" s="351"/>
      <c r="L17" s="332">
        <f>+'DRE | IncS'!AD40</f>
        <v>109598</v>
      </c>
      <c r="M17" s="351"/>
      <c r="N17" s="332">
        <f>+'DRE | IncS'!AG40</f>
        <v>71257</v>
      </c>
      <c r="O17" s="351"/>
      <c r="P17" s="332">
        <f>+'DRE | IncS'!AJ40</f>
        <v>180854</v>
      </c>
      <c r="Q17" s="351"/>
      <c r="R17" s="332">
        <f>+'DRE | IncS'!AM40</f>
        <v>38858</v>
      </c>
      <c r="S17" s="351"/>
      <c r="T17" s="332">
        <f>+'DRE | IncS'!AP40</f>
        <v>75234</v>
      </c>
      <c r="U17" s="351"/>
      <c r="V17" s="332">
        <f>+'DRE | IncS'!AS40</f>
        <v>114089</v>
      </c>
      <c r="W17" s="351"/>
      <c r="X17" s="332">
        <f>+'DRE | IncS'!AV40</f>
        <v>69729</v>
      </c>
      <c r="Y17" s="351"/>
      <c r="Z17" s="332">
        <f>+'DRE | IncS'!AY40</f>
        <v>183820</v>
      </c>
      <c r="AA17" s="351"/>
      <c r="AB17" s="332">
        <f>+'DRE | IncS'!BB40</f>
        <v>101404</v>
      </c>
      <c r="AC17" s="351"/>
      <c r="AD17" s="332">
        <f>+'DRE | IncS'!BE40</f>
        <v>285225</v>
      </c>
      <c r="AE17" s="351"/>
      <c r="AF17" s="332">
        <f>+'DRE | IncS'!BH40</f>
        <v>54445</v>
      </c>
      <c r="AG17" s="351"/>
      <c r="AH17" s="332">
        <f>+'DRE | IncS'!BK40</f>
        <v>85677</v>
      </c>
      <c r="AI17" s="351"/>
      <c r="AJ17" s="332">
        <f>+'DRE | IncS'!BN40</f>
        <v>140123</v>
      </c>
      <c r="AK17" s="351"/>
      <c r="AL17" s="332">
        <f>+'DRE | IncS'!BQ40</f>
        <v>61722</v>
      </c>
      <c r="AM17" s="351"/>
      <c r="AN17" s="332">
        <f>+'DRE | IncS'!BT40</f>
        <v>201845</v>
      </c>
      <c r="AO17" s="351"/>
      <c r="AP17" s="332">
        <f>+'DRE | IncS'!BW40</f>
        <v>95264</v>
      </c>
      <c r="AQ17" s="351"/>
      <c r="AR17" s="332">
        <f>+'DRE | IncS'!BZ40</f>
        <v>297109</v>
      </c>
      <c r="AS17" s="351"/>
      <c r="AT17" s="332">
        <f>+'DRE | IncS'!CC40</f>
        <v>38124.279695342848</v>
      </c>
      <c r="AU17" s="351"/>
      <c r="AV17" s="352"/>
      <c r="AW17" s="332">
        <f>+'DRE | IncS'!CF40</f>
        <v>93498.940966587921</v>
      </c>
      <c r="AX17" s="351"/>
      <c r="AY17" s="352"/>
      <c r="AZ17" s="332">
        <f>+'DRE | IncS'!CI40</f>
        <v>131626.22066193074</v>
      </c>
      <c r="BA17" s="351"/>
      <c r="BB17" s="352"/>
      <c r="BC17" s="332">
        <f>+'DRE | IncS'!CL40</f>
        <v>68171.640550408512</v>
      </c>
      <c r="BD17" s="351"/>
      <c r="BE17" s="352"/>
      <c r="BF17" s="332">
        <f>+'DRE | IncS'!CO40</f>
        <v>199798.86121233925</v>
      </c>
      <c r="BG17" s="351"/>
      <c r="BH17" s="352"/>
      <c r="BI17" s="332">
        <f>+'DRE | IncS'!CR40</f>
        <v>156114.23646145535</v>
      </c>
      <c r="BJ17" s="351"/>
      <c r="BK17" s="352"/>
      <c r="BL17" s="332">
        <f>+'DRE | IncS'!CU40</f>
        <v>355910</v>
      </c>
      <c r="BM17" s="351"/>
      <c r="BN17" s="352"/>
      <c r="BO17" s="332">
        <f>+'DRE | IncS'!CX40</f>
        <v>73111</v>
      </c>
      <c r="BP17" s="351"/>
      <c r="BQ17" s="352"/>
      <c r="BR17" s="332">
        <f>+'DRE | IncS'!DA40</f>
        <v>152505</v>
      </c>
      <c r="BS17" s="351"/>
      <c r="BT17" s="352"/>
      <c r="BU17" s="332">
        <f>+'DRE | IncS'!DD40</f>
        <v>225616</v>
      </c>
      <c r="BV17" s="351"/>
      <c r="BW17" s="352"/>
      <c r="BX17" s="332">
        <f>+'DRE | IncS'!DG40</f>
        <v>101243</v>
      </c>
      <c r="BY17" s="351"/>
      <c r="BZ17" s="352"/>
      <c r="CA17" s="332">
        <f>+'DRE | IncS'!DJ40</f>
        <v>326859</v>
      </c>
      <c r="CB17" s="351"/>
      <c r="CC17" s="352"/>
      <c r="CD17" s="332">
        <f>+'DRE | IncS'!DM40</f>
        <v>178260</v>
      </c>
      <c r="CE17" s="351"/>
      <c r="CF17" s="352"/>
      <c r="CG17" s="332">
        <f>+'DRE | IncS'!DP40</f>
        <v>505120</v>
      </c>
      <c r="CH17" s="351"/>
      <c r="CI17" s="352"/>
      <c r="CJ17" s="332">
        <f>+'DRE | IncS'!DS40</f>
        <v>85159</v>
      </c>
      <c r="CK17" s="351"/>
      <c r="CL17" s="352"/>
      <c r="CM17" s="332">
        <f>+'DRE | IncS'!DV40</f>
        <v>179669</v>
      </c>
      <c r="CN17" s="351"/>
      <c r="CO17" s="352"/>
      <c r="CP17" s="332">
        <f>+'DRE | IncS'!DY40</f>
        <v>264828</v>
      </c>
      <c r="CQ17" s="351"/>
      <c r="CR17" s="352"/>
      <c r="CS17" s="332">
        <f>+'DRE | IncS'!EB40</f>
        <v>105242.18123999999</v>
      </c>
      <c r="CT17" s="351"/>
      <c r="CU17" s="352"/>
      <c r="CV17" s="332">
        <f>+'DRE | IncS'!EE40</f>
        <v>370070.18123999995</v>
      </c>
      <c r="CW17" s="351"/>
      <c r="CX17" s="352"/>
      <c r="CY17" s="332">
        <f>+'DRE | IncS'!EH40</f>
        <v>222557</v>
      </c>
      <c r="CZ17" s="351"/>
      <c r="DA17" s="352"/>
      <c r="DB17" s="332">
        <f>+'DRE | IncS'!EK40</f>
        <v>592626</v>
      </c>
      <c r="DC17" s="351"/>
      <c r="DD17" s="352"/>
      <c r="DE17" s="332">
        <f>+'DRE | IncS'!EN40</f>
        <v>83588</v>
      </c>
      <c r="DF17" s="351"/>
      <c r="DG17" s="352"/>
      <c r="DH17" s="332">
        <f>+'DRE | IncS'!EQ40</f>
        <v>190395</v>
      </c>
      <c r="DI17" s="351"/>
      <c r="DJ17" s="352"/>
      <c r="DK17" s="332">
        <f>+'DRE | IncS'!ET40</f>
        <v>273982</v>
      </c>
      <c r="DL17" s="351"/>
      <c r="DM17" s="352"/>
      <c r="DN17" s="332">
        <f>+'DRE | IncS'!EW40</f>
        <v>148184</v>
      </c>
      <c r="DO17" s="351"/>
      <c r="DP17" s="352"/>
      <c r="DQ17" s="332">
        <f>+'DRE | IncS'!EZ40</f>
        <v>422166</v>
      </c>
      <c r="DR17" s="351"/>
      <c r="DS17" s="352"/>
      <c r="DT17" s="332">
        <f>+'DRE | IncS'!FC40</f>
        <v>292283</v>
      </c>
      <c r="DU17" s="351"/>
      <c r="DV17" s="352"/>
      <c r="DW17" s="332">
        <f>+'DRE | IncS'!FF40</f>
        <v>714449</v>
      </c>
      <c r="DX17" s="351"/>
      <c r="DY17" s="352"/>
      <c r="DZ17" s="332">
        <f>+'DRE | IncS'!FI40</f>
        <v>89968</v>
      </c>
      <c r="EA17" s="351"/>
      <c r="EB17" s="352"/>
      <c r="EC17" s="332">
        <f>+'DRE | IncS'!FL40</f>
        <v>201821</v>
      </c>
      <c r="ED17" s="351"/>
      <c r="EE17" s="352"/>
      <c r="EF17" s="332">
        <f>+'DRE | IncS'!FO40</f>
        <v>291789</v>
      </c>
      <c r="EG17" s="351"/>
      <c r="EH17" s="352"/>
      <c r="EI17" s="332">
        <f>+'DRE | IncS'!FR40</f>
        <v>154626</v>
      </c>
      <c r="EJ17" s="351"/>
      <c r="EK17" s="352"/>
      <c r="EL17" s="332">
        <f>+'DRE | IncS'!FU40</f>
        <v>446409</v>
      </c>
      <c r="EM17" s="351"/>
      <c r="EN17" s="352"/>
      <c r="EO17" s="332">
        <f>+'DRE | IncS'!FX40</f>
        <v>390718</v>
      </c>
      <c r="EP17" s="351"/>
      <c r="EQ17" s="352"/>
      <c r="ER17" s="332">
        <f>+'DRE | IncS'!GA40</f>
        <v>837134</v>
      </c>
      <c r="ES17" s="351"/>
      <c r="ET17" s="352"/>
      <c r="EU17" s="332">
        <f>+'DRE | IncS'!GD40</f>
        <v>135060.48000000001</v>
      </c>
      <c r="EV17" s="351"/>
      <c r="EW17" s="352"/>
      <c r="EX17" s="332">
        <f>+'DRE | IncS'!GG40</f>
        <v>248105</v>
      </c>
      <c r="EY17" s="351"/>
      <c r="EZ17" s="352"/>
      <c r="FA17" s="332">
        <f>+'DRE | IncS'!GJ40</f>
        <v>383165.48</v>
      </c>
      <c r="FB17" s="351"/>
      <c r="FC17" s="352"/>
      <c r="FD17" s="332">
        <f>+'DRE | IncS'!GM40</f>
        <v>204342</v>
      </c>
      <c r="FE17" s="351"/>
      <c r="FF17" s="352"/>
      <c r="FG17" s="332">
        <f>+'DRE | IncS'!GP40</f>
        <v>587507.47999999986</v>
      </c>
      <c r="FH17" s="351"/>
      <c r="FI17" s="352"/>
      <c r="FJ17" s="332">
        <f>+'DRE | IncS'!GS40</f>
        <v>465624.44599999994</v>
      </c>
      <c r="FK17" s="351"/>
      <c r="FL17" s="352"/>
      <c r="FM17" s="332">
        <f>+'DRE | IncS'!GV40</f>
        <v>1053131.9259999997</v>
      </c>
      <c r="FN17" s="351"/>
      <c r="FO17" s="352"/>
      <c r="FP17" s="332">
        <f>+'DRE | IncS'!GY40</f>
        <v>198803.53941000011</v>
      </c>
      <c r="FQ17" s="351"/>
      <c r="FR17" s="352"/>
      <c r="FS17" s="332">
        <f>+'DRE | IncS'!HB40</f>
        <v>326159.0384299999</v>
      </c>
      <c r="FT17" s="351"/>
      <c r="FU17" s="352"/>
      <c r="FV17" s="332">
        <f>+'DRE | IncS'!HE40</f>
        <v>524962.57783999993</v>
      </c>
      <c r="FW17" s="351"/>
      <c r="FX17" s="352"/>
      <c r="FY17" s="332">
        <f>+'DRE | IncS'!HH40</f>
        <v>230533</v>
      </c>
      <c r="FZ17" s="351"/>
      <c r="GA17" s="352"/>
      <c r="GB17" s="332">
        <f>+'DRE | IncS'!HK40</f>
        <v>755497.26334000006</v>
      </c>
      <c r="GC17" s="351"/>
      <c r="GD17" s="352"/>
      <c r="GE17" s="332">
        <f>+'DRE | IncS'!HN40</f>
        <v>491669</v>
      </c>
      <c r="GF17" s="351"/>
      <c r="GG17" s="352"/>
      <c r="GH17" s="332">
        <f>+'DRE | IncS'!HQ40</f>
        <v>1247163.9920099999</v>
      </c>
      <c r="GI17" s="351"/>
      <c r="GJ17" s="352"/>
      <c r="GK17" s="332">
        <f>+'DRE | IncS'!HT40</f>
        <v>185798</v>
      </c>
      <c r="GL17" s="351"/>
      <c r="GM17" s="352"/>
      <c r="GN17" s="333">
        <v>356072</v>
      </c>
      <c r="GO17" s="351"/>
      <c r="GP17" s="352"/>
      <c r="GQ17" s="333">
        <f>SUM(GN17,GK17)</f>
        <v>541870</v>
      </c>
      <c r="GR17" s="351"/>
      <c r="GS17" s="224"/>
      <c r="GT17" s="333">
        <f>+'DRE | IncS'!IC40</f>
        <v>229510</v>
      </c>
      <c r="GU17" s="351"/>
      <c r="GV17" s="352"/>
      <c r="GW17" s="333">
        <f>SUM(GT17,GQ17)</f>
        <v>771380</v>
      </c>
      <c r="GX17" s="351"/>
      <c r="GY17" s="224"/>
      <c r="GZ17" s="333">
        <f>+'DRE | IncS'!II40</f>
        <v>567729</v>
      </c>
      <c r="HA17" s="351"/>
      <c r="HB17" s="352"/>
      <c r="HC17" s="333">
        <f>SUM(GZ17,GW17)</f>
        <v>1339109</v>
      </c>
      <c r="HD17" s="351"/>
      <c r="HE17" s="224"/>
      <c r="HF17" s="332">
        <f>+'DRE | IncS'!IO40</f>
        <v>190441.99999999994</v>
      </c>
      <c r="HG17" s="351"/>
      <c r="HH17" s="352"/>
      <c r="HI17" s="333">
        <v>382734</v>
      </c>
      <c r="HJ17" s="351"/>
      <c r="HK17" s="352"/>
      <c r="HL17" s="333">
        <f>SUM(HI17,HF17)</f>
        <v>573176</v>
      </c>
      <c r="HM17" s="351"/>
      <c r="HN17" s="224"/>
      <c r="HO17" s="333">
        <v>299237</v>
      </c>
      <c r="HP17" s="351"/>
      <c r="HQ17" s="352"/>
      <c r="HR17" s="333">
        <f>SUM(HO17,HL17)</f>
        <v>872413</v>
      </c>
      <c r="HS17" s="351"/>
      <c r="HT17" s="224"/>
      <c r="HU17" s="333">
        <f>'DRE | IncS'!JD40</f>
        <v>603417</v>
      </c>
      <c r="HV17" s="351"/>
      <c r="HW17" s="352"/>
      <c r="HX17" s="333">
        <f>SUM(HU17,HR17)</f>
        <v>1475830</v>
      </c>
      <c r="HY17" s="351"/>
      <c r="HZ17" s="224"/>
      <c r="IA17" s="332">
        <v>249511</v>
      </c>
      <c r="IB17" s="351"/>
      <c r="IC17" s="352"/>
      <c r="ID17" s="332">
        <f>'DRE | IncS'!JM40</f>
        <v>434190.43533000001</v>
      </c>
      <c r="IE17" s="351"/>
      <c r="IF17" s="352"/>
      <c r="IG17" s="332">
        <v>683701</v>
      </c>
      <c r="IH17" s="351"/>
      <c r="II17" s="352"/>
      <c r="IJ17" s="332">
        <f>'DRE | IncS'!JS40</f>
        <v>346960.01777999999</v>
      </c>
      <c r="IK17" s="351"/>
      <c r="IL17" s="352"/>
      <c r="IM17" s="332">
        <v>1030661.4487000002</v>
      </c>
      <c r="IN17" s="351"/>
      <c r="IO17" s="352"/>
      <c r="IP17" s="332">
        <f>'DRE | IncS'!JY40</f>
        <v>742655.27084000199</v>
      </c>
      <c r="IQ17" s="351"/>
      <c r="IR17" s="352"/>
      <c r="IS17" s="332">
        <f>'DRE | IncS'!KB40</f>
        <v>1773316.71954</v>
      </c>
      <c r="IT17" s="351"/>
      <c r="IU17" s="352"/>
      <c r="IV17" s="332">
        <f>'DRE | IncS'!KE40</f>
        <v>306777.08177999995</v>
      </c>
      <c r="IW17" s="351"/>
      <c r="IX17" s="352"/>
      <c r="IY17" s="332">
        <f>'DRE | IncS'!KH40</f>
        <v>434340.66326999996</v>
      </c>
      <c r="IZ17" s="351"/>
      <c r="JA17" s="352"/>
      <c r="JB17" s="332">
        <f>'DRE | IncS'!KK40</f>
        <v>741117.74504999991</v>
      </c>
      <c r="JC17" s="351"/>
      <c r="JD17" s="352"/>
      <c r="JE17" s="332">
        <f>'DRE | IncS'!KN40</f>
        <v>354783.33773999999</v>
      </c>
      <c r="JF17" s="351"/>
      <c r="JG17" s="352"/>
      <c r="JH17" s="332">
        <f>'DRE | IncS'!KQ40</f>
        <v>1095901.0827899999</v>
      </c>
      <c r="JI17" s="351"/>
      <c r="JJ17" s="352"/>
      <c r="JK17" s="332">
        <f>'DRE | IncS'!KT40</f>
        <v>857307.54728000017</v>
      </c>
      <c r="JL17" s="351"/>
      <c r="JM17" s="352"/>
      <c r="JN17" s="332">
        <f>'DRE | IncS'!KW40</f>
        <v>1953208.63007</v>
      </c>
      <c r="JO17" s="351"/>
      <c r="JP17" s="352"/>
      <c r="JQ17" s="332">
        <f>'DRE | IncS'!KZ40</f>
        <v>105030.03512000003</v>
      </c>
      <c r="JR17" s="351"/>
      <c r="JS17" s="352"/>
      <c r="JT17" s="332">
        <f>'DRE | IncS'!LC40</f>
        <v>506994.85862999997</v>
      </c>
      <c r="JU17" s="351"/>
      <c r="JV17" s="352"/>
      <c r="JW17" s="332">
        <f>'DRE | IncS'!LF40</f>
        <v>612024.89375000005</v>
      </c>
      <c r="JX17" s="351"/>
      <c r="JY17" s="539"/>
      <c r="JZ17" s="332">
        <f>'DRE | IncS'!LI40</f>
        <v>-38248.806429999975</v>
      </c>
      <c r="KA17" s="351"/>
      <c r="KB17" s="539"/>
      <c r="KC17" s="332">
        <f>'DRE | IncS'!LL40</f>
        <v>573776.08732000005</v>
      </c>
      <c r="KD17" s="351"/>
      <c r="KE17" s="539"/>
      <c r="KF17" s="332">
        <f>'DRE | IncS'!LO40</f>
        <v>616658.69279</v>
      </c>
      <c r="KG17" s="351"/>
      <c r="KH17" s="539"/>
      <c r="KI17" s="332">
        <f>'DRE | IncS'!LR40</f>
        <v>1190434.7801100002</v>
      </c>
      <c r="KJ17" s="351"/>
      <c r="KK17" s="539"/>
    </row>
    <row r="18" spans="2:297" ht="16.5" customHeight="1">
      <c r="B18" s="266"/>
      <c r="C18" s="322"/>
      <c r="D18" s="320"/>
      <c r="E18" s="225"/>
      <c r="F18" s="320"/>
      <c r="G18" s="225"/>
      <c r="H18" s="320"/>
      <c r="I18" s="225"/>
      <c r="J18" s="320"/>
      <c r="K18" s="225"/>
      <c r="L18" s="320"/>
      <c r="M18" s="225"/>
      <c r="N18" s="320"/>
      <c r="O18" s="225"/>
      <c r="P18" s="321"/>
      <c r="Q18" s="225"/>
      <c r="R18" s="320"/>
      <c r="S18" s="225"/>
      <c r="T18" s="320"/>
      <c r="U18" s="225"/>
      <c r="V18" s="320"/>
      <c r="W18" s="225"/>
      <c r="X18" s="320"/>
      <c r="Y18" s="225"/>
      <c r="Z18" s="320"/>
      <c r="AA18" s="225"/>
      <c r="AB18" s="320"/>
      <c r="AC18" s="225"/>
      <c r="AD18" s="321"/>
      <c r="AE18" s="225"/>
      <c r="AF18" s="320"/>
      <c r="AG18" s="225"/>
      <c r="AH18" s="320"/>
      <c r="AI18" s="225"/>
      <c r="AJ18" s="320"/>
      <c r="AK18" s="225"/>
      <c r="AL18" s="320"/>
      <c r="AM18" s="225"/>
      <c r="AN18" s="320"/>
      <c r="AO18" s="225"/>
      <c r="AP18" s="320"/>
      <c r="AQ18" s="225"/>
      <c r="AR18" s="321"/>
      <c r="AS18" s="225"/>
      <c r="AT18" s="320"/>
      <c r="AU18" s="225"/>
      <c r="AV18" s="225"/>
      <c r="AW18" s="320"/>
      <c r="AX18" s="225"/>
      <c r="AY18" s="225"/>
      <c r="AZ18" s="320"/>
      <c r="BA18" s="225"/>
      <c r="BB18" s="225"/>
      <c r="BC18" s="320"/>
      <c r="BD18" s="225"/>
      <c r="BE18" s="225"/>
      <c r="BF18" s="320"/>
      <c r="BG18" s="225"/>
      <c r="BH18" s="225"/>
      <c r="BI18" s="320"/>
      <c r="BJ18" s="225"/>
      <c r="BK18" s="225"/>
      <c r="BL18" s="321"/>
      <c r="BM18" s="225"/>
      <c r="BN18" s="225"/>
      <c r="BO18" s="320"/>
      <c r="BP18" s="225"/>
      <c r="BQ18" s="225"/>
      <c r="BR18" s="320"/>
      <c r="BS18" s="225"/>
      <c r="BT18" s="225"/>
      <c r="BU18" s="320"/>
      <c r="BV18" s="225"/>
      <c r="BW18" s="225"/>
      <c r="BX18" s="320"/>
      <c r="BY18" s="225"/>
      <c r="BZ18" s="225"/>
      <c r="CA18" s="320"/>
      <c r="CB18" s="225"/>
      <c r="CC18" s="225"/>
      <c r="CD18" s="320"/>
      <c r="CE18" s="225"/>
      <c r="CF18" s="225"/>
      <c r="CG18" s="320"/>
      <c r="CH18" s="225"/>
      <c r="CI18" s="225"/>
      <c r="CJ18" s="320"/>
      <c r="CK18" s="225"/>
      <c r="CL18" s="225"/>
      <c r="CM18" s="320"/>
      <c r="CN18" s="225"/>
      <c r="CO18" s="225"/>
      <c r="CP18" s="320"/>
      <c r="CQ18" s="225"/>
      <c r="CR18" s="225"/>
      <c r="CS18" s="320"/>
      <c r="CT18" s="225"/>
      <c r="CU18" s="225"/>
      <c r="CV18" s="320"/>
      <c r="CW18" s="225"/>
      <c r="CX18" s="225"/>
      <c r="CY18" s="320"/>
      <c r="CZ18" s="225"/>
      <c r="DA18" s="225"/>
      <c r="DB18" s="320"/>
      <c r="DC18" s="225"/>
      <c r="DD18" s="225"/>
      <c r="DE18" s="320"/>
      <c r="DF18" s="225"/>
      <c r="DG18" s="225"/>
      <c r="DH18" s="320"/>
      <c r="DI18" s="225"/>
      <c r="DJ18" s="225"/>
      <c r="DK18" s="320"/>
      <c r="DL18" s="225"/>
      <c r="DM18" s="225"/>
      <c r="DN18" s="320"/>
      <c r="DO18" s="225"/>
      <c r="DP18" s="225"/>
      <c r="DQ18" s="320"/>
      <c r="DR18" s="225"/>
      <c r="DS18" s="225"/>
      <c r="DT18" s="320"/>
      <c r="DU18" s="225"/>
      <c r="DV18" s="225"/>
      <c r="DW18" s="320"/>
      <c r="DX18" s="225"/>
      <c r="DY18" s="225"/>
      <c r="DZ18" s="320"/>
      <c r="EA18" s="225"/>
      <c r="EB18" s="225"/>
      <c r="EC18" s="320"/>
      <c r="ED18" s="225"/>
      <c r="EE18" s="225"/>
      <c r="EF18" s="320"/>
      <c r="EG18" s="225"/>
      <c r="EH18" s="225"/>
      <c r="EI18" s="320"/>
      <c r="EJ18" s="225"/>
      <c r="EK18" s="225"/>
      <c r="EL18" s="320"/>
      <c r="EM18" s="225"/>
      <c r="EN18" s="225"/>
      <c r="EO18" s="320"/>
      <c r="EP18" s="225"/>
      <c r="EQ18" s="225"/>
      <c r="ER18" s="320"/>
      <c r="ES18" s="225"/>
      <c r="ET18" s="225"/>
      <c r="EU18" s="320"/>
      <c r="EV18" s="225"/>
      <c r="EW18" s="225"/>
      <c r="EX18" s="320"/>
      <c r="EY18" s="225"/>
      <c r="EZ18" s="225"/>
      <c r="FA18" s="320"/>
      <c r="FB18" s="225"/>
      <c r="FC18" s="225"/>
      <c r="FD18" s="320"/>
      <c r="FE18" s="225"/>
      <c r="FF18" s="225"/>
      <c r="FG18" s="320"/>
      <c r="FH18" s="225"/>
      <c r="FI18" s="225"/>
      <c r="FJ18" s="320"/>
      <c r="FK18" s="225"/>
      <c r="FL18" s="225"/>
      <c r="FM18" s="355"/>
      <c r="FN18" s="225"/>
      <c r="FO18" s="225"/>
      <c r="FP18" s="320"/>
      <c r="FQ18" s="225"/>
      <c r="FR18" s="225"/>
      <c r="FS18" s="320"/>
      <c r="FT18" s="225"/>
      <c r="FU18" s="225"/>
      <c r="FV18" s="320"/>
      <c r="FW18" s="225"/>
      <c r="FX18" s="225"/>
      <c r="FY18" s="320"/>
      <c r="FZ18" s="225"/>
      <c r="GA18" s="225"/>
      <c r="GB18" s="320"/>
      <c r="GC18" s="225"/>
      <c r="GD18" s="225"/>
      <c r="GE18" s="224"/>
      <c r="GF18" s="225"/>
      <c r="GG18" s="225"/>
      <c r="GH18" s="224"/>
      <c r="GI18" s="225"/>
      <c r="GJ18" s="225"/>
      <c r="GK18" s="224"/>
      <c r="GL18" s="225"/>
      <c r="GM18" s="225"/>
      <c r="GN18" s="224"/>
      <c r="GO18" s="225"/>
      <c r="GP18" s="225"/>
      <c r="GQ18" s="224"/>
      <c r="GR18" s="225"/>
      <c r="GS18" s="225"/>
      <c r="GT18" s="224"/>
      <c r="GU18" s="225"/>
      <c r="GV18" s="225"/>
      <c r="GW18" s="224"/>
      <c r="GX18" s="225"/>
      <c r="GY18" s="225"/>
      <c r="GZ18" s="224"/>
      <c r="HA18" s="225"/>
      <c r="HB18" s="225"/>
      <c r="HC18" s="224"/>
      <c r="HD18" s="225"/>
      <c r="HE18" s="225"/>
      <c r="HF18" s="224"/>
      <c r="HG18" s="225"/>
      <c r="HH18" s="225"/>
      <c r="HI18" s="224"/>
      <c r="HJ18" s="225"/>
      <c r="HK18" s="225"/>
      <c r="HL18" s="224"/>
      <c r="HM18" s="225"/>
      <c r="HN18" s="225"/>
      <c r="HO18" s="224"/>
      <c r="HP18" s="225"/>
      <c r="HQ18" s="225"/>
      <c r="HR18" s="224"/>
      <c r="HS18" s="225"/>
      <c r="HT18" s="225"/>
      <c r="HU18" s="224"/>
      <c r="HV18" s="225"/>
      <c r="HW18" s="225"/>
      <c r="HX18" s="224"/>
      <c r="HY18" s="225"/>
      <c r="HZ18" s="225"/>
      <c r="IA18" s="224"/>
      <c r="IB18" s="225"/>
      <c r="IC18" s="225"/>
      <c r="ID18" s="224"/>
      <c r="IE18" s="225"/>
      <c r="IF18" s="225"/>
      <c r="IG18" s="224"/>
      <c r="IH18" s="225"/>
      <c r="II18" s="225"/>
      <c r="IJ18" s="224"/>
      <c r="IK18" s="225"/>
      <c r="IL18" s="225"/>
      <c r="IM18" s="224"/>
      <c r="IN18" s="225"/>
      <c r="IO18" s="225"/>
      <c r="IP18" s="224"/>
      <c r="IQ18" s="225"/>
      <c r="IR18" s="225"/>
      <c r="IS18" s="224"/>
      <c r="IT18" s="225"/>
      <c r="IU18" s="225"/>
      <c r="IV18" s="224"/>
      <c r="IW18" s="225"/>
      <c r="IX18" s="225"/>
      <c r="IY18" s="224"/>
      <c r="IZ18" s="225"/>
      <c r="JA18" s="225"/>
      <c r="JB18" s="224"/>
      <c r="JC18" s="225"/>
      <c r="JD18" s="225"/>
      <c r="JE18" s="224"/>
      <c r="JF18" s="225"/>
      <c r="JG18" s="225"/>
      <c r="JH18" s="224"/>
      <c r="JI18" s="225"/>
      <c r="JJ18" s="225"/>
      <c r="JK18" s="224"/>
      <c r="JL18" s="225"/>
      <c r="JM18" s="225"/>
      <c r="JN18" s="224"/>
      <c r="JO18" s="225"/>
      <c r="JP18" s="225"/>
      <c r="JQ18" s="224"/>
      <c r="JR18" s="225"/>
      <c r="JS18" s="225"/>
      <c r="JT18" s="224"/>
      <c r="JU18" s="225"/>
      <c r="JV18" s="225"/>
      <c r="JW18" s="224"/>
      <c r="JX18" s="225"/>
      <c r="JY18" s="225"/>
      <c r="JZ18" s="224"/>
      <c r="KA18" s="225"/>
      <c r="KB18" s="225"/>
      <c r="KC18" s="224"/>
      <c r="KD18" s="225"/>
      <c r="KE18" s="225"/>
      <c r="KF18" s="224"/>
      <c r="KG18" s="225"/>
      <c r="KH18" s="225"/>
      <c r="KI18" s="224"/>
      <c r="KJ18" s="225"/>
      <c r="KK18" s="225"/>
    </row>
    <row r="19" spans="2:297" ht="16.5" customHeight="1">
      <c r="B19" s="337" t="s">
        <v>1380</v>
      </c>
      <c r="C19" s="337" t="s">
        <v>412</v>
      </c>
      <c r="D19" s="323" t="s">
        <v>8</v>
      </c>
      <c r="E19" s="324" t="s">
        <v>4</v>
      </c>
      <c r="F19" s="323" t="s">
        <v>10</v>
      </c>
      <c r="G19" s="324" t="s">
        <v>4</v>
      </c>
      <c r="H19" s="323" t="s">
        <v>64</v>
      </c>
      <c r="I19" s="325" t="s">
        <v>4</v>
      </c>
      <c r="J19" s="323" t="s">
        <v>11</v>
      </c>
      <c r="K19" s="324" t="s">
        <v>4</v>
      </c>
      <c r="L19" s="323" t="s">
        <v>65</v>
      </c>
      <c r="M19" s="325" t="s">
        <v>4</v>
      </c>
      <c r="N19" s="323" t="s">
        <v>12</v>
      </c>
      <c r="O19" s="324" t="s">
        <v>4</v>
      </c>
      <c r="P19" s="323">
        <v>2006</v>
      </c>
      <c r="Q19" s="324" t="s">
        <v>4</v>
      </c>
      <c r="R19" s="323" t="s">
        <v>13</v>
      </c>
      <c r="S19" s="324" t="s">
        <v>4</v>
      </c>
      <c r="T19" s="323" t="s">
        <v>14</v>
      </c>
      <c r="U19" s="324" t="s">
        <v>4</v>
      </c>
      <c r="V19" s="323" t="s">
        <v>66</v>
      </c>
      <c r="W19" s="325" t="s">
        <v>4</v>
      </c>
      <c r="X19" s="323" t="s">
        <v>95</v>
      </c>
      <c r="Y19" s="324" t="s">
        <v>4</v>
      </c>
      <c r="Z19" s="323" t="s">
        <v>67</v>
      </c>
      <c r="AA19" s="325" t="s">
        <v>4</v>
      </c>
      <c r="AB19" s="323" t="s">
        <v>96</v>
      </c>
      <c r="AC19" s="324" t="s">
        <v>4</v>
      </c>
      <c r="AD19" s="323">
        <v>2007</v>
      </c>
      <c r="AE19" s="324" t="s">
        <v>4</v>
      </c>
      <c r="AF19" s="323" t="s">
        <v>97</v>
      </c>
      <c r="AG19" s="324" t="s">
        <v>4</v>
      </c>
      <c r="AH19" s="323" t="s">
        <v>98</v>
      </c>
      <c r="AI19" s="324" t="s">
        <v>4</v>
      </c>
      <c r="AJ19" s="326" t="s">
        <v>68</v>
      </c>
      <c r="AK19" s="325" t="s">
        <v>4</v>
      </c>
      <c r="AL19" s="323" t="s">
        <v>99</v>
      </c>
      <c r="AM19" s="324" t="s">
        <v>4</v>
      </c>
      <c r="AN19" s="326" t="s">
        <v>69</v>
      </c>
      <c r="AO19" s="325" t="s">
        <v>4</v>
      </c>
      <c r="AP19" s="323" t="s">
        <v>100</v>
      </c>
      <c r="AQ19" s="324" t="s">
        <v>4</v>
      </c>
      <c r="AR19" s="323">
        <v>2008</v>
      </c>
      <c r="AS19" s="324" t="s">
        <v>4</v>
      </c>
      <c r="AT19" s="323" t="s">
        <v>101</v>
      </c>
      <c r="AU19" s="324" t="s">
        <v>4</v>
      </c>
      <c r="AV19" s="324" t="s">
        <v>9</v>
      </c>
      <c r="AW19" s="323" t="s">
        <v>102</v>
      </c>
      <c r="AX19" s="324" t="s">
        <v>4</v>
      </c>
      <c r="AY19" s="324" t="s">
        <v>9</v>
      </c>
      <c r="AZ19" s="326" t="s">
        <v>70</v>
      </c>
      <c r="BA19" s="325" t="s">
        <v>4</v>
      </c>
      <c r="BB19" s="325" t="s">
        <v>9</v>
      </c>
      <c r="BC19" s="323" t="s">
        <v>103</v>
      </c>
      <c r="BD19" s="324" t="s">
        <v>4</v>
      </c>
      <c r="BE19" s="324" t="s">
        <v>9</v>
      </c>
      <c r="BF19" s="326" t="s">
        <v>71</v>
      </c>
      <c r="BG19" s="325" t="s">
        <v>4</v>
      </c>
      <c r="BH19" s="325" t="s">
        <v>9</v>
      </c>
      <c r="BI19" s="323" t="s">
        <v>104</v>
      </c>
      <c r="BJ19" s="324" t="s">
        <v>4</v>
      </c>
      <c r="BK19" s="324" t="s">
        <v>9</v>
      </c>
      <c r="BL19" s="323">
        <v>2009</v>
      </c>
      <c r="BM19" s="324" t="s">
        <v>4</v>
      </c>
      <c r="BN19" s="324" t="s">
        <v>9</v>
      </c>
      <c r="BO19" s="323" t="s">
        <v>105</v>
      </c>
      <c r="BP19" s="324" t="s">
        <v>4</v>
      </c>
      <c r="BQ19" s="324" t="s">
        <v>9</v>
      </c>
      <c r="BR19" s="323" t="s">
        <v>106</v>
      </c>
      <c r="BS19" s="324" t="s">
        <v>4</v>
      </c>
      <c r="BT19" s="324" t="s">
        <v>9</v>
      </c>
      <c r="BU19" s="326" t="s">
        <v>72</v>
      </c>
      <c r="BV19" s="325" t="s">
        <v>4</v>
      </c>
      <c r="BW19" s="325" t="s">
        <v>9</v>
      </c>
      <c r="BX19" s="323" t="s">
        <v>107</v>
      </c>
      <c r="BY19" s="324" t="s">
        <v>4</v>
      </c>
      <c r="BZ19" s="324" t="s">
        <v>9</v>
      </c>
      <c r="CA19" s="326" t="s">
        <v>73</v>
      </c>
      <c r="CB19" s="325" t="s">
        <v>4</v>
      </c>
      <c r="CC19" s="325" t="s">
        <v>9</v>
      </c>
      <c r="CD19" s="326" t="s">
        <v>110</v>
      </c>
      <c r="CE19" s="324" t="s">
        <v>4</v>
      </c>
      <c r="CF19" s="324" t="s">
        <v>9</v>
      </c>
      <c r="CG19" s="326">
        <v>2010</v>
      </c>
      <c r="CH19" s="324" t="s">
        <v>4</v>
      </c>
      <c r="CI19" s="324" t="s">
        <v>9</v>
      </c>
      <c r="CJ19" s="326" t="s">
        <v>220</v>
      </c>
      <c r="CK19" s="324" t="s">
        <v>4</v>
      </c>
      <c r="CL19" s="324" t="s">
        <v>9</v>
      </c>
      <c r="CM19" s="326" t="s">
        <v>253</v>
      </c>
      <c r="CN19" s="324" t="s">
        <v>4</v>
      </c>
      <c r="CO19" s="324" t="s">
        <v>9</v>
      </c>
      <c r="CP19" s="326" t="s">
        <v>254</v>
      </c>
      <c r="CQ19" s="324" t="s">
        <v>4</v>
      </c>
      <c r="CR19" s="324" t="s">
        <v>9</v>
      </c>
      <c r="CS19" s="326" t="s">
        <v>283</v>
      </c>
      <c r="CT19" s="324" t="s">
        <v>4</v>
      </c>
      <c r="CU19" s="324" t="s">
        <v>9</v>
      </c>
      <c r="CV19" s="326" t="s">
        <v>284</v>
      </c>
      <c r="CW19" s="324" t="s">
        <v>4</v>
      </c>
      <c r="CX19" s="324" t="s">
        <v>9</v>
      </c>
      <c r="CY19" s="326" t="s">
        <v>286</v>
      </c>
      <c r="CZ19" s="324" t="s">
        <v>4</v>
      </c>
      <c r="DA19" s="324" t="s">
        <v>9</v>
      </c>
      <c r="DB19" s="326">
        <v>2011</v>
      </c>
      <c r="DC19" s="324" t="s">
        <v>4</v>
      </c>
      <c r="DD19" s="324" t="s">
        <v>9</v>
      </c>
      <c r="DE19" s="326" t="s">
        <v>292</v>
      </c>
      <c r="DF19" s="324" t="s">
        <v>4</v>
      </c>
      <c r="DG19" s="324" t="s">
        <v>9</v>
      </c>
      <c r="DH19" s="326" t="s">
        <v>299</v>
      </c>
      <c r="DI19" s="324" t="s">
        <v>4</v>
      </c>
      <c r="DJ19" s="324" t="s">
        <v>9</v>
      </c>
      <c r="DK19" s="326" t="s">
        <v>300</v>
      </c>
      <c r="DL19" s="324" t="s">
        <v>4</v>
      </c>
      <c r="DM19" s="324" t="s">
        <v>9</v>
      </c>
      <c r="DN19" s="326" t="s">
        <v>305</v>
      </c>
      <c r="DO19" s="324" t="s">
        <v>4</v>
      </c>
      <c r="DP19" s="324" t="s">
        <v>9</v>
      </c>
      <c r="DQ19" s="326" t="s">
        <v>306</v>
      </c>
      <c r="DR19" s="324" t="s">
        <v>4</v>
      </c>
      <c r="DS19" s="324" t="s">
        <v>9</v>
      </c>
      <c r="DT19" s="326" t="s">
        <v>308</v>
      </c>
      <c r="DU19" s="324" t="s">
        <v>4</v>
      </c>
      <c r="DV19" s="324" t="s">
        <v>9</v>
      </c>
      <c r="DW19" s="326">
        <v>2012</v>
      </c>
      <c r="DX19" s="324" t="s">
        <v>4</v>
      </c>
      <c r="DY19" s="324" t="s">
        <v>9</v>
      </c>
      <c r="DZ19" s="326" t="s">
        <v>316</v>
      </c>
      <c r="EA19" s="324" t="s">
        <v>4</v>
      </c>
      <c r="EB19" s="324" t="s">
        <v>9</v>
      </c>
      <c r="EC19" s="326" t="s">
        <v>324</v>
      </c>
      <c r="ED19" s="324" t="s">
        <v>4</v>
      </c>
      <c r="EE19" s="324" t="s">
        <v>9</v>
      </c>
      <c r="EF19" s="326" t="s">
        <v>325</v>
      </c>
      <c r="EG19" s="324" t="s">
        <v>4</v>
      </c>
      <c r="EH19" s="324" t="s">
        <v>9</v>
      </c>
      <c r="EI19" s="326" t="s">
        <v>328</v>
      </c>
      <c r="EJ19" s="324" t="s">
        <v>4</v>
      </c>
      <c r="EK19" s="324" t="s">
        <v>9</v>
      </c>
      <c r="EL19" s="326" t="s">
        <v>329</v>
      </c>
      <c r="EM19" s="324" t="s">
        <v>4</v>
      </c>
      <c r="EN19" s="324" t="s">
        <v>9</v>
      </c>
      <c r="EO19" s="326" t="s">
        <v>333</v>
      </c>
      <c r="EP19" s="324" t="s">
        <v>4</v>
      </c>
      <c r="EQ19" s="324" t="s">
        <v>9</v>
      </c>
      <c r="ER19" s="326">
        <v>2013</v>
      </c>
      <c r="ES19" s="324" t="s">
        <v>4</v>
      </c>
      <c r="ET19" s="324" t="s">
        <v>9</v>
      </c>
      <c r="EU19" s="326" t="s">
        <v>336</v>
      </c>
      <c r="EV19" s="324" t="s">
        <v>4</v>
      </c>
      <c r="EW19" s="324" t="s">
        <v>9</v>
      </c>
      <c r="EX19" s="326" t="s">
        <v>345</v>
      </c>
      <c r="EY19" s="324" t="s">
        <v>4</v>
      </c>
      <c r="EZ19" s="324" t="s">
        <v>9</v>
      </c>
      <c r="FA19" s="326" t="s">
        <v>346</v>
      </c>
      <c r="FB19" s="324" t="s">
        <v>4</v>
      </c>
      <c r="FC19" s="324" t="s">
        <v>9</v>
      </c>
      <c r="FD19" s="326" t="s">
        <v>349</v>
      </c>
      <c r="FE19" s="324" t="s">
        <v>4</v>
      </c>
      <c r="FF19" s="324" t="s">
        <v>9</v>
      </c>
      <c r="FG19" s="326" t="s">
        <v>350</v>
      </c>
      <c r="FH19" s="324" t="s">
        <v>4</v>
      </c>
      <c r="FI19" s="324" t="s">
        <v>9</v>
      </c>
      <c r="FJ19" s="326" t="s">
        <v>356</v>
      </c>
      <c r="FK19" s="324" t="s">
        <v>4</v>
      </c>
      <c r="FL19" s="324" t="s">
        <v>9</v>
      </c>
      <c r="FM19" s="326">
        <v>2014</v>
      </c>
      <c r="FN19" s="324" t="s">
        <v>4</v>
      </c>
      <c r="FO19" s="324" t="s">
        <v>9</v>
      </c>
      <c r="FP19" s="326" t="s">
        <v>361</v>
      </c>
      <c r="FQ19" s="324" t="s">
        <v>4</v>
      </c>
      <c r="FR19" s="324" t="s">
        <v>9</v>
      </c>
      <c r="FS19" s="326" t="s">
        <v>371</v>
      </c>
      <c r="FT19" s="324" t="s">
        <v>4</v>
      </c>
      <c r="FU19" s="324" t="s">
        <v>9</v>
      </c>
      <c r="FV19" s="326" t="s">
        <v>372</v>
      </c>
      <c r="FW19" s="324" t="s">
        <v>4</v>
      </c>
      <c r="FX19" s="324" t="s">
        <v>9</v>
      </c>
      <c r="FY19" s="326" t="s">
        <v>393</v>
      </c>
      <c r="FZ19" s="324" t="s">
        <v>4</v>
      </c>
      <c r="GA19" s="324" t="s">
        <v>9</v>
      </c>
      <c r="GB19" s="326" t="s">
        <v>394</v>
      </c>
      <c r="GC19" s="324" t="s">
        <v>4</v>
      </c>
      <c r="GD19" s="324" t="s">
        <v>9</v>
      </c>
      <c r="GE19" s="326" t="s">
        <v>396</v>
      </c>
      <c r="GF19" s="324" t="s">
        <v>4</v>
      </c>
      <c r="GG19" s="324" t="s">
        <v>9</v>
      </c>
      <c r="GH19" s="326">
        <v>2015</v>
      </c>
      <c r="GI19" s="324" t="s">
        <v>4</v>
      </c>
      <c r="GJ19" s="324" t="s">
        <v>9</v>
      </c>
      <c r="GK19" s="326" t="s">
        <v>455</v>
      </c>
      <c r="GL19" s="324" t="s">
        <v>4</v>
      </c>
      <c r="GM19" s="324" t="s">
        <v>9</v>
      </c>
      <c r="GN19" s="326" t="s">
        <v>819</v>
      </c>
      <c r="GO19" s="324" t="s">
        <v>4</v>
      </c>
      <c r="GP19" s="324" t="s">
        <v>9</v>
      </c>
      <c r="GQ19" s="326" t="s">
        <v>846</v>
      </c>
      <c r="GR19" s="324" t="s">
        <v>4</v>
      </c>
      <c r="GS19" s="324" t="s">
        <v>9</v>
      </c>
      <c r="GT19" s="326" t="str">
        <f>+GT$3</f>
        <v>3TQ16</v>
      </c>
      <c r="GU19" s="324" t="s">
        <v>4</v>
      </c>
      <c r="GV19" s="324" t="s">
        <v>9</v>
      </c>
      <c r="GW19" s="326" t="str">
        <f>+GW$3</f>
        <v>9M16</v>
      </c>
      <c r="GX19" s="324" t="s">
        <v>4</v>
      </c>
      <c r="GY19" s="324" t="s">
        <v>9</v>
      </c>
      <c r="GZ19" s="326" t="str">
        <f>+GZ$3</f>
        <v>4TQ16</v>
      </c>
      <c r="HA19" s="324" t="s">
        <v>4</v>
      </c>
      <c r="HB19" s="324" t="s">
        <v>9</v>
      </c>
      <c r="HC19" s="326">
        <f>+HC$3</f>
        <v>2016</v>
      </c>
      <c r="HD19" s="324" t="s">
        <v>4</v>
      </c>
      <c r="HE19" s="324" t="s">
        <v>9</v>
      </c>
      <c r="HF19" s="326" t="str">
        <f>+HF3</f>
        <v>1TQ17</v>
      </c>
      <c r="HG19" s="324" t="s">
        <v>4</v>
      </c>
      <c r="HH19" s="324" t="s">
        <v>9</v>
      </c>
      <c r="HI19" s="326" t="str">
        <f>+HI$3</f>
        <v>2TQ17</v>
      </c>
      <c r="HJ19" s="324" t="s">
        <v>4</v>
      </c>
      <c r="HK19" s="324" t="s">
        <v>9</v>
      </c>
      <c r="HL19" s="326" t="str">
        <f>+HL$3</f>
        <v>6M17</v>
      </c>
      <c r="HM19" s="324" t="s">
        <v>4</v>
      </c>
      <c r="HN19" s="324" t="s">
        <v>9</v>
      </c>
      <c r="HO19" s="326" t="str">
        <f>+HO$3</f>
        <v>3TQ17</v>
      </c>
      <c r="HP19" s="324" t="s">
        <v>4</v>
      </c>
      <c r="HQ19" s="324" t="s">
        <v>9</v>
      </c>
      <c r="HR19" s="326" t="str">
        <f>+HR$3</f>
        <v>9M17</v>
      </c>
      <c r="HS19" s="324" t="s">
        <v>4</v>
      </c>
      <c r="HT19" s="324" t="s">
        <v>9</v>
      </c>
      <c r="HU19" s="326" t="str">
        <f>+HU$3</f>
        <v>4TQ17</v>
      </c>
      <c r="HV19" s="324" t="s">
        <v>4</v>
      </c>
      <c r="HW19" s="324" t="s">
        <v>9</v>
      </c>
      <c r="HX19" s="326">
        <f>+HX$3</f>
        <v>2017</v>
      </c>
      <c r="HY19" s="324" t="s">
        <v>4</v>
      </c>
      <c r="HZ19" s="324" t="s">
        <v>9</v>
      </c>
      <c r="IA19" s="326" t="str">
        <f>+IA3</f>
        <v>1TQ18</v>
      </c>
      <c r="IB19" s="324" t="s">
        <v>4</v>
      </c>
      <c r="IC19" s="324" t="s">
        <v>9</v>
      </c>
      <c r="ID19" s="326" t="s">
        <v>1285</v>
      </c>
      <c r="IE19" s="324" t="s">
        <v>4</v>
      </c>
      <c r="IF19" s="324" t="s">
        <v>9</v>
      </c>
      <c r="IG19" s="326" t="s">
        <v>1257</v>
      </c>
      <c r="IH19" s="324" t="s">
        <v>4</v>
      </c>
      <c r="II19" s="324" t="s">
        <v>9</v>
      </c>
      <c r="IJ19" s="326" t="s">
        <v>1312</v>
      </c>
      <c r="IK19" s="324" t="s">
        <v>4</v>
      </c>
      <c r="IL19" s="324" t="s">
        <v>9</v>
      </c>
      <c r="IM19" s="326" t="s">
        <v>1315</v>
      </c>
      <c r="IN19" s="324" t="s">
        <v>4</v>
      </c>
      <c r="IO19" s="324" t="s">
        <v>9</v>
      </c>
      <c r="IP19" s="326" t="s">
        <v>1307</v>
      </c>
      <c r="IQ19" s="324" t="s">
        <v>4</v>
      </c>
      <c r="IR19" s="324" t="s">
        <v>9</v>
      </c>
      <c r="IS19" s="326">
        <v>2018</v>
      </c>
      <c r="IT19" s="324" t="s">
        <v>4</v>
      </c>
      <c r="IU19" s="324" t="s">
        <v>9</v>
      </c>
      <c r="IV19" s="326" t="s">
        <v>1358</v>
      </c>
      <c r="IW19" s="324" t="s">
        <v>4</v>
      </c>
      <c r="IX19" s="324" t="s">
        <v>9</v>
      </c>
      <c r="IY19" s="326" t="str">
        <f>IY3</f>
        <v>2TQ19</v>
      </c>
      <c r="IZ19" s="324" t="s">
        <v>4</v>
      </c>
      <c r="JA19" s="324" t="s">
        <v>9</v>
      </c>
      <c r="JB19" s="326" t="str">
        <f>JB3</f>
        <v>6M19</v>
      </c>
      <c r="JC19" s="324" t="s">
        <v>4</v>
      </c>
      <c r="JD19" s="324" t="s">
        <v>9</v>
      </c>
      <c r="JE19" s="326" t="str">
        <f>JE3</f>
        <v>3Q19</v>
      </c>
      <c r="JF19" s="324" t="s">
        <v>4</v>
      </c>
      <c r="JG19" s="324" t="s">
        <v>9</v>
      </c>
      <c r="JH19" s="326" t="str">
        <f>JH3</f>
        <v>9M19</v>
      </c>
      <c r="JI19" s="324" t="s">
        <v>4</v>
      </c>
      <c r="JJ19" s="324" t="s">
        <v>9</v>
      </c>
      <c r="JK19" s="326" t="str">
        <f>JK3</f>
        <v>4Q19</v>
      </c>
      <c r="JL19" s="324" t="s">
        <v>4</v>
      </c>
      <c r="JM19" s="324" t="s">
        <v>9</v>
      </c>
      <c r="JN19" s="326">
        <f>JN3</f>
        <v>2019</v>
      </c>
      <c r="JO19" s="324" t="s">
        <v>4</v>
      </c>
      <c r="JP19" s="324" t="s">
        <v>9</v>
      </c>
      <c r="JQ19" s="326" t="str">
        <f>JQ3</f>
        <v>1Q20</v>
      </c>
      <c r="JR19" s="324" t="s">
        <v>4</v>
      </c>
      <c r="JS19" s="324" t="s">
        <v>9</v>
      </c>
      <c r="JT19" s="326" t="str">
        <f>JT3</f>
        <v>2Q20</v>
      </c>
      <c r="JU19" s="324" t="s">
        <v>4</v>
      </c>
      <c r="JV19" s="324" t="s">
        <v>9</v>
      </c>
      <c r="JW19" s="326" t="str">
        <f>JW3</f>
        <v>6M20</v>
      </c>
      <c r="JX19" s="324" t="s">
        <v>4</v>
      </c>
      <c r="JY19" s="324" t="s">
        <v>9</v>
      </c>
      <c r="JZ19" s="326" t="str">
        <f>JZ3</f>
        <v>3Q20</v>
      </c>
      <c r="KA19" s="324" t="s">
        <v>4</v>
      </c>
      <c r="KB19" s="324" t="s">
        <v>9</v>
      </c>
      <c r="KC19" s="326" t="str">
        <f>KC3</f>
        <v>9M20</v>
      </c>
      <c r="KD19" s="324" t="s">
        <v>4</v>
      </c>
      <c r="KE19" s="324" t="s">
        <v>9</v>
      </c>
      <c r="KF19" s="326" t="str">
        <f>KF3</f>
        <v>4Q20</v>
      </c>
      <c r="KG19" s="324" t="s">
        <v>4</v>
      </c>
      <c r="KH19" s="324" t="s">
        <v>9</v>
      </c>
      <c r="KI19" s="326">
        <f>KI3</f>
        <v>2020</v>
      </c>
      <c r="KJ19" s="324" t="s">
        <v>4</v>
      </c>
      <c r="KK19" s="324" t="s">
        <v>9</v>
      </c>
    </row>
    <row r="20" spans="2:297" ht="16.5" customHeight="1">
      <c r="B20" s="222" t="s">
        <v>403</v>
      </c>
      <c r="C20" s="222" t="s">
        <v>406</v>
      </c>
      <c r="D20" s="26" t="s">
        <v>77</v>
      </c>
      <c r="E20" s="26" t="s">
        <v>77</v>
      </c>
      <c r="F20" s="26" t="s">
        <v>77</v>
      </c>
      <c r="G20" s="26" t="s">
        <v>77</v>
      </c>
      <c r="H20" s="26" t="s">
        <v>77</v>
      </c>
      <c r="I20" s="26" t="s">
        <v>77</v>
      </c>
      <c r="J20" s="230">
        <f>+'Recebíveis | Receivables'!V5</f>
        <v>399522</v>
      </c>
      <c r="K20" s="26" t="s">
        <v>77</v>
      </c>
      <c r="L20" s="230">
        <f>+J20</f>
        <v>399522</v>
      </c>
      <c r="M20" s="26" t="s">
        <v>77</v>
      </c>
      <c r="N20" s="230">
        <f>+'Recebíveis | Receivables'!Y5</f>
        <v>583393</v>
      </c>
      <c r="O20" s="26" t="s">
        <v>77</v>
      </c>
      <c r="P20" s="230">
        <f>+N20</f>
        <v>583393</v>
      </c>
      <c r="Q20" s="26" t="s">
        <v>77</v>
      </c>
      <c r="R20" s="230">
        <f>+'Recebíveis | Receivables'!AB5</f>
        <v>449344</v>
      </c>
      <c r="S20" s="26" t="s">
        <v>77</v>
      </c>
      <c r="T20" s="230">
        <f>+'Recebíveis | Receivables'!AE5</f>
        <v>481425</v>
      </c>
      <c r="U20" s="26" t="s">
        <v>77</v>
      </c>
      <c r="V20" s="230">
        <f>+T20</f>
        <v>481425</v>
      </c>
      <c r="W20" s="26" t="s">
        <v>77</v>
      </c>
      <c r="X20" s="230">
        <f>+'Recebíveis | Receivables'!AH5</f>
        <v>445172</v>
      </c>
      <c r="Y20" s="26" t="s">
        <v>77</v>
      </c>
      <c r="Z20" s="230">
        <f>+X20</f>
        <v>445172</v>
      </c>
      <c r="AA20" s="26" t="s">
        <v>77</v>
      </c>
      <c r="AB20" s="230">
        <f>+'Recebíveis | Receivables'!AK5</f>
        <v>597383</v>
      </c>
      <c r="AC20" s="26" t="s">
        <v>77</v>
      </c>
      <c r="AD20" s="230">
        <f>+AB20</f>
        <v>597383</v>
      </c>
      <c r="AE20" s="26" t="s">
        <v>77</v>
      </c>
      <c r="AF20" s="230">
        <f>+'Recebíveis | Receivables'!AN5</f>
        <v>517482.52886000002</v>
      </c>
      <c r="AG20" s="26" t="s">
        <v>77</v>
      </c>
      <c r="AH20" s="230">
        <f>+'Recebíveis | Receivables'!AQ5</f>
        <v>531749.98684999999</v>
      </c>
      <c r="AI20" s="26" t="s">
        <v>77</v>
      </c>
      <c r="AJ20" s="230">
        <f>+AH20</f>
        <v>531749.98684999999</v>
      </c>
      <c r="AK20" s="26" t="s">
        <v>77</v>
      </c>
      <c r="AL20" s="230">
        <f>+'Recebíveis | Receivables'!AT5</f>
        <v>489941.81229999999</v>
      </c>
      <c r="AM20" s="26" t="s">
        <v>77</v>
      </c>
      <c r="AN20" s="230">
        <f>+AL20</f>
        <v>489941.81229999999</v>
      </c>
      <c r="AO20" s="26" t="s">
        <v>77</v>
      </c>
      <c r="AP20" s="230">
        <f>+'Recebíveis | Receivables'!AW5</f>
        <v>592865.12911999994</v>
      </c>
      <c r="AQ20" s="26" t="s">
        <v>77</v>
      </c>
      <c r="AR20" s="230">
        <f>+AP20</f>
        <v>592865.12911999994</v>
      </c>
      <c r="AS20" s="26" t="s">
        <v>77</v>
      </c>
      <c r="AT20" s="230">
        <f>+'Recebíveis | Receivables'!AZ5</f>
        <v>478046.23134257761</v>
      </c>
      <c r="AU20" s="26" t="s">
        <v>77</v>
      </c>
      <c r="AV20" s="26">
        <f>+AT20/AF20-1</f>
        <v>-7.620797866219664E-2</v>
      </c>
      <c r="AW20" s="230">
        <f>+'Recebíveis | Receivables'!BC5</f>
        <v>515575.87944273592</v>
      </c>
      <c r="AX20" s="26" t="s">
        <v>77</v>
      </c>
      <c r="AY20" s="26">
        <f>+AW20/AH20-1</f>
        <v>-3.0416751870699255E-2</v>
      </c>
      <c r="AZ20" s="230">
        <f>+AW20</f>
        <v>515575.87944273592</v>
      </c>
      <c r="BA20" s="26" t="s">
        <v>77</v>
      </c>
      <c r="BB20" s="26">
        <f>+AZ20/AJ20-1</f>
        <v>-3.0416751870699255E-2</v>
      </c>
      <c r="BC20" s="230">
        <f>+'Recebíveis | Receivables'!BF5</f>
        <v>473457.42712529137</v>
      </c>
      <c r="BD20" s="26" t="s">
        <v>77</v>
      </c>
      <c r="BE20" s="26">
        <f>+BC20/AL20-1</f>
        <v>-3.3645597825839202E-2</v>
      </c>
      <c r="BF20" s="230">
        <f>+BC20</f>
        <v>473457.42712529137</v>
      </c>
      <c r="BG20" s="26" t="s">
        <v>77</v>
      </c>
      <c r="BH20" s="26">
        <f>+BF20/AN20-1</f>
        <v>-3.3645597825839202E-2</v>
      </c>
      <c r="BI20" s="230">
        <f>+'Recebíveis | Receivables'!BI5</f>
        <v>624915.79825270409</v>
      </c>
      <c r="BJ20" s="26" t="s">
        <v>77</v>
      </c>
      <c r="BK20" s="26">
        <f>+BI20/AP20-1</f>
        <v>5.4060641381080243E-2</v>
      </c>
      <c r="BL20" s="230">
        <f>+BI20</f>
        <v>624915.79825270409</v>
      </c>
      <c r="BM20" s="26" t="s">
        <v>77</v>
      </c>
      <c r="BN20" s="26">
        <f>+BL20/AR20-1</f>
        <v>5.4060641381080243E-2</v>
      </c>
      <c r="BO20" s="230">
        <f>+'Recebíveis | Receivables'!BL5</f>
        <v>523824.06740255188</v>
      </c>
      <c r="BP20" s="26" t="s">
        <v>77</v>
      </c>
      <c r="BQ20" s="26">
        <f>+BO20/AT20-1</f>
        <v>9.5760269736691939E-2</v>
      </c>
      <c r="BR20" s="230">
        <f>+'Recebíveis | Receivables'!BO5</f>
        <v>559352.98646449391</v>
      </c>
      <c r="BS20" s="26" t="s">
        <v>77</v>
      </c>
      <c r="BT20" s="26">
        <f>+BR20/AW20-1</f>
        <v>8.4909144836400774E-2</v>
      </c>
      <c r="BU20" s="230">
        <f>+BR20</f>
        <v>559352.98646449391</v>
      </c>
      <c r="BV20" s="26" t="s">
        <v>77</v>
      </c>
      <c r="BW20" s="26">
        <f>+BU20/AZ20-1</f>
        <v>8.4909144836400774E-2</v>
      </c>
      <c r="BX20" s="230">
        <f>+'Recebíveis | Receivables'!BR5</f>
        <v>520755.55464931502</v>
      </c>
      <c r="BY20" s="26" t="s">
        <v>77</v>
      </c>
      <c r="BZ20" s="26">
        <f>+BX20/BC20-1</f>
        <v>9.9899430897526287E-2</v>
      </c>
      <c r="CA20" s="230">
        <f>+BX20</f>
        <v>520755.55464931502</v>
      </c>
      <c r="CB20" s="26" t="s">
        <v>77</v>
      </c>
      <c r="CC20" s="26">
        <f>+CA20/BF20-1</f>
        <v>9.9899430897526287E-2</v>
      </c>
      <c r="CD20" s="230">
        <f>'Recebíveis | Receivables'!BU5</f>
        <v>690638.68228157703</v>
      </c>
      <c r="CE20" s="26" t="s">
        <v>77</v>
      </c>
      <c r="CF20" s="26">
        <f>+CD20/BI20-1</f>
        <v>0.10517078334815255</v>
      </c>
      <c r="CG20" s="230">
        <f>+CD20</f>
        <v>690638.68228157703</v>
      </c>
      <c r="CH20" s="26" t="s">
        <v>77</v>
      </c>
      <c r="CI20" s="26">
        <f>+CG20/BL20-1</f>
        <v>0.10517078334815255</v>
      </c>
      <c r="CJ20" s="230">
        <f>+'Recebíveis | Receivables'!BX5</f>
        <v>604419.47369856946</v>
      </c>
      <c r="CK20" s="26" t="s">
        <v>77</v>
      </c>
      <c r="CL20" s="26">
        <f>+CJ20/BO20-1</f>
        <v>0.15385968555370155</v>
      </c>
      <c r="CM20" s="230">
        <f>+'Recebíveis | Receivables'!CA5</f>
        <v>645719.56690856849</v>
      </c>
      <c r="CN20" s="26" t="s">
        <v>77</v>
      </c>
      <c r="CO20" s="26">
        <f>+CM20/BR20-1</f>
        <v>0.15440443250329716</v>
      </c>
      <c r="CP20" s="230">
        <f>+CM20</f>
        <v>645719.56690856849</v>
      </c>
      <c r="CQ20" s="26" t="s">
        <v>77</v>
      </c>
      <c r="CR20" s="26">
        <f>+CP20/BU20-1</f>
        <v>0.15440443250329716</v>
      </c>
      <c r="CS20" s="230">
        <f>+'Recebíveis | Receivables'!CD5</f>
        <v>587197.87783019152</v>
      </c>
      <c r="CT20" s="26" t="s">
        <v>77</v>
      </c>
      <c r="CU20" s="26">
        <f>+CS20/BX20-1</f>
        <v>0.12758831391749581</v>
      </c>
      <c r="CV20" s="230">
        <f>+CS20</f>
        <v>587197.87783019152</v>
      </c>
      <c r="CW20" s="26" t="s">
        <v>77</v>
      </c>
      <c r="CX20" s="26">
        <f>+CV20/CA20-1</f>
        <v>0.12758831391749581</v>
      </c>
      <c r="CY20" s="230">
        <f>'Recebíveis | Receivables'!CG5</f>
        <v>796367</v>
      </c>
      <c r="CZ20" s="26" t="s">
        <v>77</v>
      </c>
      <c r="DA20" s="26">
        <f>+CY20/CD20-1</f>
        <v>0.15308774389691227</v>
      </c>
      <c r="DB20" s="230">
        <f>+CY20</f>
        <v>796367</v>
      </c>
      <c r="DC20" s="26" t="s">
        <v>77</v>
      </c>
      <c r="DD20" s="26">
        <f>+DB20/CG20-1</f>
        <v>0.15308774389691227</v>
      </c>
      <c r="DE20" s="230">
        <f>'Recebíveis | Receivables'!CJ5</f>
        <v>676679</v>
      </c>
      <c r="DF20" s="26" t="s">
        <v>77</v>
      </c>
      <c r="DG20" s="26">
        <f>+DE20/CJ20-1</f>
        <v>0.11955194934282876</v>
      </c>
      <c r="DH20" s="230">
        <f>'Recebíveis | Receivables'!CM5</f>
        <v>720556</v>
      </c>
      <c r="DI20" s="26" t="s">
        <v>77</v>
      </c>
      <c r="DJ20" s="26">
        <f>+DH20/CM20-1</f>
        <v>0.11589618299739102</v>
      </c>
      <c r="DK20" s="230">
        <f>+DH20</f>
        <v>720556</v>
      </c>
      <c r="DL20" s="26" t="s">
        <v>77</v>
      </c>
      <c r="DM20" s="26">
        <f>+DK20/CP20-1</f>
        <v>0.11589618299739102</v>
      </c>
      <c r="DN20" s="230">
        <f>'Recebíveis | Receivables'!CP5</f>
        <v>698026.24</v>
      </c>
      <c r="DO20" s="26" t="s">
        <v>77</v>
      </c>
      <c r="DP20" s="26">
        <f>+DN20/CS20-1</f>
        <v>0.18874108091013619</v>
      </c>
      <c r="DQ20" s="230">
        <f>+DN20</f>
        <v>698026.24</v>
      </c>
      <c r="DR20" s="26" t="s">
        <v>77</v>
      </c>
      <c r="DS20" s="26">
        <f>+DQ20/CV20-1</f>
        <v>0.18874108091013619</v>
      </c>
      <c r="DT20" s="230">
        <f>'Recebíveis | Receivables'!CS5</f>
        <v>932580</v>
      </c>
      <c r="DU20" s="26" t="s">
        <v>77</v>
      </c>
      <c r="DV20" s="26">
        <f>+DT20/CY20-1</f>
        <v>0.17104299901929632</v>
      </c>
      <c r="DW20" s="230">
        <f>+DT20</f>
        <v>932580</v>
      </c>
      <c r="DX20" s="26" t="s">
        <v>77</v>
      </c>
      <c r="DY20" s="26">
        <f>+DW20/DB20-1</f>
        <v>0.17104299901929632</v>
      </c>
      <c r="DZ20" s="230">
        <f>'Recebíveis | Receivables'!CV5</f>
        <v>811394.95136228332</v>
      </c>
      <c r="EA20" s="26" t="s">
        <v>77</v>
      </c>
      <c r="EB20" s="26">
        <f>+DZ20/DE20-1</f>
        <v>0.1990839842263219</v>
      </c>
      <c r="EC20" s="230">
        <f>'Recebíveis | Receivables'!CY5</f>
        <v>824135.94277189346</v>
      </c>
      <c r="ED20" s="26" t="s">
        <v>77</v>
      </c>
      <c r="EE20" s="26">
        <f>+EC20/DH20-1</f>
        <v>0.14375002466413922</v>
      </c>
      <c r="EF20" s="230">
        <f>+EC20</f>
        <v>824135.94277189346</v>
      </c>
      <c r="EG20" s="26" t="s">
        <v>77</v>
      </c>
      <c r="EH20" s="26">
        <f>+EF20/DK20-1</f>
        <v>0.14375002466413922</v>
      </c>
      <c r="EI20" s="230">
        <f>'Recebíveis | Receivables'!DB5</f>
        <v>793172.31403501856</v>
      </c>
      <c r="EJ20" s="26" t="s">
        <v>77</v>
      </c>
      <c r="EK20" s="26">
        <f>+EI20/DN20-1</f>
        <v>0.13630730276704006</v>
      </c>
      <c r="EL20" s="230">
        <f>+EI20</f>
        <v>793172.31403501856</v>
      </c>
      <c r="EM20" s="26" t="s">
        <v>77</v>
      </c>
      <c r="EN20" s="26">
        <f>+EL20/DQ20-1</f>
        <v>0.13630730276704006</v>
      </c>
      <c r="EO20" s="230">
        <f>'Recebíveis | Receivables'!DE5</f>
        <v>1061780.334109338</v>
      </c>
      <c r="EP20" s="26" t="s">
        <v>77</v>
      </c>
      <c r="EQ20" s="26">
        <f>+EO20/DT20-1</f>
        <v>0.13854075158092383</v>
      </c>
      <c r="ER20" s="230">
        <f>+EO20</f>
        <v>1061780.334109338</v>
      </c>
      <c r="ES20" s="26" t="s">
        <v>77</v>
      </c>
      <c r="ET20" s="26">
        <f>+ER20/DW20-1</f>
        <v>0.13854075158092383</v>
      </c>
      <c r="EU20" s="230">
        <f>'Recebíveis | Receivables'!DH5</f>
        <v>901244.42932842183</v>
      </c>
      <c r="EV20" s="26" t="s">
        <v>77</v>
      </c>
      <c r="EW20" s="26">
        <f>+EU20/DZ20-1</f>
        <v>0.11073457853698332</v>
      </c>
      <c r="EX20" s="230">
        <f>'Recebíveis | Receivables'!DK5</f>
        <v>929240</v>
      </c>
      <c r="EY20" s="26" t="s">
        <v>77</v>
      </c>
      <c r="EZ20" s="26">
        <f>+EX20/EC20-1</f>
        <v>0.12753242732576409</v>
      </c>
      <c r="FA20" s="230">
        <f>+EX20</f>
        <v>929240</v>
      </c>
      <c r="FB20" s="26" t="s">
        <v>77</v>
      </c>
      <c r="FC20" s="26">
        <f>+FA20/EF20-1</f>
        <v>0.12753242732576409</v>
      </c>
      <c r="FD20" s="230">
        <f>'Recebíveis | Receivables'!DN5</f>
        <v>878137</v>
      </c>
      <c r="FE20" s="26" t="s">
        <v>77</v>
      </c>
      <c r="FF20" s="26">
        <f>+FD20/EI20-1</f>
        <v>0.10712008533524053</v>
      </c>
      <c r="FG20" s="230">
        <f>+FD20</f>
        <v>878137</v>
      </c>
      <c r="FH20" s="26" t="s">
        <v>77</v>
      </c>
      <c r="FI20" s="26">
        <f>+FG20/EL20-1</f>
        <v>0.10712008533524053</v>
      </c>
      <c r="FJ20" s="230">
        <f>+'Recebíveis | Receivables'!DQ5</f>
        <v>1205312</v>
      </c>
      <c r="FK20" s="26" t="s">
        <v>77</v>
      </c>
      <c r="FL20" s="26">
        <f>+FJ20/EO20-1</f>
        <v>0.13518018866968551</v>
      </c>
      <c r="FM20" s="230">
        <f>+FJ20</f>
        <v>1205312</v>
      </c>
      <c r="FN20" s="26" t="s">
        <v>77</v>
      </c>
      <c r="FO20" s="26">
        <f>+FM20/ER20-1</f>
        <v>0.13518018866968551</v>
      </c>
      <c r="FP20" s="230">
        <f>+'Recebíveis | Receivables'!DT5</f>
        <v>1019708</v>
      </c>
      <c r="FQ20" s="26" t="s">
        <v>77</v>
      </c>
      <c r="FR20" s="26">
        <f>+FP20/EU20-1</f>
        <v>0.13144444150390289</v>
      </c>
      <c r="FS20" s="230">
        <f>+'Recebíveis | Receivables'!DW5</f>
        <v>1057429.4282799999</v>
      </c>
      <c r="FT20" s="26" t="s">
        <v>77</v>
      </c>
      <c r="FU20" s="26">
        <f>+FS20/EX20-1</f>
        <v>0.13795082893547406</v>
      </c>
      <c r="FV20" s="230">
        <f>+FS20</f>
        <v>1057429.4282799999</v>
      </c>
      <c r="FW20" s="26" t="s">
        <v>77</v>
      </c>
      <c r="FX20" s="26">
        <f>+FV20/FA20-1</f>
        <v>0.13795082893547406</v>
      </c>
      <c r="FY20" s="230">
        <f>+'Recebíveis | Receivables'!DZ5</f>
        <v>990702</v>
      </c>
      <c r="FZ20" s="26" t="s">
        <v>77</v>
      </c>
      <c r="GA20" s="26">
        <f>+FY20/FD20-1</f>
        <v>0.12818614863056665</v>
      </c>
      <c r="GB20" s="230">
        <f>+FY20</f>
        <v>990702</v>
      </c>
      <c r="GC20" s="26" t="s">
        <v>77</v>
      </c>
      <c r="GD20" s="26">
        <f>+GB20/FG20-1</f>
        <v>0.12818614863056665</v>
      </c>
      <c r="GE20" s="230">
        <f>+'Recebíveis | Receivables'!EC5</f>
        <v>1270516</v>
      </c>
      <c r="GF20" s="26" t="s">
        <v>77</v>
      </c>
      <c r="GG20" s="26">
        <f>+GE20/FJ20-1</f>
        <v>5.4097196410555881E-2</v>
      </c>
      <c r="GH20" s="230">
        <f>+GE20</f>
        <v>1270516</v>
      </c>
      <c r="GI20" s="26" t="s">
        <v>77</v>
      </c>
      <c r="GJ20" s="26">
        <f>+GH20/FM20-1</f>
        <v>5.4097196410555881E-2</v>
      </c>
      <c r="GK20" s="230">
        <f>+'Recebíveis | Receivables'!EF5</f>
        <v>1017126</v>
      </c>
      <c r="GL20" s="26" t="s">
        <v>77</v>
      </c>
      <c r="GM20" s="26">
        <f>+GK20/FP20-1</f>
        <v>-2.5320974239684269E-3</v>
      </c>
      <c r="GN20" s="230">
        <f>+'Recebíveis | Receivables'!EI5</f>
        <v>1062332</v>
      </c>
      <c r="GO20" s="26" t="s">
        <v>77</v>
      </c>
      <c r="GP20" s="26">
        <f>+GN20/FS20-1</f>
        <v>4.6363110283156317E-3</v>
      </c>
      <c r="GQ20" s="230">
        <f>+GN20</f>
        <v>1062332</v>
      </c>
      <c r="GR20" s="26" t="s">
        <v>77</v>
      </c>
      <c r="GS20" s="26">
        <f>+GQ20/FV20-1</f>
        <v>4.6363110283156317E-3</v>
      </c>
      <c r="GT20" s="230">
        <f>+'Recebíveis | Receivables'!EL5</f>
        <v>961453</v>
      </c>
      <c r="GU20" s="26" t="s">
        <v>77</v>
      </c>
      <c r="GV20" s="26">
        <f>+GT20/FY20-1</f>
        <v>-2.9523509592188191E-2</v>
      </c>
      <c r="GW20" s="230">
        <f>+GT20</f>
        <v>961453</v>
      </c>
      <c r="GX20" s="26" t="s">
        <v>77</v>
      </c>
      <c r="GY20" s="26">
        <f>+GW20/GB20-1</f>
        <v>-2.9523509592188191E-2</v>
      </c>
      <c r="GZ20" s="230">
        <f>+'Recebíveis | Receivables'!EO5</f>
        <v>1256764</v>
      </c>
      <c r="HA20" s="26" t="s">
        <v>77</v>
      </c>
      <c r="HB20" s="26">
        <f>+GZ20/GE20-1</f>
        <v>-1.082394869486103E-2</v>
      </c>
      <c r="HC20" s="230">
        <f>+GZ20</f>
        <v>1256764</v>
      </c>
      <c r="HD20" s="26" t="s">
        <v>77</v>
      </c>
      <c r="HE20" s="26">
        <f>+HC20/GH20-1</f>
        <v>-1.082394869486103E-2</v>
      </c>
      <c r="HF20" s="230">
        <f>+'Recebíveis | Receivables'!ER5</f>
        <v>1033443</v>
      </c>
      <c r="HG20" s="26" t="s">
        <v>77</v>
      </c>
      <c r="HH20" s="26">
        <f>+HF20/GK20-1</f>
        <v>1.6042260250942464E-2</v>
      </c>
      <c r="HI20" s="230">
        <v>993370</v>
      </c>
      <c r="HJ20" s="26" t="s">
        <v>77</v>
      </c>
      <c r="HK20" s="26">
        <f>+HI20/GN20-1</f>
        <v>-6.4915676078664664E-2</v>
      </c>
      <c r="HL20" s="230">
        <f>+HI20</f>
        <v>993370</v>
      </c>
      <c r="HM20" s="26" t="s">
        <v>77</v>
      </c>
      <c r="HN20" s="26">
        <f>+HL20/GQ20-1</f>
        <v>-6.4915676078664664E-2</v>
      </c>
      <c r="HO20" s="230">
        <v>908858</v>
      </c>
      <c r="HP20" s="26" t="s">
        <v>77</v>
      </c>
      <c r="HQ20" s="26">
        <f>+HO20/GT20-1</f>
        <v>-5.4703662061484026E-2</v>
      </c>
      <c r="HR20" s="230">
        <f>+HO20</f>
        <v>908858</v>
      </c>
      <c r="HS20" s="26" t="s">
        <v>77</v>
      </c>
      <c r="HT20" s="26">
        <f>+HR20/GW20-1</f>
        <v>-5.4703662061484026E-2</v>
      </c>
      <c r="HU20" s="230">
        <v>1181238.3244600003</v>
      </c>
      <c r="HV20" s="26" t="s">
        <v>77</v>
      </c>
      <c r="HW20" s="26">
        <f>+HU20/GZ20-1</f>
        <v>-6.009535246076414E-2</v>
      </c>
      <c r="HX20" s="230">
        <f>+HU20</f>
        <v>1181238.3244600003</v>
      </c>
      <c r="HY20" s="26" t="s">
        <v>77</v>
      </c>
      <c r="HZ20" s="26">
        <f>+HX20/HC20-1</f>
        <v>-6.009535246076414E-2</v>
      </c>
      <c r="IA20" s="230">
        <v>992416</v>
      </c>
      <c r="IB20" s="26" t="s">
        <v>77</v>
      </c>
      <c r="IC20" s="26">
        <f>+IA20/HF20-1</f>
        <v>-3.9699335135077618E-2</v>
      </c>
      <c r="ID20" s="230">
        <v>1015939.6218399997</v>
      </c>
      <c r="IE20" s="26" t="s">
        <v>77</v>
      </c>
      <c r="IF20" s="26">
        <f>+ID20/HI20-1</f>
        <v>2.2720257144870137E-2</v>
      </c>
      <c r="IG20" s="230">
        <v>1015939.8976999999</v>
      </c>
      <c r="IH20" s="26" t="s">
        <v>77</v>
      </c>
      <c r="II20" s="26">
        <f>+IG20/HL20-1</f>
        <v>2.2720534846029095E-2</v>
      </c>
      <c r="IJ20" s="230">
        <v>959158.39018007892</v>
      </c>
      <c r="IK20" s="26" t="s">
        <v>77</v>
      </c>
      <c r="IL20" s="26">
        <f>+IJ20/HO20-1</f>
        <v>5.5344608486781022E-2</v>
      </c>
      <c r="IM20" s="230">
        <v>959158</v>
      </c>
      <c r="IN20" s="26" t="s">
        <v>77</v>
      </c>
      <c r="IO20" s="26">
        <f>+IM20/HR20-1</f>
        <v>5.5344179178705488E-2</v>
      </c>
      <c r="IP20" s="230">
        <v>1282799.8699221814</v>
      </c>
      <c r="IQ20" s="26" t="s">
        <v>77</v>
      </c>
      <c r="IR20" s="26">
        <f>+IP20/HU20-1</f>
        <v>8.5978877724450342E-2</v>
      </c>
      <c r="IS20" s="230">
        <v>1282800</v>
      </c>
      <c r="IT20" s="26" t="s">
        <v>77</v>
      </c>
      <c r="IU20" s="26">
        <f>+IS20/HX20-1</f>
        <v>8.5978987844327115E-2</v>
      </c>
      <c r="IV20" s="230">
        <f>1088463.30373579+53099.67778</f>
        <v>1141562.9815157901</v>
      </c>
      <c r="IW20" s="26" t="s">
        <v>77</v>
      </c>
      <c r="IX20" s="26">
        <f>+IV20/IA20-1</f>
        <v>0.15028675627538268</v>
      </c>
      <c r="IY20" s="230">
        <f>'Recebíveis | Receivables'!FS5+'Recebíveis | Receivables'!FS31</f>
        <v>1114624.7426091963</v>
      </c>
      <c r="IZ20" s="26" t="s">
        <v>77</v>
      </c>
      <c r="JA20" s="26">
        <f>+IY20/ID20-1</f>
        <v>9.7136796958922522E-2</v>
      </c>
      <c r="JB20" s="230">
        <f>IY20</f>
        <v>1114624.7426091963</v>
      </c>
      <c r="JC20" s="26" t="s">
        <v>77</v>
      </c>
      <c r="JD20" s="26">
        <f>+JB20/IG20-1</f>
        <v>9.7136499051381442E-2</v>
      </c>
      <c r="JE20" s="230">
        <f>1005905.2599+53700.82237</f>
        <v>1059606.0822699999</v>
      </c>
      <c r="JF20" s="26" t="s">
        <v>77</v>
      </c>
      <c r="JG20" s="26">
        <f>+JE20/IJ20-1</f>
        <v>0.10472482242590009</v>
      </c>
      <c r="JH20" s="230">
        <f>JE20</f>
        <v>1059606.0822699999</v>
      </c>
      <c r="JI20" s="26" t="s">
        <v>77</v>
      </c>
      <c r="JJ20" s="26">
        <f>+JH20/IM20-1</f>
        <v>0.10472527182174352</v>
      </c>
      <c r="JK20" s="230">
        <f>1317372.65459+55849.1599</f>
        <v>1373221.81449</v>
      </c>
      <c r="JL20" s="26" t="s">
        <v>77</v>
      </c>
      <c r="JM20" s="26">
        <f>+JK20/IP20-1</f>
        <v>7.048795894663118E-2</v>
      </c>
      <c r="JN20" s="230">
        <f>JK20</f>
        <v>1373221.81449</v>
      </c>
      <c r="JO20" s="26" t="s">
        <v>77</v>
      </c>
      <c r="JP20" s="26">
        <f>+JN20/IS20-1</f>
        <v>7.0487850397567886E-2</v>
      </c>
      <c r="JQ20" s="230">
        <v>1155494.3943999996</v>
      </c>
      <c r="JR20" s="26" t="s">
        <v>77</v>
      </c>
      <c r="JS20" s="26">
        <f>+JQ20/IV20-1</f>
        <v>1.2203805755606423E-2</v>
      </c>
      <c r="JT20" s="230">
        <v>783567</v>
      </c>
      <c r="JU20" s="26" t="s">
        <v>77</v>
      </c>
      <c r="JV20" s="26">
        <f>+JT20/IY20-1</f>
        <v>-0.29701273437931386</v>
      </c>
      <c r="JW20" s="230">
        <f>JT20</f>
        <v>783567</v>
      </c>
      <c r="JX20" s="26" t="s">
        <v>77</v>
      </c>
      <c r="JY20" s="26">
        <f>+JW20/JB20-1</f>
        <v>-0.29701273437931386</v>
      </c>
      <c r="JZ20" s="230">
        <v>851141.00000000012</v>
      </c>
      <c r="KA20" s="26" t="s">
        <v>77</v>
      </c>
      <c r="KB20" s="26">
        <f>+JZ20/JE20-1</f>
        <v>-0.19673828393227411</v>
      </c>
      <c r="KC20" s="230">
        <f>JZ20</f>
        <v>851141.00000000012</v>
      </c>
      <c r="KD20" s="26" t="s">
        <v>77</v>
      </c>
      <c r="KE20" s="26">
        <f>+KC20/JH20-1</f>
        <v>-0.19673828393227411</v>
      </c>
      <c r="KF20" s="230">
        <v>1167655</v>
      </c>
      <c r="KG20" s="26" t="s">
        <v>77</v>
      </c>
      <c r="KH20" s="26">
        <f>+KF20/JK20-1</f>
        <v>-0.14969672948746837</v>
      </c>
      <c r="KI20" s="230">
        <f>KF20</f>
        <v>1167655</v>
      </c>
      <c r="KJ20" s="26" t="s">
        <v>77</v>
      </c>
      <c r="KK20" s="26">
        <f>+KI20/JN20-1</f>
        <v>-0.14969672948746837</v>
      </c>
    </row>
    <row r="21" spans="2:297" ht="16.5" customHeight="1">
      <c r="B21" s="222" t="s">
        <v>404</v>
      </c>
      <c r="C21" s="222" t="s">
        <v>405</v>
      </c>
      <c r="D21" s="26" t="s">
        <v>77</v>
      </c>
      <c r="E21" s="26" t="s">
        <v>77</v>
      </c>
      <c r="F21" s="26" t="s">
        <v>77</v>
      </c>
      <c r="G21" s="26" t="s">
        <v>77</v>
      </c>
      <c r="H21" s="26" t="s">
        <v>77</v>
      </c>
      <c r="I21" s="26" t="s">
        <v>77</v>
      </c>
      <c r="J21" s="230" t="s">
        <v>77</v>
      </c>
      <c r="K21" s="26" t="s">
        <v>77</v>
      </c>
      <c r="L21" s="230" t="str">
        <f>+J21</f>
        <v>na</v>
      </c>
      <c r="M21" s="26" t="s">
        <v>77</v>
      </c>
      <c r="N21" s="230" t="s">
        <v>77</v>
      </c>
      <c r="O21" s="26" t="s">
        <v>77</v>
      </c>
      <c r="P21" s="230" t="str">
        <f>+N21</f>
        <v>na</v>
      </c>
      <c r="Q21" s="26" t="s">
        <v>77</v>
      </c>
      <c r="R21" s="230" t="s">
        <v>77</v>
      </c>
      <c r="S21" s="26" t="s">
        <v>77</v>
      </c>
      <c r="T21" s="230" t="s">
        <v>77</v>
      </c>
      <c r="U21" s="26" t="s">
        <v>77</v>
      </c>
      <c r="V21" s="230" t="str">
        <f>+T21</f>
        <v>na</v>
      </c>
      <c r="W21" s="26" t="s">
        <v>77</v>
      </c>
      <c r="X21" s="230" t="s">
        <v>77</v>
      </c>
      <c r="Y21" s="26" t="s">
        <v>77</v>
      </c>
      <c r="Z21" s="230" t="str">
        <f>+X21</f>
        <v>na</v>
      </c>
      <c r="AA21" s="26" t="s">
        <v>77</v>
      </c>
      <c r="AB21" s="230" t="str">
        <f>+Z21</f>
        <v>na</v>
      </c>
      <c r="AC21" s="26" t="s">
        <v>77</v>
      </c>
      <c r="AD21" s="230" t="str">
        <f>+AB21</f>
        <v>na</v>
      </c>
      <c r="AE21" s="26" t="s">
        <v>77</v>
      </c>
      <c r="AF21" s="230" t="s">
        <v>77</v>
      </c>
      <c r="AG21" s="26" t="s">
        <v>77</v>
      </c>
      <c r="AH21" s="230" t="s">
        <v>77</v>
      </c>
      <c r="AI21" s="26" t="s">
        <v>77</v>
      </c>
      <c r="AJ21" s="230" t="str">
        <f>+AH21</f>
        <v>na</v>
      </c>
      <c r="AK21" s="26" t="s">
        <v>77</v>
      </c>
      <c r="AL21" s="230" t="s">
        <v>77</v>
      </c>
      <c r="AM21" s="26" t="s">
        <v>77</v>
      </c>
      <c r="AN21" s="230" t="str">
        <f>+AL21</f>
        <v>na</v>
      </c>
      <c r="AO21" s="26" t="s">
        <v>77</v>
      </c>
      <c r="AP21" s="230" t="s">
        <v>77</v>
      </c>
      <c r="AQ21" s="26" t="s">
        <v>77</v>
      </c>
      <c r="AR21" s="230" t="str">
        <f>+AP21</f>
        <v>na</v>
      </c>
      <c r="AS21" s="26" t="s">
        <v>77</v>
      </c>
      <c r="AT21" s="230" t="s">
        <v>77</v>
      </c>
      <c r="AU21" s="26" t="s">
        <v>77</v>
      </c>
      <c r="AV21" s="227" t="s">
        <v>77</v>
      </c>
      <c r="AW21" s="230" t="s">
        <v>77</v>
      </c>
      <c r="AX21" s="26" t="s">
        <v>77</v>
      </c>
      <c r="AY21" s="26" t="s">
        <v>77</v>
      </c>
      <c r="AZ21" s="230" t="str">
        <f>+AW21</f>
        <v>na</v>
      </c>
      <c r="BA21" s="26" t="s">
        <v>77</v>
      </c>
      <c r="BB21" s="26" t="s">
        <v>77</v>
      </c>
      <c r="BC21" s="230" t="s">
        <v>77</v>
      </c>
      <c r="BD21" s="26" t="s">
        <v>77</v>
      </c>
      <c r="BE21" s="26" t="s">
        <v>77</v>
      </c>
      <c r="BF21" s="230" t="str">
        <f>+BC21</f>
        <v>na</v>
      </c>
      <c r="BG21" s="26" t="s">
        <v>77</v>
      </c>
      <c r="BH21" s="26" t="s">
        <v>77</v>
      </c>
      <c r="BI21" s="230" t="s">
        <v>77</v>
      </c>
      <c r="BJ21" s="26" t="s">
        <v>77</v>
      </c>
      <c r="BK21" s="227" t="s">
        <v>77</v>
      </c>
      <c r="BL21" s="230" t="str">
        <f>+BI21</f>
        <v>na</v>
      </c>
      <c r="BM21" s="26" t="s">
        <v>77</v>
      </c>
      <c r="BN21" s="26" t="s">
        <v>77</v>
      </c>
      <c r="BO21" s="230">
        <v>8.2645399999999984</v>
      </c>
      <c r="BP21" s="26" t="s">
        <v>77</v>
      </c>
      <c r="BQ21" s="26" t="s">
        <v>77</v>
      </c>
      <c r="BR21" s="230">
        <v>39.991490000000027</v>
      </c>
      <c r="BS21" s="26" t="s">
        <v>77</v>
      </c>
      <c r="BT21" s="26" t="s">
        <v>77</v>
      </c>
      <c r="BU21" s="230">
        <f>+BR21</f>
        <v>39.991490000000027</v>
      </c>
      <c r="BV21" s="26" t="s">
        <v>77</v>
      </c>
      <c r="BW21" s="26" t="s">
        <v>77</v>
      </c>
      <c r="BX21" s="230">
        <v>203.30846000000011</v>
      </c>
      <c r="BY21" s="26" t="s">
        <v>77</v>
      </c>
      <c r="BZ21" s="26" t="s">
        <v>77</v>
      </c>
      <c r="CA21" s="230">
        <f>+BX21</f>
        <v>203.30846000000011</v>
      </c>
      <c r="CB21" s="26" t="s">
        <v>77</v>
      </c>
      <c r="CC21" s="26" t="s">
        <v>77</v>
      </c>
      <c r="CD21" s="230">
        <v>1665.6486299999897</v>
      </c>
      <c r="CE21" s="26" t="s">
        <v>77</v>
      </c>
      <c r="CF21" s="26" t="s">
        <v>77</v>
      </c>
      <c r="CG21" s="230">
        <f>+CD21</f>
        <v>1665.6486299999897</v>
      </c>
      <c r="CH21" s="26" t="s">
        <v>77</v>
      </c>
      <c r="CI21" s="26" t="s">
        <v>77</v>
      </c>
      <c r="CJ21" s="230">
        <v>5326.6398700000245</v>
      </c>
      <c r="CK21" s="26" t="s">
        <v>77</v>
      </c>
      <c r="CL21" s="26">
        <f>+CJ21/BO21-1</f>
        <v>643.51740447744533</v>
      </c>
      <c r="CM21" s="230">
        <v>14245.27797000011</v>
      </c>
      <c r="CN21" s="26" t="s">
        <v>77</v>
      </c>
      <c r="CO21" s="26">
        <f>+CM21/BR21-1</f>
        <v>355.20773244508018</v>
      </c>
      <c r="CP21" s="230">
        <f>+CM21</f>
        <v>14245.27797000011</v>
      </c>
      <c r="CQ21" s="26" t="s">
        <v>77</v>
      </c>
      <c r="CR21" s="26">
        <f>+CP21/BU21-1</f>
        <v>355.20773244508018</v>
      </c>
      <c r="CS21" s="230">
        <v>19597.621390000058</v>
      </c>
      <c r="CT21" s="26" t="s">
        <v>77</v>
      </c>
      <c r="CU21" s="26">
        <f>+CS21/BX21-1</f>
        <v>95.393536156833065</v>
      </c>
      <c r="CV21" s="230">
        <f>+CS21</f>
        <v>19597.621390000058</v>
      </c>
      <c r="CW21" s="26" t="s">
        <v>77</v>
      </c>
      <c r="CX21" s="26">
        <f>+CV21/CA21-1</f>
        <v>95.393536156833065</v>
      </c>
      <c r="CY21" s="230">
        <f>'Recebíveis | Receivables'!CG20</f>
        <v>28636</v>
      </c>
      <c r="CZ21" s="26" t="s">
        <v>77</v>
      </c>
      <c r="DA21" s="26">
        <f>+CY21/CD21-1</f>
        <v>16.192101313708747</v>
      </c>
      <c r="DB21" s="230">
        <f>+CY21</f>
        <v>28636</v>
      </c>
      <c r="DC21" s="26" t="s">
        <v>77</v>
      </c>
      <c r="DD21" s="26">
        <f>+DB21/CG21-1</f>
        <v>16.192101313708747</v>
      </c>
      <c r="DE21" s="230">
        <f>'Recebíveis | Receivables'!CJ20</f>
        <v>37007</v>
      </c>
      <c r="DF21" s="26" t="s">
        <v>77</v>
      </c>
      <c r="DG21" s="26">
        <f>+DE21/CJ21-1</f>
        <v>5.9475318217823929</v>
      </c>
      <c r="DH21" s="230">
        <f>'Recebíveis | Receivables'!CM20</f>
        <v>62594</v>
      </c>
      <c r="DI21" s="26" t="s">
        <v>77</v>
      </c>
      <c r="DJ21" s="26">
        <f>+DH21/CM21-1</f>
        <v>3.3940174513842436</v>
      </c>
      <c r="DK21" s="230">
        <f>+DH21</f>
        <v>62594</v>
      </c>
      <c r="DL21" s="26" t="s">
        <v>77</v>
      </c>
      <c r="DM21" s="26">
        <f>+DK21/CP21-1</f>
        <v>3.3940174513842436</v>
      </c>
      <c r="DN21" s="230">
        <f>'Recebíveis | Receivables'!CP20</f>
        <v>80413</v>
      </c>
      <c r="DO21" s="26" t="s">
        <v>77</v>
      </c>
      <c r="DP21" s="26">
        <f>+DN21/CS21-1</f>
        <v>3.1032020366018385</v>
      </c>
      <c r="DQ21" s="230">
        <f>+DN21</f>
        <v>80413</v>
      </c>
      <c r="DR21" s="26" t="s">
        <v>77</v>
      </c>
      <c r="DS21" s="26">
        <f>+DQ21/CV21-1</f>
        <v>3.1032020366018385</v>
      </c>
      <c r="DT21" s="230">
        <f>'Recebíveis | Receivables'!CS20</f>
        <v>90713</v>
      </c>
      <c r="DU21" s="26" t="s">
        <v>77</v>
      </c>
      <c r="DV21" s="26">
        <f>+DT21/CY21-1</f>
        <v>2.1677957815337336</v>
      </c>
      <c r="DW21" s="230">
        <f>+DT21</f>
        <v>90713</v>
      </c>
      <c r="DX21" s="26" t="s">
        <v>77</v>
      </c>
      <c r="DY21" s="26">
        <f>+DW21/DB21-1</f>
        <v>2.1677957815337336</v>
      </c>
      <c r="DZ21" s="230">
        <f>'Recebíveis | Receivables'!CV20</f>
        <v>84155</v>
      </c>
      <c r="EA21" s="26" t="s">
        <v>77</v>
      </c>
      <c r="EB21" s="26">
        <f>+DZ21/DE21-1</f>
        <v>1.2740292377117841</v>
      </c>
      <c r="EC21" s="230">
        <f>'Recebíveis | Receivables'!CY20</f>
        <v>93839</v>
      </c>
      <c r="ED21" s="26" t="s">
        <v>77</v>
      </c>
      <c r="EE21" s="26">
        <f>+EC21/DH21-1</f>
        <v>0.4991692494488289</v>
      </c>
      <c r="EF21" s="230">
        <f>+EC21</f>
        <v>93839</v>
      </c>
      <c r="EG21" s="26" t="s">
        <v>77</v>
      </c>
      <c r="EH21" s="26">
        <f>+EF21/DK21-1</f>
        <v>0.4991692494488289</v>
      </c>
      <c r="EI21" s="230">
        <f>'Recebíveis | Receivables'!DB20</f>
        <v>128667</v>
      </c>
      <c r="EJ21" s="26" t="s">
        <v>77</v>
      </c>
      <c r="EK21" s="26">
        <f>+EI21/DN21-1</f>
        <v>0.60007710196112574</v>
      </c>
      <c r="EL21" s="230">
        <f>+EI21</f>
        <v>128667</v>
      </c>
      <c r="EM21" s="26" t="s">
        <v>77</v>
      </c>
      <c r="EN21" s="26">
        <f>+EL21/DQ21-1</f>
        <v>0.60007710196112574</v>
      </c>
      <c r="EO21" s="230">
        <f>'Recebíveis | Receivables'!DE20</f>
        <v>175307</v>
      </c>
      <c r="EP21" s="26" t="s">
        <v>77</v>
      </c>
      <c r="EQ21" s="26">
        <f>+EO21/DT21-1</f>
        <v>0.93254550064489106</v>
      </c>
      <c r="ER21" s="230">
        <f>+EO21</f>
        <v>175307</v>
      </c>
      <c r="ES21" s="26" t="s">
        <v>77</v>
      </c>
      <c r="ET21" s="26">
        <f>+ER21/DW21-1</f>
        <v>0.93254550064489106</v>
      </c>
      <c r="EU21" s="230">
        <f>'Recebíveis | Receivables'!DH20</f>
        <v>207942</v>
      </c>
      <c r="EV21" s="26" t="s">
        <v>77</v>
      </c>
      <c r="EW21" s="26">
        <f>+EU21/DZ21-1</f>
        <v>1.4709405264096014</v>
      </c>
      <c r="EX21" s="230">
        <f>'Recebíveis | Receivables'!DK20</f>
        <v>247693</v>
      </c>
      <c r="EY21" s="26" t="s">
        <v>77</v>
      </c>
      <c r="EZ21" s="26">
        <f>+EX21/EC21-1</f>
        <v>1.6395528511599653</v>
      </c>
      <c r="FA21" s="230">
        <f>+EX21</f>
        <v>247693</v>
      </c>
      <c r="FB21" s="26" t="s">
        <v>77</v>
      </c>
      <c r="FC21" s="26">
        <f>+FA21/EF21-1</f>
        <v>1.6395528511599653</v>
      </c>
      <c r="FD21" s="230">
        <f>+'Recebíveis | Receivables'!DN20</f>
        <v>284950</v>
      </c>
      <c r="FE21" s="26" t="s">
        <v>77</v>
      </c>
      <c r="FF21" s="26">
        <f>+FD21/EI21-1</f>
        <v>1.214631568311999</v>
      </c>
      <c r="FG21" s="230">
        <f>+FD21</f>
        <v>284950</v>
      </c>
      <c r="FH21" s="26" t="s">
        <v>77</v>
      </c>
      <c r="FI21" s="26">
        <f>+FG21/EL21-1</f>
        <v>1.214631568311999</v>
      </c>
      <c r="FJ21" s="230">
        <f>+'Recebíveis | Receivables'!DQ20</f>
        <v>338005</v>
      </c>
      <c r="FK21" s="26" t="s">
        <v>77</v>
      </c>
      <c r="FL21" s="26">
        <f>+FJ21/EO21-1</f>
        <v>0.92807474886912678</v>
      </c>
      <c r="FM21" s="230">
        <f>+FJ21</f>
        <v>338005</v>
      </c>
      <c r="FN21" s="26" t="s">
        <v>77</v>
      </c>
      <c r="FO21" s="26">
        <f>+FM21/ER21-1</f>
        <v>0.92807474886912678</v>
      </c>
      <c r="FP21" s="230">
        <f>+'Recebíveis | Receivables'!DT20</f>
        <v>348194</v>
      </c>
      <c r="FQ21" s="26" t="s">
        <v>77</v>
      </c>
      <c r="FR21" s="26">
        <f>+FP21/EU21-1</f>
        <v>0.67447653672658725</v>
      </c>
      <c r="FS21" s="230">
        <f>+'Recebíveis | Receivables'!DW20</f>
        <v>389603.33</v>
      </c>
      <c r="FT21" s="26" t="s">
        <v>77</v>
      </c>
      <c r="FU21" s="26">
        <f>+FS21/EX21-1</f>
        <v>0.57292830237431014</v>
      </c>
      <c r="FV21" s="230">
        <f>+FS21</f>
        <v>389603.33</v>
      </c>
      <c r="FW21" s="26" t="s">
        <v>77</v>
      </c>
      <c r="FX21" s="26">
        <f>+FV21/FA21-1</f>
        <v>0.57292830237431014</v>
      </c>
      <c r="FY21" s="230">
        <f>+'Recebíveis | Receivables'!DZ20</f>
        <v>408275</v>
      </c>
      <c r="FZ21" s="26" t="s">
        <v>77</v>
      </c>
      <c r="GA21" s="26">
        <f>+FY21/FD21-1</f>
        <v>0.43279522723284791</v>
      </c>
      <c r="GB21" s="230">
        <f>+FY21</f>
        <v>408275</v>
      </c>
      <c r="GC21" s="26" t="s">
        <v>77</v>
      </c>
      <c r="GD21" s="26">
        <f>+GB21/FG21-1</f>
        <v>0.43279522723284791</v>
      </c>
      <c r="GE21" s="230">
        <f>+'Recebíveis | Receivables'!EC20</f>
        <v>455225</v>
      </c>
      <c r="GF21" s="26" t="s">
        <v>77</v>
      </c>
      <c r="GG21" s="26">
        <f>+GE21/FJ21-1</f>
        <v>0.34679960355616046</v>
      </c>
      <c r="GH21" s="230">
        <f>+GE21</f>
        <v>455225</v>
      </c>
      <c r="GI21" s="26" t="s">
        <v>77</v>
      </c>
      <c r="GJ21" s="26">
        <f>+GH21/FM21-1</f>
        <v>0.34679960355616046</v>
      </c>
      <c r="GK21" s="230">
        <f>+'Recebíveis | Receivables'!EF20</f>
        <v>447493</v>
      </c>
      <c r="GL21" s="26" t="s">
        <v>77</v>
      </c>
      <c r="GM21" s="26">
        <f>+GK21/FP21-1</f>
        <v>0.28518297271061543</v>
      </c>
      <c r="GN21" s="230">
        <f>+'Recebíveis | Receivables'!EI20</f>
        <v>478719</v>
      </c>
      <c r="GO21" s="26" t="s">
        <v>77</v>
      </c>
      <c r="GP21" s="26">
        <f>+GN21/FS21-1</f>
        <v>0.22873436425710225</v>
      </c>
      <c r="GQ21" s="230">
        <f>+GN21</f>
        <v>478719</v>
      </c>
      <c r="GR21" s="26" t="s">
        <v>77</v>
      </c>
      <c r="GS21" s="26">
        <f>+GQ21/FV21-1</f>
        <v>0.22873436425710225</v>
      </c>
      <c r="GT21" s="230">
        <f>+'Recebíveis | Receivables'!EL20</f>
        <v>492084</v>
      </c>
      <c r="GU21" s="26" t="s">
        <v>77</v>
      </c>
      <c r="GV21" s="26">
        <f>+GT21/FY21-1</f>
        <v>0.2052758557344927</v>
      </c>
      <c r="GW21" s="230">
        <f>+GT21</f>
        <v>492084</v>
      </c>
      <c r="GX21" s="26" t="s">
        <v>77</v>
      </c>
      <c r="GY21" s="26">
        <f>+GW21/GB21-1</f>
        <v>0.2052758557344927</v>
      </c>
      <c r="GZ21" s="230">
        <f>+'Recebíveis | Receivables'!EO20</f>
        <v>529464</v>
      </c>
      <c r="HA21" s="26" t="s">
        <v>77</v>
      </c>
      <c r="HB21" s="26">
        <f>+GZ21/GE21-1</f>
        <v>0.16308199242133004</v>
      </c>
      <c r="HC21" s="230">
        <f>+GZ21</f>
        <v>529464</v>
      </c>
      <c r="HD21" s="26" t="s">
        <v>77</v>
      </c>
      <c r="HE21" s="26">
        <f>+HC21/GH21-1</f>
        <v>0.16308199242133004</v>
      </c>
      <c r="HF21" s="230">
        <f>+'Recebíveis | Receivables'!ER20</f>
        <v>571869</v>
      </c>
      <c r="HG21" s="26" t="s">
        <v>77</v>
      </c>
      <c r="HH21" s="26">
        <f>+HF21/GK21-1</f>
        <v>0.2779395431883851</v>
      </c>
      <c r="HI21" s="230">
        <v>827343</v>
      </c>
      <c r="HJ21" s="26" t="s">
        <v>77</v>
      </c>
      <c r="HK21" s="26">
        <f>+HI21/GN21-1</f>
        <v>0.72824349984019854</v>
      </c>
      <c r="HL21" s="230">
        <f>+HI21</f>
        <v>827343</v>
      </c>
      <c r="HM21" s="26" t="s">
        <v>77</v>
      </c>
      <c r="HN21" s="26">
        <f>+HL21/GQ21-1</f>
        <v>0.72824349984019854</v>
      </c>
      <c r="HO21" s="230">
        <v>882624.43070999999</v>
      </c>
      <c r="HP21" s="26" t="s">
        <v>77</v>
      </c>
      <c r="HQ21" s="26">
        <f>+HO21/GT21-1</f>
        <v>0.7936458627185603</v>
      </c>
      <c r="HR21" s="230">
        <f>+HO21</f>
        <v>882624.43070999999</v>
      </c>
      <c r="HS21" s="26" t="s">
        <v>77</v>
      </c>
      <c r="HT21" s="26">
        <f>+HR21/GW21-1</f>
        <v>0.7936458627185603</v>
      </c>
      <c r="HU21" s="230">
        <v>1063352.9999999998</v>
      </c>
      <c r="HV21" s="26" t="s">
        <v>77</v>
      </c>
      <c r="HW21" s="26">
        <f>+HU21/GZ21-1</f>
        <v>1.0083575087258052</v>
      </c>
      <c r="HX21" s="230">
        <f>+HU21</f>
        <v>1063352.9999999998</v>
      </c>
      <c r="HY21" s="26" t="s">
        <v>77</v>
      </c>
      <c r="HZ21" s="26">
        <f>+HX21/HC21-1</f>
        <v>1.0083575087258052</v>
      </c>
      <c r="IA21" s="230">
        <v>1066493</v>
      </c>
      <c r="IB21" s="26" t="s">
        <v>77</v>
      </c>
      <c r="IC21" s="26">
        <f>+IA21/HF21-1</f>
        <v>0.86492535877972054</v>
      </c>
      <c r="ID21" s="230">
        <v>1151907.2961199998</v>
      </c>
      <c r="IE21" s="26" t="s">
        <v>77</v>
      </c>
      <c r="IF21" s="26">
        <f>+ID21/HI21-1</f>
        <v>0.39229714413489902</v>
      </c>
      <c r="IG21" s="230">
        <v>1151907.2961199998</v>
      </c>
      <c r="IH21" s="26" t="s">
        <v>77</v>
      </c>
      <c r="II21" s="26">
        <f>+IG21/HL21-1</f>
        <v>0.39229714413489902</v>
      </c>
      <c r="IJ21" s="230">
        <v>1206332</v>
      </c>
      <c r="IK21" s="26" t="s">
        <v>77</v>
      </c>
      <c r="IL21" s="26">
        <f t="shared" ref="IL21:IL22" si="197">+IJ21/HO21-1</f>
        <v>0.36675573214034363</v>
      </c>
      <c r="IM21" s="230">
        <v>1206332</v>
      </c>
      <c r="IN21" s="26" t="s">
        <v>77</v>
      </c>
      <c r="IO21" s="26">
        <f t="shared" ref="IO21:IO22" si="198">+IM21/HR21-1</f>
        <v>0.36675573214034363</v>
      </c>
      <c r="IP21" s="230">
        <f>'Recebíveis | Receivables'!FM22+'Recebíveis | Receivables'!FM23+'Recebíveis | Receivables'!FM27</f>
        <v>1452075.75397</v>
      </c>
      <c r="IQ21" s="26" t="s">
        <v>77</v>
      </c>
      <c r="IR21" s="26">
        <f t="shared" ref="IR21:IR22" si="199">+IP21/HU21-1</f>
        <v>0.36556322685881382</v>
      </c>
      <c r="IS21" s="230">
        <v>1452077</v>
      </c>
      <c r="IT21" s="26" t="s">
        <v>77</v>
      </c>
      <c r="IU21" s="26">
        <f t="shared" ref="IU21:IU22" si="200">+IS21/HX21-1</f>
        <v>0.36556439865218815</v>
      </c>
      <c r="IV21" s="230">
        <v>1452167.9122840317</v>
      </c>
      <c r="IW21" s="26" t="s">
        <v>77</v>
      </c>
      <c r="IX21" s="26">
        <f t="shared" ref="IX21:IX22" si="201">+IV21/IA21-1</f>
        <v>0.3616291080054268</v>
      </c>
      <c r="IY21" s="230">
        <f>'Recebíveis | Receivables'!FS20</f>
        <v>1592622.5010899999</v>
      </c>
      <c r="IZ21" s="26" t="s">
        <v>77</v>
      </c>
      <c r="JA21" s="26">
        <f>+IY21/ID21-1</f>
        <v>0.38259607040815946</v>
      </c>
      <c r="JB21" s="230">
        <f t="shared" ref="JB21:JB22" si="202">IY21</f>
        <v>1592622.5010899999</v>
      </c>
      <c r="JC21" s="26" t="s">
        <v>77</v>
      </c>
      <c r="JD21" s="26">
        <f>+JB21/IG21-1</f>
        <v>0.38259607040815946</v>
      </c>
      <c r="JE21" s="230">
        <v>1772837.8112900001</v>
      </c>
      <c r="JF21" s="26" t="s">
        <v>77</v>
      </c>
      <c r="JG21" s="26">
        <f t="shared" ref="JG21:JG22" si="203">+JE21/IJ21-1</f>
        <v>0.4696101995885047</v>
      </c>
      <c r="JH21" s="230">
        <f>JE21</f>
        <v>1772837.8112900001</v>
      </c>
      <c r="JI21" s="26" t="s">
        <v>77</v>
      </c>
      <c r="JJ21" s="26">
        <f t="shared" ref="JJ21:JJ22" si="204">+JH21/IM21-1</f>
        <v>0.4696101995885047</v>
      </c>
      <c r="JK21" s="230">
        <v>2070550.9183100003</v>
      </c>
      <c r="JL21" s="26" t="s">
        <v>77</v>
      </c>
      <c r="JM21" s="26">
        <f t="shared" ref="JM21:JM22" si="205">+JK21/IP21-1</f>
        <v>0.42592486146062192</v>
      </c>
      <c r="JN21" s="230">
        <f>JK21</f>
        <v>2070550.9183100003</v>
      </c>
      <c r="JO21" s="26" t="s">
        <v>77</v>
      </c>
      <c r="JP21" s="26">
        <f t="shared" ref="JP21:JP22" si="206">+JN21/IS21-1</f>
        <v>0.42592363787182097</v>
      </c>
      <c r="JQ21" s="230">
        <v>2075485.5758099998</v>
      </c>
      <c r="JR21" s="26" t="s">
        <v>77</v>
      </c>
      <c r="JS21" s="26">
        <f t="shared" ref="JS21:JS22" si="207">+JQ21/IV21-1</f>
        <v>0.4292325000802335</v>
      </c>
      <c r="JT21" s="230">
        <v>1863694</v>
      </c>
      <c r="JU21" s="26" t="s">
        <v>77</v>
      </c>
      <c r="JV21" s="26">
        <f t="shared" ref="JV21:JV22" si="208">+JT21/IY21-1</f>
        <v>0.17020448896362894</v>
      </c>
      <c r="JW21" s="230">
        <f t="shared" ref="JW21:JW22" si="209">JT21</f>
        <v>1863694</v>
      </c>
      <c r="JX21" s="26" t="s">
        <v>77</v>
      </c>
      <c r="JY21" s="26">
        <f>+JW21/JB21-1</f>
        <v>0.17020448896362894</v>
      </c>
      <c r="JZ21" s="230">
        <v>2005173</v>
      </c>
      <c r="KA21" s="26" t="s">
        <v>77</v>
      </c>
      <c r="KB21" s="26">
        <f>+JZ21/JE21-1</f>
        <v>0.13105270387985568</v>
      </c>
      <c r="KC21" s="230">
        <f t="shared" ref="KC21:KC22" si="210">JZ21</f>
        <v>2005173</v>
      </c>
      <c r="KD21" s="26" t="s">
        <v>77</v>
      </c>
      <c r="KE21" s="26">
        <f>+KC21/JH21-1</f>
        <v>0.13105270387985568</v>
      </c>
      <c r="KF21" s="230">
        <v>2349649.0000000005</v>
      </c>
      <c r="KG21" s="26" t="s">
        <v>77</v>
      </c>
      <c r="KH21" s="26">
        <f>+KF21/JK21-1</f>
        <v>0.13479411649427209</v>
      </c>
      <c r="KI21" s="230">
        <f t="shared" ref="KI21:KI22" si="211">KF21</f>
        <v>2349649.0000000005</v>
      </c>
      <c r="KJ21" s="26" t="s">
        <v>77</v>
      </c>
      <c r="KK21" s="26">
        <f>+KI21/JN21-1</f>
        <v>0.13479411649427209</v>
      </c>
    </row>
    <row r="22" spans="2:297" ht="16.5" customHeight="1">
      <c r="B22" s="222" t="s">
        <v>203</v>
      </c>
      <c r="C22" s="222" t="s">
        <v>78</v>
      </c>
      <c r="D22" s="26" t="s">
        <v>77</v>
      </c>
      <c r="E22" s="26" t="s">
        <v>77</v>
      </c>
      <c r="F22" s="26" t="s">
        <v>77</v>
      </c>
      <c r="G22" s="26" t="s">
        <v>77</v>
      </c>
      <c r="H22" s="26" t="s">
        <v>77</v>
      </c>
      <c r="I22" s="26" t="s">
        <v>77</v>
      </c>
      <c r="J22" s="230">
        <v>51300</v>
      </c>
      <c r="K22" s="26" t="s">
        <v>77</v>
      </c>
      <c r="L22" s="230">
        <f>+J22</f>
        <v>51300</v>
      </c>
      <c r="M22" s="26" t="s">
        <v>77</v>
      </c>
      <c r="N22" s="230">
        <v>69400</v>
      </c>
      <c r="O22" s="26" t="s">
        <v>77</v>
      </c>
      <c r="P22" s="230">
        <f>+N22</f>
        <v>69400</v>
      </c>
      <c r="Q22" s="26" t="s">
        <v>77</v>
      </c>
      <c r="R22" s="230">
        <v>85070</v>
      </c>
      <c r="S22" s="26" t="s">
        <v>77</v>
      </c>
      <c r="T22" s="230">
        <v>92228</v>
      </c>
      <c r="U22" s="26" t="s">
        <v>77</v>
      </c>
      <c r="V22" s="230">
        <f>+T22</f>
        <v>92228</v>
      </c>
      <c r="W22" s="26" t="s">
        <v>77</v>
      </c>
      <c r="X22" s="230">
        <v>97937</v>
      </c>
      <c r="Y22" s="26" t="s">
        <v>77</v>
      </c>
      <c r="Z22" s="230">
        <f>+X22</f>
        <v>97937</v>
      </c>
      <c r="AA22" s="26" t="s">
        <v>77</v>
      </c>
      <c r="AB22" s="230">
        <v>90929</v>
      </c>
      <c r="AC22" s="26" t="s">
        <v>77</v>
      </c>
      <c r="AD22" s="230">
        <f>+AB22</f>
        <v>90929</v>
      </c>
      <c r="AE22" s="26" t="s">
        <v>77</v>
      </c>
      <c r="AF22" s="230">
        <v>93601.721029999986</v>
      </c>
      <c r="AG22" s="26" t="s">
        <v>77</v>
      </c>
      <c r="AH22" s="230">
        <v>94386.611390000005</v>
      </c>
      <c r="AI22" s="26" t="s">
        <v>77</v>
      </c>
      <c r="AJ22" s="230">
        <f>+AH22</f>
        <v>94386.611390000005</v>
      </c>
      <c r="AK22" s="26" t="s">
        <v>77</v>
      </c>
      <c r="AL22" s="230">
        <v>89378.932960000006</v>
      </c>
      <c r="AM22" s="26" t="s">
        <v>77</v>
      </c>
      <c r="AN22" s="230">
        <f>+AL22</f>
        <v>89378.932960000006</v>
      </c>
      <c r="AO22" s="26" t="s">
        <v>77</v>
      </c>
      <c r="AP22" s="230">
        <v>86906.114619999993</v>
      </c>
      <c r="AQ22" s="26" t="s">
        <v>77</v>
      </c>
      <c r="AR22" s="230">
        <f>+AP22</f>
        <v>86906.114619999993</v>
      </c>
      <c r="AS22" s="26" t="s">
        <v>77</v>
      </c>
      <c r="AT22" s="230">
        <v>91795.712390000001</v>
      </c>
      <c r="AU22" s="26" t="s">
        <v>77</v>
      </c>
      <c r="AV22" s="26">
        <f>+AT22/AF22-1</f>
        <v>-1.9294609331180435E-2</v>
      </c>
      <c r="AW22" s="230">
        <v>91155.250557143896</v>
      </c>
      <c r="AX22" s="26" t="s">
        <v>77</v>
      </c>
      <c r="AY22" s="26">
        <f>+AW22/AH22-1</f>
        <v>-3.4235372848637535E-2</v>
      </c>
      <c r="AZ22" s="230">
        <f>+AW22</f>
        <v>91155.250557143896</v>
      </c>
      <c r="BA22" s="26" t="s">
        <v>77</v>
      </c>
      <c r="BB22" s="26">
        <f>+AZ22/AJ22-1</f>
        <v>-3.4235372848637535E-2</v>
      </c>
      <c r="BC22" s="230">
        <v>92878.92475229541</v>
      </c>
      <c r="BD22" s="26" t="s">
        <v>77</v>
      </c>
      <c r="BE22" s="26">
        <f>+BC22/AL22-1</f>
        <v>3.9159024127774833E-2</v>
      </c>
      <c r="BF22" s="230">
        <f>+BC22</f>
        <v>92878.92475229541</v>
      </c>
      <c r="BG22" s="26" t="s">
        <v>77</v>
      </c>
      <c r="BH22" s="26">
        <f>+BF22/AN22-1</f>
        <v>3.9159024127774833E-2</v>
      </c>
      <c r="BI22" s="230">
        <v>94036.402908085191</v>
      </c>
      <c r="BJ22" s="26" t="s">
        <v>77</v>
      </c>
      <c r="BK22" s="26">
        <f>+BI22/AP22-1</f>
        <v>8.2045875819700687E-2</v>
      </c>
      <c r="BL22" s="230">
        <f>+BI22</f>
        <v>94036.402908085191</v>
      </c>
      <c r="BM22" s="26" t="s">
        <v>77</v>
      </c>
      <c r="BN22" s="26">
        <f>+BL22/AR22-1</f>
        <v>8.2045875819700687E-2</v>
      </c>
      <c r="BO22" s="230">
        <v>98544.998140000011</v>
      </c>
      <c r="BP22" s="26" t="s">
        <v>77</v>
      </c>
      <c r="BQ22" s="26">
        <f>+BO22/AT22-1</f>
        <v>7.3525065324677064E-2</v>
      </c>
      <c r="BR22" s="230">
        <v>102746.54474</v>
      </c>
      <c r="BS22" s="26" t="s">
        <v>77</v>
      </c>
      <c r="BT22" s="26">
        <f>+BR22/AW22-1</f>
        <v>0.12715991796423931</v>
      </c>
      <c r="BU22" s="230">
        <f>+BR22</f>
        <v>102746.54474</v>
      </c>
      <c r="BV22" s="26" t="s">
        <v>77</v>
      </c>
      <c r="BW22" s="26">
        <f>+BU22/AZ22-1</f>
        <v>0.12715991796423931</v>
      </c>
      <c r="BX22" s="230">
        <v>107314.308176536</v>
      </c>
      <c r="BY22" s="26" t="s">
        <v>77</v>
      </c>
      <c r="BZ22" s="26">
        <f>+BX22/BC22-1</f>
        <v>0.15542151745123234</v>
      </c>
      <c r="CA22" s="230">
        <f>+BX22</f>
        <v>107314.308176536</v>
      </c>
      <c r="CB22" s="26" t="s">
        <v>77</v>
      </c>
      <c r="CC22" s="26">
        <f>+CA22/BF22-1</f>
        <v>0.15542151745123234</v>
      </c>
      <c r="CD22" s="230">
        <v>104848.67298</v>
      </c>
      <c r="CE22" s="26" t="s">
        <v>77</v>
      </c>
      <c r="CF22" s="26">
        <f>+CD22/BI22-1</f>
        <v>0.1149796221202033</v>
      </c>
      <c r="CG22" s="230">
        <f>+CD22</f>
        <v>104848.67298</v>
      </c>
      <c r="CH22" s="26" t="s">
        <v>77</v>
      </c>
      <c r="CI22" s="26">
        <f>+CG22/BL22-1</f>
        <v>0.1149796221202033</v>
      </c>
      <c r="CJ22" s="230">
        <v>110645.78666</v>
      </c>
      <c r="CK22" s="26" t="s">
        <v>77</v>
      </c>
      <c r="CL22" s="26">
        <f>+CJ22/BO22-1</f>
        <v>0.12279454815970214</v>
      </c>
      <c r="CM22" s="230">
        <v>116323.668065224</v>
      </c>
      <c r="CN22" s="26" t="s">
        <v>77</v>
      </c>
      <c r="CO22" s="26">
        <f>+CM22/BR22-1</f>
        <v>0.13214189693269884</v>
      </c>
      <c r="CP22" s="230">
        <f>+CM22</f>
        <v>116323.668065224</v>
      </c>
      <c r="CQ22" s="26" t="s">
        <v>77</v>
      </c>
      <c r="CR22" s="26">
        <f>+CP22/BU22-1</f>
        <v>0.13214189693269884</v>
      </c>
      <c r="CS22" s="230">
        <v>112368.30553</v>
      </c>
      <c r="CT22" s="26" t="s">
        <v>77</v>
      </c>
      <c r="CU22" s="26">
        <f>+CS22/BX22-1</f>
        <v>4.7095279644816745E-2</v>
      </c>
      <c r="CV22" s="230">
        <f>+CS22</f>
        <v>112368.30553</v>
      </c>
      <c r="CW22" s="26" t="s">
        <v>77</v>
      </c>
      <c r="CX22" s="26">
        <f>+CV22/CA22-1</f>
        <v>4.7095279644816745E-2</v>
      </c>
      <c r="CY22" s="230">
        <f>'Recebíveis | Receivables'!CG31</f>
        <v>108016</v>
      </c>
      <c r="CZ22" s="26" t="s">
        <v>77</v>
      </c>
      <c r="DA22" s="26">
        <f>+CY22/CD22-1</f>
        <v>3.0208556102604867E-2</v>
      </c>
      <c r="DB22" s="230">
        <f>+CY22</f>
        <v>108016</v>
      </c>
      <c r="DC22" s="26" t="s">
        <v>77</v>
      </c>
      <c r="DD22" s="26">
        <f>+DB22/CG22-1</f>
        <v>3.0208556102604867E-2</v>
      </c>
      <c r="DE22" s="230">
        <f>'Recebíveis | Receivables'!CJ31</f>
        <v>112339</v>
      </c>
      <c r="DF22" s="26" t="s">
        <v>77</v>
      </c>
      <c r="DG22" s="26">
        <f>+DE22/CJ22-1</f>
        <v>1.530300783348415E-2</v>
      </c>
      <c r="DH22" s="230">
        <f>'Recebíveis | Receivables'!CM31</f>
        <v>117291</v>
      </c>
      <c r="DI22" s="26" t="s">
        <v>77</v>
      </c>
      <c r="DJ22" s="26">
        <f>+DH22/CM22-1</f>
        <v>8.3158651275818674E-3</v>
      </c>
      <c r="DK22" s="230">
        <f>+DH22</f>
        <v>117291</v>
      </c>
      <c r="DL22" s="26" t="s">
        <v>77</v>
      </c>
      <c r="DM22" s="26">
        <f>+DK22/CP22-1</f>
        <v>8.3158651275818674E-3</v>
      </c>
      <c r="DN22" s="230">
        <f>'Recebíveis | Receivables'!CP31</f>
        <v>122143</v>
      </c>
      <c r="DO22" s="26" t="s">
        <v>77</v>
      </c>
      <c r="DP22" s="26">
        <f>+DN22/CS22-1</f>
        <v>8.6988002745937765E-2</v>
      </c>
      <c r="DQ22" s="230">
        <f>+DN22</f>
        <v>122143</v>
      </c>
      <c r="DR22" s="26" t="s">
        <v>77</v>
      </c>
      <c r="DS22" s="26">
        <f>+DQ22/CV22-1</f>
        <v>8.6988002745937765E-2</v>
      </c>
      <c r="DT22" s="230">
        <f>'Recebíveis | Receivables'!CS31</f>
        <v>120726</v>
      </c>
      <c r="DU22" s="26" t="s">
        <v>77</v>
      </c>
      <c r="DV22" s="26">
        <f>+DT22/CY22-1</f>
        <v>0.11766775292549259</v>
      </c>
      <c r="DW22" s="230">
        <f>+DT22</f>
        <v>120726</v>
      </c>
      <c r="DX22" s="26" t="s">
        <v>77</v>
      </c>
      <c r="DY22" s="26">
        <f>+DW22/DB22-1</f>
        <v>0.11766775292549259</v>
      </c>
      <c r="DZ22" s="230">
        <f>'Recebíveis | Receivables'!CV31</f>
        <v>130849</v>
      </c>
      <c r="EA22" s="26" t="s">
        <v>77</v>
      </c>
      <c r="EB22" s="26">
        <f>+DZ22/DE22-1</f>
        <v>0.16476913627502476</v>
      </c>
      <c r="EC22" s="230">
        <f>'Recebíveis | Receivables'!CY31</f>
        <v>131623</v>
      </c>
      <c r="ED22" s="26" t="s">
        <v>77</v>
      </c>
      <c r="EE22" s="26">
        <f>+EC22/DH22-1</f>
        <v>0.12219181352362929</v>
      </c>
      <c r="EF22" s="230">
        <f>+EC22</f>
        <v>131623</v>
      </c>
      <c r="EG22" s="26" t="s">
        <v>77</v>
      </c>
      <c r="EH22" s="26">
        <f>+EF22/DK22-1</f>
        <v>0.12219181352362929</v>
      </c>
      <c r="EI22" s="230">
        <f>'Recebíveis | Receivables'!DB31</f>
        <v>141295</v>
      </c>
      <c r="EJ22" s="26" t="s">
        <v>77</v>
      </c>
      <c r="EK22" s="26">
        <f>+EI22/DN22-1</f>
        <v>0.1567998166084017</v>
      </c>
      <c r="EL22" s="230">
        <f>+EI22</f>
        <v>141295</v>
      </c>
      <c r="EM22" s="26" t="s">
        <v>77</v>
      </c>
      <c r="EN22" s="26">
        <f>+EL22/DQ22-1</f>
        <v>0.1567998166084017</v>
      </c>
      <c r="EO22" s="230">
        <f>'Recebíveis | Receivables'!DE31</f>
        <v>142448</v>
      </c>
      <c r="EP22" s="26" t="s">
        <v>77</v>
      </c>
      <c r="EQ22" s="26">
        <f>+EO22/DT22-1</f>
        <v>0.17992810165167406</v>
      </c>
      <c r="ER22" s="230">
        <f>+EO22</f>
        <v>142448</v>
      </c>
      <c r="ES22" s="26" t="s">
        <v>77</v>
      </c>
      <c r="ET22" s="26">
        <f>+ER22/DW22-1</f>
        <v>0.17992810165167406</v>
      </c>
      <c r="EU22" s="230">
        <f>'Recebíveis | Receivables'!DH31</f>
        <v>155752</v>
      </c>
      <c r="EV22" s="26" t="s">
        <v>77</v>
      </c>
      <c r="EW22" s="26">
        <f>+EU22/DZ22-1</f>
        <v>0.19031861152932006</v>
      </c>
      <c r="EX22" s="230">
        <f>'Recebíveis | Receivables'!DK31</f>
        <v>160876</v>
      </c>
      <c r="EY22" s="26" t="s">
        <v>77</v>
      </c>
      <c r="EZ22" s="26">
        <f>+EX22/EC22-1</f>
        <v>0.22224839123861329</v>
      </c>
      <c r="FA22" s="230">
        <f>+EX22</f>
        <v>160876</v>
      </c>
      <c r="FB22" s="26" t="s">
        <v>77</v>
      </c>
      <c r="FC22" s="26">
        <f>+FA22/EF22-1</f>
        <v>0.22224839123861329</v>
      </c>
      <c r="FD22" s="230">
        <f>+'Recebíveis | Receivables'!DN31</f>
        <v>180568</v>
      </c>
      <c r="FE22" s="26" t="s">
        <v>77</v>
      </c>
      <c r="FF22" s="26">
        <f>+FD22/EI22-1</f>
        <v>0.27795038748717227</v>
      </c>
      <c r="FG22" s="230">
        <f>+FD22</f>
        <v>180568</v>
      </c>
      <c r="FH22" s="26" t="s">
        <v>77</v>
      </c>
      <c r="FI22" s="26">
        <f>+FG22/EL22-1</f>
        <v>0.27795038748717227</v>
      </c>
      <c r="FJ22" s="230">
        <f>+'Recebíveis | Receivables'!DQ31</f>
        <v>168885</v>
      </c>
      <c r="FK22" s="26" t="s">
        <v>77</v>
      </c>
      <c r="FL22" s="26">
        <f>+FJ22/EO22-1</f>
        <v>0.18559053128159042</v>
      </c>
      <c r="FM22" s="230">
        <f>+FJ22</f>
        <v>168885</v>
      </c>
      <c r="FN22" s="26" t="s">
        <v>77</v>
      </c>
      <c r="FO22" s="26">
        <f>+FM22/ER22-1</f>
        <v>0.18559053128159042</v>
      </c>
      <c r="FP22" s="230">
        <f>+'Recebíveis | Receivables'!DT31</f>
        <v>181879</v>
      </c>
      <c r="FQ22" s="26" t="s">
        <v>77</v>
      </c>
      <c r="FR22" s="26">
        <f>+FP22/EU22-1</f>
        <v>0.16774744465560643</v>
      </c>
      <c r="FS22" s="230">
        <f>+'Recebíveis | Receivables'!DW31</f>
        <v>196806</v>
      </c>
      <c r="FT22" s="26" t="s">
        <v>77</v>
      </c>
      <c r="FU22" s="26">
        <f>+FS22/EX22-1</f>
        <v>0.22333971506004624</v>
      </c>
      <c r="FV22" s="230">
        <f>+FS22</f>
        <v>196806</v>
      </c>
      <c r="FW22" s="26" t="s">
        <v>77</v>
      </c>
      <c r="FX22" s="26">
        <f>+FV22/FA22-1</f>
        <v>0.22333971506004624</v>
      </c>
      <c r="FY22" s="230">
        <f>+'Recebíveis | Receivables'!DZ31</f>
        <v>194293</v>
      </c>
      <c r="FZ22" s="26" t="s">
        <v>77</v>
      </c>
      <c r="GA22" s="26">
        <f>+FY22/FD22-1</f>
        <v>7.6010145762261283E-2</v>
      </c>
      <c r="GB22" s="230">
        <f>+FY22</f>
        <v>194293</v>
      </c>
      <c r="GC22" s="26" t="s">
        <v>77</v>
      </c>
      <c r="GD22" s="26">
        <f>+GB22/FG22-1</f>
        <v>7.6010145762261283E-2</v>
      </c>
      <c r="GE22" s="230">
        <f>+'Recebíveis | Receivables'!EC31</f>
        <v>179383</v>
      </c>
      <c r="GF22" s="26" t="s">
        <v>77</v>
      </c>
      <c r="GG22" s="26">
        <f>+GE22/FJ22-1</f>
        <v>6.2160641856884968E-2</v>
      </c>
      <c r="GH22" s="230">
        <f>+GE22</f>
        <v>179383</v>
      </c>
      <c r="GI22" s="26" t="s">
        <v>77</v>
      </c>
      <c r="GJ22" s="26">
        <f>+GH22/FM22-1</f>
        <v>6.2160641856884968E-2</v>
      </c>
      <c r="GK22" s="230">
        <f>+'Recebíveis | Receivables'!EF31</f>
        <v>179812</v>
      </c>
      <c r="GL22" s="26" t="s">
        <v>77</v>
      </c>
      <c r="GM22" s="26">
        <f>+GK22/FP22-1</f>
        <v>-1.136469850834898E-2</v>
      </c>
      <c r="GN22" s="230">
        <f>+'Recebíveis | Receivables'!EI31</f>
        <v>179789</v>
      </c>
      <c r="GO22" s="26" t="s">
        <v>77</v>
      </c>
      <c r="GP22" s="26">
        <f>+GN22/FS22-1</f>
        <v>-8.6465859780697762E-2</v>
      </c>
      <c r="GQ22" s="230">
        <f>+GN22</f>
        <v>179789</v>
      </c>
      <c r="GR22" s="26" t="s">
        <v>77</v>
      </c>
      <c r="GS22" s="26">
        <f>+GQ22/FV22-1</f>
        <v>-8.6465859780697762E-2</v>
      </c>
      <c r="GT22" s="230">
        <f>+'Recebíveis | Receivables'!EL31</f>
        <v>167140</v>
      </c>
      <c r="GU22" s="26" t="s">
        <v>77</v>
      </c>
      <c r="GV22" s="26">
        <f>+GT22/FY22-1</f>
        <v>-0.13975284750351269</v>
      </c>
      <c r="GW22" s="230">
        <f>+GT22</f>
        <v>167140</v>
      </c>
      <c r="GX22" s="26" t="s">
        <v>77</v>
      </c>
      <c r="GY22" s="26">
        <f>+GW22/GB22-1</f>
        <v>-0.13975284750351269</v>
      </c>
      <c r="GZ22" s="230">
        <f>+'Recebíveis | Receivables'!EO31</f>
        <v>144639</v>
      </c>
      <c r="HA22" s="26" t="s">
        <v>77</v>
      </c>
      <c r="HB22" s="26">
        <f>+GZ22/GE22-1</f>
        <v>-0.19368613525250444</v>
      </c>
      <c r="HC22" s="230">
        <f>+GZ22</f>
        <v>144639</v>
      </c>
      <c r="HD22" s="26" t="s">
        <v>77</v>
      </c>
      <c r="HE22" s="26">
        <f>+HC22/GH22-1</f>
        <v>-0.19368613525250444</v>
      </c>
      <c r="HF22" s="230">
        <f>+'Recebíveis | Receivables'!ER31</f>
        <v>140840</v>
      </c>
      <c r="HG22" s="26" t="s">
        <v>77</v>
      </c>
      <c r="HH22" s="26">
        <f>+HF22/GK22-1</f>
        <v>-0.21673748136943027</v>
      </c>
      <c r="HI22" s="230">
        <v>115517</v>
      </c>
      <c r="HJ22" s="26" t="s">
        <v>77</v>
      </c>
      <c r="HK22" s="26">
        <f>+HI22/GN22-1</f>
        <v>-0.35748571937104046</v>
      </c>
      <c r="HL22" s="230">
        <f>+HI22</f>
        <v>115517</v>
      </c>
      <c r="HM22" s="26" t="s">
        <v>77</v>
      </c>
      <c r="HN22" s="26">
        <f>+HL22/GQ22-1</f>
        <v>-0.35748571937104046</v>
      </c>
      <c r="HO22" s="230">
        <v>89020</v>
      </c>
      <c r="HP22" s="26" t="s">
        <v>77</v>
      </c>
      <c r="HQ22" s="26">
        <f>+HO22/GT22-1</f>
        <v>-0.46739260500179491</v>
      </c>
      <c r="HR22" s="230">
        <f>+HO22</f>
        <v>89020</v>
      </c>
      <c r="HS22" s="26" t="s">
        <v>77</v>
      </c>
      <c r="HT22" s="26">
        <f>+HR22/GW22-1</f>
        <v>-0.46739260500179491</v>
      </c>
      <c r="HU22" s="230">
        <v>71889.2</v>
      </c>
      <c r="HV22" s="26" t="s">
        <v>77</v>
      </c>
      <c r="HW22" s="26">
        <f>+HU22/GZ22-1</f>
        <v>-0.50297499291339132</v>
      </c>
      <c r="HX22" s="230">
        <f>+HU22</f>
        <v>71889.2</v>
      </c>
      <c r="HY22" s="26" t="s">
        <v>77</v>
      </c>
      <c r="HZ22" s="26">
        <f>+HX22/HC22-1</f>
        <v>-0.50297499291339132</v>
      </c>
      <c r="IA22" s="230">
        <v>63058</v>
      </c>
      <c r="IB22" s="26" t="s">
        <v>77</v>
      </c>
      <c r="IC22" s="26">
        <f>+IA22/HF22-1</f>
        <v>-0.55227208179494469</v>
      </c>
      <c r="ID22" s="230">
        <v>58273</v>
      </c>
      <c r="IE22" s="26" t="s">
        <v>77</v>
      </c>
      <c r="IF22" s="26">
        <f>+ID22/HI22-1</f>
        <v>-0.49554611009634941</v>
      </c>
      <c r="IG22" s="230">
        <v>58273</v>
      </c>
      <c r="IH22" s="26" t="s">
        <v>77</v>
      </c>
      <c r="II22" s="26">
        <f>+IG22/HL22-1</f>
        <v>-0.49554611009634941</v>
      </c>
      <c r="IJ22" s="230">
        <v>55364</v>
      </c>
      <c r="IK22" s="26" t="s">
        <v>77</v>
      </c>
      <c r="IL22" s="26">
        <f t="shared" si="197"/>
        <v>-0.37807234329364192</v>
      </c>
      <c r="IM22" s="230">
        <v>55364</v>
      </c>
      <c r="IN22" s="26" t="s">
        <v>77</v>
      </c>
      <c r="IO22" s="26">
        <f t="shared" si="198"/>
        <v>-0.37807234329364192</v>
      </c>
      <c r="IP22" s="230">
        <f>'Recebíveis | Receivables'!FM33</f>
        <v>50849</v>
      </c>
      <c r="IQ22" s="26" t="s">
        <v>77</v>
      </c>
      <c r="IR22" s="26">
        <f t="shared" si="199"/>
        <v>-0.2926753949132832</v>
      </c>
      <c r="IS22" s="230">
        <v>50849</v>
      </c>
      <c r="IT22" s="26" t="s">
        <v>77</v>
      </c>
      <c r="IU22" s="26">
        <f t="shared" si="200"/>
        <v>-0.2926753949132832</v>
      </c>
      <c r="IV22" s="230"/>
      <c r="IW22" s="26" t="s">
        <v>77</v>
      </c>
      <c r="IX22" s="26">
        <f t="shared" si="201"/>
        <v>-1</v>
      </c>
      <c r="IY22" s="230"/>
      <c r="IZ22" s="26" t="s">
        <v>77</v>
      </c>
      <c r="JA22" s="26">
        <f>+IY22/ID22-1</f>
        <v>-1</v>
      </c>
      <c r="JB22" s="230">
        <f t="shared" si="202"/>
        <v>0</v>
      </c>
      <c r="JC22" s="26" t="s">
        <v>77</v>
      </c>
      <c r="JD22" s="26">
        <f>+JB22/IG22-1</f>
        <v>-1</v>
      </c>
      <c r="JE22" s="230"/>
      <c r="JF22" s="26" t="s">
        <v>77</v>
      </c>
      <c r="JG22" s="26">
        <f t="shared" si="203"/>
        <v>-1</v>
      </c>
      <c r="JH22" s="230">
        <f>JE22</f>
        <v>0</v>
      </c>
      <c r="JI22" s="26" t="s">
        <v>77</v>
      </c>
      <c r="JJ22" s="26">
        <f t="shared" si="204"/>
        <v>-1</v>
      </c>
      <c r="JK22" s="230"/>
      <c r="JL22" s="26" t="s">
        <v>77</v>
      </c>
      <c r="JM22" s="26">
        <f t="shared" si="205"/>
        <v>-1</v>
      </c>
      <c r="JN22" s="230">
        <f>JK22</f>
        <v>0</v>
      </c>
      <c r="JO22" s="26" t="s">
        <v>77</v>
      </c>
      <c r="JP22" s="26">
        <f t="shared" si="206"/>
        <v>-1</v>
      </c>
      <c r="JQ22" s="230">
        <v>0</v>
      </c>
      <c r="JR22" s="26" t="s">
        <v>77</v>
      </c>
      <c r="JS22" s="26" t="e">
        <f t="shared" si="207"/>
        <v>#DIV/0!</v>
      </c>
      <c r="JT22" s="230">
        <v>0</v>
      </c>
      <c r="JU22" s="26" t="s">
        <v>77</v>
      </c>
      <c r="JV22" s="26" t="e">
        <f t="shared" si="208"/>
        <v>#DIV/0!</v>
      </c>
      <c r="JW22" s="230">
        <f t="shared" si="209"/>
        <v>0</v>
      </c>
      <c r="JX22" s="26" t="s">
        <v>77</v>
      </c>
      <c r="JY22" s="26" t="e">
        <f>+JW22/JB22-1</f>
        <v>#DIV/0!</v>
      </c>
      <c r="JZ22" s="230">
        <f t="shared" ref="JZ22" si="212">JW22</f>
        <v>0</v>
      </c>
      <c r="KA22" s="26" t="s">
        <v>77</v>
      </c>
      <c r="KB22" s="26" t="e">
        <f>+JZ22/JE22-1</f>
        <v>#DIV/0!</v>
      </c>
      <c r="KC22" s="230">
        <f t="shared" si="210"/>
        <v>0</v>
      </c>
      <c r="KD22" s="26" t="s">
        <v>77</v>
      </c>
      <c r="KE22" s="26" t="e">
        <f>+KC22/JH22-1</f>
        <v>#DIV/0!</v>
      </c>
      <c r="KF22" s="230">
        <f t="shared" ref="KF22" si="213">KC22</f>
        <v>0</v>
      </c>
      <c r="KG22" s="26" t="s">
        <v>77</v>
      </c>
      <c r="KH22" s="26" t="e">
        <f>+KF22/JK22-1</f>
        <v>#DIV/0!</v>
      </c>
      <c r="KI22" s="230">
        <f t="shared" si="211"/>
        <v>0</v>
      </c>
      <c r="KJ22" s="26" t="s">
        <v>77</v>
      </c>
      <c r="KK22" s="26" t="e">
        <f>+KI22/JN22-1</f>
        <v>#DIV/0!</v>
      </c>
    </row>
    <row r="23" spans="2:297" ht="16.5" customHeight="1">
      <c r="B23" s="341" t="s">
        <v>94</v>
      </c>
      <c r="C23" s="341" t="s">
        <v>94</v>
      </c>
      <c r="D23" s="343" t="s">
        <v>77</v>
      </c>
      <c r="E23" s="343" t="s">
        <v>77</v>
      </c>
      <c r="F23" s="343" t="s">
        <v>77</v>
      </c>
      <c r="G23" s="343" t="s">
        <v>77</v>
      </c>
      <c r="H23" s="343" t="s">
        <v>77</v>
      </c>
      <c r="I23" s="343" t="s">
        <v>77</v>
      </c>
      <c r="J23" s="348">
        <f>SUM(J20:J22)</f>
        <v>450822</v>
      </c>
      <c r="K23" s="343" t="s">
        <v>77</v>
      </c>
      <c r="L23" s="348">
        <f>+J23</f>
        <v>450822</v>
      </c>
      <c r="M23" s="343" t="s">
        <v>77</v>
      </c>
      <c r="N23" s="348">
        <f>SUM(N20:N22)</f>
        <v>652793</v>
      </c>
      <c r="O23" s="343" t="s">
        <v>77</v>
      </c>
      <c r="P23" s="348">
        <f>+N23</f>
        <v>652793</v>
      </c>
      <c r="Q23" s="343" t="s">
        <v>77</v>
      </c>
      <c r="R23" s="348">
        <f>SUM(R20:R22)</f>
        <v>534414</v>
      </c>
      <c r="S23" s="343" t="s">
        <v>77</v>
      </c>
      <c r="T23" s="348">
        <f>SUM(T20:T22)</f>
        <v>573653</v>
      </c>
      <c r="U23" s="343" t="s">
        <v>77</v>
      </c>
      <c r="V23" s="348">
        <f>+T23</f>
        <v>573653</v>
      </c>
      <c r="W23" s="343" t="s">
        <v>77</v>
      </c>
      <c r="X23" s="348">
        <f>SUM(X20:X22)</f>
        <v>543109</v>
      </c>
      <c r="Y23" s="343" t="s">
        <v>77</v>
      </c>
      <c r="Z23" s="348">
        <f>+X23</f>
        <v>543109</v>
      </c>
      <c r="AA23" s="343" t="s">
        <v>77</v>
      </c>
      <c r="AB23" s="348">
        <f>SUM(AB20:AB22)</f>
        <v>688312</v>
      </c>
      <c r="AC23" s="343" t="s">
        <v>77</v>
      </c>
      <c r="AD23" s="348">
        <f>+AB23</f>
        <v>688312</v>
      </c>
      <c r="AE23" s="343" t="s">
        <v>77</v>
      </c>
      <c r="AF23" s="348">
        <f>SUM(AF20:AF22)</f>
        <v>611084.24988999998</v>
      </c>
      <c r="AG23" s="343" t="s">
        <v>77</v>
      </c>
      <c r="AH23" s="348">
        <f>SUM(AH20:AH22)</f>
        <v>626136.59823999996</v>
      </c>
      <c r="AI23" s="343" t="s">
        <v>77</v>
      </c>
      <c r="AJ23" s="348">
        <f>+AH23</f>
        <v>626136.59823999996</v>
      </c>
      <c r="AK23" s="343" t="s">
        <v>77</v>
      </c>
      <c r="AL23" s="348">
        <f>SUM(AL20:AL22)</f>
        <v>579320.74526</v>
      </c>
      <c r="AM23" s="343" t="s">
        <v>77</v>
      </c>
      <c r="AN23" s="348">
        <f>+AL23</f>
        <v>579320.74526</v>
      </c>
      <c r="AO23" s="343" t="s">
        <v>77</v>
      </c>
      <c r="AP23" s="348">
        <f>SUM(AP20:AP22)</f>
        <v>679771.24373999995</v>
      </c>
      <c r="AQ23" s="343" t="s">
        <v>77</v>
      </c>
      <c r="AR23" s="348">
        <f>+AP23</f>
        <v>679771.24373999995</v>
      </c>
      <c r="AS23" s="343" t="s">
        <v>77</v>
      </c>
      <c r="AT23" s="348">
        <f>SUM(AT20:AT22)</f>
        <v>569841.94373257761</v>
      </c>
      <c r="AU23" s="343" t="s">
        <v>77</v>
      </c>
      <c r="AV23" s="343">
        <f>+AT23/AF23-1</f>
        <v>-6.7490376596756163E-2</v>
      </c>
      <c r="AW23" s="348">
        <f>SUM(AW20:AW22)</f>
        <v>606731.12999987986</v>
      </c>
      <c r="AX23" s="343" t="s">
        <v>77</v>
      </c>
      <c r="AY23" s="343">
        <f>+AW23/AH23-1</f>
        <v>-3.0992387754791406E-2</v>
      </c>
      <c r="AZ23" s="348">
        <f>+AW23</f>
        <v>606731.12999987986</v>
      </c>
      <c r="BA23" s="343" t="s">
        <v>77</v>
      </c>
      <c r="BB23" s="343">
        <f>+AZ23/AJ23-1</f>
        <v>-3.0992387754791406E-2</v>
      </c>
      <c r="BC23" s="348">
        <f>SUM(BC20:BC22)</f>
        <v>566336.3518775868</v>
      </c>
      <c r="BD23" s="343" t="s">
        <v>77</v>
      </c>
      <c r="BE23" s="343">
        <f>+BC23/AL23-1</f>
        <v>-2.2413133809985997E-2</v>
      </c>
      <c r="BF23" s="348">
        <f>+BC23</f>
        <v>566336.3518775868</v>
      </c>
      <c r="BG23" s="343" t="s">
        <v>77</v>
      </c>
      <c r="BH23" s="343">
        <f>+BF23/AN23-1</f>
        <v>-2.2413133809985997E-2</v>
      </c>
      <c r="BI23" s="348">
        <f>SUM(BI20:BI22)</f>
        <v>718952.20116078923</v>
      </c>
      <c r="BJ23" s="343" t="s">
        <v>77</v>
      </c>
      <c r="BK23" s="343">
        <f>+BI23/AP23-1</f>
        <v>5.7638444964546398E-2</v>
      </c>
      <c r="BL23" s="348">
        <f>+BI23</f>
        <v>718952.20116078923</v>
      </c>
      <c r="BM23" s="343" t="s">
        <v>77</v>
      </c>
      <c r="BN23" s="343">
        <f>+BL23/AR23-1</f>
        <v>5.7638444964546398E-2</v>
      </c>
      <c r="BO23" s="348">
        <f>SUM(BO20:BO22)</f>
        <v>622377.33008255193</v>
      </c>
      <c r="BP23" s="343" t="s">
        <v>77</v>
      </c>
      <c r="BQ23" s="343">
        <f>+BO23/AT23-1</f>
        <v>9.2192908801793649E-2</v>
      </c>
      <c r="BR23" s="348">
        <f>SUM(BR20:BR22)</f>
        <v>662139.52269449399</v>
      </c>
      <c r="BS23" s="343" t="s">
        <v>77</v>
      </c>
      <c r="BT23" s="343">
        <f>+BR23/AW23-1</f>
        <v>9.1322811629304557E-2</v>
      </c>
      <c r="BU23" s="348">
        <f>+BR23</f>
        <v>662139.52269449399</v>
      </c>
      <c r="BV23" s="343" t="s">
        <v>77</v>
      </c>
      <c r="BW23" s="343">
        <f>+BU23/AZ23-1</f>
        <v>9.1322811629304557E-2</v>
      </c>
      <c r="BX23" s="348">
        <f>SUM(BX20:BX22)</f>
        <v>628273.17128585093</v>
      </c>
      <c r="BY23" s="343" t="s">
        <v>77</v>
      </c>
      <c r="BZ23" s="343">
        <f>+BX23/BC23-1</f>
        <v>0.10936401875479773</v>
      </c>
      <c r="CA23" s="348">
        <f>+BX23</f>
        <v>628273.17128585093</v>
      </c>
      <c r="CB23" s="343" t="s">
        <v>77</v>
      </c>
      <c r="CC23" s="343">
        <f>+CA23/BF23-1</f>
        <v>0.10936401875479773</v>
      </c>
      <c r="CD23" s="348">
        <f>SUM(CD20:CD22)</f>
        <v>797153.00389157701</v>
      </c>
      <c r="CE23" s="343" t="s">
        <v>77</v>
      </c>
      <c r="CF23" s="343">
        <f>+CD23/BI23-1</f>
        <v>0.10877051715611707</v>
      </c>
      <c r="CG23" s="348">
        <f>+CD23</f>
        <v>797153.00389157701</v>
      </c>
      <c r="CH23" s="343" t="s">
        <v>77</v>
      </c>
      <c r="CI23" s="343">
        <f>+CG23/BL23-1</f>
        <v>0.10877051715611707</v>
      </c>
      <c r="CJ23" s="348">
        <f>SUM(CJ20:CJ22)</f>
        <v>720391.90022856952</v>
      </c>
      <c r="CK23" s="343" t="s">
        <v>77</v>
      </c>
      <c r="CL23" s="343">
        <f>+CJ23/BO23-1</f>
        <v>0.1574841585779112</v>
      </c>
      <c r="CM23" s="348">
        <f>SUM(CM20:CM22)</f>
        <v>776288.51294379251</v>
      </c>
      <c r="CN23" s="343" t="s">
        <v>77</v>
      </c>
      <c r="CO23" s="343">
        <f>+CM23/BR23-1</f>
        <v>0.17239416518256379</v>
      </c>
      <c r="CP23" s="348">
        <f>+CM23</f>
        <v>776288.51294379251</v>
      </c>
      <c r="CQ23" s="343" t="s">
        <v>77</v>
      </c>
      <c r="CR23" s="343">
        <f>+CP23/BU23-1</f>
        <v>0.17239416518256379</v>
      </c>
      <c r="CS23" s="348">
        <f>SUM(CS20:CS22)</f>
        <v>719163.80475019163</v>
      </c>
      <c r="CT23" s="343" t="s">
        <v>77</v>
      </c>
      <c r="CU23" s="343">
        <f>+CS23/BX23-1</f>
        <v>0.14466737976144994</v>
      </c>
      <c r="CV23" s="348">
        <f>+CS23</f>
        <v>719163.80475019163</v>
      </c>
      <c r="CW23" s="343" t="s">
        <v>77</v>
      </c>
      <c r="CX23" s="343">
        <f>+CV23/CA23-1</f>
        <v>0.14466737976144994</v>
      </c>
      <c r="CY23" s="348">
        <f>SUM(CY20:CY22)</f>
        <v>933019</v>
      </c>
      <c r="CZ23" s="343" t="s">
        <v>77</v>
      </c>
      <c r="DA23" s="343">
        <f>+CY23/CD23-1</f>
        <v>0.17043904425517598</v>
      </c>
      <c r="DB23" s="348">
        <f>+CY23</f>
        <v>933019</v>
      </c>
      <c r="DC23" s="343" t="s">
        <v>77</v>
      </c>
      <c r="DD23" s="343">
        <f>+DB23/CG23-1</f>
        <v>0.17043904425517598</v>
      </c>
      <c r="DE23" s="348">
        <f>SUM(DE20:DE22)</f>
        <v>826025</v>
      </c>
      <c r="DF23" s="343" t="s">
        <v>77</v>
      </c>
      <c r="DG23" s="343">
        <f>+DE23/CJ23-1</f>
        <v>0.1466328254633551</v>
      </c>
      <c r="DH23" s="348">
        <f>SUM(DH20:DH22)</f>
        <v>900441</v>
      </c>
      <c r="DI23" s="343" t="s">
        <v>77</v>
      </c>
      <c r="DJ23" s="343">
        <f>+DH23/CM23-1</f>
        <v>0.15993085687356645</v>
      </c>
      <c r="DK23" s="348">
        <f>+DH23</f>
        <v>900441</v>
      </c>
      <c r="DL23" s="343" t="s">
        <v>77</v>
      </c>
      <c r="DM23" s="343">
        <f>+DK23/CP23-1</f>
        <v>0.15993085687356645</v>
      </c>
      <c r="DN23" s="348">
        <f>SUM(DN20:DN22)</f>
        <v>900582.24</v>
      </c>
      <c r="DO23" s="343" t="s">
        <v>77</v>
      </c>
      <c r="DP23" s="343">
        <f>+DN23/CS23-1</f>
        <v>0.25226302276548207</v>
      </c>
      <c r="DQ23" s="348">
        <f>+DN23</f>
        <v>900582.24</v>
      </c>
      <c r="DR23" s="343" t="s">
        <v>77</v>
      </c>
      <c r="DS23" s="343">
        <f>+DQ23/CV23-1</f>
        <v>0.25226302276548207</v>
      </c>
      <c r="DT23" s="348">
        <f>SUM(DT20:DT22)</f>
        <v>1144019</v>
      </c>
      <c r="DU23" s="343" t="s">
        <v>77</v>
      </c>
      <c r="DV23" s="343">
        <f>+DT23/CY23-1</f>
        <v>0.22614759184968358</v>
      </c>
      <c r="DW23" s="348">
        <f>+DT23</f>
        <v>1144019</v>
      </c>
      <c r="DX23" s="343" t="s">
        <v>77</v>
      </c>
      <c r="DY23" s="343">
        <f>+DW23/DB23-1</f>
        <v>0.22614759184968358</v>
      </c>
      <c r="DZ23" s="348">
        <f>SUM(DZ20:DZ22)</f>
        <v>1026398.9513622833</v>
      </c>
      <c r="EA23" s="343" t="s">
        <v>77</v>
      </c>
      <c r="EB23" s="343">
        <f>+DZ23/DE23-1</f>
        <v>0.24257613433283898</v>
      </c>
      <c r="EC23" s="348">
        <f>SUM(EC20:EC22)</f>
        <v>1049597.9427718935</v>
      </c>
      <c r="ED23" s="343" t="s">
        <v>77</v>
      </c>
      <c r="EE23" s="343">
        <f>+EC23/DH23-1</f>
        <v>0.1656487685166419</v>
      </c>
      <c r="EF23" s="348">
        <f>+EC23</f>
        <v>1049597.9427718935</v>
      </c>
      <c r="EG23" s="343" t="s">
        <v>77</v>
      </c>
      <c r="EH23" s="343">
        <f>+EF23/DK23-1</f>
        <v>0.1656487685166419</v>
      </c>
      <c r="EI23" s="348">
        <f>SUM(EI20:EI22)</f>
        <v>1063134.3140350184</v>
      </c>
      <c r="EJ23" s="343" t="s">
        <v>77</v>
      </c>
      <c r="EK23" s="343">
        <f>+EI23/DN23-1</f>
        <v>0.18049664629742024</v>
      </c>
      <c r="EL23" s="348">
        <f>+EI23</f>
        <v>1063134.3140350184</v>
      </c>
      <c r="EM23" s="343" t="s">
        <v>77</v>
      </c>
      <c r="EN23" s="343">
        <f>+EL23/DQ23-1</f>
        <v>0.18049664629742024</v>
      </c>
      <c r="EO23" s="348">
        <f>SUM(EO20:EO22)</f>
        <v>1379535.334109338</v>
      </c>
      <c r="EP23" s="343" t="s">
        <v>77</v>
      </c>
      <c r="EQ23" s="343">
        <f>+EO23/DT23-1</f>
        <v>0.20586750229614892</v>
      </c>
      <c r="ER23" s="348">
        <f>+EO23</f>
        <v>1379535.334109338</v>
      </c>
      <c r="ES23" s="343" t="s">
        <v>77</v>
      </c>
      <c r="ET23" s="343">
        <f>+ER23/DW23-1</f>
        <v>0.20586750229614892</v>
      </c>
      <c r="EU23" s="348">
        <f>SUM(EU20:EU22)</f>
        <v>1264938.4293284218</v>
      </c>
      <c r="EV23" s="343" t="s">
        <v>77</v>
      </c>
      <c r="EW23" s="343">
        <f>+EU23/DZ23-1</f>
        <v>0.23240424948752936</v>
      </c>
      <c r="EX23" s="348">
        <f>SUM(EX20:EX22)</f>
        <v>1337809</v>
      </c>
      <c r="EY23" s="343" t="s">
        <v>77</v>
      </c>
      <c r="EZ23" s="343">
        <f>+EX23/EC23-1</f>
        <v>0.27459186559280702</v>
      </c>
      <c r="FA23" s="348">
        <f>+EX23</f>
        <v>1337809</v>
      </c>
      <c r="FB23" s="343" t="s">
        <v>77</v>
      </c>
      <c r="FC23" s="343">
        <f>+FA23/EF23-1</f>
        <v>0.27459186559280702</v>
      </c>
      <c r="FD23" s="348">
        <f>SUM(FD20:FD22)</f>
        <v>1343655</v>
      </c>
      <c r="FE23" s="343" t="s">
        <v>77</v>
      </c>
      <c r="FF23" s="343">
        <f>+FD23/EI23-1</f>
        <v>0.26386194318222489</v>
      </c>
      <c r="FG23" s="348">
        <f>+FD23</f>
        <v>1343655</v>
      </c>
      <c r="FH23" s="343" t="s">
        <v>77</v>
      </c>
      <c r="FI23" s="343">
        <f>+FG23/EL23-1</f>
        <v>0.26386194318222489</v>
      </c>
      <c r="FJ23" s="348">
        <f>SUM(FJ20:FJ22)</f>
        <v>1712202</v>
      </c>
      <c r="FK23" s="343" t="s">
        <v>77</v>
      </c>
      <c r="FL23" s="343">
        <f>+FJ23/EO23-1</f>
        <v>0.24114399802991615</v>
      </c>
      <c r="FM23" s="348">
        <f>+FJ23</f>
        <v>1712202</v>
      </c>
      <c r="FN23" s="343" t="s">
        <v>77</v>
      </c>
      <c r="FO23" s="343">
        <f>+FM23/ER23-1</f>
        <v>0.24114399802991615</v>
      </c>
      <c r="FP23" s="348">
        <f>SUM(FP20:FP22)</f>
        <v>1549781</v>
      </c>
      <c r="FQ23" s="343" t="s">
        <v>77</v>
      </c>
      <c r="FR23" s="343">
        <f>+FP23/EU23-1</f>
        <v>0.22518295283574097</v>
      </c>
      <c r="FS23" s="348">
        <f>SUM(FS20:FS22)</f>
        <v>1643838.75828</v>
      </c>
      <c r="FT23" s="343" t="s">
        <v>77</v>
      </c>
      <c r="FU23" s="343">
        <f>+FS23/EX23-1</f>
        <v>0.22875444721929661</v>
      </c>
      <c r="FV23" s="348">
        <f>+FS23</f>
        <v>1643838.75828</v>
      </c>
      <c r="FW23" s="343" t="s">
        <v>77</v>
      </c>
      <c r="FX23" s="343">
        <f>+FV23/FA23-1</f>
        <v>0.22875444721929661</v>
      </c>
      <c r="FY23" s="348">
        <f>SUM(FY20:FY22)</f>
        <v>1593270</v>
      </c>
      <c r="FZ23" s="343" t="s">
        <v>77</v>
      </c>
      <c r="GA23" s="343">
        <f>+FY23/FD23-1</f>
        <v>0.185773133728524</v>
      </c>
      <c r="GB23" s="348">
        <f>+FY23</f>
        <v>1593270</v>
      </c>
      <c r="GC23" s="343" t="s">
        <v>77</v>
      </c>
      <c r="GD23" s="343">
        <f>+GB23/FG23-1</f>
        <v>0.185773133728524</v>
      </c>
      <c r="GE23" s="348">
        <f>SUM(GE20:GE22)</f>
        <v>1905124</v>
      </c>
      <c r="GF23" s="343" t="s">
        <v>77</v>
      </c>
      <c r="GG23" s="343">
        <f>+GE23/FJ23-1</f>
        <v>0.1126747895400193</v>
      </c>
      <c r="GH23" s="348">
        <f>+GE23</f>
        <v>1905124</v>
      </c>
      <c r="GI23" s="343" t="s">
        <v>77</v>
      </c>
      <c r="GJ23" s="343">
        <f>+GH23/FM23-1</f>
        <v>0.1126747895400193</v>
      </c>
      <c r="GK23" s="348">
        <f>SUM(GK20:GK22)</f>
        <v>1644431</v>
      </c>
      <c r="GL23" s="343" t="s">
        <v>77</v>
      </c>
      <c r="GM23" s="343">
        <f>+GK23/FP23-1</f>
        <v>6.1073145173414778E-2</v>
      </c>
      <c r="GN23" s="348">
        <f>SUM(GN20:GN22)</f>
        <v>1720840</v>
      </c>
      <c r="GO23" s="343" t="s">
        <v>77</v>
      </c>
      <c r="GP23" s="343">
        <f>+GN23/FS23-1</f>
        <v>4.6842332517192276E-2</v>
      </c>
      <c r="GQ23" s="348">
        <f>+GN23</f>
        <v>1720840</v>
      </c>
      <c r="GR23" s="343" t="s">
        <v>77</v>
      </c>
      <c r="GS23" s="343">
        <f>+GQ23/FV23-1</f>
        <v>4.6842332517192276E-2</v>
      </c>
      <c r="GT23" s="348">
        <f>SUM(GT20:GT22)</f>
        <v>1620677</v>
      </c>
      <c r="GU23" s="343" t="s">
        <v>77</v>
      </c>
      <c r="GV23" s="343">
        <f>+GT23/FY23-1</f>
        <v>1.7201729775869756E-2</v>
      </c>
      <c r="GW23" s="348">
        <f>+GT23</f>
        <v>1620677</v>
      </c>
      <c r="GX23" s="343" t="s">
        <v>77</v>
      </c>
      <c r="GY23" s="343">
        <f>+GW23/GB23-1</f>
        <v>1.7201729775869756E-2</v>
      </c>
      <c r="GZ23" s="348">
        <f>SUM(GZ20:GZ22)</f>
        <v>1930867</v>
      </c>
      <c r="HA23" s="343" t="s">
        <v>77</v>
      </c>
      <c r="HB23" s="343">
        <f>+GZ23/GE23-1</f>
        <v>1.3512506272557623E-2</v>
      </c>
      <c r="HC23" s="348">
        <f>+GZ23</f>
        <v>1930867</v>
      </c>
      <c r="HD23" s="343" t="s">
        <v>77</v>
      </c>
      <c r="HE23" s="343">
        <f>+HC23/GH23-1</f>
        <v>1.3512506272557623E-2</v>
      </c>
      <c r="HF23" s="348">
        <f>SUM(HF20:HF22)</f>
        <v>1746152</v>
      </c>
      <c r="HG23" s="343" t="s">
        <v>77</v>
      </c>
      <c r="HH23" s="343">
        <f>+HF23/GK23-1</f>
        <v>6.1857870594752784E-2</v>
      </c>
      <c r="HI23" s="348">
        <f>SUM(HI20:HI22)</f>
        <v>1936230</v>
      </c>
      <c r="HJ23" s="343" t="s">
        <v>77</v>
      </c>
      <c r="HK23" s="343">
        <f>+HI23/GN23-1</f>
        <v>0.12516561679179938</v>
      </c>
      <c r="HL23" s="348">
        <f>+HI23</f>
        <v>1936230</v>
      </c>
      <c r="HM23" s="343" t="s">
        <v>77</v>
      </c>
      <c r="HN23" s="343">
        <f>+HL23/GQ23-1</f>
        <v>0.12516561679179938</v>
      </c>
      <c r="HO23" s="348">
        <f>SUM(HO20:HO22)</f>
        <v>1880502.43071</v>
      </c>
      <c r="HP23" s="343" t="s">
        <v>77</v>
      </c>
      <c r="HQ23" s="343">
        <f>+HO23/GT23-1</f>
        <v>0.16031907080189334</v>
      </c>
      <c r="HR23" s="348">
        <f>+HO23</f>
        <v>1880502.43071</v>
      </c>
      <c r="HS23" s="343" t="s">
        <v>77</v>
      </c>
      <c r="HT23" s="343">
        <f>+HR23/GW23-1</f>
        <v>0.16031907080189334</v>
      </c>
      <c r="HU23" s="348">
        <f>SUM(HU20:HU22)</f>
        <v>2316480.52446</v>
      </c>
      <c r="HV23" s="343" t="s">
        <v>77</v>
      </c>
      <c r="HW23" s="343">
        <f>+HU23/GZ23-1</f>
        <v>0.19971003930358755</v>
      </c>
      <c r="HX23" s="348">
        <f>+HU23</f>
        <v>2316480.52446</v>
      </c>
      <c r="HY23" s="343" t="s">
        <v>77</v>
      </c>
      <c r="HZ23" s="343">
        <f>+HX23/HC23-1</f>
        <v>0.19971003930358755</v>
      </c>
      <c r="IA23" s="348">
        <f>SUM(IA20:IA22)</f>
        <v>2121967</v>
      </c>
      <c r="IB23" s="343" t="s">
        <v>77</v>
      </c>
      <c r="IC23" s="343">
        <f>+IA23/HF23-1</f>
        <v>0.21522467688952629</v>
      </c>
      <c r="ID23" s="348">
        <f>SUM(ID20:ID22)</f>
        <v>2226119.9179599993</v>
      </c>
      <c r="IE23" s="343" t="s">
        <v>77</v>
      </c>
      <c r="IF23" s="343">
        <f>+ID23/HI23-1</f>
        <v>0.14971874103799609</v>
      </c>
      <c r="IG23" s="348">
        <f>SUM(IG20:IG22)</f>
        <v>2226120.1938199997</v>
      </c>
      <c r="IH23" s="343" t="s">
        <v>77</v>
      </c>
      <c r="II23" s="343">
        <f>+IG23/HL23-1</f>
        <v>0.1497188835107397</v>
      </c>
      <c r="IJ23" s="348">
        <f>SUM(IJ20:IJ22)</f>
        <v>2220854.3901800788</v>
      </c>
      <c r="IK23" s="343" t="s">
        <v>77</v>
      </c>
      <c r="IL23" s="343">
        <f>+IJ23/HO23-1</f>
        <v>0.18098990669295545</v>
      </c>
      <c r="IM23" s="348">
        <f>SUM(IM20:IM22)</f>
        <v>2220854</v>
      </c>
      <c r="IN23" s="343" t="s">
        <v>77</v>
      </c>
      <c r="IO23" s="343">
        <f>+IM23/HR23-1</f>
        <v>0.18098969920581132</v>
      </c>
      <c r="IP23" s="348">
        <f>SUM(IP20:IP22)</f>
        <v>2785724.6238921816</v>
      </c>
      <c r="IQ23" s="343" t="s">
        <v>77</v>
      </c>
      <c r="IR23" s="343">
        <f>+IP23/HU23-1</f>
        <v>0.20256768596902752</v>
      </c>
      <c r="IS23" s="348">
        <v>2785726</v>
      </c>
      <c r="IT23" s="343" t="s">
        <v>77</v>
      </c>
      <c r="IU23" s="343">
        <f>+IS23/HX23-1</f>
        <v>0.20256828002013405</v>
      </c>
      <c r="IV23" s="348">
        <f>SUM(IV20:IV22)</f>
        <v>2593730.8937998218</v>
      </c>
      <c r="IW23" s="343"/>
      <c r="IX23" s="343"/>
      <c r="IY23" s="348">
        <f>SUM(IY20:IY22)</f>
        <v>2707247.2436991963</v>
      </c>
      <c r="IZ23" s="343" t="s">
        <v>77</v>
      </c>
      <c r="JA23" s="343">
        <f>+IY23/ID23-1</f>
        <v>0.21612821567137264</v>
      </c>
      <c r="JB23" s="348">
        <f>SUM(JB20:JB22)</f>
        <v>2707247.2436991963</v>
      </c>
      <c r="JC23" s="343" t="s">
        <v>77</v>
      </c>
      <c r="JD23" s="343">
        <f>+JB23/IG23-1</f>
        <v>0.21612806496920878</v>
      </c>
      <c r="JE23" s="348">
        <f>SUM(JE20:JE22)</f>
        <v>2832443.8935599998</v>
      </c>
      <c r="JF23" s="343" t="s">
        <v>77</v>
      </c>
      <c r="JG23" s="343">
        <f>+JE23/IJ23-1</f>
        <v>0.27538478257925325</v>
      </c>
      <c r="JH23" s="348">
        <f>SUM(JH20:JH22)</f>
        <v>2832443.8935599998</v>
      </c>
      <c r="JI23" s="343" t="s">
        <v>77</v>
      </c>
      <c r="JJ23" s="343">
        <f>+JH23/IM23-1</f>
        <v>0.27538500665059473</v>
      </c>
      <c r="JK23" s="348">
        <f>SUM(JK20:JK22)</f>
        <v>3443772.7328000003</v>
      </c>
      <c r="JL23" s="343" t="s">
        <v>77</v>
      </c>
      <c r="JM23" s="343">
        <f>+JK23/IP23-1</f>
        <v>0.23622152141815134</v>
      </c>
      <c r="JN23" s="348">
        <f>SUM(JN20:JN22)</f>
        <v>3443772.7328000003</v>
      </c>
      <c r="JO23" s="343" t="s">
        <v>77</v>
      </c>
      <c r="JP23" s="343">
        <f>+JN23/IS23-1</f>
        <v>0.23622091074283702</v>
      </c>
      <c r="JQ23" s="348">
        <f>SUM(JQ20:JQ22)</f>
        <v>3230979.9702099995</v>
      </c>
      <c r="JR23" s="343" t="s">
        <v>77</v>
      </c>
      <c r="JS23" s="343">
        <f>+JQ23/IV23-1</f>
        <v>0.245688200704818</v>
      </c>
      <c r="JT23" s="348">
        <f>SUM(JT20:JT22)</f>
        <v>2647261</v>
      </c>
      <c r="JU23" s="343" t="s">
        <v>77</v>
      </c>
      <c r="JV23" s="343">
        <f>+JT23/IY23-1</f>
        <v>-2.2157652515412907E-2</v>
      </c>
      <c r="JW23" s="348">
        <f>SUM(JW20:JW22)</f>
        <v>2647261</v>
      </c>
      <c r="JX23" s="343" t="s">
        <v>77</v>
      </c>
      <c r="JY23" s="343">
        <f>+JW23/JB23-1</f>
        <v>-2.2157652515412907E-2</v>
      </c>
      <c r="JZ23" s="348">
        <f>SUM(JZ20:JZ22)</f>
        <v>2856314</v>
      </c>
      <c r="KA23" s="343" t="s">
        <v>77</v>
      </c>
      <c r="KB23" s="343">
        <f>+JZ23/JE23-1</f>
        <v>8.4273889746846464E-3</v>
      </c>
      <c r="KC23" s="348">
        <f>SUM(KC20:KC22)</f>
        <v>2856314</v>
      </c>
      <c r="KD23" s="343" t="s">
        <v>77</v>
      </c>
      <c r="KE23" s="343">
        <f>+KC23/JH23-1</f>
        <v>8.4273889746846464E-3</v>
      </c>
      <c r="KF23" s="348">
        <f>SUM(KF20:KF22)</f>
        <v>3517304.0000000005</v>
      </c>
      <c r="KG23" s="343" t="s">
        <v>77</v>
      </c>
      <c r="KH23" s="343">
        <f>+KF23/JK23-1</f>
        <v>2.1351951160904381E-2</v>
      </c>
      <c r="KI23" s="348">
        <f>SUM(KI20:KI22)</f>
        <v>3517304.0000000005</v>
      </c>
      <c r="KJ23" s="343" t="s">
        <v>77</v>
      </c>
      <c r="KK23" s="343">
        <f>+KI23/JN23-1</f>
        <v>2.1351951160904381E-2</v>
      </c>
    </row>
    <row r="24" spans="2:297" ht="16.5" customHeight="1">
      <c r="B24" s="322"/>
      <c r="C24" s="319"/>
      <c r="D24" s="224"/>
      <c r="E24" s="224"/>
      <c r="F24" s="224"/>
      <c r="G24" s="224"/>
      <c r="H24" s="224"/>
      <c r="I24" s="224"/>
      <c r="J24" s="224"/>
      <c r="K24" s="224"/>
      <c r="L24" s="224"/>
      <c r="M24" s="224"/>
      <c r="N24" s="224"/>
      <c r="O24" s="224"/>
      <c r="P24" s="224"/>
      <c r="Q24" s="224"/>
      <c r="R24" s="224"/>
      <c r="S24" s="224"/>
      <c r="T24" s="224"/>
      <c r="U24" s="224"/>
      <c r="V24" s="224"/>
      <c r="W24" s="224"/>
      <c r="X24" s="224"/>
      <c r="Y24" s="224"/>
      <c r="Z24" s="224"/>
      <c r="AA24" s="224"/>
      <c r="AB24" s="224"/>
      <c r="AC24" s="224"/>
      <c r="AD24" s="224"/>
      <c r="AE24" s="224"/>
      <c r="AF24" s="224"/>
      <c r="AG24" s="224"/>
      <c r="AH24" s="224"/>
      <c r="AI24" s="224"/>
      <c r="AJ24" s="224"/>
      <c r="AK24" s="224"/>
      <c r="AL24" s="224"/>
      <c r="AM24" s="224"/>
      <c r="AN24" s="224"/>
      <c r="AO24" s="224"/>
      <c r="AP24" s="224"/>
      <c r="AQ24" s="224"/>
      <c r="AR24" s="224"/>
      <c r="AS24" s="224"/>
      <c r="AT24" s="224"/>
      <c r="AU24" s="224"/>
      <c r="AV24" s="224"/>
      <c r="AW24" s="224"/>
      <c r="AX24" s="224"/>
      <c r="AY24" s="224"/>
      <c r="AZ24" s="224"/>
      <c r="BA24" s="224"/>
      <c r="BB24" s="224"/>
      <c r="BC24" s="224"/>
      <c r="BD24" s="224"/>
      <c r="BE24" s="224"/>
      <c r="BF24" s="224"/>
      <c r="BG24" s="224"/>
      <c r="BH24" s="224"/>
      <c r="BI24" s="224"/>
      <c r="BJ24" s="224"/>
      <c r="BK24" s="224"/>
      <c r="BL24" s="224"/>
      <c r="BM24" s="224"/>
      <c r="BN24" s="224"/>
      <c r="BO24" s="224"/>
      <c r="BP24" s="224"/>
      <c r="BQ24" s="224"/>
      <c r="BR24" s="224"/>
      <c r="BS24" s="224"/>
      <c r="BT24" s="224"/>
      <c r="BU24" s="224"/>
      <c r="BV24" s="224"/>
      <c r="BW24" s="224"/>
      <c r="BX24" s="224"/>
      <c r="BY24" s="224"/>
      <c r="BZ24" s="224"/>
      <c r="CA24" s="224"/>
      <c r="CB24" s="224"/>
      <c r="CC24" s="224"/>
      <c r="CD24" s="224"/>
      <c r="CE24" s="224"/>
      <c r="CF24" s="224"/>
      <c r="CG24" s="224"/>
      <c r="CH24" s="224"/>
      <c r="CI24" s="224"/>
      <c r="CJ24" s="224"/>
      <c r="CK24" s="224"/>
      <c r="CL24" s="224"/>
      <c r="CM24" s="224"/>
      <c r="CN24" s="224"/>
      <c r="CO24" s="224"/>
      <c r="CP24" s="224"/>
      <c r="CQ24" s="224"/>
      <c r="CR24" s="224"/>
      <c r="CS24" s="224"/>
      <c r="CT24" s="224"/>
      <c r="CU24" s="224"/>
      <c r="CV24" s="224"/>
      <c r="CW24" s="224"/>
      <c r="CX24" s="224"/>
      <c r="CY24" s="224"/>
      <c r="CZ24" s="224"/>
      <c r="DA24" s="224"/>
      <c r="DB24" s="224"/>
      <c r="DC24" s="224"/>
      <c r="DD24" s="224"/>
      <c r="DE24" s="224"/>
      <c r="DF24" s="224"/>
      <c r="DG24" s="224"/>
      <c r="DH24" s="224"/>
      <c r="DI24" s="224"/>
      <c r="DJ24" s="224"/>
      <c r="DK24" s="224"/>
      <c r="DL24" s="224"/>
      <c r="DM24" s="224"/>
      <c r="DN24" s="224"/>
      <c r="DO24" s="224"/>
      <c r="DP24" s="224"/>
      <c r="DQ24" s="224"/>
      <c r="DR24" s="224"/>
      <c r="DS24" s="224"/>
      <c r="DT24" s="224"/>
      <c r="DU24" s="224"/>
      <c r="DV24" s="224"/>
      <c r="DW24" s="224"/>
      <c r="DX24" s="224"/>
      <c r="DY24" s="224"/>
      <c r="DZ24" s="224"/>
      <c r="EA24" s="224"/>
      <c r="EB24" s="224"/>
      <c r="EC24" s="224"/>
      <c r="ED24" s="224"/>
      <c r="EE24" s="224"/>
      <c r="EF24" s="224"/>
      <c r="EG24" s="224"/>
      <c r="EH24" s="224"/>
      <c r="EI24" s="224"/>
      <c r="EJ24" s="224"/>
      <c r="EK24" s="224"/>
      <c r="EL24" s="224"/>
      <c r="EM24" s="224"/>
      <c r="EN24" s="224"/>
      <c r="EO24" s="224"/>
      <c r="EP24" s="224"/>
      <c r="EQ24" s="224"/>
      <c r="ER24" s="224"/>
      <c r="ES24" s="224"/>
      <c r="ET24" s="224"/>
      <c r="EU24" s="224"/>
      <c r="EV24" s="224"/>
      <c r="EW24" s="224"/>
      <c r="EX24" s="224"/>
      <c r="EY24" s="224"/>
      <c r="EZ24" s="224"/>
      <c r="FA24" s="224"/>
      <c r="FB24" s="224"/>
      <c r="FC24" s="224"/>
      <c r="FD24" s="224"/>
      <c r="FE24" s="224"/>
      <c r="FF24" s="224"/>
      <c r="FG24" s="224"/>
      <c r="FH24" s="224"/>
      <c r="FI24" s="224"/>
      <c r="FJ24" s="224"/>
      <c r="FK24" s="224"/>
      <c r="FL24" s="224"/>
      <c r="FM24" s="224"/>
      <c r="FN24" s="224"/>
      <c r="FO24" s="224"/>
      <c r="FP24" s="224"/>
      <c r="FQ24" s="224"/>
      <c r="FR24" s="224"/>
      <c r="FS24" s="224"/>
      <c r="FT24" s="224"/>
      <c r="FU24" s="224"/>
      <c r="FV24" s="224"/>
      <c r="FW24" s="224"/>
      <c r="FX24" s="224"/>
      <c r="FY24" s="224"/>
      <c r="FZ24" s="224"/>
      <c r="GA24" s="224"/>
      <c r="GB24" s="224"/>
      <c r="GC24" s="224"/>
      <c r="GD24" s="224"/>
      <c r="GE24" s="224"/>
      <c r="GF24" s="224"/>
      <c r="GG24" s="224"/>
      <c r="GH24" s="224"/>
      <c r="GI24" s="224"/>
      <c r="GJ24" s="224"/>
      <c r="GK24" s="224"/>
      <c r="GL24" s="224"/>
      <c r="GM24" s="224"/>
      <c r="GN24" s="224"/>
      <c r="GO24" s="224"/>
      <c r="GP24" s="224"/>
      <c r="GQ24" s="224"/>
      <c r="GR24" s="224"/>
      <c r="GS24" s="224"/>
      <c r="GT24" s="224"/>
      <c r="GU24" s="224"/>
      <c r="GV24" s="224"/>
      <c r="GW24" s="224"/>
      <c r="GX24" s="224"/>
      <c r="GY24" s="224"/>
      <c r="GZ24" s="224"/>
      <c r="HA24" s="224"/>
      <c r="HB24" s="224"/>
      <c r="HC24" s="224"/>
      <c r="HD24" s="224"/>
      <c r="HE24" s="224"/>
      <c r="HF24" s="224"/>
      <c r="HG24" s="224"/>
      <c r="HH24" s="224"/>
      <c r="HI24" s="224"/>
      <c r="HJ24" s="224"/>
      <c r="HK24" s="224"/>
      <c r="HL24" s="224"/>
      <c r="HM24" s="224"/>
      <c r="HN24" s="224"/>
      <c r="HO24" s="224"/>
      <c r="HP24" s="224"/>
      <c r="HQ24" s="224"/>
      <c r="HR24" s="224"/>
      <c r="HS24" s="224"/>
      <c r="HT24" s="224"/>
      <c r="HU24" s="224"/>
      <c r="HV24" s="224"/>
      <c r="HW24" s="224"/>
      <c r="HX24" s="224"/>
      <c r="HY24" s="224"/>
      <c r="HZ24" s="224"/>
      <c r="IA24" s="224"/>
      <c r="IB24" s="224"/>
      <c r="IC24" s="224"/>
      <c r="ID24" s="224"/>
      <c r="IE24" s="224"/>
      <c r="IF24" s="224"/>
      <c r="IG24" s="224"/>
      <c r="IH24" s="224"/>
      <c r="II24" s="224"/>
      <c r="IJ24" s="224"/>
      <c r="IK24" s="224"/>
      <c r="IL24" s="224"/>
      <c r="IM24" s="224"/>
      <c r="IN24" s="224"/>
      <c r="IO24" s="224"/>
      <c r="IP24" s="443">
        <f>IP23-'Recebíveis | Receivables'!FM49</f>
        <v>-0.13007781840860844</v>
      </c>
      <c r="IQ24" s="224"/>
      <c r="IR24" s="224"/>
      <c r="IS24" s="443"/>
      <c r="IT24" s="224"/>
      <c r="IU24" s="224"/>
      <c r="IV24" s="443"/>
      <c r="IW24" s="224"/>
      <c r="IX24" s="224"/>
      <c r="IY24" s="224"/>
      <c r="IZ24" s="224"/>
      <c r="JA24" s="224"/>
      <c r="JB24" s="224"/>
      <c r="JC24" s="224"/>
      <c r="JD24" s="224"/>
      <c r="JE24" s="224"/>
      <c r="JF24" s="224"/>
      <c r="JG24" s="224"/>
      <c r="JH24" s="224"/>
      <c r="JI24" s="224"/>
      <c r="JJ24" s="224"/>
      <c r="JK24" s="224"/>
      <c r="JL24" s="224"/>
      <c r="JM24" s="224"/>
      <c r="JN24" s="224"/>
      <c r="JO24" s="224"/>
      <c r="JP24" s="224"/>
      <c r="JQ24" s="224"/>
      <c r="JR24" s="224"/>
      <c r="JS24" s="224"/>
      <c r="JT24" s="224"/>
      <c r="JU24" s="224"/>
      <c r="JV24" s="224"/>
      <c r="JW24" s="224"/>
      <c r="JX24" s="224"/>
      <c r="JY24" s="224"/>
      <c r="JZ24" s="224"/>
      <c r="KA24" s="224"/>
      <c r="KB24" s="224"/>
      <c r="KC24" s="224"/>
      <c r="KD24" s="224"/>
      <c r="KE24" s="224"/>
      <c r="KF24" s="224"/>
      <c r="KG24" s="224"/>
      <c r="KH24" s="224"/>
      <c r="KI24" s="224"/>
      <c r="KJ24" s="224"/>
      <c r="KK24" s="224"/>
    </row>
    <row r="25" spans="2:297" ht="16.5" customHeight="1">
      <c r="B25" s="338" t="s">
        <v>1078</v>
      </c>
      <c r="C25" s="338" t="s">
        <v>410</v>
      </c>
      <c r="D25" s="327" t="s">
        <v>8</v>
      </c>
      <c r="E25" s="328" t="s">
        <v>4</v>
      </c>
      <c r="F25" s="327" t="s">
        <v>10</v>
      </c>
      <c r="G25" s="328" t="s">
        <v>4</v>
      </c>
      <c r="H25" s="327" t="s">
        <v>64</v>
      </c>
      <c r="I25" s="329" t="s">
        <v>4</v>
      </c>
      <c r="J25" s="327" t="s">
        <v>11</v>
      </c>
      <c r="K25" s="328" t="s">
        <v>4</v>
      </c>
      <c r="L25" s="327" t="s">
        <v>65</v>
      </c>
      <c r="M25" s="329" t="s">
        <v>4</v>
      </c>
      <c r="N25" s="327" t="s">
        <v>12</v>
      </c>
      <c r="O25" s="328" t="s">
        <v>4</v>
      </c>
      <c r="P25" s="327">
        <v>2006</v>
      </c>
      <c r="Q25" s="328" t="s">
        <v>4</v>
      </c>
      <c r="R25" s="327" t="s">
        <v>13</v>
      </c>
      <c r="S25" s="328" t="s">
        <v>4</v>
      </c>
      <c r="T25" s="327" t="s">
        <v>14</v>
      </c>
      <c r="U25" s="328" t="s">
        <v>4</v>
      </c>
      <c r="V25" s="327" t="s">
        <v>66</v>
      </c>
      <c r="W25" s="329" t="s">
        <v>4</v>
      </c>
      <c r="X25" s="327" t="s">
        <v>95</v>
      </c>
      <c r="Y25" s="328" t="s">
        <v>4</v>
      </c>
      <c r="Z25" s="327" t="s">
        <v>67</v>
      </c>
      <c r="AA25" s="329" t="s">
        <v>4</v>
      </c>
      <c r="AB25" s="327" t="s">
        <v>96</v>
      </c>
      <c r="AC25" s="328" t="s">
        <v>4</v>
      </c>
      <c r="AD25" s="327">
        <v>2007</v>
      </c>
      <c r="AE25" s="328" t="s">
        <v>4</v>
      </c>
      <c r="AF25" s="327" t="s">
        <v>97</v>
      </c>
      <c r="AG25" s="328" t="s">
        <v>4</v>
      </c>
      <c r="AH25" s="327" t="s">
        <v>98</v>
      </c>
      <c r="AI25" s="328" t="s">
        <v>4</v>
      </c>
      <c r="AJ25" s="330" t="s">
        <v>68</v>
      </c>
      <c r="AK25" s="329" t="s">
        <v>4</v>
      </c>
      <c r="AL25" s="327" t="s">
        <v>99</v>
      </c>
      <c r="AM25" s="328" t="s">
        <v>4</v>
      </c>
      <c r="AN25" s="330" t="s">
        <v>69</v>
      </c>
      <c r="AO25" s="329" t="s">
        <v>4</v>
      </c>
      <c r="AP25" s="327" t="s">
        <v>100</v>
      </c>
      <c r="AQ25" s="328" t="s">
        <v>4</v>
      </c>
      <c r="AR25" s="327">
        <v>2008</v>
      </c>
      <c r="AS25" s="328" t="s">
        <v>4</v>
      </c>
      <c r="AT25" s="327" t="s">
        <v>101</v>
      </c>
      <c r="AU25" s="328" t="s">
        <v>4</v>
      </c>
      <c r="AV25" s="328" t="s">
        <v>9</v>
      </c>
      <c r="AW25" s="327" t="s">
        <v>102</v>
      </c>
      <c r="AX25" s="328" t="s">
        <v>4</v>
      </c>
      <c r="AY25" s="328" t="s">
        <v>9</v>
      </c>
      <c r="AZ25" s="330" t="s">
        <v>70</v>
      </c>
      <c r="BA25" s="329" t="s">
        <v>4</v>
      </c>
      <c r="BB25" s="329" t="s">
        <v>9</v>
      </c>
      <c r="BC25" s="327" t="s">
        <v>103</v>
      </c>
      <c r="BD25" s="328" t="s">
        <v>4</v>
      </c>
      <c r="BE25" s="328" t="s">
        <v>9</v>
      </c>
      <c r="BF25" s="330" t="s">
        <v>71</v>
      </c>
      <c r="BG25" s="329" t="s">
        <v>4</v>
      </c>
      <c r="BH25" s="329" t="s">
        <v>9</v>
      </c>
      <c r="BI25" s="327" t="s">
        <v>104</v>
      </c>
      <c r="BJ25" s="328" t="s">
        <v>4</v>
      </c>
      <c r="BK25" s="328" t="s">
        <v>9</v>
      </c>
      <c r="BL25" s="327">
        <v>2009</v>
      </c>
      <c r="BM25" s="328" t="s">
        <v>4</v>
      </c>
      <c r="BN25" s="328" t="s">
        <v>9</v>
      </c>
      <c r="BO25" s="327" t="s">
        <v>105</v>
      </c>
      <c r="BP25" s="328" t="s">
        <v>4</v>
      </c>
      <c r="BQ25" s="328" t="s">
        <v>9</v>
      </c>
      <c r="BR25" s="327" t="s">
        <v>106</v>
      </c>
      <c r="BS25" s="328" t="s">
        <v>4</v>
      </c>
      <c r="BT25" s="328" t="s">
        <v>9</v>
      </c>
      <c r="BU25" s="330" t="s">
        <v>72</v>
      </c>
      <c r="BV25" s="329" t="s">
        <v>4</v>
      </c>
      <c r="BW25" s="329" t="s">
        <v>9</v>
      </c>
      <c r="BX25" s="327" t="s">
        <v>107</v>
      </c>
      <c r="BY25" s="328" t="s">
        <v>4</v>
      </c>
      <c r="BZ25" s="328" t="s">
        <v>9</v>
      </c>
      <c r="CA25" s="330" t="s">
        <v>73</v>
      </c>
      <c r="CB25" s="329" t="s">
        <v>4</v>
      </c>
      <c r="CC25" s="329" t="s">
        <v>9</v>
      </c>
      <c r="CD25" s="330" t="s">
        <v>110</v>
      </c>
      <c r="CE25" s="328" t="s">
        <v>4</v>
      </c>
      <c r="CF25" s="328" t="s">
        <v>9</v>
      </c>
      <c r="CG25" s="330">
        <v>2010</v>
      </c>
      <c r="CH25" s="328" t="s">
        <v>4</v>
      </c>
      <c r="CI25" s="328" t="s">
        <v>9</v>
      </c>
      <c r="CJ25" s="330" t="s">
        <v>220</v>
      </c>
      <c r="CK25" s="328" t="s">
        <v>4</v>
      </c>
      <c r="CL25" s="328" t="s">
        <v>9</v>
      </c>
      <c r="CM25" s="330" t="s">
        <v>253</v>
      </c>
      <c r="CN25" s="328" t="s">
        <v>4</v>
      </c>
      <c r="CO25" s="328" t="s">
        <v>9</v>
      </c>
      <c r="CP25" s="330" t="s">
        <v>254</v>
      </c>
      <c r="CQ25" s="328" t="s">
        <v>4</v>
      </c>
      <c r="CR25" s="328" t="s">
        <v>9</v>
      </c>
      <c r="CS25" s="330" t="s">
        <v>283</v>
      </c>
      <c r="CT25" s="328" t="s">
        <v>4</v>
      </c>
      <c r="CU25" s="328" t="s">
        <v>9</v>
      </c>
      <c r="CV25" s="330" t="s">
        <v>284</v>
      </c>
      <c r="CW25" s="328" t="s">
        <v>4</v>
      </c>
      <c r="CX25" s="328" t="s">
        <v>9</v>
      </c>
      <c r="CY25" s="330" t="s">
        <v>286</v>
      </c>
      <c r="CZ25" s="328" t="s">
        <v>4</v>
      </c>
      <c r="DA25" s="328" t="s">
        <v>9</v>
      </c>
      <c r="DB25" s="330">
        <v>2011</v>
      </c>
      <c r="DC25" s="328" t="s">
        <v>4</v>
      </c>
      <c r="DD25" s="328" t="s">
        <v>9</v>
      </c>
      <c r="DE25" s="330" t="s">
        <v>292</v>
      </c>
      <c r="DF25" s="328" t="s">
        <v>4</v>
      </c>
      <c r="DG25" s="328" t="s">
        <v>9</v>
      </c>
      <c r="DH25" s="330" t="s">
        <v>299</v>
      </c>
      <c r="DI25" s="328" t="s">
        <v>4</v>
      </c>
      <c r="DJ25" s="328" t="s">
        <v>9</v>
      </c>
      <c r="DK25" s="330" t="s">
        <v>300</v>
      </c>
      <c r="DL25" s="328" t="s">
        <v>4</v>
      </c>
      <c r="DM25" s="328" t="s">
        <v>9</v>
      </c>
      <c r="DN25" s="330" t="s">
        <v>305</v>
      </c>
      <c r="DO25" s="328" t="s">
        <v>4</v>
      </c>
      <c r="DP25" s="328" t="s">
        <v>9</v>
      </c>
      <c r="DQ25" s="330" t="s">
        <v>306</v>
      </c>
      <c r="DR25" s="328" t="s">
        <v>4</v>
      </c>
      <c r="DS25" s="328" t="s">
        <v>9</v>
      </c>
      <c r="DT25" s="330" t="s">
        <v>308</v>
      </c>
      <c r="DU25" s="328" t="s">
        <v>4</v>
      </c>
      <c r="DV25" s="328" t="s">
        <v>9</v>
      </c>
      <c r="DW25" s="330">
        <v>2012</v>
      </c>
      <c r="DX25" s="328" t="s">
        <v>4</v>
      </c>
      <c r="DY25" s="328" t="s">
        <v>9</v>
      </c>
      <c r="DZ25" s="330" t="s">
        <v>316</v>
      </c>
      <c r="EA25" s="328" t="s">
        <v>4</v>
      </c>
      <c r="EB25" s="328" t="s">
        <v>9</v>
      </c>
      <c r="EC25" s="330" t="s">
        <v>324</v>
      </c>
      <c r="ED25" s="328" t="s">
        <v>4</v>
      </c>
      <c r="EE25" s="328" t="s">
        <v>9</v>
      </c>
      <c r="EF25" s="330" t="s">
        <v>325</v>
      </c>
      <c r="EG25" s="328" t="s">
        <v>4</v>
      </c>
      <c r="EH25" s="328" t="s">
        <v>9</v>
      </c>
      <c r="EI25" s="330" t="s">
        <v>328</v>
      </c>
      <c r="EJ25" s="328" t="s">
        <v>4</v>
      </c>
      <c r="EK25" s="328" t="s">
        <v>9</v>
      </c>
      <c r="EL25" s="330" t="s">
        <v>329</v>
      </c>
      <c r="EM25" s="328" t="s">
        <v>4</v>
      </c>
      <c r="EN25" s="328" t="s">
        <v>9</v>
      </c>
      <c r="EO25" s="330" t="s">
        <v>333</v>
      </c>
      <c r="EP25" s="328" t="s">
        <v>4</v>
      </c>
      <c r="EQ25" s="328" t="s">
        <v>9</v>
      </c>
      <c r="ER25" s="330">
        <v>2013</v>
      </c>
      <c r="ES25" s="328" t="s">
        <v>4</v>
      </c>
      <c r="ET25" s="328" t="s">
        <v>9</v>
      </c>
      <c r="EU25" s="330" t="s">
        <v>336</v>
      </c>
      <c r="EV25" s="328" t="s">
        <v>4</v>
      </c>
      <c r="EW25" s="328" t="s">
        <v>9</v>
      </c>
      <c r="EX25" s="330" t="s">
        <v>345</v>
      </c>
      <c r="EY25" s="328" t="s">
        <v>4</v>
      </c>
      <c r="EZ25" s="328" t="s">
        <v>9</v>
      </c>
      <c r="FA25" s="330" t="s">
        <v>346</v>
      </c>
      <c r="FB25" s="328" t="s">
        <v>4</v>
      </c>
      <c r="FC25" s="328" t="s">
        <v>9</v>
      </c>
      <c r="FD25" s="330" t="s">
        <v>349</v>
      </c>
      <c r="FE25" s="328" t="s">
        <v>4</v>
      </c>
      <c r="FF25" s="328" t="s">
        <v>9</v>
      </c>
      <c r="FG25" s="330" t="s">
        <v>350</v>
      </c>
      <c r="FH25" s="328" t="s">
        <v>4</v>
      </c>
      <c r="FI25" s="328" t="s">
        <v>9</v>
      </c>
      <c r="FJ25" s="330" t="s">
        <v>356</v>
      </c>
      <c r="FK25" s="328" t="s">
        <v>4</v>
      </c>
      <c r="FL25" s="328" t="s">
        <v>9</v>
      </c>
      <c r="FM25" s="330">
        <v>2014</v>
      </c>
      <c r="FN25" s="328" t="s">
        <v>4</v>
      </c>
      <c r="FO25" s="328" t="s">
        <v>9</v>
      </c>
      <c r="FP25" s="330" t="s">
        <v>361</v>
      </c>
      <c r="FQ25" s="328" t="s">
        <v>4</v>
      </c>
      <c r="FR25" s="328" t="s">
        <v>9</v>
      </c>
      <c r="FS25" s="330" t="s">
        <v>371</v>
      </c>
      <c r="FT25" s="328" t="s">
        <v>4</v>
      </c>
      <c r="FU25" s="328" t="s">
        <v>9</v>
      </c>
      <c r="FV25" s="330" t="s">
        <v>372</v>
      </c>
      <c r="FW25" s="328" t="s">
        <v>4</v>
      </c>
      <c r="FX25" s="328" t="s">
        <v>9</v>
      </c>
      <c r="FY25" s="330" t="s">
        <v>393</v>
      </c>
      <c r="FZ25" s="328" t="s">
        <v>4</v>
      </c>
      <c r="GA25" s="328" t="s">
        <v>9</v>
      </c>
      <c r="GB25" s="330" t="s">
        <v>394</v>
      </c>
      <c r="GC25" s="328" t="s">
        <v>4</v>
      </c>
      <c r="GD25" s="328" t="s">
        <v>9</v>
      </c>
      <c r="GE25" s="330" t="s">
        <v>396</v>
      </c>
      <c r="GF25" s="328" t="s">
        <v>4</v>
      </c>
      <c r="GG25" s="328" t="s">
        <v>9</v>
      </c>
      <c r="GH25" s="330">
        <v>2015</v>
      </c>
      <c r="GI25" s="328" t="s">
        <v>4</v>
      </c>
      <c r="GJ25" s="328" t="s">
        <v>9</v>
      </c>
      <c r="GK25" s="330" t="s">
        <v>455</v>
      </c>
      <c r="GL25" s="328" t="s">
        <v>4</v>
      </c>
      <c r="GM25" s="328" t="s">
        <v>9</v>
      </c>
      <c r="GN25" s="330" t="s">
        <v>819</v>
      </c>
      <c r="GO25" s="328" t="s">
        <v>4</v>
      </c>
      <c r="GP25" s="328" t="s">
        <v>9</v>
      </c>
      <c r="GQ25" s="330" t="s">
        <v>846</v>
      </c>
      <c r="GR25" s="328" t="s">
        <v>4</v>
      </c>
      <c r="GS25" s="328" t="s">
        <v>9</v>
      </c>
      <c r="GT25" s="330" t="str">
        <f>+GT$3</f>
        <v>3TQ16</v>
      </c>
      <c r="GU25" s="328" t="s">
        <v>4</v>
      </c>
      <c r="GV25" s="328" t="s">
        <v>9</v>
      </c>
      <c r="GW25" s="330" t="str">
        <f>+GW$3</f>
        <v>9M16</v>
      </c>
      <c r="GX25" s="328" t="s">
        <v>4</v>
      </c>
      <c r="GY25" s="328" t="s">
        <v>9</v>
      </c>
      <c r="GZ25" s="330" t="str">
        <f>+GZ$3</f>
        <v>4TQ16</v>
      </c>
      <c r="HA25" s="328" t="s">
        <v>4</v>
      </c>
      <c r="HB25" s="328" t="s">
        <v>9</v>
      </c>
      <c r="HC25" s="330">
        <f>+HC$3</f>
        <v>2016</v>
      </c>
      <c r="HD25" s="328" t="s">
        <v>4</v>
      </c>
      <c r="HE25" s="328" t="s">
        <v>9</v>
      </c>
      <c r="HF25" s="330" t="str">
        <f>+HF3</f>
        <v>1TQ17</v>
      </c>
      <c r="HG25" s="328" t="s">
        <v>4</v>
      </c>
      <c r="HH25" s="328" t="s">
        <v>9</v>
      </c>
      <c r="HI25" s="330" t="str">
        <f>+HI$3</f>
        <v>2TQ17</v>
      </c>
      <c r="HJ25" s="328" t="s">
        <v>4</v>
      </c>
      <c r="HK25" s="328" t="s">
        <v>9</v>
      </c>
      <c r="HL25" s="330" t="str">
        <f>+HL$3</f>
        <v>6M17</v>
      </c>
      <c r="HM25" s="328" t="s">
        <v>4</v>
      </c>
      <c r="HN25" s="328" t="s">
        <v>9</v>
      </c>
      <c r="HO25" s="330" t="str">
        <f>+HO$3</f>
        <v>3TQ17</v>
      </c>
      <c r="HP25" s="328" t="s">
        <v>4</v>
      </c>
      <c r="HQ25" s="328" t="s">
        <v>9</v>
      </c>
      <c r="HR25" s="330" t="str">
        <f>+HR$3</f>
        <v>9M17</v>
      </c>
      <c r="HS25" s="328" t="s">
        <v>4</v>
      </c>
      <c r="HT25" s="328" t="s">
        <v>9</v>
      </c>
      <c r="HU25" s="330" t="str">
        <f>+HU$3</f>
        <v>4TQ17</v>
      </c>
      <c r="HV25" s="328" t="s">
        <v>4</v>
      </c>
      <c r="HW25" s="328" t="s">
        <v>9</v>
      </c>
      <c r="HX25" s="330">
        <f>+HX$3</f>
        <v>2017</v>
      </c>
      <c r="HY25" s="328" t="s">
        <v>4</v>
      </c>
      <c r="HZ25" s="328" t="s">
        <v>9</v>
      </c>
      <c r="IA25" s="330" t="str">
        <f>+IA3</f>
        <v>1TQ18</v>
      </c>
      <c r="IB25" s="328" t="s">
        <v>4</v>
      </c>
      <c r="IC25" s="328" t="s">
        <v>9</v>
      </c>
      <c r="ID25" s="330" t="s">
        <v>1256</v>
      </c>
      <c r="IE25" s="328" t="s">
        <v>4</v>
      </c>
      <c r="IF25" s="328" t="s">
        <v>9</v>
      </c>
      <c r="IG25" s="330" t="s">
        <v>1257</v>
      </c>
      <c r="IH25" s="328" t="s">
        <v>4</v>
      </c>
      <c r="II25" s="328" t="s">
        <v>9</v>
      </c>
      <c r="IJ25" s="330" t="s">
        <v>1313</v>
      </c>
      <c r="IK25" s="328" t="s">
        <v>4</v>
      </c>
      <c r="IL25" s="328" t="s">
        <v>9</v>
      </c>
      <c r="IM25" s="330" t="s">
        <v>1314</v>
      </c>
      <c r="IN25" s="328" t="s">
        <v>4</v>
      </c>
      <c r="IO25" s="328" t="s">
        <v>9</v>
      </c>
      <c r="IP25" s="330" t="s">
        <v>1307</v>
      </c>
      <c r="IQ25" s="328" t="s">
        <v>4</v>
      </c>
      <c r="IR25" s="328" t="s">
        <v>9</v>
      </c>
      <c r="IS25" s="330">
        <v>2018</v>
      </c>
      <c r="IT25" s="328" t="s">
        <v>4</v>
      </c>
      <c r="IU25" s="328" t="s">
        <v>9</v>
      </c>
      <c r="IV25" s="330" t="s">
        <v>1358</v>
      </c>
      <c r="IW25" s="328" t="s">
        <v>4</v>
      </c>
      <c r="IX25" s="328" t="s">
        <v>9</v>
      </c>
      <c r="IY25" s="330" t="str">
        <f>IY3</f>
        <v>2TQ19</v>
      </c>
      <c r="IZ25" s="328" t="s">
        <v>4</v>
      </c>
      <c r="JA25" s="328" t="s">
        <v>9</v>
      </c>
      <c r="JB25" s="330" t="str">
        <f>JB3</f>
        <v>6M19</v>
      </c>
      <c r="JC25" s="328" t="s">
        <v>4</v>
      </c>
      <c r="JD25" s="328" t="s">
        <v>9</v>
      </c>
      <c r="JE25" s="330" t="str">
        <f>JE19</f>
        <v>3Q19</v>
      </c>
      <c r="JF25" s="328" t="s">
        <v>4</v>
      </c>
      <c r="JG25" s="328" t="s">
        <v>9</v>
      </c>
      <c r="JH25" s="330" t="str">
        <f>JH19</f>
        <v>9M19</v>
      </c>
      <c r="JI25" s="328" t="s">
        <v>4</v>
      </c>
      <c r="JJ25" s="328" t="s">
        <v>9</v>
      </c>
      <c r="JK25" s="330" t="str">
        <f>JK19</f>
        <v>4Q19</v>
      </c>
      <c r="JL25" s="328" t="s">
        <v>4</v>
      </c>
      <c r="JM25" s="328" t="s">
        <v>9</v>
      </c>
      <c r="JN25" s="330">
        <f>JN19</f>
        <v>2019</v>
      </c>
      <c r="JO25" s="328" t="s">
        <v>4</v>
      </c>
      <c r="JP25" s="328" t="s">
        <v>9</v>
      </c>
      <c r="JQ25" s="330" t="str">
        <f>JQ19</f>
        <v>1Q20</v>
      </c>
      <c r="JR25" s="328" t="s">
        <v>4</v>
      </c>
      <c r="JS25" s="328" t="s">
        <v>9</v>
      </c>
      <c r="JT25" s="330" t="str">
        <f>JT19</f>
        <v>2Q20</v>
      </c>
      <c r="JU25" s="328" t="s">
        <v>4</v>
      </c>
      <c r="JV25" s="328" t="s">
        <v>9</v>
      </c>
      <c r="JW25" s="330" t="str">
        <f>JW3</f>
        <v>6M20</v>
      </c>
      <c r="JX25" s="328" t="s">
        <v>4</v>
      </c>
      <c r="JY25" s="328" t="s">
        <v>9</v>
      </c>
      <c r="JZ25" s="330" t="str">
        <f>JZ3</f>
        <v>3Q20</v>
      </c>
      <c r="KA25" s="328" t="s">
        <v>4</v>
      </c>
      <c r="KB25" s="328" t="s">
        <v>9</v>
      </c>
      <c r="KC25" s="330" t="str">
        <f>KC3</f>
        <v>9M20</v>
      </c>
      <c r="KD25" s="328" t="s">
        <v>4</v>
      </c>
      <c r="KE25" s="328" t="s">
        <v>9</v>
      </c>
      <c r="KF25" s="330" t="str">
        <f>KF3</f>
        <v>4Q20</v>
      </c>
      <c r="KG25" s="328" t="s">
        <v>4</v>
      </c>
      <c r="KH25" s="328" t="s">
        <v>9</v>
      </c>
      <c r="KI25" s="330">
        <f>KI3</f>
        <v>2020</v>
      </c>
      <c r="KJ25" s="328" t="s">
        <v>4</v>
      </c>
      <c r="KK25" s="328" t="s">
        <v>9</v>
      </c>
    </row>
    <row r="26" spans="2:297" ht="16.5" customHeight="1">
      <c r="B26" s="222" t="s">
        <v>364</v>
      </c>
      <c r="C26" s="222" t="s">
        <v>376</v>
      </c>
      <c r="D26" s="26" t="s">
        <v>77</v>
      </c>
      <c r="E26" s="26" t="s">
        <v>77</v>
      </c>
      <c r="F26" s="26" t="s">
        <v>77</v>
      </c>
      <c r="G26" s="26" t="s">
        <v>77</v>
      </c>
      <c r="H26" s="26" t="s">
        <v>77</v>
      </c>
      <c r="I26" s="26" t="s">
        <v>77</v>
      </c>
      <c r="J26" s="26" t="s">
        <v>77</v>
      </c>
      <c r="K26" s="26" t="s">
        <v>77</v>
      </c>
      <c r="L26" s="26" t="s">
        <v>77</v>
      </c>
      <c r="M26" s="26" t="s">
        <v>77</v>
      </c>
      <c r="N26" s="26" t="s">
        <v>77</v>
      </c>
      <c r="O26" s="26" t="s">
        <v>77</v>
      </c>
      <c r="P26" s="26" t="s">
        <v>77</v>
      </c>
      <c r="Q26" s="26" t="s">
        <v>77</v>
      </c>
      <c r="R26" s="26">
        <v>0.2043018346456183</v>
      </c>
      <c r="S26" s="26" t="s">
        <v>77</v>
      </c>
      <c r="T26" s="26">
        <v>0.2128458179914513</v>
      </c>
      <c r="U26" s="26" t="s">
        <v>77</v>
      </c>
      <c r="V26" s="26">
        <f>+T26</f>
        <v>0.2128458179914513</v>
      </c>
      <c r="W26" s="26" t="s">
        <v>77</v>
      </c>
      <c r="X26" s="26">
        <v>0.2277302945704347</v>
      </c>
      <c r="Y26" s="26" t="s">
        <v>77</v>
      </c>
      <c r="Z26" s="26">
        <f>+X26</f>
        <v>0.2277302945704347</v>
      </c>
      <c r="AA26" s="26" t="s">
        <v>77</v>
      </c>
      <c r="AB26" s="26">
        <v>0.12913269924698689</v>
      </c>
      <c r="AC26" s="26" t="s">
        <v>77</v>
      </c>
      <c r="AD26" s="26">
        <f>+AB26</f>
        <v>0.12913269924698689</v>
      </c>
      <c r="AE26" s="26" t="s">
        <v>77</v>
      </c>
      <c r="AF26" s="26">
        <v>0.20928382498531942</v>
      </c>
      <c r="AG26" s="26" t="s">
        <v>77</v>
      </c>
      <c r="AH26" s="26">
        <v>0.21717070730073695</v>
      </c>
      <c r="AI26" s="26" t="s">
        <v>77</v>
      </c>
      <c r="AJ26" s="26">
        <f>+AH26</f>
        <v>0.21717070730073695</v>
      </c>
      <c r="AK26" s="26" t="s">
        <v>77</v>
      </c>
      <c r="AL26" s="26">
        <v>0.2411571723977099</v>
      </c>
      <c r="AM26" s="26" t="s">
        <v>77</v>
      </c>
      <c r="AN26" s="26">
        <f>+AL26</f>
        <v>0.2411571723977099</v>
      </c>
      <c r="AO26" s="26" t="s">
        <v>77</v>
      </c>
      <c r="AP26" s="26">
        <v>0.15049697009576163</v>
      </c>
      <c r="AQ26" s="26" t="s">
        <v>77</v>
      </c>
      <c r="AR26" s="26">
        <f>+AP26</f>
        <v>0.15049697009576163</v>
      </c>
      <c r="AS26" s="26" t="s">
        <v>77</v>
      </c>
      <c r="AT26" s="26">
        <v>0.23515364076425643</v>
      </c>
      <c r="AU26" s="26" t="s">
        <v>77</v>
      </c>
      <c r="AV26" s="226">
        <f>(AT26-AF26)*100</f>
        <v>2.5869815778937015</v>
      </c>
      <c r="AW26" s="26">
        <v>0.21907941813849535</v>
      </c>
      <c r="AX26" s="26" t="s">
        <v>77</v>
      </c>
      <c r="AY26" s="226">
        <f>(AW26-AH26)*100</f>
        <v>0.19087108377583983</v>
      </c>
      <c r="AZ26" s="26">
        <f>+AW26</f>
        <v>0.21907941813849535</v>
      </c>
      <c r="BA26" s="26" t="s">
        <v>77</v>
      </c>
      <c r="BB26" s="226">
        <f>(AZ26-AJ26)*100</f>
        <v>0.19087108377583983</v>
      </c>
      <c r="BC26" s="26">
        <v>0.22495071520928944</v>
      </c>
      <c r="BD26" s="26" t="s">
        <v>77</v>
      </c>
      <c r="BE26" s="226">
        <f>(BC26-AL26)*100</f>
        <v>-1.6206457188420453</v>
      </c>
      <c r="BF26" s="26">
        <f>+BC26</f>
        <v>0.22495071520928944</v>
      </c>
      <c r="BG26" s="26" t="s">
        <v>77</v>
      </c>
      <c r="BH26" s="226">
        <f>(BF26-AN26)*100</f>
        <v>-1.6206457188420453</v>
      </c>
      <c r="BI26" s="26">
        <v>0.11735340573783801</v>
      </c>
      <c r="BJ26" s="26" t="s">
        <v>77</v>
      </c>
      <c r="BK26" s="226">
        <f>(BI26-AP26)*100</f>
        <v>-3.3143564357923623</v>
      </c>
      <c r="BL26" s="26">
        <f>+BI26</f>
        <v>0.11735340573783801</v>
      </c>
      <c r="BM26" s="26" t="s">
        <v>77</v>
      </c>
      <c r="BN26" s="226">
        <f>(BL26-AR26)*100</f>
        <v>-3.3143564357923623</v>
      </c>
      <c r="BO26" s="26">
        <v>0.20418795207715273</v>
      </c>
      <c r="BP26" s="26" t="s">
        <v>77</v>
      </c>
      <c r="BQ26" s="226">
        <f>(BO26-AT26)*100</f>
        <v>-3.0965688687103698</v>
      </c>
      <c r="BR26" s="26">
        <v>0.20204250419311282</v>
      </c>
      <c r="BS26" s="26" t="s">
        <v>77</v>
      </c>
      <c r="BT26" s="226">
        <f>(BR26-AW26)*100</f>
        <v>-1.7036913945382537</v>
      </c>
      <c r="BU26" s="26">
        <f>+BR26</f>
        <v>0.20204250419311282</v>
      </c>
      <c r="BV26" s="26" t="s">
        <v>77</v>
      </c>
      <c r="BW26" s="226">
        <f>(BU26-AZ26)*100</f>
        <v>-1.7036913945382537</v>
      </c>
      <c r="BX26" s="26">
        <v>0.21456081245973518</v>
      </c>
      <c r="BY26" s="26" t="s">
        <v>77</v>
      </c>
      <c r="BZ26" s="226">
        <f>(BX26-BC26)*100</f>
        <v>-1.0389902749554258</v>
      </c>
      <c r="CA26" s="26">
        <f>+BX26</f>
        <v>0.21456081245973518</v>
      </c>
      <c r="CB26" s="26" t="s">
        <v>77</v>
      </c>
      <c r="CC26" s="226">
        <f>(CA26-BF26)*100</f>
        <v>-1.0389902749554258</v>
      </c>
      <c r="CD26" s="26">
        <v>0.11240143636919882</v>
      </c>
      <c r="CE26" s="26" t="s">
        <v>77</v>
      </c>
      <c r="CF26" s="226">
        <f>(CD26-BI26)*100</f>
        <v>-0.49519693686391891</v>
      </c>
      <c r="CG26" s="26">
        <f>+CD26</f>
        <v>0.11240143636919882</v>
      </c>
      <c r="CH26" s="26" t="s">
        <v>77</v>
      </c>
      <c r="CI26" s="226">
        <f>(CG26-BL26)*100</f>
        <v>-0.49519693686391891</v>
      </c>
      <c r="CJ26" s="26">
        <v>0.18860338503710944</v>
      </c>
      <c r="CK26" s="26" t="s">
        <v>77</v>
      </c>
      <c r="CL26" s="226">
        <f>(CJ26-BO26)*100</f>
        <v>-1.5584567040043296</v>
      </c>
      <c r="CM26" s="26">
        <v>0.19225652585275971</v>
      </c>
      <c r="CN26" s="26" t="s">
        <v>77</v>
      </c>
      <c r="CO26" s="226">
        <f>(CM26-BR26)*100</f>
        <v>-0.97859783403531075</v>
      </c>
      <c r="CP26" s="26">
        <f>+CM26</f>
        <v>0.19225652585275971</v>
      </c>
      <c r="CQ26" s="26" t="s">
        <v>77</v>
      </c>
      <c r="CR26" s="226">
        <f>(CP26-BU26)*100</f>
        <v>-0.97859783403531075</v>
      </c>
      <c r="CS26" s="26">
        <v>0.2223406969118949</v>
      </c>
      <c r="CT26" s="26" t="s">
        <v>77</v>
      </c>
      <c r="CU26" s="226">
        <f>(CS26-BX26)*100</f>
        <v>0.77798844521597132</v>
      </c>
      <c r="CV26" s="26">
        <f>+CS26</f>
        <v>0.2223406969118949</v>
      </c>
      <c r="CW26" s="26" t="s">
        <v>77</v>
      </c>
      <c r="CX26" s="226">
        <f>(CV26-CA26)*100</f>
        <v>0.77798844521597132</v>
      </c>
      <c r="CY26" s="26">
        <v>0.12548940717118756</v>
      </c>
      <c r="CZ26" s="26" t="s">
        <v>77</v>
      </c>
      <c r="DA26" s="226">
        <f>(CY26-CD26)*100</f>
        <v>1.3087970801988744</v>
      </c>
      <c r="DB26" s="26">
        <f>+CY26</f>
        <v>0.12548940717118756</v>
      </c>
      <c r="DC26" s="26" t="s">
        <v>77</v>
      </c>
      <c r="DD26" s="226">
        <f>(DB26-CG26)*100</f>
        <v>1.3087970801988744</v>
      </c>
      <c r="DE26" s="26">
        <v>0.18726061200283473</v>
      </c>
      <c r="DF26" s="26" t="s">
        <v>77</v>
      </c>
      <c r="DG26" s="226">
        <f>(DE26-CJ26)*100</f>
        <v>-0.13427730342747135</v>
      </c>
      <c r="DH26" s="26">
        <v>0.18714273216308572</v>
      </c>
      <c r="DI26" s="26" t="s">
        <v>77</v>
      </c>
      <c r="DJ26" s="226">
        <f>(DH26-CM26)*100</f>
        <v>-0.511379368967399</v>
      </c>
      <c r="DK26" s="26">
        <f>+DH26</f>
        <v>0.18714273216308572</v>
      </c>
      <c r="DL26" s="26" t="s">
        <v>77</v>
      </c>
      <c r="DM26" s="226">
        <f>(DK26-CP26)*100</f>
        <v>-0.511379368967399</v>
      </c>
      <c r="DN26" s="26">
        <v>0.20300938912563868</v>
      </c>
      <c r="DO26" s="26" t="s">
        <v>77</v>
      </c>
      <c r="DP26" s="226">
        <f>(DN26-CS26)*100</f>
        <v>-1.933130778625622</v>
      </c>
      <c r="DQ26" s="26">
        <f>+DN26</f>
        <v>0.20300938912563868</v>
      </c>
      <c r="DR26" s="26" t="s">
        <v>77</v>
      </c>
      <c r="DS26" s="226">
        <f>(DQ26-CV26)*100</f>
        <v>-1.933130778625622</v>
      </c>
      <c r="DT26" s="26">
        <v>0.11922269081484126</v>
      </c>
      <c r="DU26" s="26" t="s">
        <v>77</v>
      </c>
      <c r="DV26" s="226">
        <f>(DT26-CY26)*100</f>
        <v>-0.62667163563463046</v>
      </c>
      <c r="DW26" s="26">
        <f>+DT26</f>
        <v>0.11922269081484126</v>
      </c>
      <c r="DX26" s="26" t="s">
        <v>77</v>
      </c>
      <c r="DY26" s="226">
        <f>(DW26-DB26)*100</f>
        <v>-0.62667163563463046</v>
      </c>
      <c r="DZ26" s="26">
        <v>0.18179410255552875</v>
      </c>
      <c r="EA26" s="26" t="s">
        <v>77</v>
      </c>
      <c r="EB26" s="226">
        <f>(DZ26-DE26)*100</f>
        <v>-0.54665094473059783</v>
      </c>
      <c r="EC26" s="26">
        <v>0.18932397682369453</v>
      </c>
      <c r="ED26" s="26" t="s">
        <v>77</v>
      </c>
      <c r="EE26" s="226">
        <f>(EC26-DH26)*100</f>
        <v>0.21812446606088165</v>
      </c>
      <c r="EF26" s="26">
        <f>+EC26</f>
        <v>0.18932397682369453</v>
      </c>
      <c r="EG26" s="26" t="s">
        <v>77</v>
      </c>
      <c r="EH26" s="226">
        <f>(EF26-DK26)*100</f>
        <v>0.21812446606088165</v>
      </c>
      <c r="EI26" s="26">
        <v>0.20314310507181121</v>
      </c>
      <c r="EJ26" s="26" t="s">
        <v>77</v>
      </c>
      <c r="EK26" s="226">
        <f>(EI26-DN26)*100</f>
        <v>1.3371594617253568E-2</v>
      </c>
      <c r="EL26" s="26">
        <f>+EI26</f>
        <v>0.20314310507181121</v>
      </c>
      <c r="EM26" s="26" t="s">
        <v>77</v>
      </c>
      <c r="EN26" s="226">
        <f>(EL26-DQ26)*100</f>
        <v>1.3371594617253568E-2</v>
      </c>
      <c r="EO26" s="26">
        <v>0.11938263507055988</v>
      </c>
      <c r="EP26" s="26" t="s">
        <v>77</v>
      </c>
      <c r="EQ26" s="226">
        <f>(EO26-DT26)*100</f>
        <v>1.5994425571862203E-2</v>
      </c>
      <c r="ER26" s="26">
        <f>+EO26</f>
        <v>0.11938263507055988</v>
      </c>
      <c r="ES26" s="26" t="s">
        <v>77</v>
      </c>
      <c r="ET26" s="226">
        <f>(ER26-DW26)*100</f>
        <v>1.5994425571862203E-2</v>
      </c>
      <c r="EU26" s="26">
        <v>0.18869899221375136</v>
      </c>
      <c r="EV26" s="26" t="s">
        <v>77</v>
      </c>
      <c r="EW26" s="226">
        <f>(EU26-DZ26)*100</f>
        <v>0.69048896582226127</v>
      </c>
      <c r="EX26" s="26">
        <v>0.21028779957189667</v>
      </c>
      <c r="EY26" s="26" t="s">
        <v>77</v>
      </c>
      <c r="EZ26" s="226">
        <f>(EX26-EC26)*100</f>
        <v>2.096382274820213</v>
      </c>
      <c r="FA26" s="26">
        <f>+EX26</f>
        <v>0.21028779957189667</v>
      </c>
      <c r="FB26" s="26" t="s">
        <v>77</v>
      </c>
      <c r="FC26" s="226">
        <f>(FA26-EF26)*100</f>
        <v>2.096382274820213</v>
      </c>
      <c r="FD26" s="26">
        <v>0.21116588851632939</v>
      </c>
      <c r="FE26" s="26" t="s">
        <v>77</v>
      </c>
      <c r="FF26" s="226">
        <f>(FD26-EI26)*100</f>
        <v>0.80227834445181778</v>
      </c>
      <c r="FG26" s="26">
        <f>+FD26</f>
        <v>0.21116588851632939</v>
      </c>
      <c r="FH26" s="26" t="s">
        <v>77</v>
      </c>
      <c r="FI26" s="226">
        <f>(FG26-EL26)*100</f>
        <v>0.80227834445181778</v>
      </c>
      <c r="FJ26" s="26">
        <v>0.11978358089935193</v>
      </c>
      <c r="FK26" s="26" t="s">
        <v>77</v>
      </c>
      <c r="FL26" s="226">
        <f>(FJ26-EO26)*100</f>
        <v>4.0094582879204865E-2</v>
      </c>
      <c r="FM26" s="26">
        <f>+FJ26</f>
        <v>0.11978358089935193</v>
      </c>
      <c r="FN26" s="26" t="s">
        <v>77</v>
      </c>
      <c r="FO26" s="226">
        <f>(FM26-ER26)*100</f>
        <v>4.0094582879204865E-2</v>
      </c>
      <c r="FP26" s="26">
        <v>0.19649363855540533</v>
      </c>
      <c r="FQ26" s="26" t="s">
        <v>77</v>
      </c>
      <c r="FR26" s="226">
        <f>(FP26-EU26)*100</f>
        <v>0.77946463416539713</v>
      </c>
      <c r="FS26" s="26">
        <v>0.20520069336314672</v>
      </c>
      <c r="FT26" s="26" t="s">
        <v>77</v>
      </c>
      <c r="FU26" s="226">
        <f>(FS26-EX26)*100</f>
        <v>-0.50871062087499419</v>
      </c>
      <c r="FV26" s="26">
        <f>+FS26</f>
        <v>0.20520069336314672</v>
      </c>
      <c r="FW26" s="26" t="s">
        <v>77</v>
      </c>
      <c r="FX26" s="226">
        <f>(FV26-FA26)*100</f>
        <v>-0.50871062087499419</v>
      </c>
      <c r="FY26" s="26">
        <v>0.21287993611501049</v>
      </c>
      <c r="FZ26" s="26" t="s">
        <v>77</v>
      </c>
      <c r="GA26" s="226">
        <f>(FY26-FD26)*100</f>
        <v>0.1714047598681101</v>
      </c>
      <c r="GB26" s="26">
        <f>+FY26</f>
        <v>0.21287993611501049</v>
      </c>
      <c r="GC26" s="26" t="s">
        <v>77</v>
      </c>
      <c r="GD26" s="226">
        <f>(GB26-FG26)*100</f>
        <v>0.1714047598681101</v>
      </c>
      <c r="GE26" s="26">
        <v>0.128</v>
      </c>
      <c r="GF26" s="26" t="s">
        <v>77</v>
      </c>
      <c r="GG26" s="226">
        <f>(GE26-FJ26)*100</f>
        <v>0.82164191006480758</v>
      </c>
      <c r="GH26" s="26">
        <f>+GE26</f>
        <v>0.128</v>
      </c>
      <c r="GI26" s="26" t="s">
        <v>77</v>
      </c>
      <c r="GJ26" s="226">
        <f>(GH26-FM26)*100</f>
        <v>0.82164191006480758</v>
      </c>
      <c r="GK26" s="26">
        <v>0.19659594543974787</v>
      </c>
      <c r="GL26" s="26" t="s">
        <v>77</v>
      </c>
      <c r="GM26" s="226">
        <f>(GK26-FP26)*100</f>
        <v>1.0230688434254009E-2</v>
      </c>
      <c r="GN26" s="26">
        <v>0.19700000000000001</v>
      </c>
      <c r="GO26" s="26" t="s">
        <v>77</v>
      </c>
      <c r="GP26" s="226">
        <f>(GN26-FS26)*100</f>
        <v>-0.8200693363146716</v>
      </c>
      <c r="GQ26" s="26">
        <f>+GN26</f>
        <v>0.19700000000000001</v>
      </c>
      <c r="GR26" s="26" t="s">
        <v>77</v>
      </c>
      <c r="GS26" s="226">
        <f>(GQ26-FV26)*100</f>
        <v>-0.8200693363146716</v>
      </c>
      <c r="GT26" s="26">
        <v>0.21364588442042473</v>
      </c>
      <c r="GU26" s="26" t="s">
        <v>77</v>
      </c>
      <c r="GV26" s="226">
        <f>(GT26-FY26)*100</f>
        <v>7.6594830541423797E-2</v>
      </c>
      <c r="GW26" s="26">
        <f>+GT26</f>
        <v>0.21364588442042473</v>
      </c>
      <c r="GX26" s="26" t="s">
        <v>77</v>
      </c>
      <c r="GY26" s="226">
        <f>(GW26-GB26)*100</f>
        <v>7.6594830541423797E-2</v>
      </c>
      <c r="GZ26" s="26">
        <v>0.11699367324831704</v>
      </c>
      <c r="HA26" s="26" t="s">
        <v>77</v>
      </c>
      <c r="HB26" s="226">
        <f>(GZ26-GE26)*100</f>
        <v>-1.1006326751682962</v>
      </c>
      <c r="HC26" s="26">
        <f>+GZ26</f>
        <v>0.11699367324831704</v>
      </c>
      <c r="HD26" s="26" t="s">
        <v>77</v>
      </c>
      <c r="HE26" s="226">
        <f>(HC26-GH26)*100</f>
        <v>-1.1006326751682962</v>
      </c>
      <c r="HF26" s="26">
        <v>0.17976073085389599</v>
      </c>
      <c r="HG26" s="26" t="s">
        <v>77</v>
      </c>
      <c r="HH26" s="226">
        <f>(HF26-GK26)*100</f>
        <v>-1.6835214585851883</v>
      </c>
      <c r="HI26" s="26">
        <v>0.19393472273731399</v>
      </c>
      <c r="HJ26" s="26" t="s">
        <v>77</v>
      </c>
      <c r="HK26" s="226">
        <f>(HI26-GN26)*100</f>
        <v>-0.3065277262686017</v>
      </c>
      <c r="HL26" s="26">
        <f>+HI26</f>
        <v>0.19393472273731399</v>
      </c>
      <c r="HM26" s="26" t="s">
        <v>77</v>
      </c>
      <c r="HN26" s="226">
        <f>(HL26-GQ26)*100</f>
        <v>-0.3065277262686017</v>
      </c>
      <c r="HO26" s="26">
        <v>0.20427444176249621</v>
      </c>
      <c r="HP26" s="26" t="s">
        <v>77</v>
      </c>
      <c r="HQ26" s="226">
        <f>(HO26-GT26)*100</f>
        <v>-0.93714426579285248</v>
      </c>
      <c r="HR26" s="26">
        <f>+HO26</f>
        <v>0.20427444176249621</v>
      </c>
      <c r="HS26" s="26" t="s">
        <v>77</v>
      </c>
      <c r="HT26" s="226">
        <f>(HR26-GW26)*100</f>
        <v>-0.93714426579285248</v>
      </c>
      <c r="HU26" s="26">
        <v>0.12433853900787478</v>
      </c>
      <c r="HV26" s="26" t="s">
        <v>77</v>
      </c>
      <c r="HW26" s="226">
        <f>(HU26-GZ26)*100</f>
        <v>0.73448657595577416</v>
      </c>
      <c r="HX26" s="26">
        <f>+HU26</f>
        <v>0.12433853900787478</v>
      </c>
      <c r="HY26" s="26" t="s">
        <v>77</v>
      </c>
      <c r="HZ26" s="226">
        <f>(HX26-HC26)*100</f>
        <v>0.73448657595577416</v>
      </c>
      <c r="IA26" s="26">
        <v>0.19678493650099632</v>
      </c>
      <c r="IB26" s="26" t="s">
        <v>77</v>
      </c>
      <c r="IC26" s="226">
        <f>(IA26-HF26)*100</f>
        <v>1.7024205647100332</v>
      </c>
      <c r="ID26" s="26">
        <v>0.1959197767771943</v>
      </c>
      <c r="IE26" s="26" t="s">
        <v>77</v>
      </c>
      <c r="IF26" s="226">
        <f>(ID26-HI26)*100</f>
        <v>0.19850540398803074</v>
      </c>
      <c r="IG26" s="26">
        <v>0.1959197767771943</v>
      </c>
      <c r="IH26" s="26" t="s">
        <v>77</v>
      </c>
      <c r="II26" s="226">
        <f>(IG26-HL26)*100</f>
        <v>0.19850540398803074</v>
      </c>
      <c r="IJ26" s="26">
        <v>0.18750312755565787</v>
      </c>
      <c r="IK26" s="26" t="s">
        <v>77</v>
      </c>
      <c r="IL26" s="226">
        <f>(IJ26-HO26)*100</f>
        <v>-1.6771314206838333</v>
      </c>
      <c r="IM26" s="26">
        <v>0.18750312755565787</v>
      </c>
      <c r="IN26" s="26" t="s">
        <v>77</v>
      </c>
      <c r="IO26" s="226">
        <f>(IM26-HR26)*100</f>
        <v>-1.6771314206838333</v>
      </c>
      <c r="IP26" s="26">
        <v>0.11235094666695204</v>
      </c>
      <c r="IQ26" s="26" t="s">
        <v>77</v>
      </c>
      <c r="IR26" s="226">
        <f>(IP26-HU26)*100</f>
        <v>-1.1987592340922739</v>
      </c>
      <c r="IS26" s="26">
        <v>0.11235094666695204</v>
      </c>
      <c r="IT26" s="26" t="s">
        <v>77</v>
      </c>
      <c r="IU26" s="226">
        <f>(IS26-HX26)*100</f>
        <v>-1.1987592340922739</v>
      </c>
      <c r="IV26" s="26">
        <v>0.18094185523462056</v>
      </c>
      <c r="IW26" s="26" t="s">
        <v>77</v>
      </c>
      <c r="IX26" s="226">
        <v>-1.8</v>
      </c>
      <c r="IY26" s="26">
        <v>0.20529241563648851</v>
      </c>
      <c r="IZ26" s="26" t="s">
        <v>77</v>
      </c>
      <c r="JA26" s="226">
        <f>(IY26-ID26)*100</f>
        <v>0.93726388592942078</v>
      </c>
      <c r="JB26" s="26">
        <f>IY26</f>
        <v>0.20529241563648851</v>
      </c>
      <c r="JC26" s="26" t="s">
        <v>77</v>
      </c>
      <c r="JD26" s="226">
        <f>(JB26-IG26)*100</f>
        <v>0.93726388592942078</v>
      </c>
      <c r="JE26" s="26">
        <v>0.21674931658064794</v>
      </c>
      <c r="JF26" s="26" t="s">
        <v>77</v>
      </c>
      <c r="JG26" s="226">
        <f>(JE26-IJ26)*100</f>
        <v>2.9246189024990072</v>
      </c>
      <c r="JH26" s="26">
        <f>JE26</f>
        <v>0.21674931658064794</v>
      </c>
      <c r="JI26" s="26" t="s">
        <v>77</v>
      </c>
      <c r="JJ26" s="226">
        <f>(JH26-IM26)*100</f>
        <v>2.9246189024990072</v>
      </c>
      <c r="JK26" s="26">
        <v>0.1481553947636656</v>
      </c>
      <c r="JL26" s="26" t="s">
        <v>77</v>
      </c>
      <c r="JM26" s="226">
        <f>(JK26-IP26)*100</f>
        <v>3.5804448096713557</v>
      </c>
      <c r="JN26" s="26">
        <f>JK26</f>
        <v>0.1481553947636656</v>
      </c>
      <c r="JO26" s="26" t="s">
        <v>77</v>
      </c>
      <c r="JP26" s="226">
        <f>(JN26-IS26)*100</f>
        <v>3.5804448096713557</v>
      </c>
      <c r="JQ26" s="26">
        <v>0.29543439546392031</v>
      </c>
      <c r="JR26" s="26" t="s">
        <v>77</v>
      </c>
      <c r="JS26" s="226">
        <f>(JQ26-IV26)*100</f>
        <v>11.449254022929974</v>
      </c>
      <c r="JT26" s="26">
        <v>0.47299999999999998</v>
      </c>
      <c r="JU26" s="26" t="s">
        <v>77</v>
      </c>
      <c r="JV26" s="226">
        <f>(JT26-IY26)*100</f>
        <v>26.770758436351151</v>
      </c>
      <c r="JW26" s="26">
        <f>JT26</f>
        <v>0.47299999999999998</v>
      </c>
      <c r="JX26" s="26" t="s">
        <v>77</v>
      </c>
      <c r="JY26" s="226">
        <f>(JW26-JB26)*100</f>
        <v>26.770758436351151</v>
      </c>
      <c r="JZ26" s="26">
        <v>0.32029337895073495</v>
      </c>
      <c r="KA26" s="26" t="s">
        <v>77</v>
      </c>
      <c r="KB26" s="226">
        <f>(JZ26-JE26)*100</f>
        <v>10.354406237008702</v>
      </c>
      <c r="KC26" s="26">
        <f>JZ26</f>
        <v>0.32029337895073495</v>
      </c>
      <c r="KD26" s="26" t="s">
        <v>77</v>
      </c>
      <c r="KE26" s="226">
        <f>(KC26-JH26)*100</f>
        <v>10.354406237008702</v>
      </c>
      <c r="KF26" s="26">
        <v>0.19905761452865214</v>
      </c>
      <c r="KG26" s="26" t="s">
        <v>77</v>
      </c>
      <c r="KH26" s="226">
        <f>(KF26-JK26)*100</f>
        <v>5.090221976498654</v>
      </c>
      <c r="KI26" s="26">
        <f>KF26</f>
        <v>0.19905761452865214</v>
      </c>
      <c r="KJ26" s="26" t="s">
        <v>77</v>
      </c>
      <c r="KK26" s="226">
        <f>(KI26-JN26)*100</f>
        <v>5.090221976498654</v>
      </c>
    </row>
    <row r="27" spans="2:297" ht="16.5" customHeight="1">
      <c r="B27" s="222" t="s">
        <v>365</v>
      </c>
      <c r="C27" s="222" t="s">
        <v>1068</v>
      </c>
      <c r="D27" s="26" t="s">
        <v>77</v>
      </c>
      <c r="E27" s="26" t="s">
        <v>77</v>
      </c>
      <c r="F27" s="26" t="s">
        <v>77</v>
      </c>
      <c r="G27" s="26" t="s">
        <v>77</v>
      </c>
      <c r="H27" s="26" t="s">
        <v>77</v>
      </c>
      <c r="I27" s="26" t="s">
        <v>77</v>
      </c>
      <c r="J27" s="26" t="s">
        <v>77</v>
      </c>
      <c r="K27" s="26" t="s">
        <v>77</v>
      </c>
      <c r="L27" s="26" t="s">
        <v>77</v>
      </c>
      <c r="M27" s="26" t="s">
        <v>77</v>
      </c>
      <c r="N27" s="26" t="s">
        <v>77</v>
      </c>
      <c r="O27" s="26" t="s">
        <v>77</v>
      </c>
      <c r="P27" s="26" t="s">
        <v>77</v>
      </c>
      <c r="Q27" s="26" t="s">
        <v>77</v>
      </c>
      <c r="R27" s="26" t="s">
        <v>77</v>
      </c>
      <c r="S27" s="26" t="s">
        <v>77</v>
      </c>
      <c r="T27" s="26" t="s">
        <v>77</v>
      </c>
      <c r="U27" s="26" t="s">
        <v>77</v>
      </c>
      <c r="V27" s="26" t="str">
        <f>+T27</f>
        <v>na</v>
      </c>
      <c r="W27" s="26" t="s">
        <v>77</v>
      </c>
      <c r="X27" s="26" t="s">
        <v>77</v>
      </c>
      <c r="Y27" s="26" t="s">
        <v>77</v>
      </c>
      <c r="Z27" s="26" t="str">
        <f>+X27</f>
        <v>na</v>
      </c>
      <c r="AA27" s="26" t="s">
        <v>77</v>
      </c>
      <c r="AB27" s="26" t="s">
        <v>77</v>
      </c>
      <c r="AC27" s="26" t="s">
        <v>77</v>
      </c>
      <c r="AD27" s="26" t="str">
        <f>+AB27</f>
        <v>na</v>
      </c>
      <c r="AE27" s="26" t="s">
        <v>77</v>
      </c>
      <c r="AF27" s="26" t="s">
        <v>77</v>
      </c>
      <c r="AG27" s="26" t="s">
        <v>77</v>
      </c>
      <c r="AH27" s="26" t="s">
        <v>77</v>
      </c>
      <c r="AI27" s="26" t="s">
        <v>77</v>
      </c>
      <c r="AJ27" s="26" t="str">
        <f>+AH27</f>
        <v>na</v>
      </c>
      <c r="AK27" s="26" t="s">
        <v>77</v>
      </c>
      <c r="AL27" s="26" t="s">
        <v>77</v>
      </c>
      <c r="AM27" s="26" t="s">
        <v>77</v>
      </c>
      <c r="AN27" s="26" t="str">
        <f>+AL27</f>
        <v>na</v>
      </c>
      <c r="AO27" s="26" t="s">
        <v>77</v>
      </c>
      <c r="AP27" s="26" t="s">
        <v>77</v>
      </c>
      <c r="AQ27" s="26" t="s">
        <v>77</v>
      </c>
      <c r="AR27" s="26" t="str">
        <f>+AP27</f>
        <v>na</v>
      </c>
      <c r="AS27" s="26" t="s">
        <v>77</v>
      </c>
      <c r="AT27" s="26" t="s">
        <v>77</v>
      </c>
      <c r="AU27" s="26" t="s">
        <v>77</v>
      </c>
      <c r="AV27" s="26" t="s">
        <v>77</v>
      </c>
      <c r="AW27" s="26" t="s">
        <v>77</v>
      </c>
      <c r="AX27" s="26" t="s">
        <v>77</v>
      </c>
      <c r="AY27" s="26" t="s">
        <v>77</v>
      </c>
      <c r="AZ27" s="26" t="str">
        <f>+AW27</f>
        <v>na</v>
      </c>
      <c r="BA27" s="26" t="s">
        <v>77</v>
      </c>
      <c r="BB27" s="26" t="s">
        <v>77</v>
      </c>
      <c r="BC27" s="26" t="s">
        <v>77</v>
      </c>
      <c r="BD27" s="26" t="s">
        <v>77</v>
      </c>
      <c r="BE27" s="26" t="s">
        <v>77</v>
      </c>
      <c r="BF27" s="26" t="str">
        <f>+BC27</f>
        <v>na</v>
      </c>
      <c r="BG27" s="26" t="s">
        <v>77</v>
      </c>
      <c r="BH27" s="26" t="s">
        <v>77</v>
      </c>
      <c r="BI27" s="26" t="s">
        <v>77</v>
      </c>
      <c r="BJ27" s="26" t="s">
        <v>77</v>
      </c>
      <c r="BK27" s="26" t="s">
        <v>77</v>
      </c>
      <c r="BL27" s="26" t="str">
        <f>+BI27</f>
        <v>na</v>
      </c>
      <c r="BM27" s="26" t="s">
        <v>77</v>
      </c>
      <c r="BN27" s="26" t="s">
        <v>77</v>
      </c>
      <c r="BO27" s="26" t="s">
        <v>77</v>
      </c>
      <c r="BP27" s="26" t="s">
        <v>77</v>
      </c>
      <c r="BQ27" s="26" t="s">
        <v>77</v>
      </c>
      <c r="BR27" s="26" t="s">
        <v>77</v>
      </c>
      <c r="BS27" s="26" t="s">
        <v>77</v>
      </c>
      <c r="BT27" s="26" t="s">
        <v>77</v>
      </c>
      <c r="BU27" s="26" t="str">
        <f>+BR27</f>
        <v>na</v>
      </c>
      <c r="BV27" s="26" t="s">
        <v>77</v>
      </c>
      <c r="BW27" s="26" t="s">
        <v>77</v>
      </c>
      <c r="BX27" s="26" t="s">
        <v>77</v>
      </c>
      <c r="BY27" s="26" t="s">
        <v>77</v>
      </c>
      <c r="BZ27" s="26" t="s">
        <v>77</v>
      </c>
      <c r="CA27" s="26" t="str">
        <f>+BX27</f>
        <v>na</v>
      </c>
      <c r="CB27" s="26" t="s">
        <v>77</v>
      </c>
      <c r="CC27" s="26" t="s">
        <v>77</v>
      </c>
      <c r="CD27" s="26" t="s">
        <v>77</v>
      </c>
      <c r="CE27" s="26" t="s">
        <v>77</v>
      </c>
      <c r="CF27" s="26" t="s">
        <v>77</v>
      </c>
      <c r="CG27" s="26" t="str">
        <f>+CD27</f>
        <v>na</v>
      </c>
      <c r="CH27" s="26" t="s">
        <v>77</v>
      </c>
      <c r="CI27" s="26" t="s">
        <v>77</v>
      </c>
      <c r="CJ27" s="26">
        <v>0.14268112141022143</v>
      </c>
      <c r="CK27" s="26" t="s">
        <v>77</v>
      </c>
      <c r="CL27" s="26" t="s">
        <v>77</v>
      </c>
      <c r="CM27" s="26">
        <v>0.17365652781291291</v>
      </c>
      <c r="CN27" s="26" t="s">
        <v>77</v>
      </c>
      <c r="CO27" s="26" t="s">
        <v>77</v>
      </c>
      <c r="CP27" s="26">
        <f>+CM27</f>
        <v>0.17365652781291291</v>
      </c>
      <c r="CQ27" s="26" t="s">
        <v>77</v>
      </c>
      <c r="CR27" s="26" t="s">
        <v>77</v>
      </c>
      <c r="CS27" s="26">
        <v>0.2375933485670827</v>
      </c>
      <c r="CT27" s="26" t="s">
        <v>77</v>
      </c>
      <c r="CU27" s="26" t="s">
        <v>77</v>
      </c>
      <c r="CV27" s="26">
        <f>+CS27</f>
        <v>0.2375933485670827</v>
      </c>
      <c r="CW27" s="26" t="s">
        <v>77</v>
      </c>
      <c r="CX27" s="26" t="s">
        <v>77</v>
      </c>
      <c r="CY27" s="26">
        <v>0.16902273886017599</v>
      </c>
      <c r="CZ27" s="26" t="s">
        <v>77</v>
      </c>
      <c r="DA27" s="26" t="s">
        <v>77</v>
      </c>
      <c r="DB27" s="26">
        <f>+CY27</f>
        <v>0.16902273886017599</v>
      </c>
      <c r="DC27" s="26" t="s">
        <v>77</v>
      </c>
      <c r="DD27" s="26" t="s">
        <v>77</v>
      </c>
      <c r="DE27" s="26">
        <v>0.20795215902606853</v>
      </c>
      <c r="DF27" s="26" t="s">
        <v>77</v>
      </c>
      <c r="DG27" s="226">
        <f>(DE27-CJ27)*100</f>
        <v>6.5271037615847103</v>
      </c>
      <c r="DH27" s="26">
        <v>0.20318320307085633</v>
      </c>
      <c r="DI27" s="26" t="s">
        <v>77</v>
      </c>
      <c r="DJ27" s="226">
        <f>(DH27-CM27)*100</f>
        <v>2.9526675257943418</v>
      </c>
      <c r="DK27" s="26">
        <f>+DH27</f>
        <v>0.20318320307085633</v>
      </c>
      <c r="DL27" s="26" t="s">
        <v>77</v>
      </c>
      <c r="DM27" s="226">
        <f>(DK27-CP27)*100</f>
        <v>2.9526675257943418</v>
      </c>
      <c r="DN27" s="26">
        <v>0.24799625296339847</v>
      </c>
      <c r="DO27" s="26" t="s">
        <v>77</v>
      </c>
      <c r="DP27" s="226">
        <f>(DN27-CS27)*100</f>
        <v>1.0402904396315775</v>
      </c>
      <c r="DQ27" s="26">
        <f>+DN27</f>
        <v>0.24799625296339847</v>
      </c>
      <c r="DR27" s="26" t="s">
        <v>77</v>
      </c>
      <c r="DS27" s="226">
        <f>(DQ27-CV27)*100</f>
        <v>1.0402904396315775</v>
      </c>
      <c r="DT27" s="26">
        <v>0.22124942192718561</v>
      </c>
      <c r="DU27" s="26" t="s">
        <v>77</v>
      </c>
      <c r="DV27" s="226">
        <f>(DT27-CY27)*100</f>
        <v>5.222668306700962</v>
      </c>
      <c r="DW27" s="26">
        <f>+DT27</f>
        <v>0.22124942192718561</v>
      </c>
      <c r="DX27" s="26" t="s">
        <v>77</v>
      </c>
      <c r="DY27" s="226">
        <f>(DW27-DB27)*100</f>
        <v>5.222668306700962</v>
      </c>
      <c r="DZ27" s="26">
        <v>0.25777506501353181</v>
      </c>
      <c r="EA27" s="26" t="s">
        <v>77</v>
      </c>
      <c r="EB27" s="226">
        <f>(DZ27-DE27)*100</f>
        <v>4.982290598746328</v>
      </c>
      <c r="EC27" s="26">
        <v>0.22185590786100048</v>
      </c>
      <c r="ED27" s="26" t="s">
        <v>77</v>
      </c>
      <c r="EE27" s="226">
        <f>(EC27-DH27)*100</f>
        <v>1.8672704790144157</v>
      </c>
      <c r="EF27" s="26">
        <f>+EC27</f>
        <v>0.22185590786100048</v>
      </c>
      <c r="EG27" s="26" t="s">
        <v>77</v>
      </c>
      <c r="EH27" s="226">
        <f>(EF27-DK27)*100</f>
        <v>1.8672704790144157</v>
      </c>
      <c r="EI27" s="26">
        <v>0.20622801690337553</v>
      </c>
      <c r="EJ27" s="26" t="s">
        <v>77</v>
      </c>
      <c r="EK27" s="226">
        <f>(EI27-DN27)*100</f>
        <v>-4.1768236060022943</v>
      </c>
      <c r="EL27" s="26">
        <f>+EI27</f>
        <v>0.20622801690337553</v>
      </c>
      <c r="EM27" s="26" t="s">
        <v>77</v>
      </c>
      <c r="EN27" s="226">
        <f>(EL27-DQ27)*100</f>
        <v>-4.1768236060022943</v>
      </c>
      <c r="EO27" s="26">
        <v>0.16551709098059461</v>
      </c>
      <c r="EP27" s="26" t="s">
        <v>77</v>
      </c>
      <c r="EQ27" s="226">
        <f>(EO27-DT27)*100</f>
        <v>-5.5732330946590993</v>
      </c>
      <c r="ER27" s="26">
        <f>+EO27</f>
        <v>0.16551709098059461</v>
      </c>
      <c r="ES27" s="26" t="s">
        <v>77</v>
      </c>
      <c r="ET27" s="226">
        <f>(ER27-DW27)*100</f>
        <v>-5.5732330946590993</v>
      </c>
      <c r="EU27" s="26">
        <v>0.22574194285847871</v>
      </c>
      <c r="EV27" s="26" t="s">
        <v>77</v>
      </c>
      <c r="EW27" s="226">
        <f>(EU27-DZ27)*100</f>
        <v>-3.2033122155053109</v>
      </c>
      <c r="EX27" s="26">
        <v>0.2548163786688511</v>
      </c>
      <c r="EY27" s="26" t="s">
        <v>77</v>
      </c>
      <c r="EZ27" s="226">
        <f>(EX27-EC27)*100</f>
        <v>3.296047080785061</v>
      </c>
      <c r="FA27" s="26">
        <f>+EX27</f>
        <v>0.2548163786688511</v>
      </c>
      <c r="FB27" s="26" t="s">
        <v>77</v>
      </c>
      <c r="FC27" s="226">
        <f>(FA27-EF27)*100</f>
        <v>3.296047080785061</v>
      </c>
      <c r="FD27" s="26">
        <v>0.21579380462184455</v>
      </c>
      <c r="FE27" s="26" t="s">
        <v>77</v>
      </c>
      <c r="FF27" s="226">
        <f>(FD27-EI27)*100</f>
        <v>0.95657877184690265</v>
      </c>
      <c r="FG27" s="26">
        <f>+FD27</f>
        <v>0.21579380462184455</v>
      </c>
      <c r="FH27" s="26" t="s">
        <v>77</v>
      </c>
      <c r="FI27" s="226">
        <f>(FG27-EL27)*100</f>
        <v>0.95657877184690265</v>
      </c>
      <c r="FJ27" s="26">
        <v>0.16860221453574487</v>
      </c>
      <c r="FK27" s="26" t="s">
        <v>77</v>
      </c>
      <c r="FL27" s="226">
        <f>(FJ27-EO27)*100</f>
        <v>0.30851235551502543</v>
      </c>
      <c r="FM27" s="26">
        <f>+FJ27</f>
        <v>0.16860221453574487</v>
      </c>
      <c r="FN27" s="26" t="s">
        <v>77</v>
      </c>
      <c r="FO27" s="226">
        <f>(FM27-ER27)*100</f>
        <v>0.30851235551502543</v>
      </c>
      <c r="FP27" s="26">
        <v>0.23077806027711292</v>
      </c>
      <c r="FQ27" s="26" t="s">
        <v>77</v>
      </c>
      <c r="FR27" s="226">
        <f>(FP27-EU27)*100</f>
        <v>0.50361174186342172</v>
      </c>
      <c r="FS27" s="26">
        <v>0.23798912891540613</v>
      </c>
      <c r="FT27" s="26" t="s">
        <v>77</v>
      </c>
      <c r="FU27" s="226">
        <f>(FS27-EX27)*100</f>
        <v>-1.6827249753444962</v>
      </c>
      <c r="FV27" s="26">
        <f>+FS27</f>
        <v>0.23798912891540613</v>
      </c>
      <c r="FW27" s="26" t="s">
        <v>77</v>
      </c>
      <c r="FX27" s="226">
        <f>(FV27-FA27)*100</f>
        <v>-1.6827249753444962</v>
      </c>
      <c r="FY27" s="26">
        <v>0.22711972112836037</v>
      </c>
      <c r="FZ27" s="26" t="s">
        <v>77</v>
      </c>
      <c r="GA27" s="226">
        <f>(FY27-FD27)*100</f>
        <v>1.1325916506515821</v>
      </c>
      <c r="GB27" s="26">
        <f>+FY27</f>
        <v>0.22711972112836037</v>
      </c>
      <c r="GC27" s="26" t="s">
        <v>77</v>
      </c>
      <c r="GD27" s="226">
        <f>(GB27-FG27)*100</f>
        <v>1.1325916506515821</v>
      </c>
      <c r="GE27" s="26">
        <v>0.17799999999999999</v>
      </c>
      <c r="GF27" s="26" t="s">
        <v>77</v>
      </c>
      <c r="GG27" s="226">
        <f>(GE27-FJ27)*100</f>
        <v>0.93977854642551262</v>
      </c>
      <c r="GH27" s="26">
        <f>+GE27</f>
        <v>0.17799999999999999</v>
      </c>
      <c r="GI27" s="26" t="s">
        <v>77</v>
      </c>
      <c r="GJ27" s="226">
        <f>(GH27-FM27)*100</f>
        <v>0.93977854642551262</v>
      </c>
      <c r="GK27" s="26">
        <v>0.2349560068737872</v>
      </c>
      <c r="GL27" s="26" t="s">
        <v>77</v>
      </c>
      <c r="GM27" s="226">
        <f>(GK27-FP27)*100</f>
        <v>0.41779465966742813</v>
      </c>
      <c r="GN27" s="26">
        <v>0.24199999999999999</v>
      </c>
      <c r="GO27" s="26" t="s">
        <v>77</v>
      </c>
      <c r="GP27" s="226">
        <f>(GN27-FS27)*100</f>
        <v>0.40108710845938589</v>
      </c>
      <c r="GQ27" s="26">
        <f>+GN27</f>
        <v>0.24199999999999999</v>
      </c>
      <c r="GR27" s="26" t="s">
        <v>77</v>
      </c>
      <c r="GS27" s="226">
        <f>(GQ27-FV27)*100</f>
        <v>0.40108710845938589</v>
      </c>
      <c r="GT27" s="26">
        <v>0.23179692520237671</v>
      </c>
      <c r="GU27" s="26" t="s">
        <v>77</v>
      </c>
      <c r="GV27" s="226">
        <f>(GT27-FY27)*100</f>
        <v>0.4677204074016339</v>
      </c>
      <c r="GW27" s="26">
        <f>+GT27</f>
        <v>0.23179692520237671</v>
      </c>
      <c r="GX27" s="26" t="s">
        <v>77</v>
      </c>
      <c r="GY27" s="226">
        <f>(GW27-GB27)*100</f>
        <v>0.4677204074016339</v>
      </c>
      <c r="GZ27" s="26">
        <v>0.18084709331498011</v>
      </c>
      <c r="HA27" s="26" t="s">
        <v>77</v>
      </c>
      <c r="HB27" s="226">
        <f>(GZ27-GE27)*100</f>
        <v>0.28470933149801203</v>
      </c>
      <c r="HC27" s="26">
        <f>+GZ27</f>
        <v>0.18084709331498011</v>
      </c>
      <c r="HD27" s="26" t="s">
        <v>77</v>
      </c>
      <c r="HE27" s="226">
        <f>(HC27-GH27)*100</f>
        <v>0.28470933149801203</v>
      </c>
      <c r="HF27" s="26">
        <v>0.20056926489464583</v>
      </c>
      <c r="HG27" s="26" t="s">
        <v>77</v>
      </c>
      <c r="HH27" s="226">
        <f>(HF27-GK27)*100</f>
        <v>-3.4386741979141378</v>
      </c>
      <c r="HI27" s="26">
        <v>0.26523811686688054</v>
      </c>
      <c r="HJ27" s="26" t="s">
        <v>77</v>
      </c>
      <c r="HK27" s="226">
        <f>(HI27-GN27)*100</f>
        <v>2.323811686688054</v>
      </c>
      <c r="HL27" s="26">
        <f>+HI27</f>
        <v>0.26523811686688054</v>
      </c>
      <c r="HM27" s="26" t="s">
        <v>77</v>
      </c>
      <c r="HN27" s="226">
        <f>(HL27-GQ27)*100</f>
        <v>2.323811686688054</v>
      </c>
      <c r="HO27" s="26">
        <v>0.22746882167541294</v>
      </c>
      <c r="HP27" s="26" t="s">
        <v>77</v>
      </c>
      <c r="HQ27" s="226">
        <f>(HO27-GT27)*100</f>
        <v>-0.4328103526963778</v>
      </c>
      <c r="HR27" s="26">
        <f>+HO27</f>
        <v>0.22746882167541294</v>
      </c>
      <c r="HS27" s="26" t="s">
        <v>77</v>
      </c>
      <c r="HT27" s="226">
        <f>(HR27-GW27)*100</f>
        <v>-0.4328103526963778</v>
      </c>
      <c r="HU27" s="26">
        <v>0.21610242808107311</v>
      </c>
      <c r="HV27" s="26" t="s">
        <v>77</v>
      </c>
      <c r="HW27" s="226">
        <f>(HU27-GZ27)*100</f>
        <v>3.5255334766092994</v>
      </c>
      <c r="HX27" s="26">
        <f>+HU27</f>
        <v>0.21610242808107311</v>
      </c>
      <c r="HY27" s="26" t="s">
        <v>77</v>
      </c>
      <c r="HZ27" s="226">
        <f>(HX27-HC27)*100</f>
        <v>3.5255334766092994</v>
      </c>
      <c r="IA27" s="26">
        <v>0.23365216317521581</v>
      </c>
      <c r="IB27" s="26" t="s">
        <v>77</v>
      </c>
      <c r="IC27" s="226">
        <f>(IA27-HF27)*100</f>
        <v>3.3082898280569983</v>
      </c>
      <c r="ID27" s="26">
        <v>0.23121752094953987</v>
      </c>
      <c r="IE27" s="26" t="s">
        <v>77</v>
      </c>
      <c r="IF27" s="226">
        <f>(ID27-HI27)*100</f>
        <v>-3.4020595917340661</v>
      </c>
      <c r="IG27" s="26">
        <v>0.23121752094953987</v>
      </c>
      <c r="IH27" s="26" t="s">
        <v>77</v>
      </c>
      <c r="II27" s="226">
        <f>(IG27-HL27)*100</f>
        <v>-3.4020595917340661</v>
      </c>
      <c r="IJ27" s="26">
        <v>0.2287499211115584</v>
      </c>
      <c r="IK27" s="26" t="s">
        <v>77</v>
      </c>
      <c r="IL27" s="226">
        <f t="shared" ref="IL27:IL29" si="214">(IJ27-HO27)*100</f>
        <v>0.12810994361454608</v>
      </c>
      <c r="IM27" s="26">
        <v>0.2287499211115584</v>
      </c>
      <c r="IN27" s="26" t="s">
        <v>77</v>
      </c>
      <c r="IO27" s="226">
        <f t="shared" ref="IO27:IO29" si="215">(IM27-HR27)*100</f>
        <v>0.12810994361454608</v>
      </c>
      <c r="IP27" s="26">
        <v>0.18583253994307447</v>
      </c>
      <c r="IQ27" s="26" t="s">
        <v>77</v>
      </c>
      <c r="IR27" s="226">
        <f t="shared" ref="IR27:IR29" si="216">(IP27-HU27)*100</f>
        <v>-3.0269888137998633</v>
      </c>
      <c r="IS27" s="26">
        <v>0.18583253994819351</v>
      </c>
      <c r="IT27" s="26" t="s">
        <v>77</v>
      </c>
      <c r="IU27" s="226">
        <f t="shared" ref="IU27:IU29" si="217">(IS27-HX27)*100</f>
        <v>-3.026988813287959</v>
      </c>
      <c r="IV27" s="26">
        <v>0.2049800013634919</v>
      </c>
      <c r="IW27" s="26" t="s">
        <v>77</v>
      </c>
      <c r="IX27" s="226">
        <f t="shared" ref="IX27:IX29" si="218">(IV27-IA27)*100</f>
        <v>-2.8672161811723913</v>
      </c>
      <c r="IY27" s="26">
        <v>0.21028874156982286</v>
      </c>
      <c r="IZ27" s="26" t="s">
        <v>77</v>
      </c>
      <c r="JA27" s="226">
        <f>(IY27-ID27)*100</f>
        <v>-2.0928779379717017</v>
      </c>
      <c r="JB27" s="26">
        <f t="shared" ref="JB27" si="219">IY27</f>
        <v>0.21028874156982286</v>
      </c>
      <c r="JC27" s="26" t="s">
        <v>77</v>
      </c>
      <c r="JD27" s="226">
        <f>(JB27-IG27)*100</f>
        <v>-2.0928779379717017</v>
      </c>
      <c r="JE27" s="26">
        <v>0.20025503725107885</v>
      </c>
      <c r="JF27" s="26" t="s">
        <v>77</v>
      </c>
      <c r="JG27" s="226">
        <f t="shared" ref="JG27:JG29" si="220">(JE27-IJ27)*100</f>
        <v>-2.8494883860479545</v>
      </c>
      <c r="JH27" s="26">
        <f t="shared" ref="JH27:JH29" si="221">JE27</f>
        <v>0.20025503725107885</v>
      </c>
      <c r="JI27" s="26" t="s">
        <v>77</v>
      </c>
      <c r="JJ27" s="226">
        <f t="shared" ref="JJ27:JJ29" si="222">(JH27-IM27)*100</f>
        <v>-2.8494883860479545</v>
      </c>
      <c r="JK27" s="26">
        <v>0.17636865448753938</v>
      </c>
      <c r="JL27" s="26" t="s">
        <v>77</v>
      </c>
      <c r="JM27" s="226">
        <f t="shared" ref="JM27:JM29" si="223">(JK27-IP27)*100</f>
        <v>-0.94638854555350871</v>
      </c>
      <c r="JN27" s="26">
        <f t="shared" ref="JN27:JN29" si="224">JK27</f>
        <v>0.17636865448753938</v>
      </c>
      <c r="JO27" s="26" t="s">
        <v>77</v>
      </c>
      <c r="JP27" s="226">
        <f t="shared" ref="JP27:JP29" si="225">(JN27-IS27)*100</f>
        <v>-0.94638854606541312</v>
      </c>
      <c r="JQ27" s="26">
        <v>0.20828677598556086</v>
      </c>
      <c r="JR27" s="26" t="s">
        <v>77</v>
      </c>
      <c r="JS27" s="226">
        <f t="shared" ref="JS27:JS29" si="226">(JQ27-IV27)*100</f>
        <v>0.33067746220689642</v>
      </c>
      <c r="JT27" s="26">
        <v>0.25900000000000001</v>
      </c>
      <c r="JU27" s="26" t="s">
        <v>77</v>
      </c>
      <c r="JV27" s="226">
        <f t="shared" ref="JV27:JV29" si="227">(JT27-IY27)*100</f>
        <v>4.8711258430177153</v>
      </c>
      <c r="JW27" s="26">
        <f t="shared" ref="JW27" si="228">JT27</f>
        <v>0.25900000000000001</v>
      </c>
      <c r="JX27" s="26" t="s">
        <v>77</v>
      </c>
      <c r="JY27" s="226">
        <f>(JW27-JB27)*100</f>
        <v>4.8711258430177153</v>
      </c>
      <c r="JZ27" s="26">
        <v>0.19028712522893654</v>
      </c>
      <c r="KA27" s="26" t="s">
        <v>77</v>
      </c>
      <c r="KB27" s="226">
        <f>(JZ27-JE27)*100</f>
        <v>-0.99679120221423112</v>
      </c>
      <c r="KC27" s="26">
        <f t="shared" ref="KC27" si="229">JZ27</f>
        <v>0.19028712522893654</v>
      </c>
      <c r="KD27" s="26" t="s">
        <v>77</v>
      </c>
      <c r="KE27" s="226">
        <f>(KC27-JH27)*100</f>
        <v>-0.99679120221423112</v>
      </c>
      <c r="KF27" s="26">
        <v>0.13849625749849306</v>
      </c>
      <c r="KG27" s="26" t="s">
        <v>77</v>
      </c>
      <c r="KH27" s="226">
        <f>(KF27-JK27)*100</f>
        <v>-3.787239698904632</v>
      </c>
      <c r="KI27" s="26">
        <f t="shared" ref="KI27" si="230">KF27</f>
        <v>0.13849625749849306</v>
      </c>
      <c r="KJ27" s="26" t="s">
        <v>77</v>
      </c>
      <c r="KK27" s="226">
        <f>(KI27-JN27)*100</f>
        <v>-3.787239698904632</v>
      </c>
    </row>
    <row r="28" spans="2:297" ht="16.5" customHeight="1">
      <c r="B28" s="222" t="s">
        <v>366</v>
      </c>
      <c r="C28" s="222" t="s">
        <v>1069</v>
      </c>
      <c r="D28" s="26" t="s">
        <v>77</v>
      </c>
      <c r="E28" s="26" t="s">
        <v>77</v>
      </c>
      <c r="F28" s="26" t="s">
        <v>77</v>
      </c>
      <c r="G28" s="26" t="s">
        <v>77</v>
      </c>
      <c r="H28" s="26" t="s">
        <v>77</v>
      </c>
      <c r="I28" s="26" t="s">
        <v>77</v>
      </c>
      <c r="J28" s="26" t="s">
        <v>77</v>
      </c>
      <c r="K28" s="26" t="s">
        <v>77</v>
      </c>
      <c r="L28" s="26" t="s">
        <v>77</v>
      </c>
      <c r="M28" s="26" t="s">
        <v>77</v>
      </c>
      <c r="N28" s="26" t="s">
        <v>77</v>
      </c>
      <c r="O28" s="26" t="s">
        <v>77</v>
      </c>
      <c r="P28" s="26" t="s">
        <v>77</v>
      </c>
      <c r="Q28" s="26" t="s">
        <v>77</v>
      </c>
      <c r="R28" s="26">
        <v>0.14422240507817088</v>
      </c>
      <c r="S28" s="26" t="s">
        <v>77</v>
      </c>
      <c r="T28" s="26">
        <v>0.19687079845600033</v>
      </c>
      <c r="U28" s="26" t="s">
        <v>77</v>
      </c>
      <c r="V28" s="26">
        <f>+T28</f>
        <v>0.19687079845600033</v>
      </c>
      <c r="W28" s="26" t="s">
        <v>77</v>
      </c>
      <c r="X28" s="26">
        <v>0.21116636204907235</v>
      </c>
      <c r="Y28" s="26" t="s">
        <v>77</v>
      </c>
      <c r="Z28" s="26">
        <f>+X28</f>
        <v>0.21116636204907235</v>
      </c>
      <c r="AA28" s="26" t="s">
        <v>77</v>
      </c>
      <c r="AB28" s="26">
        <v>0.21247346831044001</v>
      </c>
      <c r="AC28" s="26" t="s">
        <v>77</v>
      </c>
      <c r="AD28" s="26">
        <f>+AB28</f>
        <v>0.21247346831044001</v>
      </c>
      <c r="AE28" s="26" t="s">
        <v>77</v>
      </c>
      <c r="AF28" s="26">
        <v>0.20170569293217194</v>
      </c>
      <c r="AG28" s="26" t="s">
        <v>77</v>
      </c>
      <c r="AH28" s="26">
        <v>0.1957269121959099</v>
      </c>
      <c r="AI28" s="26" t="s">
        <v>77</v>
      </c>
      <c r="AJ28" s="26">
        <f>+AH28</f>
        <v>0.1957269121959099</v>
      </c>
      <c r="AK28" s="26" t="s">
        <v>77</v>
      </c>
      <c r="AL28" s="26">
        <v>0.20089745318436389</v>
      </c>
      <c r="AM28" s="26" t="s">
        <v>77</v>
      </c>
      <c r="AN28" s="26">
        <f>+AL28</f>
        <v>0.20089745318436389</v>
      </c>
      <c r="AO28" s="26" t="s">
        <v>77</v>
      </c>
      <c r="AP28" s="26">
        <v>0.20260944902429004</v>
      </c>
      <c r="AQ28" s="26" t="s">
        <v>77</v>
      </c>
      <c r="AR28" s="26">
        <f>+AP28</f>
        <v>0.20260944902429004</v>
      </c>
      <c r="AS28" s="26" t="s">
        <v>77</v>
      </c>
      <c r="AT28" s="26">
        <v>0.18010512026704475</v>
      </c>
      <c r="AU28" s="26" t="s">
        <v>77</v>
      </c>
      <c r="AV28" s="226">
        <f>(AT28-AF28)*100</f>
        <v>-2.1600572665127187</v>
      </c>
      <c r="AW28" s="26">
        <v>0.18113264764325743</v>
      </c>
      <c r="AX28" s="26" t="s">
        <v>77</v>
      </c>
      <c r="AY28" s="226">
        <f>(AW28-AH28)*100</f>
        <v>-1.4594264552652474</v>
      </c>
      <c r="AZ28" s="26">
        <f>+AW28</f>
        <v>0.18113264764325743</v>
      </c>
      <c r="BA28" s="26" t="s">
        <v>77</v>
      </c>
      <c r="BB28" s="226">
        <f>(AZ28-AJ28)*100</f>
        <v>-1.4594264552652474</v>
      </c>
      <c r="BC28" s="26">
        <v>0.17332746048615455</v>
      </c>
      <c r="BD28" s="26" t="s">
        <v>77</v>
      </c>
      <c r="BE28" s="226">
        <f>(BC28-AL28)*100</f>
        <v>-2.756999269820934</v>
      </c>
      <c r="BF28" s="26">
        <f>+BC28</f>
        <v>0.17332746048615455</v>
      </c>
      <c r="BG28" s="26" t="s">
        <v>77</v>
      </c>
      <c r="BH28" s="226">
        <f>(BF28-AN28)*100</f>
        <v>-2.756999269820934</v>
      </c>
      <c r="BI28" s="26">
        <v>0.16482050898043654</v>
      </c>
      <c r="BJ28" s="26" t="s">
        <v>77</v>
      </c>
      <c r="BK28" s="226">
        <f>(BI28-AP28)*100</f>
        <v>-3.7788940043853496</v>
      </c>
      <c r="BL28" s="26">
        <f>+BI28</f>
        <v>0.16482050898043654</v>
      </c>
      <c r="BM28" s="26" t="s">
        <v>77</v>
      </c>
      <c r="BN28" s="226">
        <f>(BL28-AR28)*100</f>
        <v>-3.7788940043853496</v>
      </c>
      <c r="BO28" s="26">
        <v>0.16490270157510811</v>
      </c>
      <c r="BP28" s="26" t="s">
        <v>77</v>
      </c>
      <c r="BQ28" s="226">
        <f>(BO28-AT28)*100</f>
        <v>-1.5202418691936641</v>
      </c>
      <c r="BR28" s="26">
        <v>0.16801005555644338</v>
      </c>
      <c r="BS28" s="26" t="s">
        <v>77</v>
      </c>
      <c r="BT28" s="226">
        <f>(BR28-AW28)*100</f>
        <v>-1.3122592086814044</v>
      </c>
      <c r="BU28" s="26">
        <f>+BR28</f>
        <v>0.16801005555644338</v>
      </c>
      <c r="BV28" s="26" t="s">
        <v>77</v>
      </c>
      <c r="BW28" s="226">
        <f>(BU28-AZ28)*100</f>
        <v>-1.3122592086814044</v>
      </c>
      <c r="BX28" s="26">
        <v>0.16451921724134325</v>
      </c>
      <c r="BY28" s="26" t="s">
        <v>77</v>
      </c>
      <c r="BZ28" s="226">
        <f>(BX28-BC28)*100</f>
        <v>-0.88082432448113035</v>
      </c>
      <c r="CA28" s="26">
        <f>+BX28</f>
        <v>0.16451921724134325</v>
      </c>
      <c r="CB28" s="26" t="s">
        <v>77</v>
      </c>
      <c r="CC28" s="226">
        <f>(CA28-BF28)*100</f>
        <v>-0.88082432448113035</v>
      </c>
      <c r="CD28" s="26">
        <v>0.16506096737439116</v>
      </c>
      <c r="CE28" s="26" t="s">
        <v>77</v>
      </c>
      <c r="CF28" s="226">
        <f>(CD28-BI28)*100</f>
        <v>2.4045839395461788E-2</v>
      </c>
      <c r="CG28" s="26">
        <f>+CD28</f>
        <v>0.16506096737439116</v>
      </c>
      <c r="CH28" s="26" t="s">
        <v>77</v>
      </c>
      <c r="CI28" s="226">
        <f>(CG28-BL28)*100</f>
        <v>2.4045839395461788E-2</v>
      </c>
      <c r="CJ28" s="26">
        <v>0.17386662909374626</v>
      </c>
      <c r="CK28" s="26" t="s">
        <v>77</v>
      </c>
      <c r="CL28" s="226">
        <f>(CJ28-BO28)*100</f>
        <v>0.89639275186381429</v>
      </c>
      <c r="CM28" s="26">
        <v>0.17500389953818768</v>
      </c>
      <c r="CN28" s="26" t="s">
        <v>77</v>
      </c>
      <c r="CO28" s="226">
        <f>(CM28-BR28)*100</f>
        <v>0.69938439817442966</v>
      </c>
      <c r="CP28" s="26">
        <f>+CM28</f>
        <v>0.17500389953818768</v>
      </c>
      <c r="CQ28" s="26" t="s">
        <v>77</v>
      </c>
      <c r="CR28" s="226">
        <f>(CP28-BU28)*100</f>
        <v>0.69938439817442966</v>
      </c>
      <c r="CS28" s="26">
        <v>0.18108919738553259</v>
      </c>
      <c r="CT28" s="26" t="s">
        <v>77</v>
      </c>
      <c r="CU28" s="226">
        <f>(CS28-BX28)*100</f>
        <v>1.6569980144189338</v>
      </c>
      <c r="CV28" s="26">
        <f>+CS28</f>
        <v>0.18108919738553259</v>
      </c>
      <c r="CW28" s="26" t="s">
        <v>77</v>
      </c>
      <c r="CX28" s="226">
        <f>(CV28-CA28)*100</f>
        <v>1.6569980144189338</v>
      </c>
      <c r="CY28" s="26">
        <v>0.17774401511512933</v>
      </c>
      <c r="CZ28" s="26" t="s">
        <v>77</v>
      </c>
      <c r="DA28" s="226">
        <f>(CY28-CD28)*100</f>
        <v>1.2683047740738167</v>
      </c>
      <c r="DB28" s="26">
        <f>+CY28</f>
        <v>0.17774401511512933</v>
      </c>
      <c r="DC28" s="26" t="s">
        <v>77</v>
      </c>
      <c r="DD28" s="226">
        <f>(DB28-CG28)*100</f>
        <v>1.2683047740738167</v>
      </c>
      <c r="DE28" s="26">
        <v>0.16992156118724799</v>
      </c>
      <c r="DF28" s="26" t="s">
        <v>77</v>
      </c>
      <c r="DG28" s="226">
        <f>(DE28-CJ28)*100</f>
        <v>-0.39450679064982619</v>
      </c>
      <c r="DH28" s="26">
        <v>0.16255533096113953</v>
      </c>
      <c r="DI28" s="26" t="s">
        <v>77</v>
      </c>
      <c r="DJ28" s="226">
        <f>(DH28-CM28)*100</f>
        <v>-1.2448568577048151</v>
      </c>
      <c r="DK28" s="26">
        <f>+DH28</f>
        <v>0.16255533096113953</v>
      </c>
      <c r="DL28" s="26" t="s">
        <v>77</v>
      </c>
      <c r="DM28" s="226">
        <f>(DK28-CP28)*100</f>
        <v>-1.2448568577048151</v>
      </c>
      <c r="DN28" s="26">
        <v>0.16190704604936473</v>
      </c>
      <c r="DO28" s="26" t="s">
        <v>77</v>
      </c>
      <c r="DP28" s="226">
        <f>(DN28-CS28)*100</f>
        <v>-1.9182151336167852</v>
      </c>
      <c r="DQ28" s="26">
        <f>+DN28</f>
        <v>0.16190704604936473</v>
      </c>
      <c r="DR28" s="26" t="s">
        <v>77</v>
      </c>
      <c r="DS28" s="226">
        <f>(DQ28-CV28)*100</f>
        <v>-1.9182151336167852</v>
      </c>
      <c r="DT28" s="26">
        <v>0.15823903879517576</v>
      </c>
      <c r="DU28" s="26" t="s">
        <v>77</v>
      </c>
      <c r="DV28" s="226">
        <f>(DT28-CY28)*100</f>
        <v>-1.9504976319953571</v>
      </c>
      <c r="DW28" s="26">
        <f>+DT28</f>
        <v>0.15823903879517576</v>
      </c>
      <c r="DX28" s="26" t="s">
        <v>77</v>
      </c>
      <c r="DY28" s="226">
        <f>(DW28-DB28)*100</f>
        <v>-1.9504976319953571</v>
      </c>
      <c r="DZ28" s="26">
        <v>0.1549239411329569</v>
      </c>
      <c r="EA28" s="26" t="s">
        <v>77</v>
      </c>
      <c r="EB28" s="226">
        <f>(DZ28-DE28)*100</f>
        <v>-1.4997620054291088</v>
      </c>
      <c r="EC28" s="26">
        <v>0.15844030877720527</v>
      </c>
      <c r="ED28" s="26" t="s">
        <v>77</v>
      </c>
      <c r="EE28" s="226">
        <f>(EC28-DH28)*100</f>
        <v>-0.41150221839342527</v>
      </c>
      <c r="EF28" s="26">
        <f>+EC28</f>
        <v>0.15844030877720527</v>
      </c>
      <c r="EG28" s="26" t="s">
        <v>77</v>
      </c>
      <c r="EH28" s="226">
        <f>(EF28-DK28)*100</f>
        <v>-0.41150221839342527</v>
      </c>
      <c r="EI28" s="26">
        <v>0.15764319543092797</v>
      </c>
      <c r="EJ28" s="26" t="s">
        <v>77</v>
      </c>
      <c r="EK28" s="226">
        <f>(EI28-DN28)*100</f>
        <v>-0.42638506184367597</v>
      </c>
      <c r="EL28" s="26">
        <f>+EI28</f>
        <v>0.15764319543092797</v>
      </c>
      <c r="EM28" s="26" t="s">
        <v>77</v>
      </c>
      <c r="EN28" s="226">
        <f>(EL28-DQ28)*100</f>
        <v>-0.42638506184367597</v>
      </c>
      <c r="EO28" s="26">
        <v>0.15338733987801365</v>
      </c>
      <c r="EP28" s="26" t="s">
        <v>77</v>
      </c>
      <c r="EQ28" s="226">
        <f>(EO28-DT28)*100</f>
        <v>-0.48516989171621117</v>
      </c>
      <c r="ER28" s="26">
        <f>+EO28</f>
        <v>0.15338733987801365</v>
      </c>
      <c r="ES28" s="26" t="s">
        <v>77</v>
      </c>
      <c r="ET28" s="226">
        <f>(ER28-DW28)*100</f>
        <v>-0.48516989171621117</v>
      </c>
      <c r="EU28" s="26">
        <v>0.1526303241718327</v>
      </c>
      <c r="EV28" s="26" t="s">
        <v>77</v>
      </c>
      <c r="EW28" s="226">
        <f>(EU28-DZ28)*100</f>
        <v>-0.22936169611242063</v>
      </c>
      <c r="EX28" s="26">
        <v>0.16495115742586244</v>
      </c>
      <c r="EY28" s="26" t="s">
        <v>77</v>
      </c>
      <c r="EZ28" s="226">
        <f>(EX28-EC28)*100</f>
        <v>0.65108486486571693</v>
      </c>
      <c r="FA28" s="26">
        <f>+EX28</f>
        <v>0.16495115742586244</v>
      </c>
      <c r="FB28" s="26" t="s">
        <v>77</v>
      </c>
      <c r="FC28" s="226">
        <f>(FA28-EF28)*100</f>
        <v>0.65108486486571693</v>
      </c>
      <c r="FD28" s="26">
        <v>0.1487971494883796</v>
      </c>
      <c r="FE28" s="26" t="s">
        <v>77</v>
      </c>
      <c r="FF28" s="226">
        <f>(FD28-EI28)*100</f>
        <v>-0.88460459425483695</v>
      </c>
      <c r="FG28" s="26">
        <f>+FD28</f>
        <v>0.1487971494883796</v>
      </c>
      <c r="FH28" s="26" t="s">
        <v>77</v>
      </c>
      <c r="FI28" s="226">
        <f>(FG28-EL28)*100</f>
        <v>-0.88460459425483695</v>
      </c>
      <c r="FJ28" s="26">
        <v>0.152</v>
      </c>
      <c r="FK28" s="26" t="s">
        <v>77</v>
      </c>
      <c r="FL28" s="226">
        <f>(FJ28-EO28)*100</f>
        <v>-0.13873398780136492</v>
      </c>
      <c r="FM28" s="26">
        <v>0.152</v>
      </c>
      <c r="FN28" s="26" t="s">
        <v>77</v>
      </c>
      <c r="FO28" s="226">
        <f>(FM28-ER28)*100</f>
        <v>-0.13873398780136492</v>
      </c>
      <c r="FP28" s="26">
        <v>0.15903776702013528</v>
      </c>
      <c r="FQ28" s="26" t="s">
        <v>77</v>
      </c>
      <c r="FR28" s="226">
        <f>(FP28-EU28)*100</f>
        <v>0.64074428483025803</v>
      </c>
      <c r="FS28" s="26">
        <v>0.16504549193259427</v>
      </c>
      <c r="FT28" s="26" t="s">
        <v>77</v>
      </c>
      <c r="FU28" s="226">
        <f>(FS28-EX28)*100</f>
        <v>9.4334506731824641E-3</v>
      </c>
      <c r="FV28" s="26">
        <f>+FS28</f>
        <v>0.16504549193259427</v>
      </c>
      <c r="FW28" s="26" t="s">
        <v>77</v>
      </c>
      <c r="FX28" s="226">
        <f>(FV28-FA28)*100</f>
        <v>9.4334506731824641E-3</v>
      </c>
      <c r="FY28" s="26">
        <v>0.17594014029274754</v>
      </c>
      <c r="FZ28" s="26" t="s">
        <v>77</v>
      </c>
      <c r="GA28" s="226">
        <f>(FY28-FD28)*100</f>
        <v>2.7142990804367937</v>
      </c>
      <c r="GB28" s="26">
        <f>+FY28</f>
        <v>0.17594014029274754</v>
      </c>
      <c r="GC28" s="26" t="s">
        <v>77</v>
      </c>
      <c r="GD28" s="226">
        <f>(GB28-FG28)*100</f>
        <v>2.7142990804367937</v>
      </c>
      <c r="GE28" s="26">
        <v>0.17899999999999999</v>
      </c>
      <c r="GF28" s="26" t="s">
        <v>77</v>
      </c>
      <c r="GG28" s="226">
        <f>(GE28-FJ28)*100</f>
        <v>2.6999999999999997</v>
      </c>
      <c r="GH28" s="26">
        <v>0.17899999999999999</v>
      </c>
      <c r="GI28" s="26" t="s">
        <v>77</v>
      </c>
      <c r="GJ28" s="226">
        <f>(GH28-FM28)*100</f>
        <v>2.6999999999999997</v>
      </c>
      <c r="GK28" s="26">
        <v>0.17199999999999999</v>
      </c>
      <c r="GL28" s="26" t="s">
        <v>77</v>
      </c>
      <c r="GM28" s="226">
        <f>(GK28-FP28)*100</f>
        <v>1.2962232979864707</v>
      </c>
      <c r="GN28" s="26">
        <v>0.16800000000000001</v>
      </c>
      <c r="GO28" s="26" t="s">
        <v>77</v>
      </c>
      <c r="GP28" s="226">
        <f>(GN28-FS28)*100</f>
        <v>0.29545080674057422</v>
      </c>
      <c r="GQ28" s="26">
        <f>+GN28</f>
        <v>0.16800000000000001</v>
      </c>
      <c r="GR28" s="26" t="s">
        <v>77</v>
      </c>
      <c r="GS28" s="226">
        <f>(GQ28-FV28)*100</f>
        <v>0.29545080674057422</v>
      </c>
      <c r="GT28" s="26">
        <v>0.17104207082543463</v>
      </c>
      <c r="GU28" s="26" t="s">
        <v>77</v>
      </c>
      <c r="GV28" s="226">
        <f>(GT28-FY28)*100</f>
        <v>-0.48980694673129155</v>
      </c>
      <c r="GW28" s="26">
        <f>+GT28</f>
        <v>0.17104207082543463</v>
      </c>
      <c r="GX28" s="26" t="s">
        <v>77</v>
      </c>
      <c r="GY28" s="226">
        <f>(GW28-GB28)*100</f>
        <v>-0.48980694673129155</v>
      </c>
      <c r="GZ28" s="26">
        <v>0.16843776425389076</v>
      </c>
      <c r="HA28" s="26" t="s">
        <v>77</v>
      </c>
      <c r="HB28" s="226">
        <f>(GZ28-GE28)*100</f>
        <v>-1.0562235746109234</v>
      </c>
      <c r="HC28" s="26">
        <f>+GZ28</f>
        <v>0.16843776425389076</v>
      </c>
      <c r="HD28" s="26" t="s">
        <v>77</v>
      </c>
      <c r="HE28" s="226">
        <f>(HC28-GH28)*100</f>
        <v>-1.0562235746109234</v>
      </c>
      <c r="HF28" s="26">
        <v>0.15593648340526245</v>
      </c>
      <c r="HG28" s="26" t="s">
        <v>77</v>
      </c>
      <c r="HH28" s="226">
        <f>(HF28-GK28)*100</f>
        <v>-1.6063516594737537</v>
      </c>
      <c r="HI28" s="26">
        <v>0.16935277475174867</v>
      </c>
      <c r="HJ28" s="26" t="s">
        <v>77</v>
      </c>
      <c r="HK28" s="226">
        <f>(HI28-GN28)*100</f>
        <v>0.13527747517486644</v>
      </c>
      <c r="HL28" s="26">
        <f>+HI28</f>
        <v>0.16935277475174867</v>
      </c>
      <c r="HM28" s="26" t="s">
        <v>77</v>
      </c>
      <c r="HN28" s="226">
        <f>(HL28-GQ28)*100</f>
        <v>0.13527747517486644</v>
      </c>
      <c r="HO28" s="26">
        <v>0.17890390067244613</v>
      </c>
      <c r="HP28" s="26" t="s">
        <v>77</v>
      </c>
      <c r="HQ28" s="226">
        <f>(HO28-GT28)*100</f>
        <v>0.78618298470115033</v>
      </c>
      <c r="HR28" s="26">
        <f>+HO28</f>
        <v>0.17890390067244613</v>
      </c>
      <c r="HS28" s="26" t="s">
        <v>77</v>
      </c>
      <c r="HT28" s="226">
        <f>(HR28-GW28)*100</f>
        <v>0.78618298470115033</v>
      </c>
      <c r="HU28" s="26">
        <v>0.18035921975480723</v>
      </c>
      <c r="HV28" s="26" t="s">
        <v>77</v>
      </c>
      <c r="HW28" s="226">
        <f>(HU28-GZ28)*100</f>
        <v>1.1921455500916474</v>
      </c>
      <c r="HX28" s="26">
        <f>+HU28</f>
        <v>0.18035921975480723</v>
      </c>
      <c r="HY28" s="26" t="s">
        <v>77</v>
      </c>
      <c r="HZ28" s="226">
        <f>(HX28-HC28)*100</f>
        <v>1.1921455500916474</v>
      </c>
      <c r="IA28" s="26">
        <v>0.18769566361291989</v>
      </c>
      <c r="IB28" s="26" t="s">
        <v>77</v>
      </c>
      <c r="IC28" s="226">
        <f>(IA28-HF28)*100</f>
        <v>3.1759180207657445</v>
      </c>
      <c r="ID28" s="26">
        <v>0.19669050345359698</v>
      </c>
      <c r="IE28" s="26" t="s">
        <v>77</v>
      </c>
      <c r="IF28" s="226">
        <f>(ID28-HI28)*100</f>
        <v>2.7337728701848309</v>
      </c>
      <c r="IG28" s="26">
        <v>0.19669050345359698</v>
      </c>
      <c r="IH28" s="26" t="s">
        <v>77</v>
      </c>
      <c r="II28" s="226">
        <f>(IG28-HL28)*100</f>
        <v>2.7337728701848309</v>
      </c>
      <c r="IJ28" s="26">
        <v>0.20505854033578688</v>
      </c>
      <c r="IK28" s="26" t="s">
        <v>77</v>
      </c>
      <c r="IL28" s="226">
        <f t="shared" si="214"/>
        <v>2.6154639663340751</v>
      </c>
      <c r="IM28" s="26">
        <v>0.20505854033578688</v>
      </c>
      <c r="IN28" s="26" t="s">
        <v>77</v>
      </c>
      <c r="IO28" s="226">
        <f t="shared" si="215"/>
        <v>2.6154639663340751</v>
      </c>
      <c r="IP28" s="26">
        <v>0.22026612875395554</v>
      </c>
      <c r="IQ28" s="26" t="s">
        <v>77</v>
      </c>
      <c r="IR28" s="226">
        <f t="shared" si="216"/>
        <v>3.9906908999148309</v>
      </c>
      <c r="IS28" s="26">
        <v>0.22026612875395554</v>
      </c>
      <c r="IT28" s="26" t="s">
        <v>77</v>
      </c>
      <c r="IU28" s="226">
        <f t="shared" si="217"/>
        <v>3.9906908999148309</v>
      </c>
      <c r="IV28" s="26"/>
      <c r="IW28" s="26"/>
      <c r="IX28" s="226"/>
      <c r="IY28" s="26"/>
      <c r="IZ28" s="26"/>
      <c r="JA28" s="226"/>
      <c r="JB28" s="26"/>
      <c r="JC28" s="26"/>
      <c r="JD28" s="226"/>
      <c r="JE28" s="26"/>
      <c r="JF28" s="26"/>
      <c r="JG28" s="226"/>
      <c r="JH28" s="26"/>
      <c r="JI28" s="26"/>
      <c r="JJ28" s="226"/>
      <c r="JK28" s="26"/>
      <c r="JL28" s="26"/>
      <c r="JM28" s="226"/>
      <c r="JN28" s="26"/>
      <c r="JO28" s="26"/>
      <c r="JP28" s="226"/>
      <c r="JQ28" s="26"/>
      <c r="JR28" s="26" t="s">
        <v>77</v>
      </c>
      <c r="JS28" s="226">
        <f t="shared" si="226"/>
        <v>0</v>
      </c>
      <c r="JT28" s="26"/>
      <c r="JU28" s="26" t="s">
        <v>77</v>
      </c>
      <c r="JV28" s="226">
        <f t="shared" si="227"/>
        <v>0</v>
      </c>
      <c r="JW28" s="26"/>
      <c r="JX28" s="26"/>
      <c r="JY28" s="226"/>
      <c r="JZ28" s="26"/>
      <c r="KA28" s="26"/>
      <c r="KB28" s="226"/>
      <c r="KC28" s="26"/>
      <c r="KD28" s="26"/>
      <c r="KE28" s="226"/>
      <c r="KF28" s="26"/>
      <c r="KG28" s="26"/>
      <c r="KH28" s="226"/>
      <c r="KI28" s="26"/>
      <c r="KJ28" s="26"/>
      <c r="KK28" s="226"/>
    </row>
    <row r="29" spans="2:297" ht="16.5" customHeight="1">
      <c r="B29" s="335" t="s">
        <v>94</v>
      </c>
      <c r="C29" s="335" t="s">
        <v>94</v>
      </c>
      <c r="D29" s="271" t="s">
        <v>77</v>
      </c>
      <c r="E29" s="271" t="s">
        <v>77</v>
      </c>
      <c r="F29" s="271" t="s">
        <v>77</v>
      </c>
      <c r="G29" s="271" t="s">
        <v>77</v>
      </c>
      <c r="H29" s="271" t="s">
        <v>77</v>
      </c>
      <c r="I29" s="271" t="s">
        <v>77</v>
      </c>
      <c r="J29" s="271" t="s">
        <v>77</v>
      </c>
      <c r="K29" s="271" t="s">
        <v>77</v>
      </c>
      <c r="L29" s="271" t="s">
        <v>77</v>
      </c>
      <c r="M29" s="271" t="s">
        <v>77</v>
      </c>
      <c r="N29" s="271" t="s">
        <v>77</v>
      </c>
      <c r="O29" s="271" t="s">
        <v>77</v>
      </c>
      <c r="P29" s="271" t="s">
        <v>77</v>
      </c>
      <c r="Q29" s="271" t="s">
        <v>77</v>
      </c>
      <c r="R29" s="271">
        <v>0.19443946015300168</v>
      </c>
      <c r="S29" s="271" t="s">
        <v>77</v>
      </c>
      <c r="T29" s="271">
        <v>0.2101894870754703</v>
      </c>
      <c r="U29" s="271" t="s">
        <v>77</v>
      </c>
      <c r="V29" s="271">
        <f>+T29</f>
        <v>0.2101894870754703</v>
      </c>
      <c r="W29" s="271" t="s">
        <v>77</v>
      </c>
      <c r="X29" s="271">
        <v>0.22466386214778378</v>
      </c>
      <c r="Y29" s="271" t="s">
        <v>77</v>
      </c>
      <c r="Z29" s="271">
        <f>+X29</f>
        <v>0.22466386214778378</v>
      </c>
      <c r="AA29" s="271" t="s">
        <v>77</v>
      </c>
      <c r="AB29" s="271">
        <v>0.14048330547076862</v>
      </c>
      <c r="AC29" s="271" t="s">
        <v>77</v>
      </c>
      <c r="AD29" s="271">
        <f>+AB29</f>
        <v>0.14048330547076862</v>
      </c>
      <c r="AE29" s="271" t="s">
        <v>77</v>
      </c>
      <c r="AF29" s="271">
        <v>0.20807369661963257</v>
      </c>
      <c r="AG29" s="271" t="s">
        <v>77</v>
      </c>
      <c r="AH29" s="271">
        <v>0.21380717486522283</v>
      </c>
      <c r="AI29" s="271" t="s">
        <v>77</v>
      </c>
      <c r="AJ29" s="271">
        <f>+AH29</f>
        <v>0.21380717486522283</v>
      </c>
      <c r="AK29" s="271" t="s">
        <v>77</v>
      </c>
      <c r="AL29" s="271">
        <v>0.23470248609014971</v>
      </c>
      <c r="AM29" s="271" t="s">
        <v>77</v>
      </c>
      <c r="AN29" s="271">
        <f>+AL29</f>
        <v>0.23470248609014971</v>
      </c>
      <c r="AO29" s="271" t="s">
        <v>77</v>
      </c>
      <c r="AP29" s="271">
        <v>0.15748688688114246</v>
      </c>
      <c r="AQ29" s="271" t="s">
        <v>77</v>
      </c>
      <c r="AR29" s="271">
        <f>+AP29</f>
        <v>0.15748688688114246</v>
      </c>
      <c r="AS29" s="271" t="s">
        <v>77</v>
      </c>
      <c r="AT29" s="271">
        <v>0.22589033128380459</v>
      </c>
      <c r="AU29" s="271" t="s">
        <v>77</v>
      </c>
      <c r="AV29" s="336">
        <f>(AT29-AF29)*100</f>
        <v>1.7816634664172022</v>
      </c>
      <c r="AW29" s="271">
        <v>0.21313316692329476</v>
      </c>
      <c r="AX29" s="271" t="s">
        <v>77</v>
      </c>
      <c r="AY29" s="336">
        <f>(AW29-AH29)*100</f>
        <v>-6.7400794192806757E-2</v>
      </c>
      <c r="AZ29" s="271">
        <f>+AW29</f>
        <v>0.21313316692329476</v>
      </c>
      <c r="BA29" s="271" t="s">
        <v>77</v>
      </c>
      <c r="BB29" s="336">
        <f>(AZ29-AJ29)*100</f>
        <v>-6.7400794192806757E-2</v>
      </c>
      <c r="BC29" s="271">
        <v>0.21606951861547777</v>
      </c>
      <c r="BD29" s="271" t="s">
        <v>77</v>
      </c>
      <c r="BE29" s="336">
        <f>(BC29-AL29)*100</f>
        <v>-1.863296747467194</v>
      </c>
      <c r="BF29" s="271">
        <f>+BC29</f>
        <v>0.21606951861547777</v>
      </c>
      <c r="BG29" s="271" t="s">
        <v>77</v>
      </c>
      <c r="BH29" s="336">
        <f>(BF29-AN29)*100</f>
        <v>-1.863296747467194</v>
      </c>
      <c r="BI29" s="271">
        <v>0.12393918365286664</v>
      </c>
      <c r="BJ29" s="271" t="s">
        <v>77</v>
      </c>
      <c r="BK29" s="336">
        <f>(BI29-AP29)*100</f>
        <v>-3.3547703228275814</v>
      </c>
      <c r="BL29" s="271">
        <f>+BI29</f>
        <v>0.12393918365286664</v>
      </c>
      <c r="BM29" s="271" t="s">
        <v>77</v>
      </c>
      <c r="BN29" s="336">
        <f>(BL29-AR29)*100</f>
        <v>-3.3547703228275814</v>
      </c>
      <c r="BO29" s="271">
        <v>0.19758255240786929</v>
      </c>
      <c r="BP29" s="271" t="s">
        <v>77</v>
      </c>
      <c r="BQ29" s="336">
        <f>(BO29-AT29)*100</f>
        <v>-2.8307778875935301</v>
      </c>
      <c r="BR29" s="271">
        <v>0.19644715043774863</v>
      </c>
      <c r="BS29" s="271" t="s">
        <v>77</v>
      </c>
      <c r="BT29" s="336">
        <f>(BR29-AW29)*100</f>
        <v>-1.6686016485546129</v>
      </c>
      <c r="BU29" s="271">
        <f>+BR29</f>
        <v>0.19644715043774863</v>
      </c>
      <c r="BV29" s="271" t="s">
        <v>77</v>
      </c>
      <c r="BW29" s="336">
        <f>(BU29-AZ29)*100</f>
        <v>-1.6686016485546129</v>
      </c>
      <c r="BX29" s="271">
        <v>0.20542228707141885</v>
      </c>
      <c r="BY29" s="271" t="s">
        <v>77</v>
      </c>
      <c r="BZ29" s="336">
        <f>(BX29-BC29)*100</f>
        <v>-1.0647231544058915</v>
      </c>
      <c r="CA29" s="271">
        <f>+BX29</f>
        <v>0.20542228707141885</v>
      </c>
      <c r="CB29" s="271" t="s">
        <v>77</v>
      </c>
      <c r="CC29" s="336">
        <f>(CA29-BF29)*100</f>
        <v>-1.0647231544058915</v>
      </c>
      <c r="CD29" s="271">
        <v>0.11892755267642809</v>
      </c>
      <c r="CE29" s="271" t="s">
        <v>77</v>
      </c>
      <c r="CF29" s="336">
        <f>(CD29-BI29)*100</f>
        <v>-0.5011630976438558</v>
      </c>
      <c r="CG29" s="271">
        <f>+CD29</f>
        <v>0.11892755267642809</v>
      </c>
      <c r="CH29" s="271" t="s">
        <v>77</v>
      </c>
      <c r="CI29" s="336">
        <f>(CG29-BL29)*100</f>
        <v>-0.5011630976438558</v>
      </c>
      <c r="CJ29" s="271">
        <v>0.18600040152449179</v>
      </c>
      <c r="CK29" s="271" t="s">
        <v>77</v>
      </c>
      <c r="CL29" s="336">
        <f>(CJ29-BO29)*100</f>
        <v>-1.1582150883377496</v>
      </c>
      <c r="CM29" s="271">
        <v>0.18932996953147363</v>
      </c>
      <c r="CN29" s="271" t="s">
        <v>77</v>
      </c>
      <c r="CO29" s="336">
        <f>(CM29-BR29)*100</f>
        <v>-0.71171809062750002</v>
      </c>
      <c r="CP29" s="271">
        <f>+CM29</f>
        <v>0.18932996953147363</v>
      </c>
      <c r="CQ29" s="271" t="s">
        <v>77</v>
      </c>
      <c r="CR29" s="336">
        <f>(CP29-BU29)*100</f>
        <v>-0.71171809062750002</v>
      </c>
      <c r="CS29" s="271">
        <v>0.21631084149221821</v>
      </c>
      <c r="CT29" s="271" t="s">
        <v>77</v>
      </c>
      <c r="CU29" s="336">
        <f>(CS29-BX29)*100</f>
        <v>1.0888554420799363</v>
      </c>
      <c r="CV29" s="271">
        <f>+CS29</f>
        <v>0.21631084149221821</v>
      </c>
      <c r="CW29" s="271" t="s">
        <v>77</v>
      </c>
      <c r="CX29" s="336">
        <f>(CV29-CA29)*100</f>
        <v>1.0888554420799363</v>
      </c>
      <c r="CY29" s="271">
        <v>0.13299477368466686</v>
      </c>
      <c r="CZ29" s="271" t="s">
        <v>77</v>
      </c>
      <c r="DA29" s="336">
        <f>(CY29-CD29)*100</f>
        <v>1.4067221008238775</v>
      </c>
      <c r="DB29" s="271">
        <f>+CY29</f>
        <v>0.13299477368466686</v>
      </c>
      <c r="DC29" s="271" t="s">
        <v>77</v>
      </c>
      <c r="DD29" s="336">
        <f>(DB29-CG29)*100</f>
        <v>1.4067221008238775</v>
      </c>
      <c r="DE29" s="271">
        <v>0.18585121685606096</v>
      </c>
      <c r="DF29" s="271" t="s">
        <v>77</v>
      </c>
      <c r="DG29" s="336">
        <f>(DE29-CJ29)*100</f>
        <v>-1.4918466843083511E-2</v>
      </c>
      <c r="DH29" s="271">
        <v>0.18505502161416493</v>
      </c>
      <c r="DI29" s="271" t="s">
        <v>77</v>
      </c>
      <c r="DJ29" s="336">
        <f>(DH29-CM29)*100</f>
        <v>-0.42749479173087024</v>
      </c>
      <c r="DK29" s="271">
        <f>+DH29</f>
        <v>0.18505502161416493</v>
      </c>
      <c r="DL29" s="271" t="s">
        <v>77</v>
      </c>
      <c r="DM29" s="336">
        <f>(DK29-CP29)*100</f>
        <v>-0.42749479173087024</v>
      </c>
      <c r="DN29" s="271">
        <v>0.20145169386592163</v>
      </c>
      <c r="DO29" s="271" t="s">
        <v>77</v>
      </c>
      <c r="DP29" s="336">
        <f>(DN29-CS29)*100</f>
        <v>-1.4859147626296587</v>
      </c>
      <c r="DQ29" s="271">
        <f>+DN29</f>
        <v>0.20145169386592163</v>
      </c>
      <c r="DR29" s="271" t="s">
        <v>77</v>
      </c>
      <c r="DS29" s="336">
        <f>(DQ29-CV29)*100</f>
        <v>-1.4859147626296587</v>
      </c>
      <c r="DT29" s="271">
        <v>0.13142892634186409</v>
      </c>
      <c r="DU29" s="271" t="s">
        <v>77</v>
      </c>
      <c r="DV29" s="336">
        <f>(DT29-CY29)*100</f>
        <v>-0.15658473428027675</v>
      </c>
      <c r="DW29" s="271">
        <f>+DT29</f>
        <v>0.13142892634186409</v>
      </c>
      <c r="DX29" s="271" t="s">
        <v>77</v>
      </c>
      <c r="DY29" s="336">
        <f>(DW29-DB29)*100</f>
        <v>-0.15658473428027675</v>
      </c>
      <c r="DZ29" s="271">
        <v>0.18460128720665003</v>
      </c>
      <c r="EA29" s="271" t="s">
        <v>77</v>
      </c>
      <c r="EB29" s="336">
        <f>(DZ29-DE29)*100</f>
        <v>-0.12499296494109247</v>
      </c>
      <c r="EC29" s="271">
        <v>0.18836186173370803</v>
      </c>
      <c r="ED29" s="271" t="s">
        <v>77</v>
      </c>
      <c r="EE29" s="336">
        <f>(EC29-DH29)*100</f>
        <v>0.3306840119543103</v>
      </c>
      <c r="EF29" s="271">
        <f>+EC29</f>
        <v>0.18836186173370803</v>
      </c>
      <c r="EG29" s="271" t="s">
        <v>77</v>
      </c>
      <c r="EH29" s="336">
        <f>(EF29-DK29)*100</f>
        <v>0.3306840119543103</v>
      </c>
      <c r="EI29" s="271">
        <v>0.19747436112688455</v>
      </c>
      <c r="EJ29" s="271" t="s">
        <v>77</v>
      </c>
      <c r="EK29" s="336">
        <f>(EI29-DN29)*100</f>
        <v>-0.39773327390370816</v>
      </c>
      <c r="EL29" s="271">
        <f>+EI29</f>
        <v>0.19747436112688455</v>
      </c>
      <c r="EM29" s="271" t="s">
        <v>77</v>
      </c>
      <c r="EN29" s="336">
        <f>(EL29-DQ29)*100</f>
        <v>-0.39773327390370816</v>
      </c>
      <c r="EO29" s="271">
        <v>0.12874511736042124</v>
      </c>
      <c r="EP29" s="271" t="s">
        <v>77</v>
      </c>
      <c r="EQ29" s="336">
        <f>(EO29-DT29)*100</f>
        <v>-0.26838089814428534</v>
      </c>
      <c r="ER29" s="271">
        <f>+EO29</f>
        <v>0.12874511736042124</v>
      </c>
      <c r="ES29" s="271" t="s">
        <v>77</v>
      </c>
      <c r="ET29" s="336">
        <f>(ER29-DW29)*100</f>
        <v>-0.26838089814428534</v>
      </c>
      <c r="EU29" s="271">
        <v>0.19034729683857521</v>
      </c>
      <c r="EV29" s="271" t="s">
        <v>77</v>
      </c>
      <c r="EW29" s="336">
        <f>(EU29-DZ29)*100</f>
        <v>0.57460096319251752</v>
      </c>
      <c r="EX29" s="271">
        <v>0.2130803433862701</v>
      </c>
      <c r="EY29" s="271" t="s">
        <v>77</v>
      </c>
      <c r="EZ29" s="336">
        <f>(EX29-EC29)*100</f>
        <v>2.4718481652562074</v>
      </c>
      <c r="FA29" s="271">
        <f>+EX29</f>
        <v>0.2130803433862701</v>
      </c>
      <c r="FB29" s="271" t="s">
        <v>77</v>
      </c>
      <c r="FC29" s="336">
        <f>(FA29-EF29)*100</f>
        <v>2.4718481652562074</v>
      </c>
      <c r="FD29" s="271">
        <v>0.20376585612933279</v>
      </c>
      <c r="FE29" s="271" t="s">
        <v>77</v>
      </c>
      <c r="FF29" s="336">
        <f>(FD29-EI29)*100</f>
        <v>0.62914950024482441</v>
      </c>
      <c r="FG29" s="271">
        <f>+FD29</f>
        <v>0.20376585612933279</v>
      </c>
      <c r="FH29" s="271" t="s">
        <v>77</v>
      </c>
      <c r="FI29" s="336">
        <f>(FG29-EL29)*100</f>
        <v>0.62914950024482441</v>
      </c>
      <c r="FJ29" s="271">
        <v>0.13407098658568273</v>
      </c>
      <c r="FK29" s="271" t="s">
        <v>77</v>
      </c>
      <c r="FL29" s="336">
        <f>(FJ29-EO29)*100</f>
        <v>0.5325869225261487</v>
      </c>
      <c r="FM29" s="271">
        <f>+FJ29</f>
        <v>0.13407098658568273</v>
      </c>
      <c r="FN29" s="271" t="s">
        <v>77</v>
      </c>
      <c r="FO29" s="336">
        <f>(FM29-ER29)*100</f>
        <v>0.5325869225261487</v>
      </c>
      <c r="FP29" s="271">
        <v>0.1998006778678946</v>
      </c>
      <c r="FQ29" s="271" t="s">
        <v>77</v>
      </c>
      <c r="FR29" s="336">
        <f>(FP29-EU29)*100</f>
        <v>0.94533810293193909</v>
      </c>
      <c r="FS29" s="271">
        <v>0.20816431727892104</v>
      </c>
      <c r="FT29" s="271" t="s">
        <v>77</v>
      </c>
      <c r="FU29" s="336">
        <f>(FS29-EX29)*100</f>
        <v>-0.49160261073490641</v>
      </c>
      <c r="FV29" s="271">
        <f>+FS29</f>
        <v>0.20816431727892104</v>
      </c>
      <c r="FW29" s="271" t="s">
        <v>77</v>
      </c>
      <c r="FX29" s="336">
        <f>(FV29-FA29)*100</f>
        <v>-0.49160261073490641</v>
      </c>
      <c r="FY29" s="271">
        <v>0.21202419917133847</v>
      </c>
      <c r="FZ29" s="271" t="s">
        <v>77</v>
      </c>
      <c r="GA29" s="336">
        <f>(FY29-FD29)*100</f>
        <v>0.8258343042005678</v>
      </c>
      <c r="GB29" s="271">
        <f>+FY29</f>
        <v>0.21202419917133847</v>
      </c>
      <c r="GC29" s="271" t="s">
        <v>77</v>
      </c>
      <c r="GD29" s="336">
        <f>(GB29-FG29)*100</f>
        <v>0.8258343042005678</v>
      </c>
      <c r="GE29" s="271">
        <v>0.14438990036344884</v>
      </c>
      <c r="GF29" s="271" t="s">
        <v>77</v>
      </c>
      <c r="GG29" s="336">
        <f>(GE29-FJ29)*100</f>
        <v>1.0318913777766114</v>
      </c>
      <c r="GH29" s="271">
        <f>+GE29</f>
        <v>0.14438990036344884</v>
      </c>
      <c r="GI29" s="271" t="s">
        <v>77</v>
      </c>
      <c r="GJ29" s="336">
        <f>(GH29-FM29)*100</f>
        <v>1.0318913777766114</v>
      </c>
      <c r="GK29" s="271">
        <v>0.20399999999999999</v>
      </c>
      <c r="GL29" s="271" t="s">
        <v>77</v>
      </c>
      <c r="GM29" s="336">
        <f>(GK29-FP29)*100</f>
        <v>0.41993221321053875</v>
      </c>
      <c r="GN29" s="271">
        <v>0.20816431727892104</v>
      </c>
      <c r="GO29" s="271" t="s">
        <v>77</v>
      </c>
      <c r="GP29" s="336">
        <f>(GN29-FS29)*100</f>
        <v>0</v>
      </c>
      <c r="GQ29" s="271">
        <f>+GN29</f>
        <v>0.20816431727892104</v>
      </c>
      <c r="GR29" s="271" t="s">
        <v>77</v>
      </c>
      <c r="GS29" s="336">
        <f>(GQ29-FV29)*100</f>
        <v>0</v>
      </c>
      <c r="GT29" s="271">
        <v>0.21476338962599337</v>
      </c>
      <c r="GU29" s="271" t="s">
        <v>77</v>
      </c>
      <c r="GV29" s="336">
        <f>(GT29-FY29)*100</f>
        <v>0.27391904546548995</v>
      </c>
      <c r="GW29" s="271">
        <f>+GT29</f>
        <v>0.21476338962599337</v>
      </c>
      <c r="GX29" s="271" t="s">
        <v>77</v>
      </c>
      <c r="GY29" s="336">
        <f>(GW29-GB29)*100</f>
        <v>0.27391904546548995</v>
      </c>
      <c r="GZ29" s="271">
        <v>0.13835662907794399</v>
      </c>
      <c r="HA29" s="271" t="s">
        <v>77</v>
      </c>
      <c r="HB29" s="336">
        <f>(GZ29-GE29)*100</f>
        <v>-0.60332712855048487</v>
      </c>
      <c r="HC29" s="271">
        <f>+GZ29</f>
        <v>0.13835662907794399</v>
      </c>
      <c r="HD29" s="271" t="s">
        <v>77</v>
      </c>
      <c r="HE29" s="336">
        <f>(HC29-GH29)*100</f>
        <v>-0.60332712855048487</v>
      </c>
      <c r="HF29" s="271">
        <v>0.18467175165795993</v>
      </c>
      <c r="HG29" s="271" t="s">
        <v>77</v>
      </c>
      <c r="HH29" s="336">
        <f>(HF29-GK29)*100</f>
        <v>-1.9328248342040055</v>
      </c>
      <c r="HI29" s="271">
        <v>0.2229271241360602</v>
      </c>
      <c r="HJ29" s="271" t="s">
        <v>77</v>
      </c>
      <c r="HK29" s="336">
        <f>(HI29-GN29)*100</f>
        <v>1.4762806857139155</v>
      </c>
      <c r="HL29" s="271">
        <f>+HI29</f>
        <v>0.2229271241360602</v>
      </c>
      <c r="HM29" s="271" t="s">
        <v>77</v>
      </c>
      <c r="HN29" s="336">
        <f>(HL29-GQ29)*100</f>
        <v>1.4762806857139155</v>
      </c>
      <c r="HO29" s="271">
        <v>0.20374005459704037</v>
      </c>
      <c r="HP29" s="271" t="s">
        <v>77</v>
      </c>
      <c r="HQ29" s="336">
        <f>(HO29-GT29)*100</f>
        <v>-1.1023335028953003</v>
      </c>
      <c r="HR29" s="271">
        <f>+HO29</f>
        <v>0.20374005459704037</v>
      </c>
      <c r="HS29" s="271" t="s">
        <v>77</v>
      </c>
      <c r="HT29" s="336">
        <f>(HR29-GW29)*100</f>
        <v>-1.1023335028953003</v>
      </c>
      <c r="HU29" s="271">
        <v>0.16827265884833706</v>
      </c>
      <c r="HV29" s="271" t="s">
        <v>77</v>
      </c>
      <c r="HW29" s="336">
        <f>(HU29-GZ29)*100</f>
        <v>2.9916029770393067</v>
      </c>
      <c r="HX29" s="271">
        <f>+HU29</f>
        <v>0.16827265884833706</v>
      </c>
      <c r="HY29" s="271" t="s">
        <v>77</v>
      </c>
      <c r="HZ29" s="336">
        <f>(HX29-HC29)*100</f>
        <v>2.9916029770393067</v>
      </c>
      <c r="IA29" s="271">
        <v>0.21504417800618122</v>
      </c>
      <c r="IB29" s="271" t="s">
        <v>77</v>
      </c>
      <c r="IC29" s="336">
        <f>(IA29-HF29)*100</f>
        <v>3.0372426348221291</v>
      </c>
      <c r="ID29" s="271">
        <v>0.21420479194854108</v>
      </c>
      <c r="IE29" s="271" t="s">
        <v>77</v>
      </c>
      <c r="IF29" s="336">
        <f>(ID29-HI29)*100</f>
        <v>-0.87223321875191107</v>
      </c>
      <c r="IG29" s="271">
        <v>0.21420479194854108</v>
      </c>
      <c r="IH29" s="271" t="s">
        <v>77</v>
      </c>
      <c r="II29" s="336">
        <f>(IG29-HL29)*100</f>
        <v>-0.87223321875191107</v>
      </c>
      <c r="IJ29" s="271">
        <v>0.21034536085409417</v>
      </c>
      <c r="IK29" s="271" t="s">
        <v>77</v>
      </c>
      <c r="IL29" s="336">
        <f t="shared" si="214"/>
        <v>0.66053062570538001</v>
      </c>
      <c r="IM29" s="271">
        <v>0.21034536085409417</v>
      </c>
      <c r="IN29" s="271" t="s">
        <v>77</v>
      </c>
      <c r="IO29" s="336">
        <f t="shared" si="215"/>
        <v>0.66053062570538001</v>
      </c>
      <c r="IP29" s="271">
        <v>0.15262349540912915</v>
      </c>
      <c r="IQ29" s="271" t="s">
        <v>77</v>
      </c>
      <c r="IR29" s="336">
        <f t="shared" si="216"/>
        <v>-1.5649163439207914</v>
      </c>
      <c r="IS29" s="271">
        <v>0.15262349540912915</v>
      </c>
      <c r="IT29" s="271" t="s">
        <v>77</v>
      </c>
      <c r="IU29" s="336">
        <f t="shared" si="217"/>
        <v>-1.5649163439207914</v>
      </c>
      <c r="IV29" s="271">
        <v>0.19440145524939523</v>
      </c>
      <c r="IW29" s="271" t="s">
        <v>77</v>
      </c>
      <c r="IX29" s="336">
        <f t="shared" si="218"/>
        <v>-2.0642722756785998</v>
      </c>
      <c r="IY29" s="22">
        <v>0.20823166010978572</v>
      </c>
      <c r="IZ29" s="271" t="s">
        <v>77</v>
      </c>
      <c r="JA29" s="336">
        <f>(IY29-ID29)*100</f>
        <v>-0.59731318387553634</v>
      </c>
      <c r="JB29" s="271">
        <f>IY29</f>
        <v>0.20823166010978572</v>
      </c>
      <c r="JC29" s="271" t="s">
        <v>77</v>
      </c>
      <c r="JD29" s="336">
        <f>(JB29-IG29)*100</f>
        <v>-0.59731318387553634</v>
      </c>
      <c r="JE29" s="271">
        <v>0.20642548205475322</v>
      </c>
      <c r="JF29" s="271" t="s">
        <v>77</v>
      </c>
      <c r="JG29" s="336">
        <f t="shared" si="220"/>
        <v>-0.39198787993409423</v>
      </c>
      <c r="JH29" s="271">
        <f t="shared" si="221"/>
        <v>0.20642548205475322</v>
      </c>
      <c r="JI29" s="271" t="s">
        <v>77</v>
      </c>
      <c r="JJ29" s="336">
        <f t="shared" si="222"/>
        <v>-0.39198787993409423</v>
      </c>
      <c r="JK29" s="271">
        <v>0.16511845011315801</v>
      </c>
      <c r="JL29" s="271" t="s">
        <v>77</v>
      </c>
      <c r="JM29" s="336">
        <f t="shared" si="223"/>
        <v>1.2494954704028864</v>
      </c>
      <c r="JN29" s="271">
        <f t="shared" si="224"/>
        <v>0.16511845011315801</v>
      </c>
      <c r="JO29" s="271" t="s">
        <v>77</v>
      </c>
      <c r="JP29" s="336">
        <f t="shared" si="225"/>
        <v>1.2494954704028864</v>
      </c>
      <c r="JQ29" s="271" t="s">
        <v>1450</v>
      </c>
      <c r="JR29" s="271" t="s">
        <v>77</v>
      </c>
      <c r="JS29" s="336">
        <f t="shared" si="226"/>
        <v>4.4598544750604763</v>
      </c>
      <c r="JT29" s="271">
        <v>0.32200000000000001</v>
      </c>
      <c r="JU29" s="271" t="s">
        <v>77</v>
      </c>
      <c r="JV29" s="336">
        <f t="shared" si="227"/>
        <v>11.376833989021428</v>
      </c>
      <c r="JW29" s="271">
        <f>JT29</f>
        <v>0.32200000000000001</v>
      </c>
      <c r="JX29" s="271" t="s">
        <v>77</v>
      </c>
      <c r="JY29" s="336">
        <f>(JW29-JB29)*100</f>
        <v>11.376833989021428</v>
      </c>
      <c r="JZ29" s="271">
        <v>0.22902611595817252</v>
      </c>
      <c r="KA29" s="271" t="s">
        <v>77</v>
      </c>
      <c r="KB29" s="336">
        <f>(JZ29-JE29)*100</f>
        <v>2.2600633903419292</v>
      </c>
      <c r="KC29" s="271">
        <f>JZ29</f>
        <v>0.22902611595817252</v>
      </c>
      <c r="KD29" s="271" t="s">
        <v>77</v>
      </c>
      <c r="KE29" s="336">
        <f>(KC29-JH29)*100</f>
        <v>2.2600633903419292</v>
      </c>
      <c r="KF29" s="271">
        <v>0.158600546882986</v>
      </c>
      <c r="KG29" s="271" t="s">
        <v>77</v>
      </c>
      <c r="KH29" s="336">
        <f>(KF29-JK29)*100</f>
        <v>-0.65179032301720119</v>
      </c>
      <c r="KI29" s="271">
        <f>KF29</f>
        <v>0.158600546882986</v>
      </c>
      <c r="KJ29" s="271" t="s">
        <v>77</v>
      </c>
      <c r="KK29" s="336">
        <f>(KI29-JN29)*100</f>
        <v>-0.65179032301720119</v>
      </c>
    </row>
    <row r="30" spans="2:297" ht="16.5" customHeight="1">
      <c r="B30" s="266"/>
      <c r="C30" s="319"/>
      <c r="D30" s="224"/>
      <c r="E30" s="224"/>
      <c r="F30" s="224"/>
      <c r="G30" s="224"/>
      <c r="H30" s="224"/>
      <c r="I30" s="224"/>
      <c r="J30" s="224"/>
      <c r="K30" s="224"/>
      <c r="L30" s="224"/>
      <c r="M30" s="224"/>
      <c r="N30" s="224"/>
      <c r="O30" s="224"/>
      <c r="P30" s="224"/>
      <c r="Q30" s="224"/>
      <c r="R30" s="224"/>
      <c r="S30" s="224"/>
      <c r="T30" s="224"/>
      <c r="U30" s="224"/>
      <c r="V30" s="224"/>
      <c r="W30" s="224"/>
      <c r="X30" s="224"/>
      <c r="Y30" s="224"/>
      <c r="Z30" s="224"/>
      <c r="AA30" s="224"/>
      <c r="AB30" s="224"/>
      <c r="AC30" s="224"/>
      <c r="AD30" s="224"/>
      <c r="AE30" s="224"/>
      <c r="AF30" s="224"/>
      <c r="AG30" s="224"/>
      <c r="AH30" s="224"/>
      <c r="AI30" s="224"/>
      <c r="AJ30" s="224"/>
      <c r="AK30" s="224"/>
      <c r="AL30" s="224"/>
      <c r="AM30" s="224"/>
      <c r="AN30" s="224"/>
      <c r="AO30" s="224"/>
      <c r="AP30" s="224"/>
      <c r="AQ30" s="224"/>
      <c r="AR30" s="224"/>
      <c r="AS30" s="224"/>
      <c r="AT30" s="224"/>
      <c r="AU30" s="224"/>
      <c r="AV30" s="224"/>
      <c r="AW30" s="224"/>
      <c r="AX30" s="224"/>
      <c r="AY30" s="224"/>
      <c r="AZ30" s="224"/>
      <c r="BA30" s="224"/>
      <c r="BB30" s="224"/>
      <c r="BC30" s="224"/>
      <c r="BD30" s="224"/>
      <c r="BE30" s="224"/>
      <c r="BF30" s="224"/>
      <c r="BG30" s="224"/>
      <c r="BH30" s="224"/>
      <c r="BI30" s="224"/>
      <c r="BJ30" s="224"/>
      <c r="BK30" s="224"/>
      <c r="BL30" s="224"/>
      <c r="BM30" s="224"/>
      <c r="BN30" s="224"/>
      <c r="BO30" s="224"/>
      <c r="BP30" s="224"/>
      <c r="BQ30" s="224"/>
      <c r="BR30" s="224"/>
      <c r="BS30" s="224"/>
      <c r="BT30" s="224"/>
      <c r="BU30" s="224"/>
      <c r="BV30" s="224"/>
      <c r="BW30" s="224"/>
      <c r="BX30" s="224"/>
      <c r="BY30" s="224"/>
      <c r="BZ30" s="224"/>
      <c r="CA30" s="224"/>
      <c r="CB30" s="224"/>
      <c r="CC30" s="224"/>
      <c r="CD30" s="224"/>
      <c r="CE30" s="224"/>
      <c r="CF30" s="224"/>
      <c r="CG30" s="224"/>
      <c r="CH30" s="224"/>
      <c r="CI30" s="224"/>
      <c r="CJ30" s="224"/>
      <c r="CK30" s="224"/>
      <c r="CL30" s="224"/>
      <c r="CM30" s="224"/>
      <c r="CN30" s="224"/>
      <c r="CO30" s="224"/>
      <c r="CP30" s="224"/>
      <c r="CQ30" s="224"/>
      <c r="CR30" s="224"/>
      <c r="CS30" s="224"/>
      <c r="CT30" s="224"/>
      <c r="CU30" s="224"/>
      <c r="CV30" s="224"/>
      <c r="CW30" s="224"/>
      <c r="CX30" s="224"/>
      <c r="CY30" s="224"/>
      <c r="CZ30" s="224"/>
      <c r="DA30" s="224"/>
      <c r="DB30" s="224"/>
      <c r="DC30" s="224"/>
      <c r="DD30" s="224"/>
      <c r="DE30" s="224"/>
      <c r="DF30" s="224"/>
      <c r="DG30" s="224"/>
      <c r="DH30" s="224"/>
      <c r="DI30" s="224"/>
      <c r="DJ30" s="224"/>
      <c r="DK30" s="224"/>
      <c r="DL30" s="224"/>
      <c r="DM30" s="224"/>
      <c r="DN30" s="224"/>
      <c r="DO30" s="224"/>
      <c r="DP30" s="224"/>
      <c r="DQ30" s="224"/>
      <c r="DR30" s="224"/>
      <c r="DS30" s="224"/>
      <c r="DT30" s="224"/>
      <c r="DU30" s="224"/>
      <c r="DV30" s="224"/>
      <c r="DW30" s="224"/>
      <c r="DX30" s="224"/>
      <c r="DY30" s="224"/>
      <c r="DZ30" s="224"/>
      <c r="EA30" s="224"/>
      <c r="EB30" s="224"/>
      <c r="EC30" s="224"/>
      <c r="ED30" s="224"/>
      <c r="EE30" s="224"/>
      <c r="EF30" s="224"/>
      <c r="EG30" s="224"/>
      <c r="EH30" s="224"/>
      <c r="EI30" s="224"/>
      <c r="EJ30" s="224"/>
      <c r="EK30" s="224"/>
      <c r="EL30" s="224"/>
      <c r="EM30" s="224"/>
      <c r="EN30" s="224"/>
      <c r="EO30" s="224"/>
      <c r="EP30" s="224"/>
      <c r="EQ30" s="224"/>
      <c r="ER30" s="224"/>
      <c r="ES30" s="224"/>
      <c r="ET30" s="224"/>
      <c r="EU30" s="224"/>
      <c r="EV30" s="224"/>
      <c r="EW30" s="224"/>
      <c r="EX30" s="224"/>
      <c r="EY30" s="224"/>
      <c r="EZ30" s="224"/>
      <c r="FA30" s="224"/>
      <c r="FB30" s="224"/>
      <c r="FC30" s="224"/>
      <c r="FD30" s="224"/>
      <c r="FE30" s="224"/>
      <c r="FF30" s="224"/>
      <c r="FG30" s="224"/>
      <c r="FH30" s="224"/>
      <c r="FI30" s="224"/>
      <c r="FJ30" s="224"/>
      <c r="FK30" s="224"/>
      <c r="FL30" s="224"/>
      <c r="FM30" s="224"/>
      <c r="FN30" s="224"/>
      <c r="FO30" s="224"/>
      <c r="FP30" s="224"/>
      <c r="FQ30" s="224"/>
      <c r="FR30" s="224"/>
      <c r="FS30" s="224"/>
      <c r="FT30" s="224"/>
      <c r="FU30" s="224"/>
      <c r="FV30" s="224"/>
      <c r="FW30" s="224"/>
      <c r="FX30" s="224"/>
      <c r="FY30" s="224"/>
      <c r="FZ30" s="224"/>
      <c r="GA30" s="224"/>
      <c r="GB30" s="224"/>
      <c r="GC30" s="224"/>
      <c r="GD30" s="224"/>
      <c r="GE30" s="224"/>
      <c r="GF30" s="224"/>
      <c r="GG30" s="224"/>
      <c r="GH30" s="224"/>
      <c r="GI30" s="224"/>
      <c r="GJ30" s="224"/>
      <c r="GK30" s="224"/>
      <c r="GL30" s="224"/>
      <c r="GM30" s="224"/>
      <c r="GN30" s="224"/>
      <c r="GO30" s="224"/>
      <c r="GP30" s="224"/>
      <c r="GQ30" s="224"/>
      <c r="GR30" s="224"/>
      <c r="GS30" s="224"/>
      <c r="GT30" s="224"/>
      <c r="GU30" s="224"/>
      <c r="GV30" s="224"/>
      <c r="GW30" s="224"/>
      <c r="GX30" s="224"/>
      <c r="GY30" s="224"/>
      <c r="GZ30" s="224"/>
      <c r="HA30" s="224"/>
      <c r="HB30" s="224"/>
      <c r="HC30" s="224"/>
      <c r="HD30" s="224"/>
      <c r="HE30" s="224"/>
      <c r="HF30" s="224"/>
      <c r="HG30" s="224"/>
      <c r="HH30" s="224"/>
      <c r="HI30" s="224"/>
      <c r="HJ30" s="224"/>
      <c r="HK30" s="224"/>
      <c r="HL30" s="224"/>
      <c r="HM30" s="224"/>
      <c r="HN30" s="224"/>
      <c r="HO30" s="224"/>
      <c r="HP30" s="224"/>
      <c r="HQ30" s="224"/>
      <c r="HR30" s="224"/>
      <c r="HS30" s="224"/>
      <c r="HT30" s="224"/>
      <c r="HU30" s="224"/>
      <c r="HV30" s="224"/>
      <c r="HW30" s="224"/>
      <c r="HX30" s="224"/>
      <c r="HY30" s="224"/>
      <c r="HZ30" s="224"/>
      <c r="IA30" s="224"/>
      <c r="IB30" s="224"/>
      <c r="IC30" s="224"/>
      <c r="ID30" s="224"/>
      <c r="IE30" s="224"/>
      <c r="IF30" s="224"/>
      <c r="IG30" s="224"/>
      <c r="IH30" s="224"/>
      <c r="II30" s="224"/>
      <c r="IJ30" s="224"/>
      <c r="IK30" s="224"/>
      <c r="IL30" s="224"/>
      <c r="IM30" s="224"/>
      <c r="IN30" s="224"/>
      <c r="IO30" s="224"/>
      <c r="IP30" s="224"/>
      <c r="IQ30" s="224"/>
      <c r="IR30" s="224"/>
      <c r="IS30" s="224"/>
      <c r="IT30" s="224"/>
      <c r="IU30" s="224"/>
      <c r="IV30" s="224"/>
      <c r="IW30" s="224"/>
      <c r="IX30" s="224"/>
      <c r="IY30" s="224"/>
      <c r="IZ30" s="224"/>
      <c r="JA30" s="224"/>
      <c r="JB30" s="224"/>
      <c r="JC30" s="224"/>
      <c r="JD30" s="224"/>
      <c r="JE30" s="224"/>
      <c r="JF30" s="224"/>
      <c r="JG30" s="224"/>
      <c r="JH30" s="224"/>
      <c r="JI30" s="224"/>
      <c r="JJ30" s="224"/>
      <c r="JK30" s="224"/>
      <c r="JL30" s="224"/>
      <c r="JM30" s="224"/>
      <c r="JN30" s="224"/>
      <c r="JO30" s="224"/>
      <c r="JP30" s="224"/>
      <c r="JQ30" s="224"/>
      <c r="JR30" s="224"/>
      <c r="JS30" s="224"/>
      <c r="JT30" s="224"/>
      <c r="JU30" s="224"/>
      <c r="JV30" s="224"/>
      <c r="JW30" s="224"/>
      <c r="JX30" s="224"/>
      <c r="JY30" s="224"/>
      <c r="JZ30" s="224"/>
      <c r="KA30" s="224"/>
      <c r="KB30" s="224"/>
      <c r="KC30" s="224"/>
      <c r="KD30" s="224"/>
      <c r="KE30" s="224"/>
      <c r="KF30" s="224"/>
      <c r="KG30" s="224"/>
      <c r="KH30" s="224"/>
      <c r="KI30" s="224"/>
      <c r="KJ30" s="224"/>
      <c r="KK30" s="224"/>
    </row>
    <row r="31" spans="2:297" ht="16.5" customHeight="1">
      <c r="B31" s="338" t="s">
        <v>436</v>
      </c>
      <c r="C31" s="338" t="s">
        <v>411</v>
      </c>
      <c r="D31" s="327" t="s">
        <v>8</v>
      </c>
      <c r="E31" s="328" t="s">
        <v>4</v>
      </c>
      <c r="F31" s="327" t="s">
        <v>10</v>
      </c>
      <c r="G31" s="328" t="s">
        <v>4</v>
      </c>
      <c r="H31" s="327" t="s">
        <v>64</v>
      </c>
      <c r="I31" s="329" t="s">
        <v>4</v>
      </c>
      <c r="J31" s="327" t="s">
        <v>11</v>
      </c>
      <c r="K31" s="328" t="s">
        <v>4</v>
      </c>
      <c r="L31" s="327" t="s">
        <v>65</v>
      </c>
      <c r="M31" s="329" t="s">
        <v>4</v>
      </c>
      <c r="N31" s="327" t="s">
        <v>12</v>
      </c>
      <c r="O31" s="328" t="s">
        <v>4</v>
      </c>
      <c r="P31" s="327">
        <v>2006</v>
      </c>
      <c r="Q31" s="328" t="s">
        <v>4</v>
      </c>
      <c r="R31" s="327" t="s">
        <v>13</v>
      </c>
      <c r="S31" s="328" t="s">
        <v>4</v>
      </c>
      <c r="T31" s="327" t="s">
        <v>14</v>
      </c>
      <c r="U31" s="328" t="s">
        <v>4</v>
      </c>
      <c r="V31" s="327" t="s">
        <v>66</v>
      </c>
      <c r="W31" s="329" t="s">
        <v>4</v>
      </c>
      <c r="X31" s="327" t="s">
        <v>95</v>
      </c>
      <c r="Y31" s="328" t="s">
        <v>4</v>
      </c>
      <c r="Z31" s="327" t="s">
        <v>67</v>
      </c>
      <c r="AA31" s="329" t="s">
        <v>4</v>
      </c>
      <c r="AB31" s="327" t="s">
        <v>96</v>
      </c>
      <c r="AC31" s="328" t="s">
        <v>4</v>
      </c>
      <c r="AD31" s="327">
        <v>2007</v>
      </c>
      <c r="AE31" s="328" t="s">
        <v>4</v>
      </c>
      <c r="AF31" s="327" t="s">
        <v>97</v>
      </c>
      <c r="AG31" s="328" t="s">
        <v>4</v>
      </c>
      <c r="AH31" s="327" t="s">
        <v>98</v>
      </c>
      <c r="AI31" s="328" t="s">
        <v>4</v>
      </c>
      <c r="AJ31" s="330" t="s">
        <v>68</v>
      </c>
      <c r="AK31" s="329" t="s">
        <v>4</v>
      </c>
      <c r="AL31" s="327" t="s">
        <v>99</v>
      </c>
      <c r="AM31" s="328" t="s">
        <v>4</v>
      </c>
      <c r="AN31" s="330" t="s">
        <v>69</v>
      </c>
      <c r="AO31" s="329" t="s">
        <v>4</v>
      </c>
      <c r="AP31" s="327" t="s">
        <v>100</v>
      </c>
      <c r="AQ31" s="328" t="s">
        <v>4</v>
      </c>
      <c r="AR31" s="327">
        <v>2008</v>
      </c>
      <c r="AS31" s="328" t="s">
        <v>4</v>
      </c>
      <c r="AT31" s="327" t="s">
        <v>101</v>
      </c>
      <c r="AU31" s="328" t="s">
        <v>4</v>
      </c>
      <c r="AV31" s="328" t="s">
        <v>9</v>
      </c>
      <c r="AW31" s="327" t="s">
        <v>102</v>
      </c>
      <c r="AX31" s="328" t="s">
        <v>4</v>
      </c>
      <c r="AY31" s="328" t="s">
        <v>9</v>
      </c>
      <c r="AZ31" s="330" t="s">
        <v>70</v>
      </c>
      <c r="BA31" s="329" t="s">
        <v>4</v>
      </c>
      <c r="BB31" s="329" t="s">
        <v>9</v>
      </c>
      <c r="BC31" s="327" t="s">
        <v>103</v>
      </c>
      <c r="BD31" s="328" t="s">
        <v>4</v>
      </c>
      <c r="BE31" s="328" t="s">
        <v>9</v>
      </c>
      <c r="BF31" s="330" t="s">
        <v>71</v>
      </c>
      <c r="BG31" s="329" t="s">
        <v>4</v>
      </c>
      <c r="BH31" s="329" t="s">
        <v>9</v>
      </c>
      <c r="BI31" s="327" t="s">
        <v>104</v>
      </c>
      <c r="BJ31" s="328" t="s">
        <v>4</v>
      </c>
      <c r="BK31" s="328" t="s">
        <v>9</v>
      </c>
      <c r="BL31" s="327">
        <v>2009</v>
      </c>
      <c r="BM31" s="328" t="s">
        <v>4</v>
      </c>
      <c r="BN31" s="328" t="s">
        <v>9</v>
      </c>
      <c r="BO31" s="327" t="s">
        <v>105</v>
      </c>
      <c r="BP31" s="328" t="s">
        <v>4</v>
      </c>
      <c r="BQ31" s="328" t="s">
        <v>9</v>
      </c>
      <c r="BR31" s="327" t="s">
        <v>106</v>
      </c>
      <c r="BS31" s="328" t="s">
        <v>4</v>
      </c>
      <c r="BT31" s="328" t="s">
        <v>9</v>
      </c>
      <c r="BU31" s="330" t="s">
        <v>72</v>
      </c>
      <c r="BV31" s="329" t="s">
        <v>4</v>
      </c>
      <c r="BW31" s="329" t="s">
        <v>9</v>
      </c>
      <c r="BX31" s="327" t="s">
        <v>107</v>
      </c>
      <c r="BY31" s="328" t="s">
        <v>4</v>
      </c>
      <c r="BZ31" s="328" t="s">
        <v>9</v>
      </c>
      <c r="CA31" s="330" t="s">
        <v>73</v>
      </c>
      <c r="CB31" s="329" t="s">
        <v>4</v>
      </c>
      <c r="CC31" s="329" t="s">
        <v>9</v>
      </c>
      <c r="CD31" s="330" t="s">
        <v>110</v>
      </c>
      <c r="CE31" s="328" t="s">
        <v>4</v>
      </c>
      <c r="CF31" s="328" t="s">
        <v>9</v>
      </c>
      <c r="CG31" s="330">
        <v>2010</v>
      </c>
      <c r="CH31" s="328" t="s">
        <v>4</v>
      </c>
      <c r="CI31" s="328" t="s">
        <v>9</v>
      </c>
      <c r="CJ31" s="330" t="s">
        <v>220</v>
      </c>
      <c r="CK31" s="328" t="s">
        <v>4</v>
      </c>
      <c r="CL31" s="328" t="s">
        <v>9</v>
      </c>
      <c r="CM31" s="330" t="s">
        <v>253</v>
      </c>
      <c r="CN31" s="328" t="s">
        <v>4</v>
      </c>
      <c r="CO31" s="328" t="s">
        <v>9</v>
      </c>
      <c r="CP31" s="330" t="s">
        <v>254</v>
      </c>
      <c r="CQ31" s="328" t="s">
        <v>4</v>
      </c>
      <c r="CR31" s="328" t="s">
        <v>9</v>
      </c>
      <c r="CS31" s="330" t="s">
        <v>283</v>
      </c>
      <c r="CT31" s="328" t="s">
        <v>4</v>
      </c>
      <c r="CU31" s="328" t="s">
        <v>9</v>
      </c>
      <c r="CV31" s="330" t="s">
        <v>284</v>
      </c>
      <c r="CW31" s="328" t="s">
        <v>4</v>
      </c>
      <c r="CX31" s="328" t="s">
        <v>9</v>
      </c>
      <c r="CY31" s="330" t="s">
        <v>286</v>
      </c>
      <c r="CZ31" s="328" t="s">
        <v>4</v>
      </c>
      <c r="DA31" s="328" t="s">
        <v>9</v>
      </c>
      <c r="DB31" s="330">
        <v>2011</v>
      </c>
      <c r="DC31" s="328" t="s">
        <v>4</v>
      </c>
      <c r="DD31" s="328" t="s">
        <v>9</v>
      </c>
      <c r="DE31" s="330" t="s">
        <v>292</v>
      </c>
      <c r="DF31" s="328" t="s">
        <v>4</v>
      </c>
      <c r="DG31" s="328" t="s">
        <v>9</v>
      </c>
      <c r="DH31" s="330" t="s">
        <v>299</v>
      </c>
      <c r="DI31" s="328" t="s">
        <v>4</v>
      </c>
      <c r="DJ31" s="328" t="s">
        <v>9</v>
      </c>
      <c r="DK31" s="330" t="s">
        <v>300</v>
      </c>
      <c r="DL31" s="328" t="s">
        <v>4</v>
      </c>
      <c r="DM31" s="328" t="s">
        <v>9</v>
      </c>
      <c r="DN31" s="330" t="s">
        <v>305</v>
      </c>
      <c r="DO31" s="328" t="s">
        <v>4</v>
      </c>
      <c r="DP31" s="328" t="s">
        <v>9</v>
      </c>
      <c r="DQ31" s="330" t="s">
        <v>306</v>
      </c>
      <c r="DR31" s="328" t="s">
        <v>4</v>
      </c>
      <c r="DS31" s="328" t="s">
        <v>9</v>
      </c>
      <c r="DT31" s="330" t="s">
        <v>308</v>
      </c>
      <c r="DU31" s="328" t="s">
        <v>4</v>
      </c>
      <c r="DV31" s="328" t="s">
        <v>9</v>
      </c>
      <c r="DW31" s="330">
        <v>2012</v>
      </c>
      <c r="DX31" s="328" t="s">
        <v>4</v>
      </c>
      <c r="DY31" s="328" t="s">
        <v>9</v>
      </c>
      <c r="DZ31" s="330" t="s">
        <v>316</v>
      </c>
      <c r="EA31" s="328" t="s">
        <v>4</v>
      </c>
      <c r="EB31" s="328" t="s">
        <v>9</v>
      </c>
      <c r="EC31" s="330" t="s">
        <v>324</v>
      </c>
      <c r="ED31" s="328" t="s">
        <v>4</v>
      </c>
      <c r="EE31" s="328" t="s">
        <v>9</v>
      </c>
      <c r="EF31" s="330" t="s">
        <v>325</v>
      </c>
      <c r="EG31" s="328" t="s">
        <v>4</v>
      </c>
      <c r="EH31" s="328" t="s">
        <v>9</v>
      </c>
      <c r="EI31" s="330" t="s">
        <v>328</v>
      </c>
      <c r="EJ31" s="328" t="s">
        <v>4</v>
      </c>
      <c r="EK31" s="328" t="s">
        <v>9</v>
      </c>
      <c r="EL31" s="330" t="s">
        <v>329</v>
      </c>
      <c r="EM31" s="328" t="s">
        <v>4</v>
      </c>
      <c r="EN31" s="328" t="s">
        <v>9</v>
      </c>
      <c r="EO31" s="330" t="s">
        <v>333</v>
      </c>
      <c r="EP31" s="328" t="s">
        <v>4</v>
      </c>
      <c r="EQ31" s="328" t="s">
        <v>9</v>
      </c>
      <c r="ER31" s="330">
        <v>2013</v>
      </c>
      <c r="ES31" s="328" t="s">
        <v>4</v>
      </c>
      <c r="ET31" s="328" t="s">
        <v>9</v>
      </c>
      <c r="EU31" s="330" t="s">
        <v>336</v>
      </c>
      <c r="EV31" s="328" t="s">
        <v>4</v>
      </c>
      <c r="EW31" s="328" t="s">
        <v>9</v>
      </c>
      <c r="EX31" s="330" t="s">
        <v>345</v>
      </c>
      <c r="EY31" s="328" t="s">
        <v>4</v>
      </c>
      <c r="EZ31" s="328" t="s">
        <v>9</v>
      </c>
      <c r="FA31" s="330" t="s">
        <v>346</v>
      </c>
      <c r="FB31" s="328" t="s">
        <v>4</v>
      </c>
      <c r="FC31" s="328" t="s">
        <v>9</v>
      </c>
      <c r="FD31" s="330" t="s">
        <v>349</v>
      </c>
      <c r="FE31" s="328" t="s">
        <v>4</v>
      </c>
      <c r="FF31" s="328" t="s">
        <v>9</v>
      </c>
      <c r="FG31" s="330" t="s">
        <v>350</v>
      </c>
      <c r="FH31" s="328" t="s">
        <v>4</v>
      </c>
      <c r="FI31" s="328" t="s">
        <v>9</v>
      </c>
      <c r="FJ31" s="330" t="s">
        <v>356</v>
      </c>
      <c r="FK31" s="328" t="s">
        <v>4</v>
      </c>
      <c r="FL31" s="328" t="s">
        <v>9</v>
      </c>
      <c r="FM31" s="330">
        <v>2014</v>
      </c>
      <c r="FN31" s="328" t="s">
        <v>4</v>
      </c>
      <c r="FO31" s="328" t="s">
        <v>9</v>
      </c>
      <c r="FP31" s="330" t="s">
        <v>361</v>
      </c>
      <c r="FQ31" s="328" t="s">
        <v>4</v>
      </c>
      <c r="FR31" s="328" t="s">
        <v>9</v>
      </c>
      <c r="FS31" s="330" t="s">
        <v>371</v>
      </c>
      <c r="FT31" s="328" t="s">
        <v>4</v>
      </c>
      <c r="FU31" s="328" t="s">
        <v>9</v>
      </c>
      <c r="FV31" s="330" t="s">
        <v>372</v>
      </c>
      <c r="FW31" s="328" t="s">
        <v>4</v>
      </c>
      <c r="FX31" s="328" t="s">
        <v>9</v>
      </c>
      <c r="FY31" s="330" t="s">
        <v>393</v>
      </c>
      <c r="FZ31" s="328" t="s">
        <v>4</v>
      </c>
      <c r="GA31" s="328" t="s">
        <v>9</v>
      </c>
      <c r="GB31" s="330" t="s">
        <v>394</v>
      </c>
      <c r="GC31" s="328" t="s">
        <v>4</v>
      </c>
      <c r="GD31" s="328" t="s">
        <v>9</v>
      </c>
      <c r="GE31" s="330" t="s">
        <v>396</v>
      </c>
      <c r="GF31" s="328" t="s">
        <v>4</v>
      </c>
      <c r="GG31" s="328" t="s">
        <v>9</v>
      </c>
      <c r="GH31" s="330">
        <v>2015</v>
      </c>
      <c r="GI31" s="328" t="s">
        <v>4</v>
      </c>
      <c r="GJ31" s="328" t="s">
        <v>9</v>
      </c>
      <c r="GK31" s="330" t="s">
        <v>455</v>
      </c>
      <c r="GL31" s="328" t="s">
        <v>4</v>
      </c>
      <c r="GM31" s="328" t="s">
        <v>9</v>
      </c>
      <c r="GN31" s="330" t="s">
        <v>819</v>
      </c>
      <c r="GO31" s="328" t="s">
        <v>4</v>
      </c>
      <c r="GP31" s="328" t="s">
        <v>9</v>
      </c>
      <c r="GQ31" s="330" t="s">
        <v>846</v>
      </c>
      <c r="GR31" s="328" t="s">
        <v>4</v>
      </c>
      <c r="GS31" s="328" t="s">
        <v>9</v>
      </c>
      <c r="GT31" s="330" t="str">
        <f>+GT$3</f>
        <v>3TQ16</v>
      </c>
      <c r="GU31" s="328" t="s">
        <v>4</v>
      </c>
      <c r="GV31" s="328" t="s">
        <v>9</v>
      </c>
      <c r="GW31" s="330" t="str">
        <f>+GW$3</f>
        <v>9M16</v>
      </c>
      <c r="GX31" s="328" t="s">
        <v>4</v>
      </c>
      <c r="GY31" s="328" t="s">
        <v>9</v>
      </c>
      <c r="GZ31" s="330" t="str">
        <f>+GZ$3</f>
        <v>4TQ16</v>
      </c>
      <c r="HA31" s="328" t="s">
        <v>4</v>
      </c>
      <c r="HB31" s="328" t="s">
        <v>9</v>
      </c>
      <c r="HC31" s="330">
        <f>+HC$3</f>
        <v>2016</v>
      </c>
      <c r="HD31" s="328" t="s">
        <v>4</v>
      </c>
      <c r="HE31" s="328" t="s">
        <v>9</v>
      </c>
      <c r="HF31" s="330" t="str">
        <f>+HF3</f>
        <v>1TQ17</v>
      </c>
      <c r="HG31" s="328" t="s">
        <v>4</v>
      </c>
      <c r="HH31" s="328" t="s">
        <v>9</v>
      </c>
      <c r="HI31" s="330" t="str">
        <f>+HI$3</f>
        <v>2TQ17</v>
      </c>
      <c r="HJ31" s="328" t="s">
        <v>4</v>
      </c>
      <c r="HK31" s="328" t="s">
        <v>9</v>
      </c>
      <c r="HL31" s="330" t="str">
        <f>+HL$3</f>
        <v>6M17</v>
      </c>
      <c r="HM31" s="328" t="s">
        <v>4</v>
      </c>
      <c r="HN31" s="328" t="s">
        <v>9</v>
      </c>
      <c r="HO31" s="330" t="str">
        <f>+HO$3</f>
        <v>3TQ17</v>
      </c>
      <c r="HP31" s="328" t="s">
        <v>4</v>
      </c>
      <c r="HQ31" s="328" t="s">
        <v>9</v>
      </c>
      <c r="HR31" s="330" t="str">
        <f>+HR$3</f>
        <v>9M17</v>
      </c>
      <c r="HS31" s="328" t="s">
        <v>4</v>
      </c>
      <c r="HT31" s="328" t="s">
        <v>9</v>
      </c>
      <c r="HU31" s="330" t="str">
        <f>+HU$3</f>
        <v>4TQ17</v>
      </c>
      <c r="HV31" s="328" t="s">
        <v>4</v>
      </c>
      <c r="HW31" s="328" t="s">
        <v>9</v>
      </c>
      <c r="HX31" s="330">
        <f>+HX$3</f>
        <v>2017</v>
      </c>
      <c r="HY31" s="328" t="s">
        <v>4</v>
      </c>
      <c r="HZ31" s="328" t="s">
        <v>9</v>
      </c>
      <c r="IA31" s="330" t="str">
        <f>+IA3</f>
        <v>1TQ18</v>
      </c>
      <c r="IB31" s="328" t="s">
        <v>4</v>
      </c>
      <c r="IC31" s="328" t="s">
        <v>9</v>
      </c>
      <c r="ID31" s="330" t="s">
        <v>1256</v>
      </c>
      <c r="IE31" s="328" t="s">
        <v>4</v>
      </c>
      <c r="IF31" s="328" t="s">
        <v>9</v>
      </c>
      <c r="IG31" s="330" t="s">
        <v>1257</v>
      </c>
      <c r="IH31" s="328" t="s">
        <v>4</v>
      </c>
      <c r="II31" s="328" t="s">
        <v>9</v>
      </c>
      <c r="IJ31" s="330" t="s">
        <v>1313</v>
      </c>
      <c r="IK31" s="328" t="s">
        <v>4</v>
      </c>
      <c r="IL31" s="328" t="s">
        <v>9</v>
      </c>
      <c r="IM31" s="330" t="s">
        <v>1316</v>
      </c>
      <c r="IN31" s="328" t="s">
        <v>4</v>
      </c>
      <c r="IO31" s="328" t="s">
        <v>9</v>
      </c>
      <c r="IP31" s="330" t="s">
        <v>1307</v>
      </c>
      <c r="IQ31" s="328" t="s">
        <v>4</v>
      </c>
      <c r="IR31" s="328" t="s">
        <v>9</v>
      </c>
      <c r="IS31" s="330">
        <v>2018</v>
      </c>
      <c r="IT31" s="328" t="s">
        <v>4</v>
      </c>
      <c r="IU31" s="328" t="s">
        <v>9</v>
      </c>
      <c r="IV31" s="330" t="s">
        <v>1358</v>
      </c>
      <c r="IW31" s="328" t="s">
        <v>4</v>
      </c>
      <c r="IX31" s="328" t="s">
        <v>9</v>
      </c>
      <c r="IY31" s="330" t="str">
        <f>IY25</f>
        <v>2TQ19</v>
      </c>
      <c r="IZ31" s="328" t="s">
        <v>4</v>
      </c>
      <c r="JA31" s="328" t="s">
        <v>9</v>
      </c>
      <c r="JB31" s="330" t="str">
        <f>JB25</f>
        <v>6M19</v>
      </c>
      <c r="JC31" s="328" t="s">
        <v>4</v>
      </c>
      <c r="JD31" s="328" t="s">
        <v>9</v>
      </c>
      <c r="JE31" s="330" t="str">
        <f>JE25</f>
        <v>3Q19</v>
      </c>
      <c r="JF31" s="328" t="s">
        <v>4</v>
      </c>
      <c r="JG31" s="328" t="s">
        <v>9</v>
      </c>
      <c r="JH31" s="330" t="str">
        <f>JH25</f>
        <v>9M19</v>
      </c>
      <c r="JI31" s="328" t="s">
        <v>4</v>
      </c>
      <c r="JJ31" s="328" t="s">
        <v>9</v>
      </c>
      <c r="JK31" s="330" t="str">
        <f>JK25</f>
        <v>4Q19</v>
      </c>
      <c r="JL31" s="328" t="s">
        <v>4</v>
      </c>
      <c r="JM31" s="328" t="s">
        <v>9</v>
      </c>
      <c r="JN31" s="330">
        <f>JN25</f>
        <v>2019</v>
      </c>
      <c r="JO31" s="328" t="s">
        <v>4</v>
      </c>
      <c r="JP31" s="328" t="s">
        <v>9</v>
      </c>
      <c r="JQ31" s="330" t="str">
        <f>JQ25</f>
        <v>1Q20</v>
      </c>
      <c r="JR31" s="328" t="s">
        <v>4</v>
      </c>
      <c r="JS31" s="328" t="s">
        <v>9</v>
      </c>
      <c r="JT31" s="330" t="str">
        <f>JT25</f>
        <v>2Q20</v>
      </c>
      <c r="JU31" s="328" t="s">
        <v>4</v>
      </c>
      <c r="JV31" s="328" t="s">
        <v>9</v>
      </c>
      <c r="JW31" s="330" t="str">
        <f>JW25</f>
        <v>6M20</v>
      </c>
      <c r="JX31" s="328" t="s">
        <v>4</v>
      </c>
      <c r="JY31" s="328" t="s">
        <v>9</v>
      </c>
      <c r="JZ31" s="330" t="str">
        <f>JZ25</f>
        <v>3Q20</v>
      </c>
      <c r="KA31" s="328" t="s">
        <v>4</v>
      </c>
      <c r="KB31" s="328" t="s">
        <v>9</v>
      </c>
      <c r="KC31" s="330" t="str">
        <f>KC25</f>
        <v>9M20</v>
      </c>
      <c r="KD31" s="328" t="s">
        <v>4</v>
      </c>
      <c r="KE31" s="328" t="s">
        <v>9</v>
      </c>
      <c r="KF31" s="330" t="str">
        <f>KF25</f>
        <v>4Q20</v>
      </c>
      <c r="KG31" s="328" t="s">
        <v>4</v>
      </c>
      <c r="KH31" s="328" t="s">
        <v>9</v>
      </c>
      <c r="KI31" s="330">
        <f>KI25</f>
        <v>2020</v>
      </c>
      <c r="KJ31" s="328" t="s">
        <v>4</v>
      </c>
      <c r="KK31" s="328" t="s">
        <v>9</v>
      </c>
    </row>
    <row r="32" spans="2:297" ht="16.5" customHeight="1">
      <c r="B32" s="222" t="s">
        <v>364</v>
      </c>
      <c r="C32" s="222" t="s">
        <v>376</v>
      </c>
      <c r="D32" s="26" t="s">
        <v>77</v>
      </c>
      <c r="E32" s="26" t="s">
        <v>77</v>
      </c>
      <c r="F32" s="26" t="s">
        <v>77</v>
      </c>
      <c r="G32" s="26" t="s">
        <v>77</v>
      </c>
      <c r="H32" s="26" t="s">
        <v>77</v>
      </c>
      <c r="I32" s="26" t="s">
        <v>77</v>
      </c>
      <c r="J32" s="26" t="s">
        <v>77</v>
      </c>
      <c r="K32" s="26" t="s">
        <v>77</v>
      </c>
      <c r="L32" s="26" t="s">
        <v>77</v>
      </c>
      <c r="M32" s="26" t="s">
        <v>77</v>
      </c>
      <c r="N32" s="26" t="s">
        <v>77</v>
      </c>
      <c r="O32" s="26" t="s">
        <v>77</v>
      </c>
      <c r="P32" s="26" t="s">
        <v>77</v>
      </c>
      <c r="Q32" s="26" t="s">
        <v>77</v>
      </c>
      <c r="R32" s="26">
        <v>2.58433839229038E-2</v>
      </c>
      <c r="S32" s="26" t="s">
        <v>77</v>
      </c>
      <c r="T32" s="26">
        <v>4.1382697072172313E-2</v>
      </c>
      <c r="U32" s="26" t="s">
        <v>77</v>
      </c>
      <c r="V32" s="26" t="s">
        <v>77</v>
      </c>
      <c r="W32" s="26" t="s">
        <v>77</v>
      </c>
      <c r="X32" s="26">
        <v>3.5878918850305128E-2</v>
      </c>
      <c r="Y32" s="26" t="s">
        <v>77</v>
      </c>
      <c r="Z32" s="26" t="s">
        <v>77</v>
      </c>
      <c r="AA32" s="26" t="s">
        <v>77</v>
      </c>
      <c r="AB32" s="26">
        <v>4.5886249616169439E-2</v>
      </c>
      <c r="AC32" s="26" t="s">
        <v>77</v>
      </c>
      <c r="AD32" s="26">
        <v>0.12529547822321299</v>
      </c>
      <c r="AE32" s="26" t="s">
        <v>77</v>
      </c>
      <c r="AF32" s="26">
        <f>-(AF9)/AF20</f>
        <v>3.0772053377493034E-2</v>
      </c>
      <c r="AG32" s="26" t="s">
        <v>77</v>
      </c>
      <c r="AH32" s="26">
        <f>-(AH9)/AH20</f>
        <v>4.4626235236173005E-2</v>
      </c>
      <c r="AI32" s="26" t="s">
        <v>77</v>
      </c>
      <c r="AJ32" s="26">
        <f>-(AJ9)/AJ20</f>
        <v>7.4572639361786944E-2</v>
      </c>
      <c r="AK32" s="26" t="s">
        <v>77</v>
      </c>
      <c r="AL32" s="26">
        <f>-(AL9)/AL20</f>
        <v>4.3537823195499495E-2</v>
      </c>
      <c r="AM32" s="26" t="s">
        <v>77</v>
      </c>
      <c r="AN32" s="26">
        <f>-(AN9)/AN20</f>
        <v>0.12447396500761974</v>
      </c>
      <c r="AO32" s="26" t="s">
        <v>77</v>
      </c>
      <c r="AP32" s="26">
        <f>-(AP9)/AP20</f>
        <v>4.6589010962743468E-2</v>
      </c>
      <c r="AQ32" s="26" t="s">
        <v>77</v>
      </c>
      <c r="AR32" s="26">
        <f>-(AR9)/AR20</f>
        <v>0.14945389035027146</v>
      </c>
      <c r="AS32" s="26" t="s">
        <v>77</v>
      </c>
      <c r="AT32" s="26">
        <f>-(AT9)/AT20</f>
        <v>3.5578148900439137E-2</v>
      </c>
      <c r="AU32" s="26" t="s">
        <v>77</v>
      </c>
      <c r="AV32" s="226">
        <f>(AT32-AF32)*100</f>
        <v>0.48060955229461028</v>
      </c>
      <c r="AW32" s="26">
        <f>-(AW9)/AW20</f>
        <v>5.0293275992714472E-2</v>
      </c>
      <c r="AX32" s="26" t="s">
        <v>77</v>
      </c>
      <c r="AY32" s="226">
        <f>(AW32-AH32)*100</f>
        <v>0.5667040756541466</v>
      </c>
      <c r="AZ32" s="26">
        <f>-(AZ9)/AZ20</f>
        <v>8.3281630720214953E-2</v>
      </c>
      <c r="BA32" s="26" t="s">
        <v>77</v>
      </c>
      <c r="BB32" s="226">
        <f>(AZ32-AJ32)*100</f>
        <v>0.87089913584280088</v>
      </c>
      <c r="BC32" s="26">
        <f>-(BC9)/BC20</f>
        <v>4.847109515070927E-2</v>
      </c>
      <c r="BD32" s="26" t="s">
        <v>77</v>
      </c>
      <c r="BE32" s="226">
        <f>(BC32-AL32)*100</f>
        <v>0.49332719552097754</v>
      </c>
      <c r="BF32" s="26">
        <f>-(BF9)/BF20</f>
        <v>0.13916140338118357</v>
      </c>
      <c r="BG32" s="26" t="s">
        <v>77</v>
      </c>
      <c r="BH32" s="226">
        <f>(BF32-AN32)*100</f>
        <v>1.468743837356383</v>
      </c>
      <c r="BI32" s="26">
        <f>-(BI9)/BI20</f>
        <v>3.896044886059119E-2</v>
      </c>
      <c r="BJ32" s="26" t="s">
        <v>77</v>
      </c>
      <c r="BK32" s="226">
        <f>(BI32-AP32)*100</f>
        <v>-0.76285621021522787</v>
      </c>
      <c r="BL32" s="26">
        <f>-(BL9)/BL20</f>
        <v>0.14439385314357356</v>
      </c>
      <c r="BM32" s="26" t="s">
        <v>77</v>
      </c>
      <c r="BN32" s="226">
        <f>(BL32-AR32)*100</f>
        <v>-0.50600372066978982</v>
      </c>
      <c r="BO32" s="26">
        <f>-(BO9)/BO20</f>
        <v>3.6107542927127173E-2</v>
      </c>
      <c r="BP32" s="26" t="s">
        <v>77</v>
      </c>
      <c r="BQ32" s="226">
        <f>(BO32-AT32)*100</f>
        <v>5.293940266880362E-2</v>
      </c>
      <c r="BR32" s="26">
        <f>-(BR9)/BR20</f>
        <v>4.1101058823897668E-2</v>
      </c>
      <c r="BS32" s="26" t="s">
        <v>77</v>
      </c>
      <c r="BT32" s="226">
        <f>(BR32-AW32)*100</f>
        <v>-0.91922171688168031</v>
      </c>
      <c r="BU32" s="26">
        <f>-(BU9)/BU20</f>
        <v>7.491512696635963E-2</v>
      </c>
      <c r="BV32" s="26" t="s">
        <v>77</v>
      </c>
      <c r="BW32" s="226">
        <f>(BU32-AZ32)*100</f>
        <v>-0.83665037538553233</v>
      </c>
      <c r="BX32" s="26">
        <f>-(BX9)/BX20</f>
        <v>2.5622386320939747E-2</v>
      </c>
      <c r="BY32" s="26" t="s">
        <v>77</v>
      </c>
      <c r="BZ32" s="226">
        <f>(BX32-BC32)*100</f>
        <v>-2.2848708829769522</v>
      </c>
      <c r="CA32" s="26">
        <f>-(CA9)/CA20</f>
        <v>0.10609008297031838</v>
      </c>
      <c r="CB32" s="26" t="s">
        <v>77</v>
      </c>
      <c r="CC32" s="226">
        <f>(CA32-BF32)*100</f>
        <v>-3.3071320410865193</v>
      </c>
      <c r="CD32" s="26">
        <f>-(CD9)/CD20</f>
        <v>1.8199096463113476E-2</v>
      </c>
      <c r="CE32" s="26" t="s">
        <v>77</v>
      </c>
      <c r="CF32" s="226">
        <f>(CD32-BI32)*100</f>
        <v>-2.0761352397477713</v>
      </c>
      <c r="CG32" s="26">
        <f>-(CG9)/CG20</f>
        <v>9.8191719838176497E-2</v>
      </c>
      <c r="CH32" s="26" t="s">
        <v>77</v>
      </c>
      <c r="CI32" s="226">
        <f>(CG32-BL32)*100</f>
        <v>-4.6202133305397064</v>
      </c>
      <c r="CJ32" s="26">
        <f>-(CJ9)/CJ20</f>
        <v>2.1660453657932805E-2</v>
      </c>
      <c r="CK32" s="26" t="s">
        <v>77</v>
      </c>
      <c r="CL32" s="226">
        <f>(CJ32-BO32)*100</f>
        <v>-1.4447089269194369</v>
      </c>
      <c r="CM32" s="26">
        <f>-(CM9)/CM20</f>
        <v>3.3836670157919711E-2</v>
      </c>
      <c r="CN32" s="26" t="s">
        <v>77</v>
      </c>
      <c r="CO32" s="226">
        <f>(CM32-BR32)*100</f>
        <v>-0.72643886659779566</v>
      </c>
      <c r="CP32" s="26">
        <f>-(CP9)/CP20</f>
        <v>5.4111725570409296E-2</v>
      </c>
      <c r="CQ32" s="26" t="s">
        <v>77</v>
      </c>
      <c r="CR32" s="226">
        <f>(CP32-BU32)*100</f>
        <v>-2.0803401395950334</v>
      </c>
      <c r="CS32" s="26">
        <f>-(CS9)/CS20</f>
        <v>2.8281777961061513E-2</v>
      </c>
      <c r="CT32" s="26" t="s">
        <v>77</v>
      </c>
      <c r="CU32" s="226">
        <f>(CS32-BX32)*100</f>
        <v>0.26593916401217654</v>
      </c>
      <c r="CV32" s="26">
        <f>-(CV9)/CV20</f>
        <v>8.7786420806695895E-2</v>
      </c>
      <c r="CW32" s="26" t="s">
        <v>77</v>
      </c>
      <c r="CX32" s="226">
        <f>(CV32-CA32)*100</f>
        <v>-1.8303662163622489</v>
      </c>
      <c r="CY32" s="26">
        <f>-(CY9)/CY20</f>
        <v>3.8641731764374965E-2</v>
      </c>
      <c r="CZ32" s="26" t="s">
        <v>77</v>
      </c>
      <c r="DA32" s="226">
        <f>(CY32-CD32)*100</f>
        <v>2.0442635301261487</v>
      </c>
      <c r="DB32" s="26">
        <f>-(DB9)/DB20</f>
        <v>0.10337068211013264</v>
      </c>
      <c r="DC32" s="26" t="s">
        <v>77</v>
      </c>
      <c r="DD32" s="226">
        <f>(DB32-CG32)*100</f>
        <v>0.51789622719561468</v>
      </c>
      <c r="DE32" s="26">
        <f>-(DE9)/DE20</f>
        <v>1.9821806203532251E-2</v>
      </c>
      <c r="DF32" s="26" t="s">
        <v>77</v>
      </c>
      <c r="DG32" s="226">
        <f>(DE32-CJ32)*100</f>
        <v>-0.18386474544005543</v>
      </c>
      <c r="DH32" s="26">
        <f>-(DH9)/DH20</f>
        <v>3.6736908720488071E-2</v>
      </c>
      <c r="DI32" s="26" t="s">
        <v>77</v>
      </c>
      <c r="DJ32" s="226">
        <f>(DH32-CM32)*100</f>
        <v>0.29002385625683591</v>
      </c>
      <c r="DK32" s="26">
        <f>-(DK9)/DK20</f>
        <v>5.5351700631179258E-2</v>
      </c>
      <c r="DL32" s="26" t="s">
        <v>77</v>
      </c>
      <c r="DM32" s="226">
        <f>(DK32-CP32)*100</f>
        <v>0.12399750607699628</v>
      </c>
      <c r="DN32" s="26">
        <f>-(DN9)/DN20</f>
        <v>2.7679475201390712E-2</v>
      </c>
      <c r="DO32" s="26" t="s">
        <v>77</v>
      </c>
      <c r="DP32" s="226">
        <f>(DN32-CS32)*100</f>
        <v>-6.0230275967080096E-2</v>
      </c>
      <c r="DQ32" s="26">
        <f>-(DQ9)/DQ20</f>
        <v>8.4817728342132234E-2</v>
      </c>
      <c r="DR32" s="26" t="s">
        <v>77</v>
      </c>
      <c r="DS32" s="226">
        <f>(DQ32-CV32)*100</f>
        <v>-0.29686924645636603</v>
      </c>
      <c r="DT32" s="26">
        <f>-(DT9)/DT20</f>
        <v>3.5018979604966867E-2</v>
      </c>
      <c r="DU32" s="26" t="s">
        <v>77</v>
      </c>
      <c r="DV32" s="226">
        <f>(DT32-CY32)*100</f>
        <v>-0.3622752159408098</v>
      </c>
      <c r="DW32" s="26">
        <f>-(DW9)/DW20</f>
        <v>9.8504149778035122E-2</v>
      </c>
      <c r="DX32" s="26" t="s">
        <v>77</v>
      </c>
      <c r="DY32" s="226">
        <f>(DW32-DB32)*100</f>
        <v>-0.48665323320975229</v>
      </c>
      <c r="DZ32" s="26">
        <f>-(DZ9)/DZ20</f>
        <v>1.9652574832056357E-2</v>
      </c>
      <c r="EA32" s="26" t="s">
        <v>77</v>
      </c>
      <c r="EB32" s="226">
        <f>(DZ32-DE32)*100</f>
        <v>-1.6923137147589404E-2</v>
      </c>
      <c r="EC32" s="26">
        <f>-(EC9)/EC20</f>
        <v>3.1897650175992949E-2</v>
      </c>
      <c r="ED32" s="26" t="s">
        <v>77</v>
      </c>
      <c r="EE32" s="226">
        <f>(EC32-DH32)*100</f>
        <v>-0.48392585444951219</v>
      </c>
      <c r="EF32" s="26">
        <f>-(EF9)/EF20</f>
        <v>5.1246399784422018E-2</v>
      </c>
      <c r="EG32" s="26" t="s">
        <v>77</v>
      </c>
      <c r="EH32" s="226">
        <f>(EF32-DK32)*100</f>
        <v>-0.41053008467572399</v>
      </c>
      <c r="EI32" s="26">
        <f>-(EI9)/EI20</f>
        <v>2.8080909539937179E-2</v>
      </c>
      <c r="EJ32" s="26" t="s">
        <v>77</v>
      </c>
      <c r="EK32" s="226">
        <f>(EI32-DN32)*100</f>
        <v>4.0143433854646776E-2</v>
      </c>
      <c r="EL32" s="26">
        <f>-(EL9)/EL20</f>
        <v>8.1327851285984271E-2</v>
      </c>
      <c r="EM32" s="26" t="s">
        <v>77</v>
      </c>
      <c r="EN32" s="226">
        <f>(EL32-DQ32)*100</f>
        <v>-0.34898770561479636</v>
      </c>
      <c r="EO32" s="26">
        <f>-(EO9)/EO20</f>
        <v>3.0211992979610677E-2</v>
      </c>
      <c r="EP32" s="26" t="s">
        <v>77</v>
      </c>
      <c r="EQ32" s="226">
        <f>(EO32-DT32)*100</f>
        <v>-0.48069866253561899</v>
      </c>
      <c r="ER32" s="26">
        <f>-(ER9)/ER20</f>
        <v>9.096674415336635E-2</v>
      </c>
      <c r="ES32" s="26" t="s">
        <v>77</v>
      </c>
      <c r="ET32" s="226">
        <f>(ER32-DW32)*100</f>
        <v>-0.75374056246687715</v>
      </c>
      <c r="EU32" s="26">
        <f>-(EU9)/EU20</f>
        <v>1.6659631406751935E-2</v>
      </c>
      <c r="EV32" s="26" t="s">
        <v>77</v>
      </c>
      <c r="EW32" s="226">
        <f>(EU32-DZ32)*100</f>
        <v>-0.29929434253044218</v>
      </c>
      <c r="EX32" s="26">
        <f>-(EX9)/EX20</f>
        <v>4.0831216908441305E-2</v>
      </c>
      <c r="EY32" s="26" t="s">
        <v>77</v>
      </c>
      <c r="EZ32" s="226">
        <f>(EX32-EC32)*100</f>
        <v>0.89335667324483559</v>
      </c>
      <c r="FA32" s="26">
        <f>-(FA9)/FA20</f>
        <v>5.6988937195988118E-2</v>
      </c>
      <c r="FB32" s="26" t="s">
        <v>77</v>
      </c>
      <c r="FC32" s="226">
        <f>(FA32-EF32)*100</f>
        <v>0.57425374115660999</v>
      </c>
      <c r="FD32" s="26">
        <f>-(FD9)/FD20</f>
        <v>3.3989115593580498E-2</v>
      </c>
      <c r="FE32" s="26" t="s">
        <v>77</v>
      </c>
      <c r="FF32" s="226">
        <f>(FD32-EI32)*100</f>
        <v>0.59082060536433179</v>
      </c>
      <c r="FG32" s="26">
        <f>-(FG9)/FG20</f>
        <v>9.429451213193385E-2</v>
      </c>
      <c r="FH32" s="26" t="s">
        <v>77</v>
      </c>
      <c r="FI32" s="226">
        <f>(FG32-EL32)*100</f>
        <v>1.2966660845949578</v>
      </c>
      <c r="FJ32" s="26">
        <f>-(FJ9)/FJ20</f>
        <v>2.8427452808899269E-2</v>
      </c>
      <c r="FK32" s="26" t="s">
        <v>77</v>
      </c>
      <c r="FL32" s="226">
        <f>(FJ32-EO32)*100</f>
        <v>-0.17845401707114078</v>
      </c>
      <c r="FM32" s="26">
        <f>-(FM9)/FM20</f>
        <v>9.7126262743588376E-2</v>
      </c>
      <c r="FN32" s="26" t="s">
        <v>77</v>
      </c>
      <c r="FO32" s="226">
        <f>(FM32-ER32)*100</f>
        <v>0.61595185902220262</v>
      </c>
      <c r="FP32" s="26">
        <f>-(FP9)/FP20</f>
        <v>2.4286364331749872E-2</v>
      </c>
      <c r="FQ32" s="26" t="s">
        <v>77</v>
      </c>
      <c r="FR32" s="226">
        <f>(FP32-EU32)*100</f>
        <v>0.76267329249979365</v>
      </c>
      <c r="FS32" s="26">
        <f>-(FS9)/FS20</f>
        <v>4.2698830572024074E-2</v>
      </c>
      <c r="FT32" s="26" t="s">
        <v>77</v>
      </c>
      <c r="FU32" s="226">
        <f>(FS32-EX32)*100</f>
        <v>0.18676136635827692</v>
      </c>
      <c r="FV32" s="26">
        <f>-(FV9)/FV20</f>
        <v>6.6118833210197681E-2</v>
      </c>
      <c r="FW32" s="26" t="s">
        <v>77</v>
      </c>
      <c r="FX32" s="226">
        <f>(FV32-FA32)*100</f>
        <v>0.9129896014209562</v>
      </c>
      <c r="FY32" s="26">
        <f>-(FY9)/FY20</f>
        <v>4.2048180552779743E-2</v>
      </c>
      <c r="FZ32" s="26" t="s">
        <v>77</v>
      </c>
      <c r="GA32" s="226">
        <f>(FY32-FD32)*100</f>
        <v>0.80590649591992458</v>
      </c>
      <c r="GB32" s="26">
        <f>-(GB9)/GB20</f>
        <v>0.11262036068363644</v>
      </c>
      <c r="GC32" s="26" t="s">
        <v>77</v>
      </c>
      <c r="GD32" s="226">
        <f>(GB32-FG32)*100</f>
        <v>1.8325848551702593</v>
      </c>
      <c r="GE32" s="26">
        <f>-(GE9)/GE20</f>
        <v>4.184661138244454E-2</v>
      </c>
      <c r="GF32" s="26" t="s">
        <v>77</v>
      </c>
      <c r="GG32" s="226">
        <f>(GE32-FJ32)*100</f>
        <v>1.3419158573545271</v>
      </c>
      <c r="GH32" s="26">
        <f>-(GH9)/GH20</f>
        <v>0.12966464019343321</v>
      </c>
      <c r="GI32" s="26" t="s">
        <v>77</v>
      </c>
      <c r="GJ32" s="226">
        <f>(GH32-FM32)*100</f>
        <v>3.2538377449844837</v>
      </c>
      <c r="GK32" s="26">
        <f>-(GK9)/GK20</f>
        <v>1.8237661803945628E-2</v>
      </c>
      <c r="GL32" s="26" t="s">
        <v>77</v>
      </c>
      <c r="GM32" s="226">
        <f>(GK32-FP32)*100</f>
        <v>-0.60487025278042439</v>
      </c>
      <c r="GN32" s="26">
        <f>ROUND(-(GN9)/GN20,3)</f>
        <v>3.9E-2</v>
      </c>
      <c r="GO32" s="26" t="s">
        <v>77</v>
      </c>
      <c r="GP32" s="226">
        <f>(GN32-FS32)*100</f>
        <v>-0.36988305720240744</v>
      </c>
      <c r="GQ32" s="26">
        <f>-(GQ9)/GQ20</f>
        <v>5.6893701780610956E-2</v>
      </c>
      <c r="GR32" s="26" t="s">
        <v>77</v>
      </c>
      <c r="GS32" s="226">
        <f>(GQ32-FV32)*100</f>
        <v>-0.92251314295867248</v>
      </c>
      <c r="GT32" s="26">
        <f>ROUND(-(GT9)/GT20,3)</f>
        <v>3.3000000000000002E-2</v>
      </c>
      <c r="GU32" s="26" t="s">
        <v>77</v>
      </c>
      <c r="GV32" s="226">
        <f>(GT32-FY32)*100</f>
        <v>-0.9048180552779741</v>
      </c>
      <c r="GW32" s="26">
        <f>-(GW9)/GW20</f>
        <v>9.5950608090047046E-2</v>
      </c>
      <c r="GX32" s="26" t="s">
        <v>77</v>
      </c>
      <c r="GY32" s="226">
        <f>(GW32-GB32)*100</f>
        <v>-1.6669752593589395</v>
      </c>
      <c r="GZ32" s="26">
        <f>ROUND(-(GZ9)/GZ20,3)</f>
        <v>2.7E-2</v>
      </c>
      <c r="HA32" s="26" t="s">
        <v>77</v>
      </c>
      <c r="HB32" s="226">
        <f>(GZ32-GE32)*100</f>
        <v>-1.4846611382444541</v>
      </c>
      <c r="HC32" s="26">
        <f>-(HC9)/HC20</f>
        <v>0.10042856097087441</v>
      </c>
      <c r="HD32" s="26" t="s">
        <v>77</v>
      </c>
      <c r="HE32" s="226">
        <f>(HC32-GH32)*100</f>
        <v>-2.9236079222558802</v>
      </c>
      <c r="HF32" s="26">
        <f>-(HF9)/HF20</f>
        <v>1.812581825993306E-2</v>
      </c>
      <c r="HG32" s="26" t="s">
        <v>77</v>
      </c>
      <c r="HH32" s="226">
        <f>(HF32-GK32)*100</f>
        <v>-1.1184354401256799E-2</v>
      </c>
      <c r="HI32" s="26">
        <f>ROUND(-(HI9)/HI20,3)</f>
        <v>3.1E-2</v>
      </c>
      <c r="HJ32" s="26" t="s">
        <v>77</v>
      </c>
      <c r="HK32" s="226">
        <f>(HI32-GN32)*100</f>
        <v>-0.8</v>
      </c>
      <c r="HL32" s="26">
        <f>-(HL9)/HL20</f>
        <v>4.9994463291623464E-2</v>
      </c>
      <c r="HM32" s="26" t="s">
        <v>77</v>
      </c>
      <c r="HN32" s="226">
        <f>(HL32-GQ32)*100</f>
        <v>-0.68992384889874914</v>
      </c>
      <c r="HO32" s="26">
        <f>ROUND(-(HO9)/HO20,3)</f>
        <v>2.9000000000000001E-2</v>
      </c>
      <c r="HP32" s="26" t="s">
        <v>77</v>
      </c>
      <c r="HQ32" s="226">
        <f>(HO32-GT32)*100</f>
        <v>-0.4</v>
      </c>
      <c r="HR32" s="26">
        <f>-(HR9)/HR20</f>
        <v>8.320551725352035E-2</v>
      </c>
      <c r="HS32" s="26" t="s">
        <v>77</v>
      </c>
      <c r="HT32" s="226">
        <f>(HR32-GW32)*100</f>
        <v>-1.2745090836526696</v>
      </c>
      <c r="HU32" s="26">
        <f>ROUND(-(HU9)/HU20,3)</f>
        <v>2.9000000000000001E-2</v>
      </c>
      <c r="HV32" s="26" t="s">
        <v>77</v>
      </c>
      <c r="HW32" s="226">
        <f>(HU32-GZ32)*100</f>
        <v>0.20000000000000018</v>
      </c>
      <c r="HX32" s="26">
        <f>-(HX9)/HX20</f>
        <v>9.2563031300211165E-2</v>
      </c>
      <c r="HY32" s="26" t="s">
        <v>77</v>
      </c>
      <c r="HZ32" s="226">
        <f>(HX32-HC32)*100</f>
        <v>-0.78655296706632427</v>
      </c>
      <c r="IA32" s="26">
        <f>-(IA9)/IA20</f>
        <v>2.0133693934801536E-2</v>
      </c>
      <c r="IB32" s="26" t="s">
        <v>77</v>
      </c>
      <c r="IC32" s="226">
        <f>(IA32-HF32)*100</f>
        <v>0.20078756748684762</v>
      </c>
      <c r="ID32" s="26">
        <f>-(ID9)/ID20</f>
        <v>3.3882919082981959E-2</v>
      </c>
      <c r="IE32" s="26" t="s">
        <v>77</v>
      </c>
      <c r="IF32" s="226">
        <f>(ID32-HI32)*100</f>
        <v>0.28829190829819595</v>
      </c>
      <c r="IG32" s="26">
        <f>-(IG9)/IG20</f>
        <v>5.3550411912324694E-2</v>
      </c>
      <c r="IH32" s="26" t="s">
        <v>77</v>
      </c>
      <c r="II32" s="226">
        <f>(IG32-HL32)*100</f>
        <v>0.35559486207012297</v>
      </c>
      <c r="IJ32" s="26">
        <f>-(IJ9)/IJ20</f>
        <v>1.6370015829243918E-2</v>
      </c>
      <c r="IK32" s="26" t="s">
        <v>77</v>
      </c>
      <c r="IL32" s="226">
        <f>(IJ32-HO32)*100</f>
        <v>-1.2629984170756083</v>
      </c>
      <c r="IM32" s="26">
        <f>-(IM9)/IM20</f>
        <v>7.3090604498945957E-2</v>
      </c>
      <c r="IN32" s="26" t="s">
        <v>77</v>
      </c>
      <c r="IO32" s="226">
        <f>(IM32-HR32)*100</f>
        <v>-1.0114912754574392</v>
      </c>
      <c r="IP32" s="26">
        <v>2.2226830746276686E-2</v>
      </c>
      <c r="IQ32" s="26" t="s">
        <v>77</v>
      </c>
      <c r="IR32" s="226">
        <f>(IP32-HU32)*100</f>
        <v>-0.67731692537233157</v>
      </c>
      <c r="IS32" s="26">
        <v>7.6876810072184706E-2</v>
      </c>
      <c r="IT32" s="26" t="s">
        <v>77</v>
      </c>
      <c r="IU32" s="226">
        <f>(IS32-HX32)*100</f>
        <v>-1.5686221228026458</v>
      </c>
      <c r="IV32" s="26">
        <f>-(IV9)/IV20</f>
        <v>2.5142663308763743E-2</v>
      </c>
      <c r="IW32" s="26" t="s">
        <v>77</v>
      </c>
      <c r="IX32" s="226">
        <f>(IV32-IA32)*100</f>
        <v>0.50089693739622065</v>
      </c>
      <c r="IY32" s="26">
        <f>-(IY9)/IY20</f>
        <v>3.5973274176687185E-2</v>
      </c>
      <c r="IZ32" s="26" t="s">
        <v>77</v>
      </c>
      <c r="JA32" s="226">
        <f>(IY32-ID32)*100</f>
        <v>0.20903550937052262</v>
      </c>
      <c r="JB32" s="26">
        <f>-(JB9)/JB20</f>
        <v>6.1723585104481934E-2</v>
      </c>
      <c r="JC32" s="26" t="s">
        <v>77</v>
      </c>
      <c r="JD32" s="226">
        <f>(JB32-IG32)*100</f>
        <v>0.81731731921572404</v>
      </c>
      <c r="JE32" s="26">
        <f>-(JE9)/JE20</f>
        <v>4.2711132577727122E-2</v>
      </c>
      <c r="JF32" s="26" t="s">
        <v>77</v>
      </c>
      <c r="JG32" s="226">
        <f>(JE32-IJ32)*100</f>
        <v>2.6341116748483202</v>
      </c>
      <c r="JH32" s="26">
        <f>-(JH9)/JH20</f>
        <v>0.10763963413239197</v>
      </c>
      <c r="JI32" s="26" t="s">
        <v>77</v>
      </c>
      <c r="JJ32" s="226">
        <f>(JH32-IM32)*100</f>
        <v>3.4549029633446011</v>
      </c>
      <c r="JK32" s="26">
        <f>-(JK9)/JK20</f>
        <v>3.9667902159150184E-2</v>
      </c>
      <c r="JL32" s="26" t="s">
        <v>77</v>
      </c>
      <c r="JM32" s="226">
        <f>(JK32-IP32)*100</f>
        <v>1.7441071412873499</v>
      </c>
      <c r="JN32" s="26">
        <f>-(JN9)/JN20</f>
        <v>0.12272484883484733</v>
      </c>
      <c r="JO32" s="26" t="s">
        <v>77</v>
      </c>
      <c r="JP32" s="226">
        <f>(JN32-IS32)*100</f>
        <v>4.5848038762662622</v>
      </c>
      <c r="JQ32" s="26">
        <f>IFERROR((-(JQ9)/JQ20),0)</f>
        <v>5.8369048129412557E-2</v>
      </c>
      <c r="JR32" s="26" t="s">
        <v>77</v>
      </c>
      <c r="JS32" s="226">
        <f>(JQ32-IV32)*100</f>
        <v>3.3226384820648809</v>
      </c>
      <c r="JT32" s="26">
        <f>IFERROR((-(JT9)/JT20),0)</f>
        <v>7.2368633416159692E-2</v>
      </c>
      <c r="JU32" s="26" t="s">
        <v>77</v>
      </c>
      <c r="JV32" s="226">
        <f>(JT32-IY32)*100</f>
        <v>3.6395359239472507</v>
      </c>
      <c r="JW32" s="26">
        <f>-(JW9)/JW20</f>
        <v>0.15844309535751247</v>
      </c>
      <c r="JX32" s="26" t="s">
        <v>77</v>
      </c>
      <c r="JY32" s="226">
        <f>(JW32-JB32)*100</f>
        <v>9.6719510253030538</v>
      </c>
      <c r="JZ32" s="26">
        <f>-(JZ9)/JZ20</f>
        <v>1.6226314664667781E-2</v>
      </c>
      <c r="KA32" s="26" t="s">
        <v>77</v>
      </c>
      <c r="KB32" s="226">
        <f>(JZ32-JE32)*100</f>
        <v>-2.648481791305934</v>
      </c>
      <c r="KC32" s="26">
        <f>-(KC9)/KC20</f>
        <v>0.16209025600928634</v>
      </c>
      <c r="KD32" s="26" t="s">
        <v>77</v>
      </c>
      <c r="KE32" s="226">
        <f>(KC32-JH32)*100</f>
        <v>5.4450621876894365</v>
      </c>
      <c r="KF32" s="26">
        <f>-(KF9)/KF20</f>
        <v>-2.6382488954357238E-2</v>
      </c>
      <c r="KG32" s="26" t="s">
        <v>77</v>
      </c>
      <c r="KH32" s="226">
        <f>(KF32-JK32)*100</f>
        <v>-6.6050391113507425</v>
      </c>
      <c r="KI32" s="26">
        <f>-(KI9)/KI20</f>
        <v>9.1770272426358795E-2</v>
      </c>
      <c r="KJ32" s="26" t="s">
        <v>77</v>
      </c>
      <c r="KK32" s="226">
        <f>(KI32-JN32)*100</f>
        <v>-3.0954576408488532</v>
      </c>
    </row>
    <row r="33" spans="2:297" ht="16.5" customHeight="1">
      <c r="B33" s="222" t="s">
        <v>365</v>
      </c>
      <c r="C33" s="222" t="s">
        <v>1068</v>
      </c>
      <c r="D33" s="26" t="s">
        <v>77</v>
      </c>
      <c r="E33" s="26" t="s">
        <v>77</v>
      </c>
      <c r="F33" s="26" t="s">
        <v>77</v>
      </c>
      <c r="G33" s="26" t="s">
        <v>77</v>
      </c>
      <c r="H33" s="26" t="s">
        <v>77</v>
      </c>
      <c r="I33" s="26" t="s">
        <v>77</v>
      </c>
      <c r="J33" s="26" t="s">
        <v>77</v>
      </c>
      <c r="K33" s="26" t="s">
        <v>77</v>
      </c>
      <c r="L33" s="26" t="s">
        <v>77</v>
      </c>
      <c r="M33" s="26" t="s">
        <v>77</v>
      </c>
      <c r="N33" s="26" t="s">
        <v>77</v>
      </c>
      <c r="O33" s="26" t="s">
        <v>77</v>
      </c>
      <c r="P33" s="26" t="s">
        <v>77</v>
      </c>
      <c r="Q33" s="26" t="s">
        <v>77</v>
      </c>
      <c r="R33" s="26" t="s">
        <v>77</v>
      </c>
      <c r="S33" s="26" t="s">
        <v>77</v>
      </c>
      <c r="T33" s="26" t="s">
        <v>77</v>
      </c>
      <c r="U33" s="26" t="s">
        <v>77</v>
      </c>
      <c r="V33" s="26" t="s">
        <v>77</v>
      </c>
      <c r="W33" s="26" t="s">
        <v>77</v>
      </c>
      <c r="X33" s="26" t="s">
        <v>77</v>
      </c>
      <c r="Y33" s="26" t="s">
        <v>77</v>
      </c>
      <c r="Z33" s="26" t="s">
        <v>77</v>
      </c>
      <c r="AA33" s="26" t="s">
        <v>77</v>
      </c>
      <c r="AB33" s="26" t="s">
        <v>77</v>
      </c>
      <c r="AC33" s="26" t="s">
        <v>77</v>
      </c>
      <c r="AD33" s="26" t="s">
        <v>77</v>
      </c>
      <c r="AE33" s="26" t="s">
        <v>77</v>
      </c>
      <c r="AF33" s="26" t="s">
        <v>77</v>
      </c>
      <c r="AG33" s="26" t="s">
        <v>77</v>
      </c>
      <c r="AH33" s="26" t="s">
        <v>77</v>
      </c>
      <c r="AI33" s="26" t="s">
        <v>77</v>
      </c>
      <c r="AJ33" s="26" t="s">
        <v>77</v>
      </c>
      <c r="AK33" s="26" t="s">
        <v>77</v>
      </c>
      <c r="AL33" s="26" t="s">
        <v>77</v>
      </c>
      <c r="AM33" s="26" t="s">
        <v>77</v>
      </c>
      <c r="AN33" s="26" t="s">
        <v>77</v>
      </c>
      <c r="AO33" s="26" t="s">
        <v>77</v>
      </c>
      <c r="AP33" s="26" t="s">
        <v>77</v>
      </c>
      <c r="AQ33" s="26" t="s">
        <v>77</v>
      </c>
      <c r="AR33" s="26" t="s">
        <v>77</v>
      </c>
      <c r="AS33" s="26" t="s">
        <v>77</v>
      </c>
      <c r="AT33" s="26" t="s">
        <v>77</v>
      </c>
      <c r="AU33" s="26" t="s">
        <v>77</v>
      </c>
      <c r="AV33" s="26" t="s">
        <v>77</v>
      </c>
      <c r="AW33" s="26" t="s">
        <v>77</v>
      </c>
      <c r="AX33" s="26" t="s">
        <v>77</v>
      </c>
      <c r="AY33" s="26" t="s">
        <v>77</v>
      </c>
      <c r="AZ33" s="26" t="s">
        <v>77</v>
      </c>
      <c r="BA33" s="26" t="s">
        <v>77</v>
      </c>
      <c r="BB33" s="26" t="s">
        <v>77</v>
      </c>
      <c r="BC33" s="26" t="s">
        <v>77</v>
      </c>
      <c r="BD33" s="26" t="s">
        <v>77</v>
      </c>
      <c r="BE33" s="26" t="s">
        <v>77</v>
      </c>
      <c r="BF33" s="26" t="s">
        <v>77</v>
      </c>
      <c r="BG33" s="26" t="s">
        <v>77</v>
      </c>
      <c r="BH33" s="26" t="s">
        <v>77</v>
      </c>
      <c r="BI33" s="26" t="s">
        <v>77</v>
      </c>
      <c r="BJ33" s="26" t="s">
        <v>77</v>
      </c>
      <c r="BK33" s="26" t="s">
        <v>77</v>
      </c>
      <c r="BL33" s="26" t="s">
        <v>77</v>
      </c>
      <c r="BM33" s="26" t="s">
        <v>77</v>
      </c>
      <c r="BN33" s="26" t="s">
        <v>77</v>
      </c>
      <c r="BO33" s="26" t="s">
        <v>77</v>
      </c>
      <c r="BP33" s="26" t="s">
        <v>77</v>
      </c>
      <c r="BQ33" s="26" t="s">
        <v>77</v>
      </c>
      <c r="BR33" s="26" t="s">
        <v>77</v>
      </c>
      <c r="BS33" s="26" t="s">
        <v>77</v>
      </c>
      <c r="BT33" s="26" t="s">
        <v>77</v>
      </c>
      <c r="BU33" s="26" t="s">
        <v>77</v>
      </c>
      <c r="BV33" s="26" t="s">
        <v>77</v>
      </c>
      <c r="BW33" s="26" t="s">
        <v>77</v>
      </c>
      <c r="BX33" s="26" t="s">
        <v>77</v>
      </c>
      <c r="BY33" s="26" t="s">
        <v>77</v>
      </c>
      <c r="BZ33" s="26" t="s">
        <v>77</v>
      </c>
      <c r="CA33" s="26" t="s">
        <v>77</v>
      </c>
      <c r="CB33" s="26" t="s">
        <v>77</v>
      </c>
      <c r="CC33" s="26" t="s">
        <v>77</v>
      </c>
      <c r="CD33" s="26" t="s">
        <v>77</v>
      </c>
      <c r="CE33" s="26" t="s">
        <v>77</v>
      </c>
      <c r="CF33" s="26" t="s">
        <v>77</v>
      </c>
      <c r="CG33" s="26" t="s">
        <v>77</v>
      </c>
      <c r="CH33" s="26" t="s">
        <v>77</v>
      </c>
      <c r="CI33" s="26" t="s">
        <v>77</v>
      </c>
      <c r="CJ33" s="26" t="s">
        <v>77</v>
      </c>
      <c r="CK33" s="26" t="s">
        <v>77</v>
      </c>
      <c r="CL33" s="26" t="s">
        <v>77</v>
      </c>
      <c r="CM33" s="26" t="s">
        <v>77</v>
      </c>
      <c r="CN33" s="26" t="s">
        <v>77</v>
      </c>
      <c r="CO33" s="26" t="s">
        <v>77</v>
      </c>
      <c r="CP33" s="26" t="s">
        <v>77</v>
      </c>
      <c r="CQ33" s="26" t="s">
        <v>77</v>
      </c>
      <c r="CR33" s="26" t="s">
        <v>77</v>
      </c>
      <c r="CS33" s="26">
        <f>-(CS10)/CS21</f>
        <v>6.3119904981488992E-2</v>
      </c>
      <c r="CT33" s="26" t="s">
        <v>77</v>
      </c>
      <c r="CU33" s="26" t="s">
        <v>77</v>
      </c>
      <c r="CV33" s="26">
        <f>-(CV10)/CV21</f>
        <v>8.2203853617767803E-2</v>
      </c>
      <c r="CW33" s="26" t="s">
        <v>77</v>
      </c>
      <c r="CX33" s="26" t="s">
        <v>77</v>
      </c>
      <c r="CY33" s="26">
        <f>-(CY10)/CY21</f>
        <v>3.886716021790753E-2</v>
      </c>
      <c r="CZ33" s="26" t="s">
        <v>77</v>
      </c>
      <c r="DA33" s="26" t="s">
        <v>77</v>
      </c>
      <c r="DB33" s="26">
        <f>-(DB10)/DB21</f>
        <v>9.5125017460539182E-2</v>
      </c>
      <c r="DC33" s="26" t="s">
        <v>77</v>
      </c>
      <c r="DD33" s="26" t="s">
        <v>77</v>
      </c>
      <c r="DE33" s="26">
        <f>-(DE10)/DE21</f>
        <v>5.5908341665090386E-2</v>
      </c>
      <c r="DF33" s="26" t="s">
        <v>77</v>
      </c>
      <c r="DG33" s="26" t="s">
        <v>77</v>
      </c>
      <c r="DH33" s="26">
        <f>-(DH10)/DH21</f>
        <v>4.2480109914688306E-2</v>
      </c>
      <c r="DI33" s="26" t="s">
        <v>77</v>
      </c>
      <c r="DJ33" s="26" t="s">
        <v>77</v>
      </c>
      <c r="DK33" s="26">
        <f>-(DK10)/DK21</f>
        <v>7.5534396268012907E-2</v>
      </c>
      <c r="DL33" s="26" t="s">
        <v>77</v>
      </c>
      <c r="DM33" s="26" t="s">
        <v>77</v>
      </c>
      <c r="DN33" s="26">
        <f>-(DN10)/DN21</f>
        <v>5.3051123574546402E-2</v>
      </c>
      <c r="DO33" s="26" t="s">
        <v>77</v>
      </c>
      <c r="DP33" s="226">
        <f>(DN33-CS33)*100</f>
        <v>-1.0068781406942588</v>
      </c>
      <c r="DQ33" s="26">
        <f>-(DQ10)/DQ21</f>
        <v>0.11184758683297477</v>
      </c>
      <c r="DR33" s="26" t="s">
        <v>77</v>
      </c>
      <c r="DS33" s="226">
        <f>(DQ33-CV33)*100</f>
        <v>2.9643733215206969</v>
      </c>
      <c r="DT33" s="26">
        <f>-(DT10)/DT21</f>
        <v>7.1323845534818603E-2</v>
      </c>
      <c r="DU33" s="26" t="s">
        <v>77</v>
      </c>
      <c r="DV33" s="226">
        <f>(DT33-CY33)*100</f>
        <v>3.2456685316911074</v>
      </c>
      <c r="DW33" s="26">
        <f>-(DW10)/DW21</f>
        <v>0.17049375502959885</v>
      </c>
      <c r="DX33" s="26" t="s">
        <v>77</v>
      </c>
      <c r="DY33" s="226">
        <f>(DW33-DB33)*100</f>
        <v>7.5368737569059663</v>
      </c>
      <c r="DZ33" s="26">
        <f>-(DZ10)/DZ21</f>
        <v>8.8574653912423501E-2</v>
      </c>
      <c r="EA33" s="26" t="s">
        <v>77</v>
      </c>
      <c r="EB33" s="226">
        <f>(DZ33-DE33)*100</f>
        <v>3.2666312247333114</v>
      </c>
      <c r="EC33" s="26">
        <f>-(EC10)/EC21</f>
        <v>6.234081778365072E-2</v>
      </c>
      <c r="ED33" s="26" t="s">
        <v>77</v>
      </c>
      <c r="EE33" s="226">
        <f>(EC33-DH33)*100</f>
        <v>1.9860707868962415</v>
      </c>
      <c r="EF33" s="26">
        <f>-(EF10)/EF21</f>
        <v>0.14177474184507508</v>
      </c>
      <c r="EG33" s="26" t="s">
        <v>77</v>
      </c>
      <c r="EH33" s="226">
        <f>(EF33-DK33)*100</f>
        <v>6.6240345577062172</v>
      </c>
      <c r="EI33" s="26">
        <f>-(EI10)/EI21</f>
        <v>3.8261558907878475E-2</v>
      </c>
      <c r="EJ33" s="26" t="s">
        <v>77</v>
      </c>
      <c r="EK33" s="226">
        <f>(EI33-DN33)*100</f>
        <v>-1.4789564666667927</v>
      </c>
      <c r="EL33" s="26">
        <f>-(EL10)/EL21</f>
        <v>0.14166025476617936</v>
      </c>
      <c r="EM33" s="26" t="s">
        <v>77</v>
      </c>
      <c r="EN33" s="226">
        <f>(EL33-DQ33)*100</f>
        <v>2.9812667933204584</v>
      </c>
      <c r="EO33" s="26">
        <f>-(EO10)/EO21</f>
        <v>3.2097406264438952E-2</v>
      </c>
      <c r="EP33" s="26" t="s">
        <v>77</v>
      </c>
      <c r="EQ33" s="226">
        <f>(EO33-DT33)*100</f>
        <v>-3.9226439270379649</v>
      </c>
      <c r="ER33" s="26">
        <f>-(ER10)/ER21</f>
        <v>0.13607442942951509</v>
      </c>
      <c r="ES33" s="26" t="s">
        <v>77</v>
      </c>
      <c r="ET33" s="226">
        <f>(ER33-DW33)*100</f>
        <v>-3.4419325600083761</v>
      </c>
      <c r="EU33" s="26">
        <f>-(EU10)/EU21</f>
        <v>4.0029431283723341E-2</v>
      </c>
      <c r="EV33" s="26" t="s">
        <v>77</v>
      </c>
      <c r="EW33" s="226">
        <f>(EU33-DZ33)*100</f>
        <v>-4.8545222628700158</v>
      </c>
      <c r="EX33" s="26">
        <f>-(EX10)/EX21</f>
        <v>4.6896763332027955E-2</v>
      </c>
      <c r="EY33" s="26" t="s">
        <v>77</v>
      </c>
      <c r="EZ33" s="226">
        <f>(EX33-EC33)*100</f>
        <v>-1.5444054451622766</v>
      </c>
      <c r="FA33" s="26">
        <f>-(FA10)/FA21</f>
        <v>8.050207313085149E-2</v>
      </c>
      <c r="FB33" s="26" t="s">
        <v>77</v>
      </c>
      <c r="FC33" s="226">
        <f>(FA33-EF33)*100</f>
        <v>-6.1272668714223588</v>
      </c>
      <c r="FD33" s="26">
        <f>-(FD10)/FD21</f>
        <v>5.0381119494648186E-2</v>
      </c>
      <c r="FE33" s="26" t="s">
        <v>77</v>
      </c>
      <c r="FF33" s="226">
        <f>(FD33-EI33)*100</f>
        <v>1.2119560586769711</v>
      </c>
      <c r="FG33" s="26">
        <f>-(FG10)/FG21</f>
        <v>0.12035760659764871</v>
      </c>
      <c r="FH33" s="26" t="s">
        <v>77</v>
      </c>
      <c r="FI33" s="226">
        <f>(FG33-EL33)*100</f>
        <v>-2.1302648168530642</v>
      </c>
      <c r="FJ33" s="26">
        <f>-(FJ10)/FJ21</f>
        <v>3.7791689472049229E-2</v>
      </c>
      <c r="FK33" s="26" t="s">
        <v>77</v>
      </c>
      <c r="FL33" s="226">
        <f>(FJ33-EO33)*100</f>
        <v>0.56942832076102778</v>
      </c>
      <c r="FM33" s="26">
        <f>-(FM10)/FM21</f>
        <v>0.13925734826407893</v>
      </c>
      <c r="FN33" s="26" t="s">
        <v>77</v>
      </c>
      <c r="FO33" s="226">
        <f>(FM33-ER33)*100</f>
        <v>0.31829188345638415</v>
      </c>
      <c r="FP33" s="26">
        <f>-(FP10)/FP21</f>
        <v>3.9669552031338852E-2</v>
      </c>
      <c r="FQ33" s="26" t="s">
        <v>77</v>
      </c>
      <c r="FR33" s="226">
        <f>(FP33-EU33)*100</f>
        <v>-3.5987925238448876E-2</v>
      </c>
      <c r="FS33" s="26">
        <f>-(FS10)/FS21</f>
        <v>4.8000103079201092E-2</v>
      </c>
      <c r="FT33" s="26" t="s">
        <v>77</v>
      </c>
      <c r="FU33" s="226">
        <f>(FS33-EX33)*100</f>
        <v>0.11033397471731377</v>
      </c>
      <c r="FV33" s="26">
        <f>-(FV10)/FV21</f>
        <v>8.345334214674191E-2</v>
      </c>
      <c r="FW33" s="26" t="s">
        <v>77</v>
      </c>
      <c r="FX33" s="226">
        <f>(FV33-FA33)*100</f>
        <v>0.29512690158904203</v>
      </c>
      <c r="FY33" s="26">
        <f>-(FY10)/FY21</f>
        <v>5.5824487955422213E-2</v>
      </c>
      <c r="FZ33" s="26" t="s">
        <v>77</v>
      </c>
      <c r="GA33" s="226">
        <f>(FY33-FD33)*100</f>
        <v>0.54433684607740274</v>
      </c>
      <c r="GB33" s="26">
        <f>-(GB10)/GB21</f>
        <v>0.13546125239115794</v>
      </c>
      <c r="GC33" s="26" t="s">
        <v>77</v>
      </c>
      <c r="GD33" s="226">
        <f>(GB33-FG33)*100</f>
        <v>1.5103645793509228</v>
      </c>
      <c r="GE33" s="26">
        <f>-(GE10)/GE21</f>
        <v>4.7038018979625458E-2</v>
      </c>
      <c r="GF33" s="26" t="s">
        <v>77</v>
      </c>
      <c r="GG33" s="226">
        <f>(GE33-FJ33)*100</f>
        <v>0.92463295075762286</v>
      </c>
      <c r="GH33" s="26">
        <f>-(GH10)/GH21</f>
        <v>0.16852836511615135</v>
      </c>
      <c r="GI33" s="26" t="s">
        <v>77</v>
      </c>
      <c r="GJ33" s="226">
        <f>(GH33-FM33)*100</f>
        <v>2.9271016852072425</v>
      </c>
      <c r="GK33" s="26">
        <f>-(GK10)/GK21</f>
        <v>5.0014190166103159E-2</v>
      </c>
      <c r="GL33" s="26" t="s">
        <v>77</v>
      </c>
      <c r="GM33" s="226">
        <f>(GK33-FP33)*100</f>
        <v>1.0344638134764308</v>
      </c>
      <c r="GN33" s="26">
        <f>-(GN10)/GN21</f>
        <v>5.1462340120195772E-2</v>
      </c>
      <c r="GO33" s="26" t="s">
        <v>77</v>
      </c>
      <c r="GP33" s="226">
        <f>(GN33-FS33)*100</f>
        <v>0.34622370409946801</v>
      </c>
      <c r="GQ33" s="26">
        <f>-(GQ10)/GQ21</f>
        <v>9.8214192459459518E-2</v>
      </c>
      <c r="GR33" s="26" t="s">
        <v>77</v>
      </c>
      <c r="GS33" s="226">
        <f>(GQ33-FV33)*100</f>
        <v>1.4760850312717608</v>
      </c>
      <c r="GT33" s="26">
        <f>-(GT10)/GT21</f>
        <v>6.1513887872802202E-2</v>
      </c>
      <c r="GU33" s="26" t="s">
        <v>77</v>
      </c>
      <c r="GV33" s="226">
        <f>(GT33-FY33)*100</f>
        <v>0.56893999173799892</v>
      </c>
      <c r="GW33" s="26">
        <f>-(GW10)/GW21</f>
        <v>0.1570605831524699</v>
      </c>
      <c r="GX33" s="26" t="s">
        <v>77</v>
      </c>
      <c r="GY33" s="226">
        <f>(GW33-GB33)*100</f>
        <v>2.1599330761311957</v>
      </c>
      <c r="GZ33" s="26">
        <f>-(GZ10)/GZ21</f>
        <v>4.9638880074943714E-2</v>
      </c>
      <c r="HA33" s="26" t="s">
        <v>77</v>
      </c>
      <c r="HB33" s="226">
        <f>(GZ33-GE33)*100</f>
        <v>0.26008610953182565</v>
      </c>
      <c r="HC33" s="26">
        <f>-(HC10)/HC21</f>
        <v>0.19561103304473959</v>
      </c>
      <c r="HD33" s="26" t="s">
        <v>77</v>
      </c>
      <c r="HE33" s="226">
        <f>ROUND((HC33-GH33)*100,2)</f>
        <v>2.71</v>
      </c>
      <c r="HF33" s="26">
        <f>-(HF10)/HF21</f>
        <v>4.1215732973810433E-2</v>
      </c>
      <c r="HG33" s="26" t="s">
        <v>77</v>
      </c>
      <c r="HH33" s="226">
        <f>(HF33-GK33)*100</f>
        <v>-0.87984571922927257</v>
      </c>
      <c r="HI33" s="26">
        <f>ROUND(-(HI10)/HI21,3)</f>
        <v>2.9000000000000001E-2</v>
      </c>
      <c r="HJ33" s="26" t="s">
        <v>77</v>
      </c>
      <c r="HK33" s="226">
        <f>ROUND((HI33-GN33)*100,1)</f>
        <v>-2.2000000000000002</v>
      </c>
      <c r="HL33" s="26">
        <f>-(HL10)/HL21</f>
        <v>5.7197558932631329E-2</v>
      </c>
      <c r="HM33" s="26" t="s">
        <v>77</v>
      </c>
      <c r="HN33" s="226">
        <f>(HL33-GQ33)*100</f>
        <v>-4.1016633526828192</v>
      </c>
      <c r="HO33" s="26">
        <f>ROUND(-(HO10)/HO21,3)</f>
        <v>5.2999999999999999E-2</v>
      </c>
      <c r="HP33" s="26" t="s">
        <v>77</v>
      </c>
      <c r="HQ33" s="226">
        <f>ROUND((HO33-GT33)*100,1)</f>
        <v>-0.9</v>
      </c>
      <c r="HR33" s="26">
        <f>-(HR10)/HR21</f>
        <v>0.10639293082388511</v>
      </c>
      <c r="HS33" s="26" t="s">
        <v>77</v>
      </c>
      <c r="HT33" s="226">
        <f>(HR33-GW33)*100</f>
        <v>-5.0667652328584794</v>
      </c>
      <c r="HU33" s="26">
        <f>ROUND(-(HU10)/HU21,3)</f>
        <v>4.2999999999999997E-2</v>
      </c>
      <c r="HV33" s="26" t="s">
        <v>77</v>
      </c>
      <c r="HW33" s="226">
        <f>ROUND((HU33-GZ33)*100,1)</f>
        <v>-0.7</v>
      </c>
      <c r="HX33" s="26">
        <f>-(HX10)/HX21</f>
        <v>0.13082391266117652</v>
      </c>
      <c r="HY33" s="26" t="s">
        <v>77</v>
      </c>
      <c r="HZ33" s="226">
        <f>(HX33-HC33)*100</f>
        <v>-6.4787120383563073</v>
      </c>
      <c r="IA33" s="26">
        <f>-(IA10)/IA21</f>
        <v>3.551359455711383E-2</v>
      </c>
      <c r="IB33" s="26" t="s">
        <v>77</v>
      </c>
      <c r="IC33" s="226">
        <f>(IA33-HF33)*100</f>
        <v>-0.57021384166966027</v>
      </c>
      <c r="ID33" s="26">
        <f>-(ID10)/ID21</f>
        <v>3.7999585684923079E-2</v>
      </c>
      <c r="IE33" s="26" t="s">
        <v>77</v>
      </c>
      <c r="IF33" s="226">
        <f>(ID33-HI33)*100</f>
        <v>0.89995856849230771</v>
      </c>
      <c r="IG33" s="26">
        <f>-(IG10)/IG21</f>
        <v>7.087983579495831E-2</v>
      </c>
      <c r="IH33" s="26" t="s">
        <v>77</v>
      </c>
      <c r="II33" s="226">
        <f>(IG33-HL33)*100</f>
        <v>1.3682276862326981</v>
      </c>
      <c r="IJ33" s="26">
        <f>-(IJ10)/IJ21</f>
        <v>4.3193483385999876E-2</v>
      </c>
      <c r="IK33" s="26" t="s">
        <v>77</v>
      </c>
      <c r="IL33" s="226">
        <f t="shared" ref="IL33:IL35" si="231">(IJ33-HO33)*100</f>
        <v>-0.98065166140001225</v>
      </c>
      <c r="IM33" s="26">
        <f>-(IM10)/IM21</f>
        <v>0.11087551453497047</v>
      </c>
      <c r="IN33" s="26" t="s">
        <v>77</v>
      </c>
      <c r="IO33" s="226">
        <f t="shared" ref="IO33:IO35" si="232">(IM33-HR33)*100</f>
        <v>0.44825837110853556</v>
      </c>
      <c r="IP33" s="26">
        <v>3.276146727279719E-2</v>
      </c>
      <c r="IQ33" s="26" t="s">
        <v>77</v>
      </c>
      <c r="IR33" s="226">
        <f t="shared" ref="IR33:IR35" si="233">(IP33-HU33)*100</f>
        <v>-1.0238532727202807</v>
      </c>
      <c r="IS33" s="26">
        <v>0.12487288680996811</v>
      </c>
      <c r="IT33" s="26" t="s">
        <v>77</v>
      </c>
      <c r="IU33" s="226">
        <f t="shared" ref="IU33:IU35" si="234">(IS33-HX33)*100</f>
        <v>-0.5951025851208408</v>
      </c>
      <c r="IV33" s="26">
        <v>3.0171281743230256E-2</v>
      </c>
      <c r="IW33" s="26" t="s">
        <v>77</v>
      </c>
      <c r="IX33" s="226">
        <f t="shared" ref="IX33:IX35" si="235">(IV33-IA33)*100</f>
        <v>-0.5342312813883574</v>
      </c>
      <c r="IY33" s="26">
        <f>-(IY10)/IY21</f>
        <v>3.6643346806954413E-2</v>
      </c>
      <c r="IZ33" s="26" t="s">
        <v>77</v>
      </c>
      <c r="JA33" s="226">
        <f>(IY33-ID33)*100</f>
        <v>-0.13562388779686657</v>
      </c>
      <c r="JB33" s="26">
        <f>-(JB10)/JB21</f>
        <v>6.4153800282284318E-2</v>
      </c>
      <c r="JC33" s="26" t="s">
        <v>77</v>
      </c>
      <c r="JD33" s="226">
        <f>(JB33-IG33)*100</f>
        <v>-0.67260355126739912</v>
      </c>
      <c r="JE33" s="26">
        <f>-(JE10)/JE21</f>
        <v>3.1651922980573739E-2</v>
      </c>
      <c r="JF33" s="26" t="s">
        <v>77</v>
      </c>
      <c r="JG33" s="226">
        <f t="shared" ref="JG33:JG35" si="236">(JE33-IJ33)*100</f>
        <v>-1.1541560405426137</v>
      </c>
      <c r="JH33" s="26">
        <f>-(JH10)/JH21</f>
        <v>8.9284259796344995E-2</v>
      </c>
      <c r="JI33" s="26" t="s">
        <v>77</v>
      </c>
      <c r="JJ33" s="226">
        <f t="shared" ref="JJ33:JJ35" si="237">(JH33-IM33)*100</f>
        <v>-2.1591254738625469</v>
      </c>
      <c r="JK33" s="26">
        <f>-(JK10)/JK21</f>
        <v>2.619299290850869E-2</v>
      </c>
      <c r="JL33" s="26" t="s">
        <v>77</v>
      </c>
      <c r="JM33" s="226">
        <f t="shared" ref="JM33:JM35" si="238">(JK33-IP33)*100</f>
        <v>-0.65684743642885002</v>
      </c>
      <c r="JN33" s="26">
        <f>-(JN10)/JN21</f>
        <v>0.10263956097899821</v>
      </c>
      <c r="JO33" s="26" t="s">
        <v>77</v>
      </c>
      <c r="JP33" s="226">
        <f t="shared" ref="JP33:JP35" si="239">(JN33-IS33)*100</f>
        <v>-2.2233325830969903</v>
      </c>
      <c r="JQ33" s="26">
        <f>IFERROR((-(JQ10)/JQ21),0)</f>
        <v>6.3541498272533845E-2</v>
      </c>
      <c r="JR33" s="26" t="s">
        <v>77</v>
      </c>
      <c r="JS33" s="226">
        <f t="shared" ref="JS33:JS35" si="240">(JQ33-IV33)*100</f>
        <v>3.3370216529303587</v>
      </c>
      <c r="JT33" s="26">
        <f>IFERROR((-(JT10)/JT21),0)</f>
        <v>4.1401583543221154E-2</v>
      </c>
      <c r="JU33" s="26" t="s">
        <v>77</v>
      </c>
      <c r="JV33" s="226">
        <f t="shared" ref="JV33" si="241">(JT33-IY33)*100</f>
        <v>0.4758236736266741</v>
      </c>
      <c r="JW33" s="26">
        <f>-(JW10)/JW21</f>
        <v>0.11216398505870601</v>
      </c>
      <c r="JX33" s="26" t="s">
        <v>77</v>
      </c>
      <c r="JY33" s="226">
        <f>(JW33-JB33)*100</f>
        <v>4.8010184776421685</v>
      </c>
      <c r="JZ33" s="26">
        <f>-(JZ10)/JZ21</f>
        <v>3.8694102449015617E-2</v>
      </c>
      <c r="KA33" s="26" t="s">
        <v>77</v>
      </c>
      <c r="KB33" s="226">
        <f>(JZ33-JE33)*100</f>
        <v>0.70421794684418781</v>
      </c>
      <c r="KC33" s="26">
        <f>-(KC10)/KC21</f>
        <v>0.14294413273069209</v>
      </c>
      <c r="KD33" s="26" t="s">
        <v>77</v>
      </c>
      <c r="KE33" s="226">
        <f>(KC33-JH33)*100</f>
        <v>5.3659872934347099</v>
      </c>
      <c r="KF33" s="26">
        <f>-(KF10)/KF21</f>
        <v>8.0233532497832639E-3</v>
      </c>
      <c r="KG33" s="26" t="s">
        <v>77</v>
      </c>
      <c r="KH33" s="226">
        <f>(KF33-JK33)*100</f>
        <v>-1.8169639658725427</v>
      </c>
      <c r="KI33" s="26">
        <f>-(KI10)/KI21</f>
        <v>0.13001081412585455</v>
      </c>
      <c r="KJ33" s="26" t="s">
        <v>77</v>
      </c>
      <c r="KK33" s="226">
        <f>(KI33-JN33)*100</f>
        <v>2.7371253146856347</v>
      </c>
    </row>
    <row r="34" spans="2:297" ht="16.5" customHeight="1">
      <c r="B34" s="222" t="s">
        <v>366</v>
      </c>
      <c r="C34" s="222" t="s">
        <v>1069</v>
      </c>
      <c r="D34" s="26" t="s">
        <v>77</v>
      </c>
      <c r="E34" s="26" t="s">
        <v>77</v>
      </c>
      <c r="F34" s="26" t="s">
        <v>77</v>
      </c>
      <c r="G34" s="26" t="s">
        <v>77</v>
      </c>
      <c r="H34" s="26" t="s">
        <v>77</v>
      </c>
      <c r="I34" s="26" t="s">
        <v>77</v>
      </c>
      <c r="J34" s="26" t="s">
        <v>77</v>
      </c>
      <c r="K34" s="26" t="s">
        <v>77</v>
      </c>
      <c r="L34" s="26" t="s">
        <v>77</v>
      </c>
      <c r="M34" s="26" t="s">
        <v>77</v>
      </c>
      <c r="N34" s="26" t="s">
        <v>77</v>
      </c>
      <c r="O34" s="26" t="s">
        <v>77</v>
      </c>
      <c r="P34" s="26" t="s">
        <v>77</v>
      </c>
      <c r="Q34" s="26" t="s">
        <v>77</v>
      </c>
      <c r="R34" s="26">
        <v>5.8716351240155167E-2</v>
      </c>
      <c r="S34" s="26" t="s">
        <v>77</v>
      </c>
      <c r="T34" s="26">
        <v>8.7923407208223101E-2</v>
      </c>
      <c r="U34" s="26" t="s">
        <v>77</v>
      </c>
      <c r="V34" s="26" t="s">
        <v>77</v>
      </c>
      <c r="W34" s="26" t="s">
        <v>77</v>
      </c>
      <c r="X34" s="26">
        <v>8.480962251243146E-2</v>
      </c>
      <c r="Y34" s="26" t="s">
        <v>77</v>
      </c>
      <c r="Z34" s="26" t="s">
        <v>77</v>
      </c>
      <c r="AA34" s="26" t="s">
        <v>77</v>
      </c>
      <c r="AB34" s="26">
        <v>7.1880258223449067E-2</v>
      </c>
      <c r="AC34" s="26" t="s">
        <v>77</v>
      </c>
      <c r="AD34" s="26">
        <v>0.30733869282627102</v>
      </c>
      <c r="AE34" s="26" t="s">
        <v>77</v>
      </c>
      <c r="AF34" s="26">
        <f>-(AF11)/AF22</f>
        <v>6.5757337923597378E-2</v>
      </c>
      <c r="AG34" s="26" t="s">
        <v>77</v>
      </c>
      <c r="AH34" s="26">
        <f>-(AH11)/AH22</f>
        <v>6.5994529396358276E-2</v>
      </c>
      <c r="AI34" s="26" t="s">
        <v>77</v>
      </c>
      <c r="AJ34" s="26">
        <f>-(AJ11)/AJ22</f>
        <v>0.13120504929274376</v>
      </c>
      <c r="AK34" s="26" t="s">
        <v>77</v>
      </c>
      <c r="AL34" s="26">
        <f>-(AL11)/AL22</f>
        <v>5.7429640632398075E-2</v>
      </c>
      <c r="AM34" s="26" t="s">
        <v>77</v>
      </c>
      <c r="AN34" s="26">
        <f>-(AN11)/AN22</f>
        <v>0.19598578121132226</v>
      </c>
      <c r="AO34" s="26" t="s">
        <v>77</v>
      </c>
      <c r="AP34" s="26">
        <f>-(AP11)/AP22</f>
        <v>5.7579377721350952E-2</v>
      </c>
      <c r="AQ34" s="26" t="s">
        <v>77</v>
      </c>
      <c r="AR34" s="26">
        <f>-(AR11)/AR22</f>
        <v>0.25914171975670358</v>
      </c>
      <c r="AS34" s="26" t="s">
        <v>77</v>
      </c>
      <c r="AT34" s="26">
        <f>-(AT11)/AT22</f>
        <v>5.723578872265888E-2</v>
      </c>
      <c r="AU34" s="26" t="s">
        <v>77</v>
      </c>
      <c r="AV34" s="226">
        <f>(AT34-AF34)*100</f>
        <v>-0.85215492009384985</v>
      </c>
      <c r="AW34" s="26">
        <f>-(AW11)/AW22</f>
        <v>6.697365168419854E-2</v>
      </c>
      <c r="AX34" s="26" t="s">
        <v>77</v>
      </c>
      <c r="AY34" s="226">
        <f>(AW34-AH34)*100</f>
        <v>9.7912228784026445E-2</v>
      </c>
      <c r="AZ34" s="26">
        <f>-(AZ11)/AZ22</f>
        <v>0.12461158222453909</v>
      </c>
      <c r="BA34" s="26" t="s">
        <v>77</v>
      </c>
      <c r="BB34" s="226">
        <f>(AZ34-AJ34)*100</f>
        <v>-0.65934670682046703</v>
      </c>
      <c r="BC34" s="26">
        <f>-(BC11)/BC22</f>
        <v>5.9615246567151482E-2</v>
      </c>
      <c r="BD34" s="26" t="s">
        <v>77</v>
      </c>
      <c r="BE34" s="226">
        <f>(BC34-AL34)*100</f>
        <v>0.21856059347534068</v>
      </c>
      <c r="BF34" s="26">
        <f>-(BF11)/BF22</f>
        <v>0.18191425067700767</v>
      </c>
      <c r="BG34" s="26" t="s">
        <v>77</v>
      </c>
      <c r="BH34" s="226">
        <f>(BF34-AN34)*100</f>
        <v>-1.4071530534314591</v>
      </c>
      <c r="BI34" s="26">
        <f>-(BI11)/BI22</f>
        <v>5.6233541867490348E-2</v>
      </c>
      <c r="BJ34" s="26" t="s">
        <v>77</v>
      </c>
      <c r="BK34" s="226">
        <f>(BI34-AP34)*100</f>
        <v>-0.13458358538606038</v>
      </c>
      <c r="BL34" s="26">
        <f>-(BL11)/BL22</f>
        <v>0.23590864084500868</v>
      </c>
      <c r="BM34" s="26" t="s">
        <v>77</v>
      </c>
      <c r="BN34" s="226">
        <f>(BL34-AR34)*100</f>
        <v>-2.3233078911694904</v>
      </c>
      <c r="BO34" s="26">
        <f>-(BO11)/BO22</f>
        <v>4.7389518373783586E-2</v>
      </c>
      <c r="BP34" s="26" t="s">
        <v>77</v>
      </c>
      <c r="BQ34" s="226">
        <f>(BO34-AT34)*100</f>
        <v>-0.98462703488752945</v>
      </c>
      <c r="BR34" s="26">
        <f>-(BR11)/BR22</f>
        <v>5.4298662929421641E-2</v>
      </c>
      <c r="BS34" s="26" t="s">
        <v>77</v>
      </c>
      <c r="BT34" s="226">
        <f>(BR34-AW34)*100</f>
        <v>-1.2674988754776899</v>
      </c>
      <c r="BU34" s="26">
        <f>-(BU11)/BU22</f>
        <v>9.9750313024492276E-2</v>
      </c>
      <c r="BV34" s="26" t="s">
        <v>77</v>
      </c>
      <c r="BW34" s="226">
        <f>(BU34-AZ34)*100</f>
        <v>-2.4861269200046818</v>
      </c>
      <c r="BX34" s="26">
        <f>-(BX11)/BX22</f>
        <v>5.0459254613952551E-2</v>
      </c>
      <c r="BY34" s="26" t="s">
        <v>77</v>
      </c>
      <c r="BZ34" s="226">
        <f>(BX34-BC34)*100</f>
        <v>-0.9155991953198932</v>
      </c>
      <c r="CA34" s="26">
        <f>-(CA11)/CA22</f>
        <v>0.14596376071522674</v>
      </c>
      <c r="CB34" s="26" t="s">
        <v>77</v>
      </c>
      <c r="CC34" s="226">
        <f>(CA34-BF34)*100</f>
        <v>-3.5950489961780936</v>
      </c>
      <c r="CD34" s="26">
        <f>-(CD11)/CD22</f>
        <v>4.4759746276380574E-2</v>
      </c>
      <c r="CE34" s="26" t="s">
        <v>77</v>
      </c>
      <c r="CF34" s="226">
        <f>(CD34-BI34)*100</f>
        <v>-1.1473795591109774</v>
      </c>
      <c r="CG34" s="26">
        <f>-(CG11)/CG22</f>
        <v>0.19413693489361317</v>
      </c>
      <c r="CH34" s="26" t="s">
        <v>77</v>
      </c>
      <c r="CI34" s="226">
        <f>(CG34-BL34)*100</f>
        <v>-4.1771705951395512</v>
      </c>
      <c r="CJ34" s="26">
        <f>-(CJ11)/CJ22</f>
        <v>5.1678425113200782E-2</v>
      </c>
      <c r="CK34" s="26" t="s">
        <v>77</v>
      </c>
      <c r="CL34" s="226">
        <f>(CJ34-BO34)*100</f>
        <v>0.42889067394171965</v>
      </c>
      <c r="CM34" s="26">
        <f>-(CM11)/CM22</f>
        <v>6.0838865535359887E-2</v>
      </c>
      <c r="CN34" s="26" t="s">
        <v>77</v>
      </c>
      <c r="CO34" s="226">
        <f>(CM34-BR34)*100</f>
        <v>0.65402026059382457</v>
      </c>
      <c r="CP34" s="26">
        <f>-(CP11)/CP22</f>
        <v>0.10999481200013138</v>
      </c>
      <c r="CQ34" s="26" t="s">
        <v>77</v>
      </c>
      <c r="CR34" s="226">
        <f>(CP34-BU34)*100</f>
        <v>1.0244498975639103</v>
      </c>
      <c r="CS34" s="26">
        <f>-(CS11)/CS22</f>
        <v>5.8201464987419932E-2</v>
      </c>
      <c r="CT34" s="26" t="s">
        <v>77</v>
      </c>
      <c r="CU34" s="226">
        <f>(CS34-BX34)*100</f>
        <v>0.77422103734673819</v>
      </c>
      <c r="CV34" s="26">
        <f>-(CV11)/CV22</f>
        <v>0.1687397519306528</v>
      </c>
      <c r="CW34" s="26" t="s">
        <v>77</v>
      </c>
      <c r="CX34" s="226">
        <f>(CV34-CA34)*100</f>
        <v>2.2775991215426061</v>
      </c>
      <c r="CY34" s="26">
        <f>-(CY11)/CY22</f>
        <v>5.0196267219671159E-2</v>
      </c>
      <c r="CZ34" s="26" t="s">
        <v>77</v>
      </c>
      <c r="DA34" s="226">
        <f>(CY34-CD34)*100</f>
        <v>0.54365209432905848</v>
      </c>
      <c r="DB34" s="26">
        <f>-(DB11)/DB22</f>
        <v>0.22573507628499481</v>
      </c>
      <c r="DC34" s="26" t="s">
        <v>77</v>
      </c>
      <c r="DD34" s="226">
        <f>(DB34-CG34)*100</f>
        <v>3.1598141391381644</v>
      </c>
      <c r="DE34" s="26">
        <f>-(DE11)/DE22</f>
        <v>4.2238225371420433E-2</v>
      </c>
      <c r="DF34" s="26" t="s">
        <v>77</v>
      </c>
      <c r="DG34" s="226">
        <f>(DE34-CJ34)*100</f>
        <v>-0.94401997417803485</v>
      </c>
      <c r="DH34" s="26">
        <f>-(DH11)/DH22</f>
        <v>3.6388128671424068E-2</v>
      </c>
      <c r="DI34" s="26" t="s">
        <v>77</v>
      </c>
      <c r="DJ34" s="226">
        <f>(DH34-CM34)*100</f>
        <v>-2.4450736863935818</v>
      </c>
      <c r="DK34" s="26">
        <f>-(DK11)/DK22</f>
        <v>7.6843065537850308E-2</v>
      </c>
      <c r="DL34" s="26" t="s">
        <v>77</v>
      </c>
      <c r="DM34" s="226">
        <f>(DK34-CP34)*100</f>
        <v>-3.3151746462281069</v>
      </c>
      <c r="DN34" s="26">
        <f>-(DN11)/DN22</f>
        <v>4.4464275480379553E-2</v>
      </c>
      <c r="DO34" s="26" t="s">
        <v>77</v>
      </c>
      <c r="DP34" s="226">
        <f>(DN34-CS34)*100</f>
        <v>-1.3737189507040379</v>
      </c>
      <c r="DQ34" s="26">
        <f>-(DQ11)/DQ22</f>
        <v>0.11825483245048836</v>
      </c>
      <c r="DR34" s="26" t="s">
        <v>77</v>
      </c>
      <c r="DS34" s="226">
        <f>(DQ34-CV34)*100</f>
        <v>-5.0484919480164443</v>
      </c>
      <c r="DT34" s="26">
        <f>-(DT11)/DT22</f>
        <v>3.5717244007090435E-2</v>
      </c>
      <c r="DU34" s="26" t="s">
        <v>77</v>
      </c>
      <c r="DV34" s="226">
        <f>(DT34-CY34)*100</f>
        <v>-1.4479023212580724</v>
      </c>
      <c r="DW34" s="26">
        <f>-(DW11)/DW22</f>
        <v>0.15536007156701953</v>
      </c>
      <c r="DX34" s="26" t="s">
        <v>77</v>
      </c>
      <c r="DY34" s="226">
        <f>(DW34-DB34)*100</f>
        <v>-7.0375004717975278</v>
      </c>
      <c r="DZ34" s="26">
        <f>-(DZ11)/DZ22</f>
        <v>4.1460003515502601E-2</v>
      </c>
      <c r="EA34" s="26" t="s">
        <v>77</v>
      </c>
      <c r="EB34" s="226">
        <f>(DZ34-DE34)*100</f>
        <v>-7.7822185591783222E-2</v>
      </c>
      <c r="EC34" s="26">
        <f>-(EC11)/EC22</f>
        <v>3.8040464052635177E-2</v>
      </c>
      <c r="ED34" s="26" t="s">
        <v>77</v>
      </c>
      <c r="EE34" s="226">
        <f>(EC34-DH34)*100</f>
        <v>0.16523353812111091</v>
      </c>
      <c r="EF34" s="26">
        <f>-(EF11)/EF22</f>
        <v>7.9256664868601986E-2</v>
      </c>
      <c r="EG34" s="26" t="s">
        <v>77</v>
      </c>
      <c r="EH34" s="226">
        <f>(EF34-DK34)*100</f>
        <v>0.24135993307516784</v>
      </c>
      <c r="EI34" s="26">
        <f>-(EI11)/EI22</f>
        <v>4.1891078948299659E-2</v>
      </c>
      <c r="EJ34" s="26" t="s">
        <v>77</v>
      </c>
      <c r="EK34" s="226">
        <f>(EI34-DN34)*100</f>
        <v>-0.25731965320798939</v>
      </c>
      <c r="EL34" s="26">
        <f>-(EL11)/EL22</f>
        <v>0.11572242471425033</v>
      </c>
      <c r="EM34" s="26" t="s">
        <v>77</v>
      </c>
      <c r="EN34" s="226">
        <f>(EL34-DQ34)*100</f>
        <v>-0.25324077362380293</v>
      </c>
      <c r="EO34" s="26">
        <f>-(EO11)/EO22</f>
        <v>4.0000561608446589E-2</v>
      </c>
      <c r="EP34" s="26" t="s">
        <v>77</v>
      </c>
      <c r="EQ34" s="226">
        <f>(EO34-DT34)*100</f>
        <v>0.42833176013561541</v>
      </c>
      <c r="ER34" s="26">
        <f>-(ER11)/ER22</f>
        <v>0.15477788385937324</v>
      </c>
      <c r="ES34" s="26" t="s">
        <v>77</v>
      </c>
      <c r="ET34" s="226">
        <f>(ER34-DW34)*100</f>
        <v>-5.8218770764628669E-2</v>
      </c>
      <c r="EU34" s="26">
        <f>-(EU11)/EU22</f>
        <v>3.7450562432585134E-2</v>
      </c>
      <c r="EV34" s="26" t="s">
        <v>77</v>
      </c>
      <c r="EW34" s="226">
        <f>(EU34-DZ34)*100</f>
        <v>-0.4009441082917467</v>
      </c>
      <c r="EX34" s="26">
        <f>-(EX11)/EX22</f>
        <v>2.7878614585146323E-2</v>
      </c>
      <c r="EY34" s="26" t="s">
        <v>77</v>
      </c>
      <c r="EZ34" s="226">
        <f>(EX34-EC34)*100</f>
        <v>-1.0161849467488855</v>
      </c>
      <c r="FA34" s="26">
        <f>-(FA11)/FA22</f>
        <v>6.4136353464780332E-2</v>
      </c>
      <c r="FB34" s="26" t="s">
        <v>77</v>
      </c>
      <c r="FC34" s="226">
        <f>(FA34-EF34)*100</f>
        <v>-1.5120311403821654</v>
      </c>
      <c r="FD34" s="26">
        <f>-(FD11)/FD22</f>
        <v>4.2363098666430378E-2</v>
      </c>
      <c r="FE34" s="26" t="s">
        <v>77</v>
      </c>
      <c r="FF34" s="226">
        <f>(FD34-EI34)*100</f>
        <v>4.7201971813071869E-2</v>
      </c>
      <c r="FG34" s="26">
        <f>-(FG11)/FG22</f>
        <v>9.9505006424172607E-2</v>
      </c>
      <c r="FH34" s="26" t="s">
        <v>77</v>
      </c>
      <c r="FI34" s="226">
        <f>(FG34-EL34)*100</f>
        <v>-1.6217418290077723</v>
      </c>
      <c r="FJ34" s="26">
        <f>-(FJ11)/FJ22</f>
        <v>3.7627557213488469E-2</v>
      </c>
      <c r="FK34" s="26" t="s">
        <v>77</v>
      </c>
      <c r="FL34" s="226">
        <f>(FJ34-EO34)*100</f>
        <v>-0.23730043949581198</v>
      </c>
      <c r="FM34" s="26">
        <f>-(FM11)/FM22</f>
        <v>0.14401604642212154</v>
      </c>
      <c r="FN34" s="26" t="s">
        <v>77</v>
      </c>
      <c r="FO34" s="226">
        <f>(FM34-ER34)*100</f>
        <v>-1.0761837437251702</v>
      </c>
      <c r="FP34" s="26">
        <f>-(FP11)/FP22</f>
        <v>3.9361443597116769E-2</v>
      </c>
      <c r="FQ34" s="26" t="s">
        <v>77</v>
      </c>
      <c r="FR34" s="226">
        <f>(FP34-EU34)*100</f>
        <v>0.19108811645316345</v>
      </c>
      <c r="FS34" s="26">
        <f>-(FS11)/FS22</f>
        <v>5.2254504435840371E-2</v>
      </c>
      <c r="FT34" s="26" t="s">
        <v>77</v>
      </c>
      <c r="FU34" s="226">
        <f>(FS34-EX34)*100</f>
        <v>2.4375889850694046</v>
      </c>
      <c r="FV34" s="26">
        <f>-(FV11)/FV22</f>
        <v>8.8630529557025703E-2</v>
      </c>
      <c r="FW34" s="26" t="s">
        <v>77</v>
      </c>
      <c r="FX34" s="226">
        <f>(FV34-FA34)*100</f>
        <v>2.449417609224537</v>
      </c>
      <c r="FY34" s="26">
        <f>-(FY11)/FY22</f>
        <v>6.1031935787702073E-2</v>
      </c>
      <c r="FZ34" s="26" t="s">
        <v>77</v>
      </c>
      <c r="GA34" s="226">
        <f>(FY34-FD34)*100</f>
        <v>1.8668837121271695</v>
      </c>
      <c r="GB34" s="26">
        <f>-(GB11)/GB22</f>
        <v>0.15080881915457583</v>
      </c>
      <c r="GC34" s="26" t="s">
        <v>77</v>
      </c>
      <c r="GD34" s="226">
        <f>(GB34-FG34)*100</f>
        <v>5.1303812730403227</v>
      </c>
      <c r="GE34" s="26">
        <f>-(GE11)/GE22</f>
        <v>5.788123424850794E-2</v>
      </c>
      <c r="GF34" s="26" t="s">
        <v>77</v>
      </c>
      <c r="GG34" s="226">
        <f>(GE34-FJ34)*100</f>
        <v>2.0253677035019471</v>
      </c>
      <c r="GH34" s="26">
        <f>-(GH11)/GH22</f>
        <v>0.2212250176616519</v>
      </c>
      <c r="GI34" s="26" t="s">
        <v>77</v>
      </c>
      <c r="GJ34" s="226">
        <f>(GH34-FM34)*100</f>
        <v>7.7208971239530353</v>
      </c>
      <c r="GK34" s="26">
        <f>-(GK11)/GK22</f>
        <v>5.142037238893956E-2</v>
      </c>
      <c r="GL34" s="26" t="s">
        <v>77</v>
      </c>
      <c r="GM34" s="226">
        <f>(GK34-FP34)*100</f>
        <v>1.2058928791822792</v>
      </c>
      <c r="GN34" s="26">
        <f>-(GN11)/GN22</f>
        <v>6.1166144758578109E-2</v>
      </c>
      <c r="GO34" s="26" t="s">
        <v>77</v>
      </c>
      <c r="GP34" s="226">
        <f>(GN34-FS34)*100</f>
        <v>0.89116403227377372</v>
      </c>
      <c r="GQ34" s="26">
        <f>-(GQ11)/GQ22</f>
        <v>0.11259309523941954</v>
      </c>
      <c r="GR34" s="26" t="s">
        <v>77</v>
      </c>
      <c r="GS34" s="226">
        <f>(GQ34-FV34)*100</f>
        <v>2.3962565682393842</v>
      </c>
      <c r="GT34" s="26">
        <f>-(GT11)/GT22</f>
        <v>4.0265645566590881E-2</v>
      </c>
      <c r="GU34" s="26" t="s">
        <v>77</v>
      </c>
      <c r="GV34" s="226">
        <f>(GT34-FY34)*100</f>
        <v>-2.0766290221111192</v>
      </c>
      <c r="GW34" s="26">
        <f>-(GW11)/GW22</f>
        <v>0.16137968170396075</v>
      </c>
      <c r="GX34" s="26" t="s">
        <v>77</v>
      </c>
      <c r="GY34" s="226">
        <f>(GW34-GB34)*100</f>
        <v>1.0570862549384912</v>
      </c>
      <c r="GZ34" s="26">
        <f>-(GZ11)/GZ22</f>
        <v>3.7659275852294331E-2</v>
      </c>
      <c r="HA34" s="26" t="s">
        <v>77</v>
      </c>
      <c r="HB34" s="226">
        <f>(GZ34-GE34)*100</f>
        <v>-2.0221958396213608</v>
      </c>
      <c r="HC34" s="26">
        <f>-(HC11)/HC22</f>
        <v>0.22414424878490588</v>
      </c>
      <c r="HD34" s="26" t="s">
        <v>77</v>
      </c>
      <c r="HE34" s="226">
        <f>(HC34-GH34)*100</f>
        <v>0.29192311232539847</v>
      </c>
      <c r="HF34" s="26">
        <f>-(HF11)/HF22</f>
        <v>2.8855438795796648E-2</v>
      </c>
      <c r="HG34" s="26" t="s">
        <v>77</v>
      </c>
      <c r="HH34" s="226">
        <f>(HF34-GK34)*100</f>
        <v>-2.2564933593142911</v>
      </c>
      <c r="HI34" s="26">
        <f>-(HI11)/HI22</f>
        <v>3.9769038323363662E-2</v>
      </c>
      <c r="HJ34" s="26" t="s">
        <v>77</v>
      </c>
      <c r="HK34" s="226">
        <f>(HI34-GN34)*100</f>
        <v>-2.1397106435214446</v>
      </c>
      <c r="HL34" s="26">
        <f>-(HL11)/HL22</f>
        <v>7.4950007358224324E-2</v>
      </c>
      <c r="HM34" s="26" t="s">
        <v>77</v>
      </c>
      <c r="HN34" s="226">
        <f>(HL34-GQ34)*100</f>
        <v>-3.7643087881195219</v>
      </c>
      <c r="HO34" s="26">
        <f>-(HO11)/HO22</f>
        <v>-1.2738710402156819E-2</v>
      </c>
      <c r="HP34" s="26" t="s">
        <v>77</v>
      </c>
      <c r="HQ34" s="226">
        <f>(HO34-GT34)*100</f>
        <v>-5.3004355968747694</v>
      </c>
      <c r="HR34" s="26">
        <f>-(HR11)/HR22</f>
        <v>8.4520332509548421E-2</v>
      </c>
      <c r="HS34" s="26" t="s">
        <v>77</v>
      </c>
      <c r="HT34" s="226">
        <f>(HR34-GW34)*100</f>
        <v>-7.685934919441233</v>
      </c>
      <c r="HU34" s="26">
        <f>-(HU11)/HU22</f>
        <v>-1.9474413402847716E-3</v>
      </c>
      <c r="HV34" s="26" t="s">
        <v>77</v>
      </c>
      <c r="HW34" s="226">
        <f>(HU34-GZ34)*100</f>
        <v>-3.9606717192579106</v>
      </c>
      <c r="HX34" s="26">
        <f>-(HX11)/HX22</f>
        <v>0.10271362040473396</v>
      </c>
      <c r="HY34" s="26" t="s">
        <v>77</v>
      </c>
      <c r="HZ34" s="226">
        <f>(HX34-HC34)*100</f>
        <v>-12.143062838017192</v>
      </c>
      <c r="IA34" s="26">
        <f>-(IA11)/IA22</f>
        <v>-6.8666941545878395E-3</v>
      </c>
      <c r="IB34" s="26" t="s">
        <v>77</v>
      </c>
      <c r="IC34" s="226">
        <f>(IA34-HF34)*100</f>
        <v>-3.5722132950384489</v>
      </c>
      <c r="ID34" s="26">
        <f>-(ID11)/ID22</f>
        <v>1.5856400048049696E-2</v>
      </c>
      <c r="IE34" s="26" t="s">
        <v>77</v>
      </c>
      <c r="IF34" s="226">
        <f>(ID34-HI34)*100</f>
        <v>-2.3912638275313967</v>
      </c>
      <c r="IG34" s="26">
        <f>-(IG11)/IG22</f>
        <v>8.4258576012904776E-3</v>
      </c>
      <c r="IH34" s="26" t="s">
        <v>77</v>
      </c>
      <c r="II34" s="226">
        <f>(IG34-HL34)*100</f>
        <v>-6.652414975693385</v>
      </c>
      <c r="IJ34" s="26">
        <f>-(IJ11)/IJ22</f>
        <v>8.1864175276332943E-3</v>
      </c>
      <c r="IK34" s="26" t="s">
        <v>77</v>
      </c>
      <c r="IL34" s="226">
        <f t="shared" si="231"/>
        <v>2.0925127929790115</v>
      </c>
      <c r="IM34" s="26">
        <f>-(IM11)/IM22</f>
        <v>1.7054996387542258E-2</v>
      </c>
      <c r="IN34" s="26" t="s">
        <v>77</v>
      </c>
      <c r="IO34" s="226">
        <f t="shared" si="232"/>
        <v>-6.7465336122006168</v>
      </c>
      <c r="IP34" s="26">
        <v>-4.2059019121814291E-3</v>
      </c>
      <c r="IQ34" s="26" t="s">
        <v>77</v>
      </c>
      <c r="IR34" s="226">
        <f t="shared" si="233"/>
        <v>-0.22584605718966574</v>
      </c>
      <c r="IS34" s="26">
        <v>1.4372975810454155E-2</v>
      </c>
      <c r="IT34" s="26" t="s">
        <v>77</v>
      </c>
      <c r="IU34" s="226">
        <f t="shared" si="234"/>
        <v>-8.8340644594279798</v>
      </c>
      <c r="IV34" s="26"/>
      <c r="IW34" s="26"/>
      <c r="IX34" s="226"/>
      <c r="IY34" s="26"/>
      <c r="IZ34" s="26"/>
      <c r="JA34" s="226"/>
      <c r="JB34" s="26"/>
      <c r="JC34" s="26"/>
      <c r="JD34" s="226"/>
      <c r="JE34" s="26"/>
      <c r="JF34" s="26"/>
      <c r="JG34" s="226"/>
      <c r="JH34" s="26"/>
      <c r="JI34" s="26"/>
      <c r="JJ34" s="226"/>
      <c r="JK34" s="26"/>
      <c r="JL34" s="26"/>
      <c r="JM34" s="226"/>
      <c r="JN34" s="26"/>
      <c r="JO34" s="26"/>
      <c r="JP34" s="226"/>
      <c r="JQ34" s="26"/>
      <c r="JR34" s="26"/>
      <c r="JS34" s="226"/>
      <c r="JT34" s="26"/>
      <c r="JU34" s="26"/>
      <c r="JV34" s="226"/>
      <c r="JW34" s="26"/>
      <c r="JX34" s="26"/>
      <c r="JY34" s="226"/>
      <c r="JZ34" s="26"/>
      <c r="KA34" s="26"/>
      <c r="KB34" s="226"/>
      <c r="KC34" s="26"/>
      <c r="KD34" s="26"/>
      <c r="KE34" s="226"/>
      <c r="KF34" s="26"/>
      <c r="KG34" s="26"/>
      <c r="KH34" s="226"/>
      <c r="KI34" s="26"/>
      <c r="KJ34" s="26"/>
      <c r="KK34" s="226"/>
    </row>
    <row r="35" spans="2:297" ht="16.5" customHeight="1">
      <c r="B35" s="335" t="s">
        <v>94</v>
      </c>
      <c r="C35" s="335" t="s">
        <v>94</v>
      </c>
      <c r="D35" s="271" t="s">
        <v>77</v>
      </c>
      <c r="E35" s="271" t="s">
        <v>77</v>
      </c>
      <c r="F35" s="271" t="s">
        <v>77</v>
      </c>
      <c r="G35" s="271" t="s">
        <v>77</v>
      </c>
      <c r="H35" s="271" t="s">
        <v>77</v>
      </c>
      <c r="I35" s="271" t="s">
        <v>77</v>
      </c>
      <c r="J35" s="271" t="s">
        <v>77</v>
      </c>
      <c r="K35" s="271" t="s">
        <v>77</v>
      </c>
      <c r="L35" s="271" t="s">
        <v>77</v>
      </c>
      <c r="M35" s="271" t="s">
        <v>77</v>
      </c>
      <c r="N35" s="271" t="s">
        <v>77</v>
      </c>
      <c r="O35" s="271" t="s">
        <v>77</v>
      </c>
      <c r="P35" s="271" t="s">
        <v>77</v>
      </c>
      <c r="Q35" s="271" t="s">
        <v>77</v>
      </c>
      <c r="R35" s="271">
        <v>3.123896622579805E-2</v>
      </c>
      <c r="S35" s="271" t="s">
        <v>77</v>
      </c>
      <c r="T35" s="271">
        <v>4.9122655838253447E-2</v>
      </c>
      <c r="U35" s="271" t="s">
        <v>77</v>
      </c>
      <c r="V35" s="271" t="s">
        <v>77</v>
      </c>
      <c r="W35" s="271" t="s">
        <v>77</v>
      </c>
      <c r="X35" s="271">
        <v>4.4937317028344144E-2</v>
      </c>
      <c r="Y35" s="271" t="s">
        <v>77</v>
      </c>
      <c r="Z35" s="271" t="s">
        <v>77</v>
      </c>
      <c r="AA35" s="271" t="s">
        <v>77</v>
      </c>
      <c r="AB35" s="271">
        <v>4.9426506793952184E-2</v>
      </c>
      <c r="AC35" s="271" t="s">
        <v>77</v>
      </c>
      <c r="AD35" s="271">
        <v>0.15008887432597381</v>
      </c>
      <c r="AE35" s="271" t="s">
        <v>77</v>
      </c>
      <c r="AF35" s="271">
        <f>-(AF8)/AF23</f>
        <v>3.6130860849341799E-2</v>
      </c>
      <c r="AG35" s="271" t="s">
        <v>77</v>
      </c>
      <c r="AH35" s="271">
        <f>-(AH8)/AH23</f>
        <v>4.7847386791015578E-2</v>
      </c>
      <c r="AI35" s="271" t="s">
        <v>77</v>
      </c>
      <c r="AJ35" s="271">
        <f>-(AJ8)/AJ23</f>
        <v>8.3109660330146815E-2</v>
      </c>
      <c r="AK35" s="271" t="s">
        <v>77</v>
      </c>
      <c r="AL35" s="271">
        <f>-(AL8)/AL23</f>
        <v>4.5681084643573254E-2</v>
      </c>
      <c r="AM35" s="271" t="s">
        <v>77</v>
      </c>
      <c r="AN35" s="271">
        <f>-(AN8)/AN23</f>
        <v>0.13550697198797565</v>
      </c>
      <c r="AO35" s="271" t="s">
        <v>77</v>
      </c>
      <c r="AP35" s="271">
        <f>-(AP8)/AP23</f>
        <v>4.7994086687901241E-2</v>
      </c>
      <c r="AQ35" s="271" t="s">
        <v>77</v>
      </c>
      <c r="AR35" s="271">
        <f>-(AR8)/AR23</f>
        <v>0.16347705352847205</v>
      </c>
      <c r="AS35" s="271" t="s">
        <v>77</v>
      </c>
      <c r="AT35" s="271">
        <f>-(AT8)/AT23</f>
        <v>3.9066973298208782E-2</v>
      </c>
      <c r="AU35" s="271" t="s">
        <v>77</v>
      </c>
      <c r="AV35" s="336">
        <f>(AT35-AF35)*100</f>
        <v>0.29361124488669832</v>
      </c>
      <c r="AW35" s="271">
        <f>-(AW8)/AW23</f>
        <v>5.2799334690485297E-2</v>
      </c>
      <c r="AX35" s="271" t="s">
        <v>77</v>
      </c>
      <c r="AY35" s="336">
        <f>(AW35-AH35)*100</f>
        <v>0.49519478994697191</v>
      </c>
      <c r="AZ35" s="271">
        <f>-(AZ8)/AZ23</f>
        <v>8.9491040289972845E-2</v>
      </c>
      <c r="BA35" s="271" t="s">
        <v>77</v>
      </c>
      <c r="BB35" s="336">
        <f>(AZ35-AJ35)*100</f>
        <v>0.63813799598260301</v>
      </c>
      <c r="BC35" s="271">
        <f>-(BC8)/BC23</f>
        <v>5.0298731320283022E-2</v>
      </c>
      <c r="BD35" s="271" t="s">
        <v>77</v>
      </c>
      <c r="BE35" s="336">
        <f>(BC35-AL35)*100</f>
        <v>0.46176466767097679</v>
      </c>
      <c r="BF35" s="271">
        <f>-(BF8)/BF23</f>
        <v>0.14617285244986974</v>
      </c>
      <c r="BG35" s="271" t="s">
        <v>77</v>
      </c>
      <c r="BH35" s="336">
        <f>(BF35-AN35)*100</f>
        <v>1.0665880461894095</v>
      </c>
      <c r="BI35" s="271">
        <f>-(BI8)/BI23</f>
        <v>4.1219708281235674E-2</v>
      </c>
      <c r="BJ35" s="271" t="s">
        <v>77</v>
      </c>
      <c r="BK35" s="336">
        <f>(BI35-AP35)*100</f>
        <v>-0.67743784066655666</v>
      </c>
      <c r="BL35" s="271">
        <f>-(BL8)/BL23</f>
        <v>0.15636366342365285</v>
      </c>
      <c r="BM35" s="271" t="s">
        <v>77</v>
      </c>
      <c r="BN35" s="336">
        <f>(BL35-AR35)*100</f>
        <v>-0.71133901048192061</v>
      </c>
      <c r="BO35" s="271">
        <f>-(BO8)/BO23</f>
        <v>3.789341105478862E-2</v>
      </c>
      <c r="BP35" s="271" t="s">
        <v>77</v>
      </c>
      <c r="BQ35" s="336">
        <f>(BO35-AT35)*100</f>
        <v>-0.1173562243420162</v>
      </c>
      <c r="BR35" s="271">
        <f>-(BR8)/BR23</f>
        <v>4.3146495596187988E-2</v>
      </c>
      <c r="BS35" s="271" t="s">
        <v>77</v>
      </c>
      <c r="BT35" s="336">
        <f>(BR35-AW35)*100</f>
        <v>-0.96528390942973097</v>
      </c>
      <c r="BU35" s="271">
        <f>-(BU8)/BU23</f>
        <v>7.8764366440127132E-2</v>
      </c>
      <c r="BV35" s="271" t="s">
        <v>77</v>
      </c>
      <c r="BW35" s="336">
        <f>(BU35-AZ35)*100</f>
        <v>-1.0726673849845714</v>
      </c>
      <c r="BX35" s="271">
        <f>-(BX8)/BX23</f>
        <v>2.9856439614648941E-2</v>
      </c>
      <c r="BY35" s="271" t="s">
        <v>77</v>
      </c>
      <c r="BZ35" s="336">
        <f>(BX35-BC35)*100</f>
        <v>-2.0442291705634079</v>
      </c>
      <c r="CA35" s="271">
        <f>-(CA8)/CA23</f>
        <v>0.11286650972994836</v>
      </c>
      <c r="CB35" s="271" t="s">
        <v>77</v>
      </c>
      <c r="CC35" s="336">
        <f>(CA35-BF35)*100</f>
        <v>-3.3306342719921389</v>
      </c>
      <c r="CD35" s="271">
        <f>-(CD8)/CD23</f>
        <v>2.1654563070990888E-2</v>
      </c>
      <c r="CE35" s="271" t="s">
        <v>77</v>
      </c>
      <c r="CF35" s="336">
        <f>(CD35-BI35)*100</f>
        <v>-1.9565145210244785</v>
      </c>
      <c r="CG35" s="271">
        <f>-(CG8)/CG23</f>
        <v>0.11060611898790793</v>
      </c>
      <c r="CH35" s="271" t="s">
        <v>77</v>
      </c>
      <c r="CI35" s="336">
        <f>(CG35-BL35)*100</f>
        <v>-4.5757544435744926</v>
      </c>
      <c r="CJ35" s="271">
        <f>-(CJ8)/CJ23</f>
        <v>2.6110787744881458E-2</v>
      </c>
      <c r="CK35" s="271" t="s">
        <v>77</v>
      </c>
      <c r="CL35" s="336">
        <f>(CJ35-BO35)*100</f>
        <v>-1.1782623309907161</v>
      </c>
      <c r="CM35" s="271">
        <f>-(CM8)/CM23</f>
        <v>3.7261919399410717E-2</v>
      </c>
      <c r="CN35" s="271" t="s">
        <v>77</v>
      </c>
      <c r="CO35" s="336">
        <f>(CM35-BR35)*100</f>
        <v>-0.58845761967772703</v>
      </c>
      <c r="CP35" s="271">
        <f>-(CP8)/CP23</f>
        <v>6.1492601273949732E-2</v>
      </c>
      <c r="CQ35" s="271" t="s">
        <v>77</v>
      </c>
      <c r="CR35" s="336">
        <f>(CP35-BU35)*100</f>
        <v>-1.72717651661774</v>
      </c>
      <c r="CS35" s="271">
        <f>-(CS8)/CS23</f>
        <v>3.3906044546374262E-2</v>
      </c>
      <c r="CT35" s="271" t="s">
        <v>77</v>
      </c>
      <c r="CU35" s="336">
        <f>(CS35-BX35)*100</f>
        <v>0.40496049317253202</v>
      </c>
      <c r="CV35" s="271">
        <f>-(CV8)/CV23</f>
        <v>0.1002831337222979</v>
      </c>
      <c r="CW35" s="271" t="s">
        <v>77</v>
      </c>
      <c r="CX35" s="336">
        <f>(CV35-CA35)*100</f>
        <v>-1.2583376007650457</v>
      </c>
      <c r="CY35" s="271">
        <f>-(CY8)/CY23</f>
        <v>3.9986323965535538E-2</v>
      </c>
      <c r="CZ35" s="271" t="s">
        <v>77</v>
      </c>
      <c r="DA35" s="336">
        <f>(CY35-CD35)*100</f>
        <v>1.8331760894544649</v>
      </c>
      <c r="DB35" s="271">
        <f>-(DB8)/DB23</f>
        <v>0.11728378521766437</v>
      </c>
      <c r="DC35" s="271" t="s">
        <v>77</v>
      </c>
      <c r="DD35" s="336">
        <f>(DB35-CG35)*100</f>
        <v>0.66776662297564493</v>
      </c>
      <c r="DE35" s="271">
        <f>-(DE8)/DE23</f>
        <v>2.4487152325898126E-2</v>
      </c>
      <c r="DF35" s="271" t="s">
        <v>77</v>
      </c>
      <c r="DG35" s="336">
        <f>(DE35-CJ35)*100</f>
        <v>-0.16236354189833324</v>
      </c>
      <c r="DH35" s="271">
        <f>-(DH8)/DH23</f>
        <v>3.7090714438813871E-2</v>
      </c>
      <c r="DI35" s="271" t="s">
        <v>77</v>
      </c>
      <c r="DJ35" s="336">
        <f>(DH35-CM35)*100</f>
        <v>-1.7120496059684631E-2</v>
      </c>
      <c r="DK35" s="271">
        <f>-(DK8)/DK23</f>
        <v>5.9554151798951849E-2</v>
      </c>
      <c r="DL35" s="271" t="s">
        <v>77</v>
      </c>
      <c r="DM35" s="336">
        <f>(DK35-CP35)*100</f>
        <v>-0.19384494749978831</v>
      </c>
      <c r="DN35" s="271">
        <f>-(DN8)/DN23</f>
        <v>3.2221377139304903E-2</v>
      </c>
      <c r="DO35" s="271" t="s">
        <v>77</v>
      </c>
      <c r="DP35" s="336">
        <f>(DN35-CS35)*100</f>
        <v>-0.16846674070693582</v>
      </c>
      <c r="DQ35" s="271">
        <f>-(DQ8)/DQ23</f>
        <v>9.1766188949051447E-2</v>
      </c>
      <c r="DR35" s="271" t="s">
        <v>77</v>
      </c>
      <c r="DS35" s="336">
        <f>(DQ35-CV35)*100</f>
        <v>-0.85169447732464509</v>
      </c>
      <c r="DT35" s="271">
        <f>-(DT8)/DT23</f>
        <v>3.7971397328191228E-2</v>
      </c>
      <c r="DU35" s="271" t="s">
        <v>77</v>
      </c>
      <c r="DV35" s="336">
        <f>(DT35-CY35)*100</f>
        <v>-0.20149266373443095</v>
      </c>
      <c r="DW35" s="271">
        <f>-(DW8)/DW23</f>
        <v>0.11021233038961765</v>
      </c>
      <c r="DX35" s="271" t="s">
        <v>77</v>
      </c>
      <c r="DY35" s="336">
        <f>(DW35-DB35)*100</f>
        <v>-0.70714548280467193</v>
      </c>
      <c r="DZ35" s="271">
        <f>-(DZ8)/DZ23</f>
        <v>2.8083621833149917E-2</v>
      </c>
      <c r="EA35" s="271" t="s">
        <v>77</v>
      </c>
      <c r="EB35" s="336">
        <f>(DZ35-DE35)*100</f>
        <v>0.35964695072517905</v>
      </c>
      <c r="EC35" s="271">
        <f>-(EC8)/EC23</f>
        <v>3.5389741620399338E-2</v>
      </c>
      <c r="ED35" s="271" t="s">
        <v>77</v>
      </c>
      <c r="EE35" s="336">
        <f>(EC35-DH35)*100</f>
        <v>-0.17009728184145326</v>
      </c>
      <c r="EF35" s="271">
        <f>-(EF8)/EF23</f>
        <v>6.2852638435798747E-2</v>
      </c>
      <c r="EG35" s="271" t="s">
        <v>77</v>
      </c>
      <c r="EH35" s="336">
        <f>(EF35-DK35)*100</f>
        <v>0.32984866368468979</v>
      </c>
      <c r="EI35" s="271">
        <f>-(EI8)/EI23</f>
        <v>3.1148463146030324E-2</v>
      </c>
      <c r="EJ35" s="271" t="s">
        <v>77</v>
      </c>
      <c r="EK35" s="336">
        <f>(EI35-DN35)*100</f>
        <v>-0.10729139932745789</v>
      </c>
      <c r="EL35" s="271">
        <f>-(EL8)/EL23</f>
        <v>9.3200829558339568E-2</v>
      </c>
      <c r="EM35" s="271" t="s">
        <v>77</v>
      </c>
      <c r="EN35" s="336">
        <f>(EL35-DQ35)*100</f>
        <v>0.14346406092881209</v>
      </c>
      <c r="EO35" s="271">
        <f>-(EO8)/EO23</f>
        <v>3.1462332951422596E-2</v>
      </c>
      <c r="EP35" s="271" t="s">
        <v>77</v>
      </c>
      <c r="EQ35" s="336">
        <f>(EO35-DT35)*100</f>
        <v>-0.65090643767686318</v>
      </c>
      <c r="ER35" s="271">
        <f>-(ER8)/ER23</f>
        <v>0.10328789446483776</v>
      </c>
      <c r="ES35" s="271" t="s">
        <v>77</v>
      </c>
      <c r="ET35" s="336">
        <f>(ER35-DW35)*100</f>
        <v>-0.69244359247798981</v>
      </c>
      <c r="EU35" s="271">
        <f>-(EU8)/EU23</f>
        <v>2.3061359607429673E-2</v>
      </c>
      <c r="EV35" s="271" t="s">
        <v>77</v>
      </c>
      <c r="EW35" s="336">
        <f>(EU35-DZ35)*100</f>
        <v>-0.50222622257202443</v>
      </c>
      <c r="EX35" s="271">
        <f>-(EX8)/EX23</f>
        <v>4.0396648549979854E-2</v>
      </c>
      <c r="EY35" s="271" t="s">
        <v>77</v>
      </c>
      <c r="EZ35" s="336">
        <f>(EX35-EC35)*100</f>
        <v>0.50069069295805146</v>
      </c>
      <c r="FA35" s="271">
        <f>-(FA8)/FA23</f>
        <v>6.2201853926831106E-2</v>
      </c>
      <c r="FB35" s="271" t="s">
        <v>77</v>
      </c>
      <c r="FC35" s="336">
        <f>(FA35-EF35)*100</f>
        <v>-6.5078450896764034E-2</v>
      </c>
      <c r="FD35" s="271">
        <f>-(FD8)/FD23</f>
        <v>3.8590724553549831E-2</v>
      </c>
      <c r="FE35" s="271" t="s">
        <v>77</v>
      </c>
      <c r="FF35" s="336">
        <f>(FD35-EI35)*100</f>
        <v>0.74422614075195059</v>
      </c>
      <c r="FG35" s="271">
        <f>-(FG8)/FG23</f>
        <v>0.10052194945875244</v>
      </c>
      <c r="FH35" s="271" t="s">
        <v>77</v>
      </c>
      <c r="FI35" s="336">
        <f>(FG35-EL35)*100</f>
        <v>0.73211199004128702</v>
      </c>
      <c r="FJ35" s="271">
        <f>-(FJ8)/FJ23</f>
        <v>3.1183505217258239E-2</v>
      </c>
      <c r="FK35" s="271" t="s">
        <v>77</v>
      </c>
      <c r="FL35" s="336">
        <f>(FJ35-EO35)*100</f>
        <v>-2.7882773416435663E-2</v>
      </c>
      <c r="FM35" s="271">
        <f>-(FM8)/FM23</f>
        <v>0.11006836810142728</v>
      </c>
      <c r="FN35" s="271" t="s">
        <v>77</v>
      </c>
      <c r="FO35" s="336">
        <f>(FM35-ER35)*100</f>
        <v>0.67804736365895257</v>
      </c>
      <c r="FP35" s="271">
        <f>-(FP8)/FP23</f>
        <v>2.9511731012317226E-2</v>
      </c>
      <c r="FQ35" s="271" t="s">
        <v>77</v>
      </c>
      <c r="FR35" s="336">
        <f>(FP35-EU35)*100</f>
        <v>0.64503714048875538</v>
      </c>
      <c r="FS35" s="271">
        <f>-(FS8)/FS23</f>
        <v>4.5099313802267824E-2</v>
      </c>
      <c r="FT35" s="271" t="s">
        <v>77</v>
      </c>
      <c r="FU35" s="336">
        <f>(FS35-EX35)*100</f>
        <v>0.47026652522879697</v>
      </c>
      <c r="FV35" s="271">
        <f>-(FV8)/FV23</f>
        <v>7.2922431957637132E-2</v>
      </c>
      <c r="FW35" s="271" t="s">
        <v>77</v>
      </c>
      <c r="FX35" s="336">
        <f>(FV35-FA35)*100</f>
        <v>1.0720578030806025</v>
      </c>
      <c r="FY35" s="271">
        <f>-(FY8)/FY23</f>
        <v>4.7893349708461222E-2</v>
      </c>
      <c r="FZ35" s="271" t="s">
        <v>77</v>
      </c>
      <c r="GA35" s="336">
        <f>(FY35-FD35)*100</f>
        <v>0.93026251549113914</v>
      </c>
      <c r="GB35" s="271">
        <f>-(GB8)/GB23</f>
        <v>0.12313026498333615</v>
      </c>
      <c r="GC35" s="271" t="s">
        <v>77</v>
      </c>
      <c r="GD35" s="336">
        <f>(GB35-FG35)*100</f>
        <v>2.2608315524583715</v>
      </c>
      <c r="GE35" s="271">
        <f>-(GE8)/GE23</f>
        <v>4.4596877127356542E-2</v>
      </c>
      <c r="GF35" s="271" t="s">
        <v>77</v>
      </c>
      <c r="GG35" s="336">
        <f>(GE35-FJ35)*100</f>
        <v>1.3413371910098302</v>
      </c>
      <c r="GH35" s="271">
        <f>-(GH8)/GH23</f>
        <v>0.14757219601096838</v>
      </c>
      <c r="GI35" s="271" t="s">
        <v>77</v>
      </c>
      <c r="GJ35" s="336">
        <f>(GH35-FM35)*100</f>
        <v>3.7503827909541099</v>
      </c>
      <c r="GK35" s="271">
        <f>-(GK8)/GK23</f>
        <v>3.0513290007303438E-2</v>
      </c>
      <c r="GL35" s="271" t="s">
        <v>77</v>
      </c>
      <c r="GM35" s="336">
        <f>(GK35-FP35)*100</f>
        <v>0.10015589949862111</v>
      </c>
      <c r="GN35" s="271">
        <f>-(GN8)/GN23</f>
        <v>4.5049510704074751E-2</v>
      </c>
      <c r="GO35" s="271" t="s">
        <v>77</v>
      </c>
      <c r="GP35" s="336">
        <f>(GN35-FS35)*100</f>
        <v>-4.980309819307277E-3</v>
      </c>
      <c r="GQ35" s="271">
        <f>-(GQ8)/GQ23</f>
        <v>7.4207944957113969E-2</v>
      </c>
      <c r="GR35" s="271" t="s">
        <v>77</v>
      </c>
      <c r="GS35" s="336">
        <f>(GQ35-FV35)*100</f>
        <v>0.12855129994768372</v>
      </c>
      <c r="GT35" s="271">
        <f>-(GT8)/GT23</f>
        <v>4.2458799625094946E-2</v>
      </c>
      <c r="GU35" s="271" t="s">
        <v>77</v>
      </c>
      <c r="GV35" s="336">
        <f>(GT35-FY35)*100</f>
        <v>-0.54345500833662752</v>
      </c>
      <c r="GW35" s="271">
        <f>-(GW8)/GW23</f>
        <v>0.12125303191197259</v>
      </c>
      <c r="GX35" s="271" t="s">
        <v>77</v>
      </c>
      <c r="GY35" s="336">
        <f>(GW35-GB35)*100</f>
        <v>-0.18772330713635599</v>
      </c>
      <c r="GZ35" s="271">
        <f>-(GZ8)/GZ23</f>
        <v>3.4022022231463896E-2</v>
      </c>
      <c r="HA35" s="271" t="s">
        <v>77</v>
      </c>
      <c r="HB35" s="336">
        <f>(GZ35-GE35)*100</f>
        <v>-1.0574854895892647</v>
      </c>
      <c r="HC35" s="271">
        <f>-(HC8)/HC23</f>
        <v>0.13579599216310601</v>
      </c>
      <c r="HD35" s="271" t="s">
        <v>77</v>
      </c>
      <c r="HE35" s="336">
        <f>(HC35-GH35)*100</f>
        <v>-1.1776203847862377</v>
      </c>
      <c r="HF35" s="271">
        <f>ROUND(-(HF8)/HF23,3)</f>
        <v>2.7E-2</v>
      </c>
      <c r="HG35" s="271" t="s">
        <v>77</v>
      </c>
      <c r="HH35" s="336">
        <f>(HF35-GK35)*100</f>
        <v>-0.35132900073034379</v>
      </c>
      <c r="HI35" s="271">
        <f>-(HI8)/HI23</f>
        <v>3.06146480531755E-2</v>
      </c>
      <c r="HJ35" s="271" t="s">
        <v>77</v>
      </c>
      <c r="HK35" s="336">
        <f>(HI35-GN35)*100</f>
        <v>-1.4434862650899252</v>
      </c>
      <c r="HL35" s="271">
        <f>ROUND(-(HL8)/HL23,3)</f>
        <v>5.5E-2</v>
      </c>
      <c r="HM35" s="271" t="s">
        <v>77</v>
      </c>
      <c r="HN35" s="336">
        <f>(HL35-GQ35)*100</f>
        <v>-1.9207944957113969</v>
      </c>
      <c r="HO35" s="271">
        <f>-(HO8)/HO23</f>
        <v>3.797283047012031E-2</v>
      </c>
      <c r="HP35" s="271" t="s">
        <v>77</v>
      </c>
      <c r="HQ35" s="336">
        <f>(HO35-GT35)*100</f>
        <v>-0.44859691549746367</v>
      </c>
      <c r="HR35" s="271">
        <f>ROUND(-(HR8)/HR23,3)</f>
        <v>9.4E-2</v>
      </c>
      <c r="HS35" s="271" t="s">
        <v>77</v>
      </c>
      <c r="HT35" s="336">
        <f>(HR35-GW35)*100</f>
        <v>-2.7253031911972592</v>
      </c>
      <c r="HU35" s="271">
        <f>-(HU8)/HU23</f>
        <v>3.4010214706366039E-2</v>
      </c>
      <c r="HV35" s="271" t="s">
        <v>77</v>
      </c>
      <c r="HW35" s="336">
        <f>(HU35-GZ35)*100</f>
        <v>-1.1807525097856653E-3</v>
      </c>
      <c r="HX35" s="271">
        <f>ROUND(-(HX8)/HX23,3)</f>
        <v>0.11</v>
      </c>
      <c r="HY35" s="271" t="s">
        <v>77</v>
      </c>
      <c r="HZ35" s="336">
        <f>(HX35-HC35)*100</f>
        <v>-2.5795992163106005</v>
      </c>
      <c r="IA35" s="271">
        <f>ROUND(-(IA8)/IA23,3)</f>
        <v>2.7E-2</v>
      </c>
      <c r="IB35" s="271" t="s">
        <v>77</v>
      </c>
      <c r="IC35" s="336">
        <f>(IA35-HF35)*100</f>
        <v>0</v>
      </c>
      <c r="ID35" s="271">
        <f>ROUND(-(ID8)/ID23,3)</f>
        <v>3.5999999999999997E-2</v>
      </c>
      <c r="IE35" s="271" t="s">
        <v>77</v>
      </c>
      <c r="IF35" s="336">
        <f>(ID35-HI35)*100</f>
        <v>0.5385351946824497</v>
      </c>
      <c r="IG35" s="271">
        <f>ROUND(-(IG8)/IG23,3)</f>
        <v>6.0999999999999999E-2</v>
      </c>
      <c r="IH35" s="271" t="s">
        <v>77</v>
      </c>
      <c r="II35" s="336">
        <f>(IG35-HL35)*100</f>
        <v>0.59999999999999987</v>
      </c>
      <c r="IJ35" s="271">
        <f>ROUND(-(IJ8)/IJ23,3)</f>
        <v>3.1E-2</v>
      </c>
      <c r="IK35" s="271" t="s">
        <v>77</v>
      </c>
      <c r="IL35" s="336">
        <f t="shared" si="231"/>
        <v>-0.69728304701203103</v>
      </c>
      <c r="IM35" s="271">
        <f>ROUND(-(IM8)/IM23,3)</f>
        <v>9.1999999999999998E-2</v>
      </c>
      <c r="IN35" s="271" t="s">
        <v>77</v>
      </c>
      <c r="IO35" s="336">
        <f t="shared" si="232"/>
        <v>-0.20000000000000018</v>
      </c>
      <c r="IP35" s="271">
        <v>2.7235583845697974E-2</v>
      </c>
      <c r="IQ35" s="271" t="s">
        <v>77</v>
      </c>
      <c r="IR35" s="336">
        <f t="shared" si="233"/>
        <v>-0.6774630860668065</v>
      </c>
      <c r="IS35" s="271">
        <v>0.10075414037612948</v>
      </c>
      <c r="IT35" s="271" t="s">
        <v>77</v>
      </c>
      <c r="IU35" s="336">
        <f t="shared" si="234"/>
        <v>-0.92458596238705204</v>
      </c>
      <c r="IV35" s="271">
        <v>2.7958070570714338E-2</v>
      </c>
      <c r="IW35" s="271" t="s">
        <v>77</v>
      </c>
      <c r="IX35" s="336">
        <f t="shared" si="235"/>
        <v>9.5807057071433874E-2</v>
      </c>
      <c r="IY35" s="271">
        <f>ROUND(-(IY8)/IY23,3)</f>
        <v>3.5999999999999997E-2</v>
      </c>
      <c r="IZ35" s="271" t="s">
        <v>77</v>
      </c>
      <c r="JA35" s="336">
        <f>(IY35-ID35)*100</f>
        <v>0</v>
      </c>
      <c r="JB35" s="271">
        <f>ROUND(-(JB8)/JB23,3)</f>
        <v>6.3E-2</v>
      </c>
      <c r="JC35" s="271" t="s">
        <v>77</v>
      </c>
      <c r="JD35" s="336">
        <f>(JB35-IG35)*100</f>
        <v>0.20000000000000018</v>
      </c>
      <c r="JE35" s="271">
        <f>ROUND(-(JE8)/JE23,3)</f>
        <v>3.5999999999999997E-2</v>
      </c>
      <c r="JF35" s="271" t="s">
        <v>77</v>
      </c>
      <c r="JG35" s="336">
        <f t="shared" si="236"/>
        <v>0.49999999999999978</v>
      </c>
      <c r="JH35" s="271">
        <f>ROUND(-(JH8)/JH23,3)</f>
        <v>9.6000000000000002E-2</v>
      </c>
      <c r="JI35" s="271" t="s">
        <v>77</v>
      </c>
      <c r="JJ35" s="336">
        <f t="shared" si="237"/>
        <v>0.40000000000000036</v>
      </c>
      <c r="JK35" s="271">
        <f>ROUND(-(JK8)/JK23,3)</f>
        <v>3.2000000000000001E-2</v>
      </c>
      <c r="JL35" s="271" t="s">
        <v>77</v>
      </c>
      <c r="JM35" s="336">
        <f t="shared" si="238"/>
        <v>0.47644161543020264</v>
      </c>
      <c r="JN35" s="271">
        <f>ROUND(-(JN8)/JN23,3)</f>
        <v>0.111</v>
      </c>
      <c r="JO35" s="271" t="s">
        <v>77</v>
      </c>
      <c r="JP35" s="336">
        <f t="shared" si="239"/>
        <v>1.0245859623870521</v>
      </c>
      <c r="JQ35" s="271">
        <f>ROUND(-(JQ8)/JQ23,3)</f>
        <v>6.2E-2</v>
      </c>
      <c r="JR35" s="271" t="s">
        <v>77</v>
      </c>
      <c r="JS35" s="336">
        <f t="shared" si="240"/>
        <v>3.404192942928566</v>
      </c>
      <c r="JT35" s="271">
        <f>ROUND(-(JT8)/JT23,3)</f>
        <v>5.0999999999999997E-2</v>
      </c>
      <c r="JU35" s="271" t="s">
        <v>77</v>
      </c>
      <c r="JV35" s="336">
        <f t="shared" ref="JV35" si="242">(JT35-IY35)*100</f>
        <v>1.5</v>
      </c>
      <c r="JW35" s="271">
        <f>ROUND(-(JW8)/JW23,3)</f>
        <v>0.126</v>
      </c>
      <c r="JX35" s="271" t="s">
        <v>77</v>
      </c>
      <c r="JY35" s="336">
        <f>(JW35-JB35)*100</f>
        <v>6.3</v>
      </c>
      <c r="JZ35" s="271">
        <f>ROUND(-(JZ8)/JZ23,3)</f>
        <v>3.2000000000000001E-2</v>
      </c>
      <c r="KA35" s="271" t="s">
        <v>77</v>
      </c>
      <c r="KB35" s="336">
        <f>(JZ35-JE35)*100</f>
        <v>-0.39999999999999969</v>
      </c>
      <c r="KC35" s="271">
        <f>ROUND(-(KC8)/KC23,3)</f>
        <v>0.14899999999999999</v>
      </c>
      <c r="KD35" s="271" t="s">
        <v>77</v>
      </c>
      <c r="KE35" s="336">
        <f>(KC35-JH35)*100</f>
        <v>5.2999999999999989</v>
      </c>
      <c r="KF35" s="271">
        <f>ROUND(-(KF8)/KF23,3)</f>
        <v>-3.0000000000000001E-3</v>
      </c>
      <c r="KG35" s="271" t="s">
        <v>77</v>
      </c>
      <c r="KH35" s="336">
        <f>(KF35-JK35)*100</f>
        <v>-3.5000000000000004</v>
      </c>
      <c r="KI35" s="271">
        <f>ROUND(-(KI8)/KI23,3)</f>
        <v>0.11700000000000001</v>
      </c>
      <c r="KJ35" s="271" t="s">
        <v>77</v>
      </c>
      <c r="KK35" s="336">
        <f>(KI35-JN35)*100</f>
        <v>0.60000000000000053</v>
      </c>
    </row>
  </sheetData>
  <mergeCells count="1">
    <mergeCell ref="B1:C1"/>
  </mergeCells>
  <hyperlinks>
    <hyperlink ref="B1:C1" location="'Capa | Cover'!A1" display="CAPA/COVER" xr:uid="{00000000-0004-0000-0300-000000000000}"/>
  </hyperlinks>
  <printOptions horizontalCentered="1"/>
  <pageMargins left="0.25" right="0.25" top="0.75" bottom="0.75" header="0.3" footer="0.3"/>
  <pageSetup paperSize="9" scale="56" orientation="landscape" r:id="rId1"/>
  <headerFooter alignWithMargins="0">
    <oddHeader>&amp;L&amp;G</oddHeader>
    <oddFooter>&amp;L&amp;"Calibri"&amp;11&amp;K000000&amp;"Calibri"&amp;11&amp;K000000&amp;"Calibri"&amp;11 Investor Relations Lojas Renner  S.A._x000D_&amp;1#&amp;"Calibri"&amp;10&amp;K317100Classificação: Público</oddFooter>
  </headerFooter>
  <ignoredErrors>
    <ignoredError sqref="HX8:HZ8 HW33 HQ33 HK33" formula="1"/>
    <ignoredError sqref="HI8 HI23 HU23 IA23 EU8:EX8 IG8:IJ8 IB8:ID8 IP8" formulaRange="1"/>
    <ignoredError sqref="IA8" formula="1"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ilha5">
    <tabColor theme="0" tint="-0.14999847407452621"/>
    <pageSetUpPr fitToPage="1"/>
  </sheetPr>
  <dimension ref="B1:GM54"/>
  <sheetViews>
    <sheetView showGridLines="0" zoomScale="115" zoomScaleNormal="115" workbookViewId="0">
      <pane xSplit="3" ySplit="3" topLeftCell="GF25" activePane="bottomRight" state="frozen"/>
      <selection activeCell="JZ13" sqref="JZ13"/>
      <selection pane="topRight" activeCell="JZ13" sqref="JZ13"/>
      <selection pane="bottomLeft" activeCell="JZ13" sqref="JZ13"/>
      <selection pane="bottomRight" activeCell="GP32" sqref="GP32"/>
    </sheetView>
  </sheetViews>
  <sheetFormatPr defaultRowHeight="16.5" customHeight="1" outlineLevelRow="1" outlineLevelCol="1"/>
  <cols>
    <col min="1" max="1" width="1.42578125" style="20" customWidth="1"/>
    <col min="2" max="2" width="56.85546875" style="17" customWidth="1"/>
    <col min="3" max="3" width="77.42578125" style="17" hidden="1" customWidth="1"/>
    <col min="4" max="4" width="8" style="17" hidden="1" customWidth="1" outlineLevel="1"/>
    <col min="5" max="5" width="7.7109375" style="17" hidden="1" customWidth="1" outlineLevel="1"/>
    <col min="6" max="6" width="4.42578125" style="17" hidden="1" customWidth="1" outlineLevel="1"/>
    <col min="7" max="7" width="8" style="17" hidden="1" customWidth="1" outlineLevel="1"/>
    <col min="8" max="8" width="7.7109375" style="17" hidden="1" customWidth="1" outlineLevel="1"/>
    <col min="9" max="9" width="4.42578125" style="17" hidden="1" customWidth="1" outlineLevel="1"/>
    <col min="10" max="10" width="8" style="17" hidden="1" customWidth="1" outlineLevel="1"/>
    <col min="11" max="11" width="7.7109375" style="17" hidden="1" customWidth="1" outlineLevel="1"/>
    <col min="12" max="12" width="4.42578125" style="17" hidden="1" customWidth="1" outlineLevel="1"/>
    <col min="13" max="13" width="8" style="17" customWidth="1" collapsed="1"/>
    <col min="14" max="14" width="7.7109375" style="17" customWidth="1" outlineLevel="1"/>
    <col min="15" max="15" width="4.42578125" style="17" customWidth="1" outlineLevel="1"/>
    <col min="16" max="16" width="8" style="17" customWidth="1" outlineLevel="1"/>
    <col min="17" max="17" width="7.7109375" style="17" customWidth="1" outlineLevel="1"/>
    <col min="18" max="18" width="6.7109375" style="17" customWidth="1" outlineLevel="1"/>
    <col min="19" max="19" width="8" style="17" customWidth="1" outlineLevel="1"/>
    <col min="20" max="20" width="7.7109375" style="17" customWidth="1" outlineLevel="1"/>
    <col min="21" max="21" width="6.7109375" style="17" customWidth="1" outlineLevel="1"/>
    <col min="22" max="22" width="8" style="17" customWidth="1" outlineLevel="1"/>
    <col min="23" max="24" width="7.7109375" style="17" customWidth="1" outlineLevel="1"/>
    <col min="25" max="25" width="8" style="17" customWidth="1"/>
    <col min="26" max="27" width="7.7109375" style="17" customWidth="1" outlineLevel="1"/>
    <col min="28" max="28" width="8" style="18" customWidth="1" outlineLevel="1"/>
    <col min="29" max="30" width="7.7109375" style="19" customWidth="1" outlineLevel="1"/>
    <col min="31" max="31" width="8" style="18" customWidth="1" outlineLevel="1"/>
    <col min="32" max="33" width="7.7109375" style="19" customWidth="1" outlineLevel="1"/>
    <col min="34" max="34" width="8" style="18" customWidth="1" outlineLevel="1"/>
    <col min="35" max="35" width="7.7109375" style="19" customWidth="1" outlineLevel="1"/>
    <col min="36" max="36" width="6.7109375" style="19" customWidth="1" outlineLevel="1"/>
    <col min="37" max="37" width="8" style="18" customWidth="1"/>
    <col min="38" max="38" width="7.7109375" style="19" customWidth="1" outlineLevel="1"/>
    <col min="39" max="39" width="6.7109375" style="19" customWidth="1" outlineLevel="1"/>
    <col min="40" max="40" width="8" style="18" customWidth="1" outlineLevel="1"/>
    <col min="41" max="41" width="7.7109375" style="19" customWidth="1" outlineLevel="1"/>
    <col min="42" max="42" width="6.7109375" style="19" customWidth="1" outlineLevel="1"/>
    <col min="43" max="43" width="8" style="18" customWidth="1" outlineLevel="1"/>
    <col min="44" max="44" width="7.7109375" style="19" customWidth="1" outlineLevel="1"/>
    <col min="45" max="45" width="6.7109375" style="19" customWidth="1" outlineLevel="1"/>
    <col min="46" max="46" width="8" style="18" customWidth="1" outlineLevel="1"/>
    <col min="47" max="47" width="7.7109375" style="19" customWidth="1" outlineLevel="1"/>
    <col min="48" max="48" width="6.7109375" style="19" customWidth="1" outlineLevel="1"/>
    <col min="49" max="49" width="8" style="18" customWidth="1"/>
    <col min="50" max="50" width="6.140625" style="19" customWidth="1" outlineLevel="1"/>
    <col min="51" max="51" width="6.7109375" style="19" customWidth="1" outlineLevel="1"/>
    <col min="52" max="52" width="8" style="18" customWidth="1" outlineLevel="1"/>
    <col min="53" max="53" width="7.7109375" style="19" customWidth="1" outlineLevel="1"/>
    <col min="54" max="54" width="6.7109375" style="19" customWidth="1" outlineLevel="1"/>
    <col min="55" max="55" width="8" style="18" customWidth="1" outlineLevel="1"/>
    <col min="56" max="56" width="7.7109375" style="19" customWidth="1" outlineLevel="1"/>
    <col min="57" max="57" width="6.7109375" style="19" customWidth="1" outlineLevel="1"/>
    <col min="58" max="58" width="8" style="18" customWidth="1" outlineLevel="1"/>
    <col min="59" max="59" width="7.7109375" style="19" customWidth="1" outlineLevel="1"/>
    <col min="60" max="60" width="6.7109375" style="19" customWidth="1" outlineLevel="1"/>
    <col min="61" max="61" width="8" style="18" customWidth="1"/>
    <col min="62" max="62" width="6.140625" style="19" customWidth="1" outlineLevel="1"/>
    <col min="63" max="63" width="6.7109375" style="19" customWidth="1" outlineLevel="1"/>
    <col min="64" max="64" width="8" style="18" customWidth="1" outlineLevel="1"/>
    <col min="65" max="65" width="6.140625" style="19" customWidth="1" outlineLevel="1"/>
    <col min="66" max="66" width="7.7109375" style="19" customWidth="1" outlineLevel="1"/>
    <col min="67" max="67" width="8" style="18" customWidth="1" outlineLevel="1"/>
    <col min="68" max="68" width="6.140625" style="19" customWidth="1" outlineLevel="1"/>
    <col min="69" max="69" width="7.7109375" style="19" customWidth="1" outlineLevel="1"/>
    <col min="70" max="70" width="8" style="18" customWidth="1" outlineLevel="1"/>
    <col min="71" max="71" width="6.140625" style="19" customWidth="1" outlineLevel="1"/>
    <col min="72" max="72" width="7.7109375" style="19" customWidth="1" outlineLevel="1"/>
    <col min="73" max="73" width="8" style="18" customWidth="1"/>
    <col min="74" max="74" width="6.140625" style="19" customWidth="1" outlineLevel="1"/>
    <col min="75" max="75" width="7.7109375" style="19" customWidth="1" outlineLevel="1"/>
    <col min="76" max="76" width="8" style="18" customWidth="1" outlineLevel="1"/>
    <col min="77" max="77" width="6.140625" style="19" customWidth="1" outlineLevel="1"/>
    <col min="78" max="78" width="7.85546875" style="19" customWidth="1" outlineLevel="1"/>
    <col min="79" max="79" width="8" style="20" customWidth="1" outlineLevel="1"/>
    <col min="80" max="80" width="6.140625" style="20" customWidth="1" outlineLevel="1"/>
    <col min="81" max="81" width="7.85546875" style="20" customWidth="1" outlineLevel="1"/>
    <col min="82" max="82" width="8" style="20" customWidth="1" outlineLevel="1"/>
    <col min="83" max="83" width="6.140625" style="20" customWidth="1" outlineLevel="1"/>
    <col min="84" max="84" width="7" style="20" customWidth="1" outlineLevel="1"/>
    <col min="85" max="85" width="9.28515625" style="20" customWidth="1"/>
    <col min="86" max="86" width="6.140625" style="20" customWidth="1" outlineLevel="1"/>
    <col min="87" max="87" width="7.7109375" style="20" customWidth="1" outlineLevel="1"/>
    <col min="88" max="88" width="8" style="20" customWidth="1" outlineLevel="1"/>
    <col min="89" max="90" width="7.7109375" style="20" customWidth="1" outlineLevel="1"/>
    <col min="91" max="91" width="8" style="20" customWidth="1" outlineLevel="1"/>
    <col min="92" max="92" width="6.140625" style="20" customWidth="1" outlineLevel="1"/>
    <col min="93" max="93" width="7.7109375" style="20" customWidth="1" outlineLevel="1"/>
    <col min="94" max="94" width="8" style="20" customWidth="1" outlineLevel="1"/>
    <col min="95" max="95" width="6.140625" style="20" customWidth="1" outlineLevel="1"/>
    <col min="96" max="96" width="7.7109375" style="20" customWidth="1" outlineLevel="1"/>
    <col min="97" max="97" width="9.28515625" style="20" customWidth="1"/>
    <col min="98" max="99" width="6.140625" style="20" customWidth="1" outlineLevel="1"/>
    <col min="100" max="100" width="9.28515625" style="20" customWidth="1" outlineLevel="1"/>
    <col min="101" max="101" width="6.140625" style="20" customWidth="1" outlineLevel="1"/>
    <col min="102" max="102" width="7.7109375" style="20" customWidth="1" outlineLevel="1"/>
    <col min="103" max="103" width="9.28515625" style="20" customWidth="1" outlineLevel="1"/>
    <col min="104" max="105" width="6.140625" style="20" customWidth="1" outlineLevel="1"/>
    <col min="106" max="106" width="9.28515625" style="20" customWidth="1" outlineLevel="1"/>
    <col min="107" max="107" width="6.140625" style="20" customWidth="1" outlineLevel="1"/>
    <col min="108" max="108" width="6" style="20" customWidth="1" outlineLevel="1"/>
    <col min="109" max="109" width="9.28515625" style="20" customWidth="1"/>
    <col min="110" max="110" width="6.140625" style="20" customWidth="1" outlineLevel="1"/>
    <col min="111" max="111" width="6.7109375" style="20" customWidth="1" outlineLevel="1"/>
    <col min="112" max="112" width="9.28515625" style="20" customWidth="1" outlineLevel="1"/>
    <col min="113" max="113" width="6.140625" style="20" customWidth="1" outlineLevel="1"/>
    <col min="114" max="114" width="6.7109375" style="20" customWidth="1" outlineLevel="1"/>
    <col min="115" max="115" width="9.28515625" style="20" customWidth="1" outlineLevel="1"/>
    <col min="116" max="117" width="6.140625" style="20" customWidth="1" outlineLevel="1"/>
    <col min="118" max="118" width="9.28515625" style="20" customWidth="1" outlineLevel="1"/>
    <col min="119" max="120" width="6.140625" style="20" customWidth="1" outlineLevel="1"/>
    <col min="121" max="121" width="9.28515625" style="20" customWidth="1"/>
    <col min="122" max="122" width="6.140625" style="20" customWidth="1" outlineLevel="1"/>
    <col min="123" max="123" width="7" style="20" customWidth="1" outlineLevel="1"/>
    <col min="124" max="124" width="9.28515625" style="20" customWidth="1" outlineLevel="1"/>
    <col min="125" max="125" width="6.140625" style="20" customWidth="1" outlineLevel="1"/>
    <col min="126" max="126" width="7" style="20" customWidth="1" outlineLevel="1"/>
    <col min="127" max="127" width="9.28515625" style="20" customWidth="1" outlineLevel="1"/>
    <col min="128" max="129" width="7.140625" style="20" customWidth="1" outlineLevel="1"/>
    <col min="130" max="130" width="9.28515625" style="20" customWidth="1" outlineLevel="1"/>
    <col min="131" max="132" width="7.140625" style="20" customWidth="1" outlineLevel="1"/>
    <col min="133" max="133" width="9.140625" style="20" customWidth="1"/>
    <col min="134" max="135" width="7.28515625" style="20" customWidth="1" outlineLevel="1"/>
    <col min="136" max="136" width="9.28515625" style="20" customWidth="1" outlineLevel="1"/>
    <col min="137" max="138" width="7.28515625" style="20" customWidth="1" outlineLevel="1"/>
    <col min="139" max="139" width="9.28515625" style="20" customWidth="1" outlineLevel="1"/>
    <col min="140" max="141" width="7.28515625" style="20" customWidth="1" outlineLevel="1"/>
    <col min="142" max="142" width="9.28515625" style="20" customWidth="1" outlineLevel="1"/>
    <col min="143" max="144" width="7.28515625" style="20" customWidth="1" outlineLevel="1"/>
    <col min="145" max="145" width="9.28515625" style="20" customWidth="1"/>
    <col min="146" max="147" width="7.28515625" style="20" customWidth="1" outlineLevel="1"/>
    <col min="148" max="148" width="9.28515625" style="20" customWidth="1" outlineLevel="1"/>
    <col min="149" max="150" width="7.28515625" style="20" customWidth="1" outlineLevel="1"/>
    <col min="151" max="151" width="9.28515625" style="20" customWidth="1" outlineLevel="1"/>
    <col min="152" max="153" width="7.28515625" style="20" customWidth="1" outlineLevel="1"/>
    <col min="154" max="154" width="9.28515625" style="20" customWidth="1" outlineLevel="1"/>
    <col min="155" max="156" width="7.28515625" style="20" customWidth="1" outlineLevel="1"/>
    <col min="157" max="157" width="9.140625" style="20" customWidth="1"/>
    <col min="158" max="159" width="7.28515625" style="20" customWidth="1" outlineLevel="1"/>
    <col min="160" max="160" width="9.28515625" style="20" customWidth="1" outlineLevel="1"/>
    <col min="161" max="162" width="7.28515625" style="20" customWidth="1" outlineLevel="1"/>
    <col min="163" max="163" width="9.28515625" style="20" customWidth="1" outlineLevel="1"/>
    <col min="164" max="165" width="7.28515625" style="20" customWidth="1" outlineLevel="1"/>
    <col min="166" max="166" width="9.28515625" style="20" customWidth="1" outlineLevel="1"/>
    <col min="167" max="168" width="7.28515625" style="20" customWidth="1" outlineLevel="1"/>
    <col min="169" max="169" width="9.28515625" style="20" customWidth="1"/>
    <col min="170" max="171" width="7.28515625" style="20" customWidth="1"/>
    <col min="172" max="172" width="9.28515625" style="20" customWidth="1"/>
    <col min="173" max="174" width="7.28515625" style="20" customWidth="1"/>
    <col min="175" max="175" width="9.28515625" style="20" customWidth="1"/>
    <col min="176" max="176" width="7.28515625" style="20" customWidth="1"/>
    <col min="177" max="177" width="8.7109375" style="20" customWidth="1"/>
    <col min="178" max="178" width="9.28515625" style="20" customWidth="1"/>
    <col min="179" max="180" width="7.28515625" style="20" customWidth="1"/>
    <col min="181" max="181" width="9.28515625" style="20" customWidth="1"/>
    <col min="182" max="183" width="7.28515625" style="20" customWidth="1"/>
    <col min="184" max="184" width="11.42578125" style="20" customWidth="1"/>
    <col min="185" max="186" width="7.28515625" style="20" customWidth="1"/>
    <col min="187" max="187" width="11.42578125" style="20" customWidth="1"/>
    <col min="188" max="189" width="7.28515625" style="20" customWidth="1"/>
    <col min="190" max="190" width="11.42578125" style="20" customWidth="1"/>
    <col min="191" max="192" width="7.28515625" style="20" customWidth="1"/>
    <col min="193" max="193" width="11.42578125" style="20" bestFit="1" customWidth="1"/>
    <col min="194" max="195" width="7.28515625" style="20" customWidth="1"/>
    <col min="196" max="16384" width="9.140625" style="20"/>
  </cols>
  <sheetData>
    <row r="1" spans="2:195" s="18" customFormat="1" ht="16.5" customHeight="1">
      <c r="B1" s="612" t="s">
        <v>1132</v>
      </c>
      <c r="C1" s="612"/>
      <c r="D1" s="615"/>
      <c r="E1" s="615"/>
      <c r="F1" s="101"/>
      <c r="G1" s="17"/>
      <c r="H1" s="92"/>
      <c r="I1" s="92"/>
      <c r="J1" s="17"/>
      <c r="K1" s="92"/>
      <c r="L1" s="92"/>
      <c r="M1" s="17"/>
      <c r="N1" s="613"/>
      <c r="O1" s="613"/>
      <c r="P1" s="17"/>
      <c r="Q1" s="613"/>
      <c r="R1" s="613"/>
      <c r="S1" s="17"/>
      <c r="T1" s="614"/>
      <c r="U1" s="614"/>
      <c r="V1" s="17"/>
      <c r="W1" s="17"/>
      <c r="X1" s="17"/>
      <c r="Y1" s="17"/>
      <c r="Z1" s="17"/>
      <c r="AA1" s="17"/>
      <c r="AC1" s="19"/>
      <c r="AD1" s="19"/>
      <c r="AF1" s="19"/>
      <c r="AG1" s="19"/>
      <c r="AI1" s="19"/>
      <c r="AJ1" s="19"/>
      <c r="AL1" s="19"/>
      <c r="AM1" s="19"/>
      <c r="AO1" s="19"/>
      <c r="AP1" s="19"/>
      <c r="AR1" s="19"/>
      <c r="AS1" s="19"/>
      <c r="AU1" s="19"/>
      <c r="AV1" s="19"/>
      <c r="AX1" s="19"/>
      <c r="AY1" s="19"/>
      <c r="BA1" s="19"/>
      <c r="BB1" s="19"/>
      <c r="BD1" s="19"/>
      <c r="BE1" s="19"/>
      <c r="BG1" s="19"/>
      <c r="BH1" s="19"/>
      <c r="BJ1" s="19"/>
      <c r="BK1" s="19"/>
      <c r="BM1" s="19"/>
      <c r="BN1" s="19"/>
      <c r="BP1" s="19"/>
      <c r="BQ1" s="19"/>
      <c r="BS1" s="19"/>
      <c r="BT1" s="19"/>
      <c r="BV1" s="19"/>
      <c r="BW1" s="19"/>
      <c r="BY1" s="19"/>
      <c r="BZ1" s="19"/>
      <c r="CA1" s="20"/>
      <c r="CB1" s="20"/>
      <c r="CC1" s="20"/>
      <c r="CD1" s="203"/>
      <c r="CE1" s="38"/>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D1" s="20"/>
      <c r="FE1" s="20"/>
      <c r="FF1" s="20"/>
      <c r="FG1" s="20"/>
      <c r="FH1" s="20"/>
      <c r="FI1" s="20"/>
      <c r="FJ1" s="20"/>
      <c r="FK1" s="20"/>
      <c r="FL1" s="20"/>
      <c r="FM1" s="20"/>
      <c r="FN1" s="20"/>
      <c r="FO1" s="20"/>
      <c r="FP1" s="20"/>
      <c r="FQ1" s="20"/>
      <c r="FR1" s="20"/>
      <c r="FS1" s="20"/>
      <c r="FT1" s="20"/>
      <c r="FU1" s="20"/>
      <c r="FV1" s="20"/>
      <c r="FW1" s="20"/>
      <c r="FX1" s="20"/>
      <c r="FY1" s="20"/>
      <c r="FZ1" s="20"/>
      <c r="GA1" s="20"/>
      <c r="GB1" s="20"/>
      <c r="GC1" s="20"/>
      <c r="GD1" s="20"/>
      <c r="GE1" s="20"/>
      <c r="GF1" s="20"/>
      <c r="GG1" s="20"/>
      <c r="GH1" s="598">
        <f>GH5-'Prod. Fin. | Financial Products'!JZ20</f>
        <v>0</v>
      </c>
      <c r="GI1" s="20"/>
      <c r="GJ1" s="20"/>
      <c r="GK1" s="598">
        <f>GK5-'Prod. Fin. | Financial Products'!KI20</f>
        <v>0</v>
      </c>
      <c r="GL1" s="20"/>
      <c r="GM1" s="20"/>
    </row>
    <row r="2" spans="2:195" ht="11.25" customHeight="1">
      <c r="B2" s="9"/>
      <c r="C2" s="9"/>
      <c r="D2" s="20"/>
      <c r="E2" s="20"/>
      <c r="F2" s="20"/>
      <c r="G2" s="20"/>
      <c r="H2" s="20"/>
      <c r="I2" s="20"/>
      <c r="J2" s="20"/>
      <c r="K2" s="20"/>
      <c r="L2" s="20"/>
      <c r="M2" s="20"/>
      <c r="N2" s="20"/>
      <c r="O2" s="20"/>
      <c r="P2" s="20"/>
      <c r="Q2" s="20"/>
      <c r="R2" s="20"/>
      <c r="S2" s="20"/>
      <c r="T2" s="20"/>
      <c r="U2" s="20"/>
      <c r="V2" s="20"/>
      <c r="W2" s="20"/>
      <c r="X2" s="20"/>
      <c r="Y2" s="20"/>
      <c r="Z2" s="20"/>
      <c r="AA2" s="20"/>
      <c r="AB2" s="20"/>
      <c r="AC2" s="35"/>
      <c r="AD2" s="35"/>
      <c r="AE2" s="20"/>
      <c r="AF2" s="204"/>
      <c r="AG2" s="35"/>
      <c r="AH2" s="20"/>
      <c r="AI2" s="35"/>
      <c r="AJ2" s="35"/>
      <c r="AK2" s="20"/>
      <c r="AL2" s="35"/>
      <c r="AM2" s="35"/>
      <c r="AN2" s="20"/>
      <c r="AO2" s="35"/>
      <c r="AP2" s="35"/>
      <c r="AQ2" s="20"/>
      <c r="AR2" s="204"/>
      <c r="AS2" s="35"/>
      <c r="AT2" s="20"/>
      <c r="AU2" s="35"/>
      <c r="AV2" s="35"/>
      <c r="AW2" s="20"/>
      <c r="AX2" s="35"/>
      <c r="AY2" s="35"/>
      <c r="AZ2" s="20"/>
      <c r="BA2" s="35"/>
      <c r="BB2" s="35"/>
      <c r="BC2" s="20"/>
      <c r="BD2" s="204"/>
      <c r="BE2" s="35"/>
      <c r="BF2" s="20"/>
      <c r="BG2" s="35"/>
      <c r="BH2" s="35"/>
      <c r="BI2" s="20"/>
      <c r="BJ2" s="35"/>
      <c r="BK2" s="35"/>
      <c r="BL2" s="20"/>
      <c r="BM2" s="35"/>
      <c r="BN2" s="35"/>
      <c r="BO2" s="20"/>
      <c r="BP2" s="204"/>
      <c r="BQ2" s="35"/>
      <c r="BR2" s="20"/>
      <c r="BS2" s="35"/>
      <c r="BT2" s="35"/>
      <c r="BU2" s="20"/>
      <c r="BV2" s="35"/>
      <c r="BW2" s="35"/>
      <c r="BX2" s="20"/>
      <c r="BY2" s="35"/>
      <c r="BZ2" s="35"/>
      <c r="FP2" s="38"/>
    </row>
    <row r="3" spans="2:195" s="199" customFormat="1" ht="16.5" customHeight="1">
      <c r="B3" s="249" t="s">
        <v>1032</v>
      </c>
      <c r="C3" s="249" t="s">
        <v>1027</v>
      </c>
      <c r="D3" s="250" t="s">
        <v>231</v>
      </c>
      <c r="E3" s="251" t="s">
        <v>4</v>
      </c>
      <c r="F3" s="251" t="s">
        <v>9</v>
      </c>
      <c r="G3" s="252" t="s">
        <v>232</v>
      </c>
      <c r="H3" s="251" t="s">
        <v>4</v>
      </c>
      <c r="I3" s="251" t="s">
        <v>9</v>
      </c>
      <c r="J3" s="252" t="s">
        <v>265</v>
      </c>
      <c r="K3" s="251" t="s">
        <v>4</v>
      </c>
      <c r="L3" s="251" t="s">
        <v>9</v>
      </c>
      <c r="M3" s="252" t="s">
        <v>234</v>
      </c>
      <c r="N3" s="251" t="s">
        <v>4</v>
      </c>
      <c r="O3" s="251" t="s">
        <v>9</v>
      </c>
      <c r="P3" s="252" t="s">
        <v>235</v>
      </c>
      <c r="Q3" s="251" t="s">
        <v>4</v>
      </c>
      <c r="R3" s="251" t="s">
        <v>9</v>
      </c>
      <c r="S3" s="252" t="s">
        <v>236</v>
      </c>
      <c r="T3" s="251" t="s">
        <v>4</v>
      </c>
      <c r="U3" s="251" t="s">
        <v>9</v>
      </c>
      <c r="V3" s="252" t="s">
        <v>264</v>
      </c>
      <c r="W3" s="251" t="s">
        <v>4</v>
      </c>
      <c r="X3" s="251" t="s">
        <v>9</v>
      </c>
      <c r="Y3" s="252" t="s">
        <v>238</v>
      </c>
      <c r="Z3" s="251" t="s">
        <v>4</v>
      </c>
      <c r="AA3" s="251" t="s">
        <v>9</v>
      </c>
      <c r="AB3" s="252" t="s">
        <v>239</v>
      </c>
      <c r="AC3" s="251" t="s">
        <v>4</v>
      </c>
      <c r="AD3" s="251" t="s">
        <v>9</v>
      </c>
      <c r="AE3" s="252" t="s">
        <v>240</v>
      </c>
      <c r="AF3" s="251" t="s">
        <v>4</v>
      </c>
      <c r="AG3" s="251" t="s">
        <v>9</v>
      </c>
      <c r="AH3" s="252" t="s">
        <v>263</v>
      </c>
      <c r="AI3" s="251" t="s">
        <v>4</v>
      </c>
      <c r="AJ3" s="251" t="s">
        <v>9</v>
      </c>
      <c r="AK3" s="253" t="s">
        <v>229</v>
      </c>
      <c r="AL3" s="251" t="s">
        <v>4</v>
      </c>
      <c r="AM3" s="251" t="s">
        <v>9</v>
      </c>
      <c r="AN3" s="253" t="s">
        <v>250</v>
      </c>
      <c r="AO3" s="251" t="s">
        <v>4</v>
      </c>
      <c r="AP3" s="251" t="s">
        <v>9</v>
      </c>
      <c r="AQ3" s="253" t="s">
        <v>242</v>
      </c>
      <c r="AR3" s="251" t="s">
        <v>4</v>
      </c>
      <c r="AS3" s="251" t="s">
        <v>9</v>
      </c>
      <c r="AT3" s="253" t="s">
        <v>262</v>
      </c>
      <c r="AU3" s="251" t="s">
        <v>4</v>
      </c>
      <c r="AV3" s="251" t="s">
        <v>9</v>
      </c>
      <c r="AW3" s="253" t="s">
        <v>228</v>
      </c>
      <c r="AX3" s="251" t="s">
        <v>4</v>
      </c>
      <c r="AY3" s="251" t="s">
        <v>9</v>
      </c>
      <c r="AZ3" s="253" t="s">
        <v>244</v>
      </c>
      <c r="BA3" s="251" t="s">
        <v>4</v>
      </c>
      <c r="BB3" s="251" t="s">
        <v>9</v>
      </c>
      <c r="BC3" s="253" t="s">
        <v>245</v>
      </c>
      <c r="BD3" s="251" t="s">
        <v>4</v>
      </c>
      <c r="BE3" s="251" t="s">
        <v>9</v>
      </c>
      <c r="BF3" s="253" t="s">
        <v>261</v>
      </c>
      <c r="BG3" s="251" t="s">
        <v>4</v>
      </c>
      <c r="BH3" s="251" t="s">
        <v>9</v>
      </c>
      <c r="BI3" s="253" t="s">
        <v>226</v>
      </c>
      <c r="BJ3" s="251" t="s">
        <v>4</v>
      </c>
      <c r="BK3" s="251" t="s">
        <v>9</v>
      </c>
      <c r="BL3" s="253" t="s">
        <v>247</v>
      </c>
      <c r="BM3" s="251" t="s">
        <v>4</v>
      </c>
      <c r="BN3" s="251" t="s">
        <v>9</v>
      </c>
      <c r="BO3" s="253" t="s">
        <v>248</v>
      </c>
      <c r="BP3" s="251" t="s">
        <v>4</v>
      </c>
      <c r="BQ3" s="251" t="s">
        <v>9</v>
      </c>
      <c r="BR3" s="253" t="s">
        <v>260</v>
      </c>
      <c r="BS3" s="251" t="s">
        <v>4</v>
      </c>
      <c r="BT3" s="251" t="s">
        <v>9</v>
      </c>
      <c r="BU3" s="253" t="s">
        <v>227</v>
      </c>
      <c r="BV3" s="251" t="s">
        <v>4</v>
      </c>
      <c r="BW3" s="251" t="s">
        <v>9</v>
      </c>
      <c r="BX3" s="253" t="s">
        <v>230</v>
      </c>
      <c r="BY3" s="251" t="s">
        <v>4</v>
      </c>
      <c r="BZ3" s="251" t="s">
        <v>9</v>
      </c>
      <c r="CA3" s="253" t="s">
        <v>256</v>
      </c>
      <c r="CB3" s="251" t="s">
        <v>4</v>
      </c>
      <c r="CC3" s="251" t="s">
        <v>9</v>
      </c>
      <c r="CD3" s="253" t="s">
        <v>282</v>
      </c>
      <c r="CE3" s="251" t="s">
        <v>4</v>
      </c>
      <c r="CF3" s="251" t="s">
        <v>9</v>
      </c>
      <c r="CG3" s="253" t="s">
        <v>285</v>
      </c>
      <c r="CH3" s="251" t="s">
        <v>4</v>
      </c>
      <c r="CI3" s="251" t="s">
        <v>9</v>
      </c>
      <c r="CJ3" s="253" t="s">
        <v>294</v>
      </c>
      <c r="CK3" s="251" t="s">
        <v>4</v>
      </c>
      <c r="CL3" s="251" t="s">
        <v>9</v>
      </c>
      <c r="CM3" s="253" t="s">
        <v>298</v>
      </c>
      <c r="CN3" s="251" t="s">
        <v>4</v>
      </c>
      <c r="CO3" s="251" t="s">
        <v>9</v>
      </c>
      <c r="CP3" s="253" t="s">
        <v>303</v>
      </c>
      <c r="CQ3" s="251" t="s">
        <v>4</v>
      </c>
      <c r="CR3" s="251" t="s">
        <v>9</v>
      </c>
      <c r="CS3" s="253" t="s">
        <v>322</v>
      </c>
      <c r="CT3" s="251" t="s">
        <v>4</v>
      </c>
      <c r="CU3" s="251" t="s">
        <v>9</v>
      </c>
      <c r="CV3" s="253" t="s">
        <v>314</v>
      </c>
      <c r="CW3" s="251" t="s">
        <v>4</v>
      </c>
      <c r="CX3" s="251" t="s">
        <v>9</v>
      </c>
      <c r="CY3" s="253" t="s">
        <v>326</v>
      </c>
      <c r="CZ3" s="251" t="s">
        <v>4</v>
      </c>
      <c r="DA3" s="251" t="s">
        <v>9</v>
      </c>
      <c r="DB3" s="253" t="s">
        <v>330</v>
      </c>
      <c r="DC3" s="251" t="s">
        <v>4</v>
      </c>
      <c r="DD3" s="251" t="s">
        <v>9</v>
      </c>
      <c r="DE3" s="253" t="s">
        <v>332</v>
      </c>
      <c r="DF3" s="251" t="s">
        <v>4</v>
      </c>
      <c r="DG3" s="251" t="s">
        <v>9</v>
      </c>
      <c r="DH3" s="253" t="s">
        <v>337</v>
      </c>
      <c r="DI3" s="251" t="s">
        <v>4</v>
      </c>
      <c r="DJ3" s="251" t="s">
        <v>9</v>
      </c>
      <c r="DK3" s="253" t="s">
        <v>347</v>
      </c>
      <c r="DL3" s="251" t="s">
        <v>4</v>
      </c>
      <c r="DM3" s="251" t="s">
        <v>9</v>
      </c>
      <c r="DN3" s="253" t="s">
        <v>402</v>
      </c>
      <c r="DO3" s="251" t="s">
        <v>4</v>
      </c>
      <c r="DP3" s="251" t="s">
        <v>9</v>
      </c>
      <c r="DQ3" s="253" t="s">
        <v>358</v>
      </c>
      <c r="DR3" s="251" t="s">
        <v>4</v>
      </c>
      <c r="DS3" s="251" t="s">
        <v>9</v>
      </c>
      <c r="DT3" s="253" t="s">
        <v>362</v>
      </c>
      <c r="DU3" s="251" t="s">
        <v>4</v>
      </c>
      <c r="DV3" s="251" t="s">
        <v>9</v>
      </c>
      <c r="DW3" s="253" t="s">
        <v>373</v>
      </c>
      <c r="DX3" s="251" t="s">
        <v>4</v>
      </c>
      <c r="DY3" s="251" t="s">
        <v>9</v>
      </c>
      <c r="DZ3" s="253" t="s">
        <v>401</v>
      </c>
      <c r="EA3" s="251" t="s">
        <v>4</v>
      </c>
      <c r="EB3" s="251" t="s">
        <v>9</v>
      </c>
      <c r="EC3" s="253" t="s">
        <v>397</v>
      </c>
      <c r="ED3" s="251" t="s">
        <v>4</v>
      </c>
      <c r="EE3" s="251" t="s">
        <v>9</v>
      </c>
      <c r="EF3" s="253" t="s">
        <v>456</v>
      </c>
      <c r="EG3" s="251" t="s">
        <v>4</v>
      </c>
      <c r="EH3" s="251" t="s">
        <v>9</v>
      </c>
      <c r="EI3" s="253" t="s">
        <v>845</v>
      </c>
      <c r="EJ3" s="251" t="s">
        <v>4</v>
      </c>
      <c r="EK3" s="251" t="s">
        <v>9</v>
      </c>
      <c r="EL3" s="253" t="s">
        <v>1128</v>
      </c>
      <c r="EM3" s="251" t="s">
        <v>4</v>
      </c>
      <c r="EN3" s="251" t="s">
        <v>9</v>
      </c>
      <c r="EO3" s="253" t="s">
        <v>1160</v>
      </c>
      <c r="EP3" s="251" t="s">
        <v>4</v>
      </c>
      <c r="EQ3" s="251" t="s">
        <v>9</v>
      </c>
      <c r="ER3" s="253" t="s">
        <v>1175</v>
      </c>
      <c r="ES3" s="251" t="s">
        <v>4</v>
      </c>
      <c r="ET3" s="251" t="s">
        <v>9</v>
      </c>
      <c r="EU3" s="253" t="s">
        <v>1201</v>
      </c>
      <c r="EV3" s="251" t="s">
        <v>4</v>
      </c>
      <c r="EW3" s="251" t="s">
        <v>9</v>
      </c>
      <c r="EX3" s="253" t="s">
        <v>1224</v>
      </c>
      <c r="EY3" s="251" t="s">
        <v>4</v>
      </c>
      <c r="EZ3" s="251" t="s">
        <v>9</v>
      </c>
      <c r="FA3" s="253" t="s">
        <v>1246</v>
      </c>
      <c r="FB3" s="251" t="s">
        <v>4</v>
      </c>
      <c r="FC3" s="251" t="s">
        <v>9</v>
      </c>
      <c r="FD3" s="253" t="s">
        <v>1261</v>
      </c>
      <c r="FE3" s="251" t="s">
        <v>4</v>
      </c>
      <c r="FF3" s="251" t="s">
        <v>9</v>
      </c>
      <c r="FG3" s="253" t="s">
        <v>1283</v>
      </c>
      <c r="FH3" s="251" t="s">
        <v>4</v>
      </c>
      <c r="FI3" s="251" t="s">
        <v>9</v>
      </c>
      <c r="FJ3" s="253" t="s">
        <v>1311</v>
      </c>
      <c r="FK3" s="251" t="s">
        <v>4</v>
      </c>
      <c r="FL3" s="251" t="s">
        <v>9</v>
      </c>
      <c r="FM3" s="253" t="s">
        <v>1341</v>
      </c>
      <c r="FN3" s="251" t="s">
        <v>4</v>
      </c>
      <c r="FO3" s="251" t="s">
        <v>9</v>
      </c>
      <c r="FP3" s="253" t="s">
        <v>1359</v>
      </c>
      <c r="FQ3" s="251" t="s">
        <v>4</v>
      </c>
      <c r="FR3" s="251" t="s">
        <v>9</v>
      </c>
      <c r="FS3" s="253" t="s">
        <v>1375</v>
      </c>
      <c r="FT3" s="251" t="s">
        <v>4</v>
      </c>
      <c r="FU3" s="251" t="s">
        <v>9</v>
      </c>
      <c r="FV3" s="253" t="s">
        <v>1396</v>
      </c>
      <c r="FW3" s="251" t="s">
        <v>4</v>
      </c>
      <c r="FX3" s="251" t="s">
        <v>9</v>
      </c>
      <c r="FY3" s="253" t="s">
        <v>1431</v>
      </c>
      <c r="FZ3" s="251" t="s">
        <v>4</v>
      </c>
      <c r="GA3" s="251" t="s">
        <v>9</v>
      </c>
      <c r="GB3" s="253" t="s">
        <v>1437</v>
      </c>
      <c r="GC3" s="251" t="s">
        <v>4</v>
      </c>
      <c r="GD3" s="251" t="s">
        <v>9</v>
      </c>
      <c r="GE3" s="253" t="s">
        <v>1460</v>
      </c>
      <c r="GF3" s="251" t="s">
        <v>4</v>
      </c>
      <c r="GG3" s="251" t="s">
        <v>9</v>
      </c>
      <c r="GH3" s="253" t="s">
        <v>1465</v>
      </c>
      <c r="GI3" s="251" t="s">
        <v>4</v>
      </c>
      <c r="GJ3" s="251" t="s">
        <v>9</v>
      </c>
      <c r="GK3" s="253" t="s">
        <v>1528</v>
      </c>
      <c r="GL3" s="251" t="s">
        <v>4</v>
      </c>
      <c r="GM3" s="251" t="s">
        <v>9</v>
      </c>
    </row>
    <row r="4" spans="2:195" ht="5.25" customHeight="1">
      <c r="B4" s="340"/>
      <c r="C4" s="340"/>
      <c r="D4" s="20"/>
      <c r="E4" s="20"/>
      <c r="F4" s="20"/>
      <c r="G4" s="20"/>
      <c r="H4" s="20"/>
      <c r="I4" s="20"/>
      <c r="J4" s="20"/>
      <c r="K4" s="20"/>
      <c r="L4" s="20"/>
      <c r="M4" s="20"/>
      <c r="N4" s="20"/>
      <c r="O4" s="20"/>
      <c r="P4" s="20"/>
      <c r="Q4" s="20"/>
      <c r="R4" s="20"/>
      <c r="S4" s="20"/>
      <c r="T4" s="20"/>
      <c r="U4" s="20"/>
      <c r="V4" s="20"/>
      <c r="W4" s="20"/>
      <c r="X4" s="20"/>
      <c r="Y4" s="20"/>
      <c r="Z4" s="20"/>
      <c r="AA4" s="20"/>
      <c r="AB4" s="20"/>
      <c r="AC4" s="35"/>
      <c r="AD4" s="35"/>
      <c r="AE4" s="20"/>
      <c r="AF4" s="204"/>
      <c r="AG4" s="35"/>
      <c r="AH4" s="20"/>
      <c r="AI4" s="35"/>
      <c r="AJ4" s="35"/>
      <c r="AK4" s="20"/>
      <c r="AL4" s="35"/>
      <c r="AM4" s="35"/>
      <c r="AN4" s="20"/>
      <c r="AO4" s="35"/>
      <c r="AP4" s="35"/>
      <c r="AQ4" s="20"/>
      <c r="AR4" s="204"/>
      <c r="AS4" s="35"/>
      <c r="AT4" s="20"/>
      <c r="AU4" s="35"/>
      <c r="AV4" s="35"/>
      <c r="AW4" s="20"/>
      <c r="AX4" s="35"/>
      <c r="AY4" s="35"/>
      <c r="AZ4" s="20"/>
      <c r="BA4" s="35"/>
      <c r="BB4" s="35"/>
      <c r="BC4" s="20"/>
      <c r="BD4" s="204"/>
      <c r="BE4" s="35"/>
      <c r="BF4" s="20"/>
      <c r="BG4" s="35"/>
      <c r="BH4" s="35"/>
      <c r="BI4" s="20"/>
      <c r="BJ4" s="35"/>
      <c r="BK4" s="35"/>
      <c r="BL4" s="20"/>
      <c r="BM4" s="35"/>
      <c r="BN4" s="35"/>
      <c r="BO4" s="20"/>
      <c r="BP4" s="204"/>
      <c r="BQ4" s="35"/>
      <c r="BR4" s="20"/>
      <c r="BS4" s="35"/>
      <c r="BT4" s="35"/>
      <c r="BU4" s="20"/>
      <c r="BV4" s="35"/>
      <c r="BW4" s="35"/>
      <c r="BX4" s="20"/>
      <c r="BY4" s="35"/>
      <c r="BZ4" s="35"/>
    </row>
    <row r="5" spans="2:195" s="200" customFormat="1" ht="16.5" customHeight="1">
      <c r="B5" s="47" t="s">
        <v>1030</v>
      </c>
      <c r="C5" s="47" t="s">
        <v>1028</v>
      </c>
      <c r="D5" s="95">
        <f>+D7+D8+D14</f>
        <v>287924</v>
      </c>
      <c r="E5" s="96">
        <f>D5/D$5</f>
        <v>1</v>
      </c>
      <c r="F5" s="98" t="s">
        <v>112</v>
      </c>
      <c r="G5" s="95">
        <f>+G7+G8+G14</f>
        <v>301675</v>
      </c>
      <c r="H5" s="96">
        <f>G5/G$5</f>
        <v>1</v>
      </c>
      <c r="I5" s="98" t="s">
        <v>112</v>
      </c>
      <c r="J5" s="95">
        <f>+J7+J8+J14</f>
        <v>290687</v>
      </c>
      <c r="K5" s="96">
        <f>J5/J$5</f>
        <v>1</v>
      </c>
      <c r="L5" s="98" t="s">
        <v>112</v>
      </c>
      <c r="M5" s="95">
        <f>+M7+M8+M14</f>
        <v>444554</v>
      </c>
      <c r="N5" s="96">
        <f>M5/M$5</f>
        <v>1</v>
      </c>
      <c r="O5" s="98" t="s">
        <v>112</v>
      </c>
      <c r="P5" s="95">
        <f>+P7+P8+P14</f>
        <v>377855</v>
      </c>
      <c r="Q5" s="96">
        <f>P5/P$5</f>
        <v>1</v>
      </c>
      <c r="R5" s="97">
        <f>(P5/D5)-1</f>
        <v>0.31234284047179117</v>
      </c>
      <c r="S5" s="95">
        <f>+S7+S8+S14</f>
        <v>414971</v>
      </c>
      <c r="T5" s="96">
        <f>S5/S$5</f>
        <v>1</v>
      </c>
      <c r="U5" s="97">
        <f>(S5/G5)-1</f>
        <v>0.37555647634043265</v>
      </c>
      <c r="V5" s="95">
        <f>+V7+V8+V14</f>
        <v>399522</v>
      </c>
      <c r="W5" s="96">
        <f>V5/V$5</f>
        <v>1</v>
      </c>
      <c r="X5" s="97">
        <f>(V5/J5)-1</f>
        <v>0.37440614819376172</v>
      </c>
      <c r="Y5" s="95">
        <f>+Y7+Y8+Y14</f>
        <v>583393</v>
      </c>
      <c r="Z5" s="96">
        <f>Y5/Y$5</f>
        <v>1</v>
      </c>
      <c r="AA5" s="97">
        <f>(Y5/M5)-1</f>
        <v>0.31231076539632974</v>
      </c>
      <c r="AB5" s="95">
        <f>+AB7+AB8+AB14</f>
        <v>449344</v>
      </c>
      <c r="AC5" s="96">
        <f>AB5/AB$5</f>
        <v>1</v>
      </c>
      <c r="AD5" s="99">
        <f>(AB5/P5)-1</f>
        <v>0.18919691416019369</v>
      </c>
      <c r="AE5" s="95">
        <f>+AE7+AE8+AE14</f>
        <v>481425</v>
      </c>
      <c r="AF5" s="96">
        <f>AE5/AE$5</f>
        <v>1</v>
      </c>
      <c r="AG5" s="99">
        <f>(AE5/S5)-1</f>
        <v>0.16014131107956953</v>
      </c>
      <c r="AH5" s="95">
        <f>+AH7+AH8+AH14</f>
        <v>445172</v>
      </c>
      <c r="AI5" s="96">
        <f>AH5/AH$5</f>
        <v>1</v>
      </c>
      <c r="AJ5" s="99">
        <f>(AH5/V5)-1</f>
        <v>0.11426154254333931</v>
      </c>
      <c r="AK5" s="95">
        <f>+AK7+AK8+AK14</f>
        <v>597383</v>
      </c>
      <c r="AL5" s="96">
        <f>AK5/AK$5</f>
        <v>1</v>
      </c>
      <c r="AM5" s="99">
        <f>(AK5/Y5)-1</f>
        <v>2.398040429007553E-2</v>
      </c>
      <c r="AN5" s="95">
        <f>+AN7+AN8+AN14</f>
        <v>517482.52886000002</v>
      </c>
      <c r="AO5" s="96">
        <f>AN5/AN$5</f>
        <v>1</v>
      </c>
      <c r="AP5" s="99">
        <f>(AN5/AB5)-1</f>
        <v>0.15164001045969244</v>
      </c>
      <c r="AQ5" s="95">
        <f>+AQ7+AQ8+AQ14</f>
        <v>531749.98684999999</v>
      </c>
      <c r="AR5" s="96">
        <f>AQ5/AQ$5</f>
        <v>1</v>
      </c>
      <c r="AS5" s="99">
        <f>(AQ5/AE5)-1</f>
        <v>0.10453338910526044</v>
      </c>
      <c r="AT5" s="95">
        <f>+AT7+AT8+AT14</f>
        <v>489941.81229999999</v>
      </c>
      <c r="AU5" s="96">
        <f>AT5/AT$5</f>
        <v>1</v>
      </c>
      <c r="AV5" s="99">
        <f>(AT5/AH5)-1</f>
        <v>0.10056744876137769</v>
      </c>
      <c r="AW5" s="95">
        <f>+AW7+AW8+AW14</f>
        <v>592865.12911999994</v>
      </c>
      <c r="AX5" s="96">
        <f>AW5/AW$5</f>
        <v>1</v>
      </c>
      <c r="AY5" s="99">
        <f>(AW5/AK5)-1</f>
        <v>-7.5627710865560083E-3</v>
      </c>
      <c r="AZ5" s="95">
        <f>+AZ7+AZ8+AZ14</f>
        <v>478046.23134257761</v>
      </c>
      <c r="BA5" s="96">
        <f>AZ5/AZ$5</f>
        <v>1</v>
      </c>
      <c r="BB5" s="99">
        <f>(AZ5/AN5)-1</f>
        <v>-7.620797866219664E-2</v>
      </c>
      <c r="BC5" s="95">
        <f>+BC7+BC8+BC14</f>
        <v>515575.87944273592</v>
      </c>
      <c r="BD5" s="96">
        <f>BC5/BC$5</f>
        <v>1</v>
      </c>
      <c r="BE5" s="99">
        <f>(BC5/AQ5)-1</f>
        <v>-3.0416751870699255E-2</v>
      </c>
      <c r="BF5" s="95">
        <f>+BF7+BF8+BF14</f>
        <v>473457.42712529137</v>
      </c>
      <c r="BG5" s="96">
        <f>BF5/BF$5</f>
        <v>1</v>
      </c>
      <c r="BH5" s="99">
        <f>(BF5/AT5)-1</f>
        <v>-3.3645597825839202E-2</v>
      </c>
      <c r="BI5" s="95">
        <f>+BI7+BI8+BI14</f>
        <v>624915.79825270409</v>
      </c>
      <c r="BJ5" s="96">
        <f>BI5/BI$5</f>
        <v>1</v>
      </c>
      <c r="BK5" s="99">
        <f>(BI5/AW5)-1</f>
        <v>5.4060641381080243E-2</v>
      </c>
      <c r="BL5" s="95">
        <f>+BL7+BL8+BL14</f>
        <v>523824.06740255188</v>
      </c>
      <c r="BM5" s="96">
        <f>BL5/BL$5</f>
        <v>1</v>
      </c>
      <c r="BN5" s="99">
        <f>(BL5/AZ5)-1</f>
        <v>9.5760269736691939E-2</v>
      </c>
      <c r="BO5" s="95">
        <f>+BO7+BO8+BO14</f>
        <v>559352.98646449391</v>
      </c>
      <c r="BP5" s="96">
        <f>BO5/BO$5</f>
        <v>1</v>
      </c>
      <c r="BQ5" s="99">
        <f>(BO5/BC5)-1</f>
        <v>8.4909144836400774E-2</v>
      </c>
      <c r="BR5" s="95">
        <f>+BR7+BR8+BR14</f>
        <v>520755.55464931502</v>
      </c>
      <c r="BS5" s="96">
        <f>BR5/BR$5</f>
        <v>1</v>
      </c>
      <c r="BT5" s="99">
        <f>(BR5/BF5)-1</f>
        <v>9.9899430897526287E-2</v>
      </c>
      <c r="BU5" s="95">
        <f>+BU7+BU8+BU14</f>
        <v>690638.68228157703</v>
      </c>
      <c r="BV5" s="96">
        <f>BU5/BU$5</f>
        <v>1</v>
      </c>
      <c r="BW5" s="99">
        <f>(BU5/BI5)-1</f>
        <v>0.10517078334815255</v>
      </c>
      <c r="BX5" s="95">
        <f>+BX7+BX8+BX14</f>
        <v>604419.47369856946</v>
      </c>
      <c r="BY5" s="96">
        <f>BX5/BX$5</f>
        <v>1</v>
      </c>
      <c r="BZ5" s="99">
        <f>(BX5/BL5)-1</f>
        <v>0.15385968555370155</v>
      </c>
      <c r="CA5" s="95">
        <f>+CA7+CA8+CA14</f>
        <v>645719.56690856849</v>
      </c>
      <c r="CB5" s="96">
        <f>CA5/CA$5</f>
        <v>1</v>
      </c>
      <c r="CC5" s="99">
        <f>(CA5/BO5)-1</f>
        <v>0.15440443250329716</v>
      </c>
      <c r="CD5" s="95">
        <f>+CD7+CD8+CD14</f>
        <v>587197.87783019152</v>
      </c>
      <c r="CE5" s="96">
        <f>CD5/CD$5</f>
        <v>1</v>
      </c>
      <c r="CF5" s="99">
        <f>(CD5/BR5)-1</f>
        <v>0.12758831391749581</v>
      </c>
      <c r="CG5" s="95">
        <f>+CG7+CG8+CG14</f>
        <v>796367</v>
      </c>
      <c r="CH5" s="96">
        <f>CG5/CG$5</f>
        <v>1</v>
      </c>
      <c r="CI5" s="99">
        <f>(CG5/BU5)-1</f>
        <v>0.15308774389691227</v>
      </c>
      <c r="CJ5" s="95">
        <f>+CJ7+CJ8+CJ14</f>
        <v>676679</v>
      </c>
      <c r="CK5" s="96">
        <f>CJ5/CJ$5</f>
        <v>1</v>
      </c>
      <c r="CL5" s="99">
        <f>(CJ5/BX5)-1</f>
        <v>0.11955194934282876</v>
      </c>
      <c r="CM5" s="95">
        <f>+CM7+CM8+CM14</f>
        <v>720556</v>
      </c>
      <c r="CN5" s="96">
        <f>CM5/CM$5</f>
        <v>1</v>
      </c>
      <c r="CO5" s="99">
        <f>(CM5/CA5)-1</f>
        <v>0.11589618299739102</v>
      </c>
      <c r="CP5" s="95">
        <f>+CP7+CP8+CP14</f>
        <v>698026.24</v>
      </c>
      <c r="CQ5" s="96">
        <f>CP5/CP$5</f>
        <v>1</v>
      </c>
      <c r="CR5" s="99">
        <f>(CP5/CD5)-1</f>
        <v>0.18874108091013619</v>
      </c>
      <c r="CS5" s="95">
        <f>+CS7+CS8+CS14</f>
        <v>932580</v>
      </c>
      <c r="CT5" s="96">
        <f>CS5/CS$5</f>
        <v>1</v>
      </c>
      <c r="CU5" s="99">
        <f>(CS5/CG5)-1</f>
        <v>0.17104299901929632</v>
      </c>
      <c r="CV5" s="95">
        <f>+CV7+CV8+CV14</f>
        <v>811394.95136228332</v>
      </c>
      <c r="CW5" s="96">
        <f>CV5/CV$5</f>
        <v>1</v>
      </c>
      <c r="CX5" s="99">
        <f>(CV5/CJ5)-1</f>
        <v>0.1990839842263219</v>
      </c>
      <c r="CY5" s="95">
        <f>+CY7+CY8+CY14</f>
        <v>824135.94277189346</v>
      </c>
      <c r="CZ5" s="96">
        <f>CY5/CY$5</f>
        <v>1</v>
      </c>
      <c r="DA5" s="99">
        <f>(CY5/CM5)-1</f>
        <v>0.14375002466413922</v>
      </c>
      <c r="DB5" s="95">
        <f>+DB7+DB8+DB14</f>
        <v>793172.31403501856</v>
      </c>
      <c r="DC5" s="96">
        <f>DB5/DB$5</f>
        <v>1</v>
      </c>
      <c r="DD5" s="99">
        <f>(DB5/CP5)-1</f>
        <v>0.13630730276704006</v>
      </c>
      <c r="DE5" s="95">
        <f>+DE7+DE8+DE14</f>
        <v>1061780.334109338</v>
      </c>
      <c r="DF5" s="96">
        <f>DE5/DE$5</f>
        <v>1</v>
      </c>
      <c r="DG5" s="99">
        <f>(DE5/CS5)-1</f>
        <v>0.13854075158092383</v>
      </c>
      <c r="DH5" s="95">
        <f>+DH7+DH8+DH14</f>
        <v>901244.42932842183</v>
      </c>
      <c r="DI5" s="96">
        <f>DH5/DH$5</f>
        <v>1</v>
      </c>
      <c r="DJ5" s="99">
        <f>(DH5/CV5)-1</f>
        <v>0.11073457853698332</v>
      </c>
      <c r="DK5" s="95">
        <f>+DK7+DK8+DK14</f>
        <v>929240</v>
      </c>
      <c r="DL5" s="96">
        <f>DK5/DK$5</f>
        <v>1</v>
      </c>
      <c r="DM5" s="99">
        <f>(DK5/CY5)-1</f>
        <v>0.12753242732576409</v>
      </c>
      <c r="DN5" s="95">
        <f>+DN7+DN8+DN14</f>
        <v>878137</v>
      </c>
      <c r="DO5" s="96">
        <f>DN5/DN$5</f>
        <v>1</v>
      </c>
      <c r="DP5" s="99">
        <f>(DN5/DB5)-1</f>
        <v>0.10712008533524053</v>
      </c>
      <c r="DQ5" s="95">
        <f>+DQ7+DQ8+DQ14</f>
        <v>1205312</v>
      </c>
      <c r="DR5" s="96">
        <f>DQ5/DQ$5</f>
        <v>1</v>
      </c>
      <c r="DS5" s="99">
        <f>(DQ5/DE5)-1</f>
        <v>0.13518018866968551</v>
      </c>
      <c r="DT5" s="95">
        <f>+DT7+DT8+DT14</f>
        <v>1019708</v>
      </c>
      <c r="DU5" s="96">
        <f>DT5/DT$5</f>
        <v>1</v>
      </c>
      <c r="DV5" s="99">
        <f>(DT5/DH5)-1</f>
        <v>0.13144444150390289</v>
      </c>
      <c r="DW5" s="95">
        <f>+DW7+DW8+DW14</f>
        <v>1057429.4282799999</v>
      </c>
      <c r="DX5" s="96">
        <f>DW5/DW$5</f>
        <v>1</v>
      </c>
      <c r="DY5" s="99">
        <f>(DW5/DK5)-1</f>
        <v>0.13795082893547406</v>
      </c>
      <c r="DZ5" s="95">
        <f>+DZ7+DZ8+DZ14</f>
        <v>990702</v>
      </c>
      <c r="EA5" s="96">
        <f>DZ5/DZ$5</f>
        <v>1</v>
      </c>
      <c r="EB5" s="99">
        <f>(DZ5/DN5)-1</f>
        <v>0.12818614863056665</v>
      </c>
      <c r="EC5" s="95">
        <f>+EC7+EC8+EC14</f>
        <v>1270516</v>
      </c>
      <c r="ED5" s="96">
        <f>EC5/EC$5</f>
        <v>1</v>
      </c>
      <c r="EE5" s="99">
        <f>(EC5/DQ5)-1</f>
        <v>5.4097196410555881E-2</v>
      </c>
      <c r="EF5" s="95">
        <f>+EF7+EF8+EF14</f>
        <v>1017126</v>
      </c>
      <c r="EG5" s="96">
        <f>EF5/EF$5</f>
        <v>1</v>
      </c>
      <c r="EH5" s="99">
        <f>(EF5/DT5)-1</f>
        <v>-2.5320974239684269E-3</v>
      </c>
      <c r="EI5" s="95">
        <f>+EI7+EI8+EI14</f>
        <v>1062332</v>
      </c>
      <c r="EJ5" s="96">
        <f>EI5/EI$5</f>
        <v>1</v>
      </c>
      <c r="EK5" s="99">
        <f>(EI5/DW5)-1</f>
        <v>4.6363110283156317E-3</v>
      </c>
      <c r="EL5" s="95">
        <f>+EL7+EL8+EL14</f>
        <v>961453</v>
      </c>
      <c r="EM5" s="96">
        <f>EL5/EL$5</f>
        <v>1</v>
      </c>
      <c r="EN5" s="99">
        <f>(EL5/DZ5)-1</f>
        <v>-2.9523509592188191E-2</v>
      </c>
      <c r="EO5" s="95">
        <f>+EO7+EO8+EO14</f>
        <v>1256764</v>
      </c>
      <c r="EP5" s="96">
        <f t="shared" ref="EP5:EP18" si="0">EO5/EO$5</f>
        <v>1</v>
      </c>
      <c r="EQ5" s="99">
        <f t="shared" ref="EQ5:EQ13" si="1">(EO5/EC5)-1</f>
        <v>-1.082394869486103E-2</v>
      </c>
      <c r="ER5" s="95">
        <f>+ER7+ER8+ER14</f>
        <v>1033443</v>
      </c>
      <c r="ES5" s="96">
        <f>ER5/ER$5</f>
        <v>1</v>
      </c>
      <c r="ET5" s="99">
        <f>(ER5/EF5)-1</f>
        <v>1.6042260250942464E-2</v>
      </c>
      <c r="EU5" s="95">
        <f>+EU7+EU8+EU14</f>
        <v>993370</v>
      </c>
      <c r="EV5" s="96">
        <f>EU5/EU$5</f>
        <v>1</v>
      </c>
      <c r="EW5" s="99">
        <f>(EU5/EI5)-1</f>
        <v>-6.4915676078664664E-2</v>
      </c>
      <c r="EX5" s="95">
        <f>+EX7+EX8+EX14</f>
        <v>908359.75777000003</v>
      </c>
      <c r="EY5" s="96">
        <f>EX5/EX$5</f>
        <v>1</v>
      </c>
      <c r="EZ5" s="99">
        <f>(EX5/EL5)-1</f>
        <v>-5.5221880039897919E-2</v>
      </c>
      <c r="FA5" s="95">
        <f>+FA7+FA8+FA14</f>
        <v>1181238.0244600002</v>
      </c>
      <c r="FB5" s="96">
        <f>FA5/FA$5</f>
        <v>1</v>
      </c>
      <c r="FC5" s="99">
        <f>(FA5/EO5)-1</f>
        <v>-6.0095591169065821E-2</v>
      </c>
      <c r="FD5" s="95">
        <f>+FD7+FD8+FD14</f>
        <v>992415.91079999995</v>
      </c>
      <c r="FE5" s="96">
        <f>FD5/FD$5</f>
        <v>1</v>
      </c>
      <c r="FF5" s="99">
        <f>(FD5/ER5)-1</f>
        <v>-3.9699421448497918E-2</v>
      </c>
      <c r="FG5" s="95">
        <f>+FG7+FG8+FG14</f>
        <v>1015939.8976999999</v>
      </c>
      <c r="FH5" s="96">
        <f>FG5/FG$5</f>
        <v>1</v>
      </c>
      <c r="FI5" s="99">
        <f>(FG5/EU5)-1</f>
        <v>2.2720534846029095E-2</v>
      </c>
      <c r="FJ5" s="95">
        <f>+FJ7+FJ8+FJ14</f>
        <v>959157.10201999999</v>
      </c>
      <c r="FK5" s="96">
        <f>FJ5/FJ$5</f>
        <v>1</v>
      </c>
      <c r="FL5" s="99">
        <f>(FJ5/EX5)-1</f>
        <v>5.5922054907745045E-2</v>
      </c>
      <c r="FM5" s="95">
        <f>+FM7+FM8+FM14</f>
        <v>1282800</v>
      </c>
      <c r="FN5" s="96">
        <f>FM5/FM$5</f>
        <v>1</v>
      </c>
      <c r="FO5" s="99">
        <f>(FM5/FA5)-1</f>
        <v>8.5979263651310811E-2</v>
      </c>
      <c r="FP5" s="95">
        <f>+FP7+FP8+FP14</f>
        <v>1088463.3037357903</v>
      </c>
      <c r="FQ5" s="96">
        <f>FP5/FP$5</f>
        <v>1</v>
      </c>
      <c r="FR5" s="99">
        <f>(FP5/FD5)-1</f>
        <v>9.678139164291033E-2</v>
      </c>
      <c r="FS5" s="95">
        <f>+FS7+FS8+FS14</f>
        <v>1059869.7426091963</v>
      </c>
      <c r="FT5" s="96">
        <f>FS5/FS$5</f>
        <v>1</v>
      </c>
      <c r="FU5" s="99">
        <f>(FS5/FG5)-1</f>
        <v>4.3240594260201659E-2</v>
      </c>
      <c r="FV5" s="95">
        <f>+FV7+FV8+FV14</f>
        <v>1005905.2697804769</v>
      </c>
      <c r="FW5" s="96">
        <f>FV5/FV$5</f>
        <v>1</v>
      </c>
      <c r="FX5" s="99">
        <f>(FV5/FJ5)-1</f>
        <v>4.8738801664528708E-2</v>
      </c>
      <c r="FY5" s="95">
        <f>+FY7+FY8+FY14</f>
        <v>1373226.728314945</v>
      </c>
      <c r="FZ5" s="96">
        <f>FY5/FY$5</f>
        <v>1</v>
      </c>
      <c r="GA5" s="99">
        <f>(FY5/FM5)-1</f>
        <v>7.0491680943985724E-2</v>
      </c>
      <c r="GB5" s="528">
        <f>+GB7+GB8+GB14</f>
        <v>1155536.7625299999</v>
      </c>
      <c r="GC5" s="96">
        <f>GB5/GB$5</f>
        <v>1</v>
      </c>
      <c r="GD5" s="99">
        <f>(GB5/FP5)-1</f>
        <v>6.1622159023645651E-2</v>
      </c>
      <c r="GE5" s="528">
        <f>+GE7+GE8+GE14</f>
        <v>783566.71759000036</v>
      </c>
      <c r="GF5" s="96">
        <f>GE5/GE$5</f>
        <v>1</v>
      </c>
      <c r="GG5" s="99">
        <f>(GE5/FS5)-1</f>
        <v>-0.26069526651359143</v>
      </c>
      <c r="GH5" s="528">
        <f>+GH7+GH8+GH14</f>
        <v>851141.00000000012</v>
      </c>
      <c r="GI5" s="96">
        <f>GH5/GH$5</f>
        <v>1</v>
      </c>
      <c r="GJ5" s="99">
        <f>(GH5/FV5)-1</f>
        <v>-0.15385571030386558</v>
      </c>
      <c r="GK5" s="528">
        <f>+GK7+GK8+GK14</f>
        <v>1167655</v>
      </c>
      <c r="GL5" s="96">
        <f>GK5/GK$5</f>
        <v>1</v>
      </c>
      <c r="GM5" s="99">
        <f>(GK5/FY5)-1</f>
        <v>-0.14969977213245578</v>
      </c>
    </row>
    <row r="6" spans="2:195" s="200" customFormat="1" ht="16.5" customHeight="1">
      <c r="B6" s="94" t="s">
        <v>1031</v>
      </c>
      <c r="C6" s="47" t="s">
        <v>1029</v>
      </c>
      <c r="D6" s="95">
        <f>+D7+D8+D14+D15+D16</f>
        <v>268096</v>
      </c>
      <c r="E6" s="96">
        <f t="shared" ref="E6:E16" si="2">D6/D$5</f>
        <v>0.93113460496519918</v>
      </c>
      <c r="F6" s="98" t="s">
        <v>112</v>
      </c>
      <c r="G6" s="95">
        <f>+G7+G8+G14+G15+G16</f>
        <v>277169</v>
      </c>
      <c r="H6" s="96">
        <f t="shared" ref="H6:H18" si="3">G6/G$5</f>
        <v>0.91876688489268254</v>
      </c>
      <c r="I6" s="98" t="s">
        <v>112</v>
      </c>
      <c r="J6" s="95">
        <f>+J7+J8+J14+J15+J16</f>
        <v>269479</v>
      </c>
      <c r="K6" s="96">
        <f t="shared" ref="K6:K18" si="4">J6/J$5</f>
        <v>0.92704180097493183</v>
      </c>
      <c r="L6" s="98" t="s">
        <v>112</v>
      </c>
      <c r="M6" s="95">
        <f>+M7+M8+M14+M15+M16</f>
        <v>421558</v>
      </c>
      <c r="N6" s="96">
        <f t="shared" ref="N6:N18" si="5">M6/M$5</f>
        <v>0.94827175101337524</v>
      </c>
      <c r="O6" s="98" t="s">
        <v>112</v>
      </c>
      <c r="P6" s="95">
        <f>+P7+P8+P14+P15+P16</f>
        <v>355740</v>
      </c>
      <c r="Q6" s="96">
        <f t="shared" ref="Q6:Q18" si="6">P6/P$5</f>
        <v>0.94147225787669875</v>
      </c>
      <c r="R6" s="97">
        <f>(P6/D6)-1</f>
        <v>0.32691274767247558</v>
      </c>
      <c r="S6" s="95">
        <f>+S7+S8+S14+S15+S16</f>
        <v>387437</v>
      </c>
      <c r="T6" s="96">
        <f t="shared" ref="T6:T18" si="7">S6/S$5</f>
        <v>0.93364837542864443</v>
      </c>
      <c r="U6" s="97">
        <f>(S6/G6)-1</f>
        <v>0.3978366989093296</v>
      </c>
      <c r="V6" s="95">
        <f>+V7+V8+V14+V15+V16</f>
        <v>374275</v>
      </c>
      <c r="W6" s="96">
        <f t="shared" ref="W6:W18" si="8">V6/V$5</f>
        <v>0.93680698434629384</v>
      </c>
      <c r="X6" s="97">
        <f>(V6/J6)-1</f>
        <v>0.38888373491069794</v>
      </c>
      <c r="Y6" s="95">
        <f>+Y7+Y8+Y14+Y15+Y16</f>
        <v>549765</v>
      </c>
      <c r="Z6" s="96">
        <f t="shared" ref="Z6:Z18" si="9">Y6/Y$5</f>
        <v>0.94235789596378428</v>
      </c>
      <c r="AA6" s="97">
        <f>(Y6/M6)-1</f>
        <v>0.30412659705188849</v>
      </c>
      <c r="AB6" s="95">
        <f>+AB7+AB8+AB14+AB15+AB16</f>
        <v>417106</v>
      </c>
      <c r="AC6" s="96">
        <f t="shared" ref="AC6:AC18" si="10">AB6/AB$5</f>
        <v>0.92825541233442532</v>
      </c>
      <c r="AD6" s="99">
        <f>(AB6/P6)-1</f>
        <v>0.17250238938550622</v>
      </c>
      <c r="AE6" s="95">
        <f>+AE7+AE8+AE14+AE15+AE16</f>
        <v>435701</v>
      </c>
      <c r="AF6" s="96">
        <f t="shared" ref="AF6:AF18" si="11">AE6/AE$5</f>
        <v>0.90502362777171941</v>
      </c>
      <c r="AG6" s="99">
        <f>(AE6/S6)-1</f>
        <v>0.12457251114374723</v>
      </c>
      <c r="AH6" s="95">
        <f>+AH7+AH8+AH14+AH15+AH16</f>
        <v>402061</v>
      </c>
      <c r="AI6" s="96">
        <f t="shared" ref="AI6:AI18" si="12">AH6/AH$5</f>
        <v>0.90315877907864828</v>
      </c>
      <c r="AJ6" s="99">
        <f>(AH6/V6)-1</f>
        <v>7.423952975753112E-2</v>
      </c>
      <c r="AK6" s="95">
        <f>+AK7+AK8+AK14+AK15+AK16</f>
        <v>544340</v>
      </c>
      <c r="AL6" s="96">
        <f t="shared" ref="AL6:AL18" si="13">AK6/AK$5</f>
        <v>0.91120771766186848</v>
      </c>
      <c r="AM6" s="99">
        <f>(AK6/Y6)-1</f>
        <v>-9.8678526279409873E-3</v>
      </c>
      <c r="AN6" s="95">
        <f>+AN7+AN8+AN14+AN15+AN16</f>
        <v>471445.52886000002</v>
      </c>
      <c r="AO6" s="96">
        <f t="shared" ref="AO6:AO18" si="14">AN6/AN$5</f>
        <v>0.91103661006407644</v>
      </c>
      <c r="AP6" s="99">
        <f>(AN6/AB6)-1</f>
        <v>0.1302775046630833</v>
      </c>
      <c r="AQ6" s="95">
        <f>+AQ7+AQ8+AQ14+AQ15+AQ16</f>
        <v>475235.98684999999</v>
      </c>
      <c r="AR6" s="96">
        <f t="shared" ref="AR6:AR18" si="15">AQ6/AQ$5</f>
        <v>0.89372073079911163</v>
      </c>
      <c r="AS6" s="99">
        <f>(AQ6/AE6)-1</f>
        <v>9.0738802183148559E-2</v>
      </c>
      <c r="AT6" s="95">
        <f>+AT7+AT8+AT14+AT15+AT16</f>
        <v>436498.81229999999</v>
      </c>
      <c r="AU6" s="96">
        <f t="shared" ref="AU6:AU18" si="16">AT6/AT$5</f>
        <v>0.89091969973104501</v>
      </c>
      <c r="AV6" s="99">
        <f>(AT6/AH6)-1</f>
        <v>8.5653202623482416E-2</v>
      </c>
      <c r="AW6" s="95">
        <f>+AW7+AW8+AW14+AW15+AW16</f>
        <v>536335.12911999994</v>
      </c>
      <c r="AX6" s="96">
        <f t="shared" ref="AX6:AX18" si="17">AW6/AW$5</f>
        <v>0.90464947721936617</v>
      </c>
      <c r="AY6" s="99">
        <f>(AW6/AK6)-1</f>
        <v>-1.470564514825301E-2</v>
      </c>
      <c r="AZ6" s="95">
        <f>+AZ7+AZ8+AZ14+AZ15+AZ16</f>
        <v>448016.23134257761</v>
      </c>
      <c r="BA6" s="96">
        <f t="shared" ref="BA6:BA18" si="18">AZ6/AZ$5</f>
        <v>0.93718180788568983</v>
      </c>
      <c r="BB6" s="99">
        <f>(AZ6/AN6)-1</f>
        <v>-4.9696722278980254E-2</v>
      </c>
      <c r="BC6" s="95">
        <f>+BC7+BC8+BC14+BC15+BC16</f>
        <v>474361.87944273592</v>
      </c>
      <c r="BD6" s="96">
        <f t="shared" ref="BD6:BD18" si="19">BC6/BC$5</f>
        <v>0.92006220297864505</v>
      </c>
      <c r="BE6" s="99">
        <f>(BC6/AQ6)-1</f>
        <v>-1.8393123236687403E-3</v>
      </c>
      <c r="BF6" s="95">
        <f>+BF7+BF8+BF14+BF15+BF16</f>
        <v>433082.42712529137</v>
      </c>
      <c r="BG6" s="96">
        <f t="shared" ref="BG6:BG18" si="20">BF6/BF$5</f>
        <v>0.91472306127892777</v>
      </c>
      <c r="BH6" s="99">
        <f>(BF6/AT6)-1</f>
        <v>-7.8267914561026553E-3</v>
      </c>
      <c r="BI6" s="95">
        <f>+BI7+BI8+BI14+BI15+BI16</f>
        <v>577033.79825270409</v>
      </c>
      <c r="BJ6" s="96">
        <f t="shared" ref="BJ6:BJ18" si="21">BI6/BI$5</f>
        <v>0.92337847733425771</v>
      </c>
      <c r="BK6" s="99">
        <f>(BI6/AW6)-1</f>
        <v>7.588290776231843E-2</v>
      </c>
      <c r="BL6" s="95">
        <f>+BL7+BL8+BL14+BL15+BL16</f>
        <v>477477.06740255188</v>
      </c>
      <c r="BM6" s="96">
        <f t="shared" ref="BM6:BM18" si="22">BL6/BL$5</f>
        <v>0.91152182023667316</v>
      </c>
      <c r="BN6" s="99">
        <f>(BL6/AZ6)-1</f>
        <v>6.5758412305037428E-2</v>
      </c>
      <c r="BO6" s="95">
        <f>+BO7+BO8+BO14+BO15+BO16</f>
        <v>501436.98646449391</v>
      </c>
      <c r="BP6" s="96">
        <f t="shared" ref="BP6:BP18" si="23">BO6/BO$5</f>
        <v>0.89645894202501708</v>
      </c>
      <c r="BQ6" s="99">
        <f>(BO6/BC6)-1</f>
        <v>5.7076903088344455E-2</v>
      </c>
      <c r="BR6" s="95">
        <f>+BR7+BR8+BR14+BR15+BR16</f>
        <v>469902.55464931502</v>
      </c>
      <c r="BS6" s="96">
        <f t="shared" ref="BS6:BS18" si="24">BR6/BR$5</f>
        <v>0.9023476570802107</v>
      </c>
      <c r="BT6" s="99">
        <f>(BR6/BF6)-1</f>
        <v>8.5018752130922914E-2</v>
      </c>
      <c r="BU6" s="95">
        <f>+BU7+BU8+BU14+BU15+BU16</f>
        <v>628778.68228157703</v>
      </c>
      <c r="BV6" s="96">
        <f t="shared" ref="BV6:BV18" si="25">BU6/BU$5</f>
        <v>0.9104307337729175</v>
      </c>
      <c r="BW6" s="99">
        <f>(BU6/BI6)-1</f>
        <v>8.9673922369122527E-2</v>
      </c>
      <c r="BX6" s="95">
        <f>+BX7+BX8+BX14+BX15+BX16</f>
        <v>537574.47369856946</v>
      </c>
      <c r="BY6" s="96">
        <f t="shared" ref="BY6:BY18" si="26">BX6/BX$5</f>
        <v>0.88940627675187001</v>
      </c>
      <c r="BZ6" s="99">
        <f>(BX6/BL6)-1</f>
        <v>0.12586448732070843</v>
      </c>
      <c r="CA6" s="95">
        <f>+CA7+CA8+CA14+CA15+CA16</f>
        <v>569025.56690856849</v>
      </c>
      <c r="CB6" s="96">
        <f t="shared" ref="CB6:CB18" si="27">CA6/CA$5</f>
        <v>0.88122707761950225</v>
      </c>
      <c r="CC6" s="99">
        <f>(CA6/BO6)-1</f>
        <v>0.13478977871302367</v>
      </c>
      <c r="CD6" s="95">
        <f>+CD7+CD8+CD14+CD15+CD16</f>
        <v>520522.87783019152</v>
      </c>
      <c r="CE6" s="96">
        <f t="shared" ref="CE6:CE18" si="28">CD6/CD$5</f>
        <v>0.88645224630855801</v>
      </c>
      <c r="CF6" s="99">
        <f>(CD6/BR6)-1</f>
        <v>0.10772514999126592</v>
      </c>
      <c r="CG6" s="95">
        <f>+CG7+CG8+CG14+CG15+CG16</f>
        <v>706976</v>
      </c>
      <c r="CH6" s="96">
        <f t="shared" ref="CH6:CH18" si="29">CG6/CG$5</f>
        <v>0.88775150150621507</v>
      </c>
      <c r="CI6" s="99">
        <f>(CG6/BU6)-1</f>
        <v>0.12436381817951792</v>
      </c>
      <c r="CJ6" s="95">
        <f>+CJ7+CJ8+CJ14+CJ15+CJ16</f>
        <v>606665</v>
      </c>
      <c r="CK6" s="96">
        <f t="shared" ref="CK6:CK18" si="30">CJ6/CJ$5</f>
        <v>0.89653292033593479</v>
      </c>
      <c r="CL6" s="99">
        <f>(CJ6/BX6)-1</f>
        <v>0.12852270649326103</v>
      </c>
      <c r="CM6" s="95">
        <f>+CM7+CM8+CM14+CM15+CM16</f>
        <v>638656</v>
      </c>
      <c r="CN6" s="96">
        <f t="shared" ref="CN6:CN18" si="31">CM6/CM$5</f>
        <v>0.88633777249790435</v>
      </c>
      <c r="CO6" s="99">
        <f>(CM6/CA6)-1</f>
        <v>0.12236784626343478</v>
      </c>
      <c r="CP6" s="95">
        <f>+CP7+CP8+CP14+CP15+CP16</f>
        <v>626795.24</v>
      </c>
      <c r="CQ6" s="96">
        <f t="shared" ref="CQ6:CQ18" si="32">CP6/CP$5</f>
        <v>0.89795369297291749</v>
      </c>
      <c r="CR6" s="99">
        <f>(CP6/CD6)-1</f>
        <v>0.20416463271087459</v>
      </c>
      <c r="CS6" s="95">
        <f>+CS7+CS8+CS14+CS15+CS16</f>
        <v>843412</v>
      </c>
      <c r="CT6" s="96">
        <f t="shared" ref="CT6:CT18" si="33">CS6/CS$5</f>
        <v>0.90438568272963182</v>
      </c>
      <c r="CU6" s="99">
        <f>(CS6/CG6)-1</f>
        <v>0.192985334721405</v>
      </c>
      <c r="CV6" s="95">
        <f>+CV7+CV8+CV14+CV15+CV16</f>
        <v>726250.95136228332</v>
      </c>
      <c r="CW6" s="96">
        <f t="shared" ref="CW6:CW18" si="34">CV6/CV$5</f>
        <v>0.89506466627990677</v>
      </c>
      <c r="CX6" s="99">
        <f>(CV6/CJ6)-1</f>
        <v>0.19712024158684494</v>
      </c>
      <c r="CY6" s="95">
        <f>+CY7+CY8+CY14+CY15+CY16</f>
        <v>742359.94277189346</v>
      </c>
      <c r="CZ6" s="96">
        <f t="shared" ref="CZ6:CZ18" si="35">CY6/CY$5</f>
        <v>0.90077365182623248</v>
      </c>
      <c r="DA6" s="99">
        <f>(CY6/CM6)-1</f>
        <v>0.16237840523207092</v>
      </c>
      <c r="DB6" s="95">
        <f>+DB7+DB8+DB14+DB15+DB16</f>
        <v>737064.31403501856</v>
      </c>
      <c r="DC6" s="96">
        <f t="shared" ref="DC6:DC18" si="36">DB6/DB$5</f>
        <v>0.92926127273080428</v>
      </c>
      <c r="DD6" s="99">
        <f>(DB6/CP6)-1</f>
        <v>0.17592519374432158</v>
      </c>
      <c r="DE6" s="95">
        <f>+DE7+DE8+DE14+DE15+DE16</f>
        <v>1005015.334109338</v>
      </c>
      <c r="DF6" s="96">
        <f t="shared" ref="DF6:DF18" si="37">DE6/DE$5</f>
        <v>0.94653790602778809</v>
      </c>
      <c r="DG6" s="99">
        <f>(DE6/CS6)-1</f>
        <v>0.19160663366105535</v>
      </c>
      <c r="DH6" s="95">
        <f>+DH7+DH8+DH14+DH15+DH16</f>
        <v>855993.42932842183</v>
      </c>
      <c r="DI6" s="96">
        <f t="shared" ref="DI6:DI18" si="38">DH6/DH$5</f>
        <v>0.94979053569993266</v>
      </c>
      <c r="DJ6" s="99">
        <f>(DH6/CV6)-1</f>
        <v>0.17864689570839221</v>
      </c>
      <c r="DK6" s="95">
        <f>+DK7+DK8+DK14+DK15+DK16</f>
        <v>826502</v>
      </c>
      <c r="DL6" s="96">
        <f t="shared" ref="DL6:DL18" si="39">DK6/DK$5</f>
        <v>0.88943868107270463</v>
      </c>
      <c r="DM6" s="99">
        <f>(DK6/CY6)-1</f>
        <v>0.11334401599570287</v>
      </c>
      <c r="DN6" s="95">
        <f>+DN7+DN8+DN14+DN15+DN16</f>
        <v>779014</v>
      </c>
      <c r="DO6" s="96">
        <f t="shared" ref="DO6:DO18" si="40">DN6/DN$5</f>
        <v>0.88712125784473261</v>
      </c>
      <c r="DP6" s="99">
        <f>(DN6/DB6)-1</f>
        <v>5.6914552999222323E-2</v>
      </c>
      <c r="DQ6" s="95">
        <f>+DQ7+DQ8+DQ14+DQ15+DQ16</f>
        <v>1088228</v>
      </c>
      <c r="DR6" s="96">
        <f t="shared" ref="DR6:DR18" si="41">DQ6/DQ$5</f>
        <v>0.9028600063717942</v>
      </c>
      <c r="DS6" s="99">
        <f>(DQ6/DE6)-1</f>
        <v>8.2797409220035867E-2</v>
      </c>
      <c r="DT6" s="95">
        <f>+DT7+DT8+DT14+DT15+DT16</f>
        <v>924965</v>
      </c>
      <c r="DU6" s="96">
        <f t="shared" ref="DU6:DU18" si="42">DT6/DT$5</f>
        <v>0.90708810757589431</v>
      </c>
      <c r="DV6" s="99">
        <f>(DT6/DH6)-1</f>
        <v>8.0574883297516164E-2</v>
      </c>
      <c r="DW6" s="95">
        <f>+DW7+DW8+DW14+DW15+DW16</f>
        <v>944241.42827999988</v>
      </c>
      <c r="DX6" s="96">
        <f t="shared" ref="DX6:DX18" si="43">DW6/DW$5</f>
        <v>0.89295928695297422</v>
      </c>
      <c r="DY6" s="99">
        <f>(DW6/DK6)-1</f>
        <v>0.14245510389569516</v>
      </c>
      <c r="DZ6" s="95">
        <f>+DZ7+DZ8+DZ14+DZ15+DZ16</f>
        <v>883047</v>
      </c>
      <c r="EA6" s="96">
        <f t="shared" ref="EA6:EA18" si="44">DZ6/DZ$5</f>
        <v>0.89133462938401253</v>
      </c>
      <c r="EB6" s="99">
        <f>(DZ6/DN6)-1</f>
        <v>0.13354445491351896</v>
      </c>
      <c r="EC6" s="95">
        <f>+EC7+EC8+EC14+EC15+EC16</f>
        <v>1135144</v>
      </c>
      <c r="ED6" s="96">
        <f t="shared" ref="ED6:ED18" si="45">EC6/EC$5</f>
        <v>0.89345116472362407</v>
      </c>
      <c r="EE6" s="99">
        <f>(EC6/DQ6)-1</f>
        <v>4.3112288968855772E-2</v>
      </c>
      <c r="EF6" s="95">
        <f>+EF7+EF8+EF14+EF15+EF16</f>
        <v>919152</v>
      </c>
      <c r="EG6" s="96">
        <f t="shared" ref="EG6:EG18" si="46">EF6/EF$5</f>
        <v>0.9036756508043251</v>
      </c>
      <c r="EH6" s="99">
        <f>(EF6/DT6)-1</f>
        <v>-6.28456211856665E-3</v>
      </c>
      <c r="EI6" s="95">
        <f>+EI7+EI8+EI14+EI15+EI16</f>
        <v>946106</v>
      </c>
      <c r="EJ6" s="96">
        <f t="shared" ref="EJ6:EJ18" si="47">EI6/EI$5</f>
        <v>0.89059352443492246</v>
      </c>
      <c r="EK6" s="99">
        <f>(EI6/DW6)-1</f>
        <v>1.9746768825814609E-3</v>
      </c>
      <c r="EL6" s="95">
        <f>+EL7+EL8+EL14+EL15+EL16</f>
        <v>853959</v>
      </c>
      <c r="EM6" s="96">
        <f t="shared" ref="EM6" si="48">EL6/EL$5</f>
        <v>0.88819630288740059</v>
      </c>
      <c r="EN6" s="99">
        <f>(EL6/DZ6)-1</f>
        <v>-3.2940489011343721E-2</v>
      </c>
      <c r="EO6" s="95">
        <f>+EO7+EO8+EO14+EO15+EO16</f>
        <v>1138658</v>
      </c>
      <c r="EP6" s="96">
        <f t="shared" si="0"/>
        <v>0.90602372442240553</v>
      </c>
      <c r="EQ6" s="99">
        <f t="shared" si="1"/>
        <v>3.0956424911730007E-3</v>
      </c>
      <c r="ER6" s="95">
        <f>+ER7+ER8+ER14+ER15+ER16</f>
        <v>937523</v>
      </c>
      <c r="ES6" s="96">
        <f t="shared" ref="ES6:ES18" si="49">ER6/ER$5</f>
        <v>0.90718404401597375</v>
      </c>
      <c r="ET6" s="99">
        <f>(ER6/EF6)-1</f>
        <v>1.9986900969589438E-2</v>
      </c>
      <c r="EU6" s="95">
        <f>+EU7+EU8+EU14+EU15+EU16</f>
        <v>894524</v>
      </c>
      <c r="EV6" s="96">
        <f t="shared" ref="EV6" si="50">EU6/EU$5</f>
        <v>0.90049427705688712</v>
      </c>
      <c r="EW6" s="99">
        <f>(EU6/EI6)-1</f>
        <v>-5.4520318019333991E-2</v>
      </c>
      <c r="EX6" s="95">
        <f>+EX7+EX8+EX14+EX15+EX16</f>
        <v>820440.75777000003</v>
      </c>
      <c r="EY6" s="96">
        <f t="shared" ref="EY6" si="51">EX6/EX$5</f>
        <v>0.90321125606022123</v>
      </c>
      <c r="EZ6" s="99">
        <f>(EX6/EL6)-1</f>
        <v>-3.925041158884679E-2</v>
      </c>
      <c r="FA6" s="95">
        <f>+FA7+FA8+FA14+FA15+FA16</f>
        <v>1078907.7244600002</v>
      </c>
      <c r="FB6" s="96">
        <f t="shared" ref="FB6" si="52">FA6/FA$5</f>
        <v>0.91337029634922218</v>
      </c>
      <c r="FC6" s="99">
        <f>(FA6/EO6)-1</f>
        <v>-5.2474294775077146E-2</v>
      </c>
      <c r="FD6" s="95">
        <f>+FD7+FD8+FD14+FD15+FD16</f>
        <v>887615.91079999995</v>
      </c>
      <c r="FE6" s="96">
        <f t="shared" ref="FE6:FE18" si="53">FD6/FD$5</f>
        <v>0.89439911345685774</v>
      </c>
      <c r="FF6" s="99">
        <f>(FD6/ER6)-1</f>
        <v>-5.3232922498968049E-2</v>
      </c>
      <c r="FG6" s="95">
        <f>+FG7+FG8+FG14+FG16+FG15</f>
        <v>895743.89769999986</v>
      </c>
      <c r="FH6" s="96">
        <f t="shared" ref="FH6:FH18" si="54">FG6/FG$5</f>
        <v>0.88168985166138925</v>
      </c>
      <c r="FI6" s="99">
        <f>(FG6/EU6)-1</f>
        <v>1.3637394860281926E-3</v>
      </c>
      <c r="FJ6" s="95">
        <f>+FJ7+FJ8+FJ14+FJ16+FJ15</f>
        <v>860448.54084714258</v>
      </c>
      <c r="FK6" s="96">
        <f t="shared" ref="FK6:FK28" si="55">FJ6/FJ$5</f>
        <v>0.8970882236445149</v>
      </c>
      <c r="FL6" s="99">
        <f t="shared" ref="FL6:FL28" si="56">(FJ6/EX6)-1</f>
        <v>4.8763768374801009E-2</v>
      </c>
      <c r="FM6" s="95">
        <f>+FM7+FM8+FM14+FM16+FM15</f>
        <v>1196265</v>
      </c>
      <c r="FN6" s="96">
        <f t="shared" ref="FN6:FN18" si="57">FM6/FM$5</f>
        <v>0.93254209541627686</v>
      </c>
      <c r="FO6" s="99">
        <f t="shared" ref="FO6:FO18" si="58">(FM6/FA6)-1</f>
        <v>0.10877415452627126</v>
      </c>
      <c r="FP6" s="95">
        <f>+FP7+FP8+FP14+FP16+FP15</f>
        <v>1016498.3037357903</v>
      </c>
      <c r="FQ6" s="96">
        <f t="shared" ref="FQ6:FQ28" si="59">FP6/FP$5</f>
        <v>0.93388385281065156</v>
      </c>
      <c r="FR6" s="99">
        <f t="shared" ref="FR6:FR28" si="60">(FP6/FD6)-1</f>
        <v>0.14520063393143756</v>
      </c>
      <c r="FS6" s="95">
        <f>+FS7+FS8+FS14+FS16+FS15</f>
        <v>970846.74260919634</v>
      </c>
      <c r="FT6" s="96">
        <f t="shared" ref="FT6:FT18" si="61">FS6/FS$5</f>
        <v>0.91600571615447535</v>
      </c>
      <c r="FU6" s="99">
        <f t="shared" ref="FU6:FU18" si="62">(FS6/FG6)-1</f>
        <v>8.3844104438822287E-2</v>
      </c>
      <c r="FV6" s="95">
        <f>+FV7+FV8+FV14+FV16+FV15</f>
        <v>909722.981400477</v>
      </c>
      <c r="FW6" s="96">
        <f t="shared" ref="FW6:FW18" si="63">FV6/FV$5</f>
        <v>0.9043823595824384</v>
      </c>
      <c r="FX6" s="99">
        <f t="shared" ref="FX6:FX18" si="64">(FV6/FJ6)-1</f>
        <v>5.7265993507086499E-2</v>
      </c>
      <c r="FY6" s="95">
        <f>+FY7+FY8+FY14+FY16+FY15</f>
        <v>1240413.4859649451</v>
      </c>
      <c r="FZ6" s="96">
        <f t="shared" ref="FZ6:FZ18" si="65">FY6/FY$5</f>
        <v>0.90328382079121627</v>
      </c>
      <c r="GA6" s="99">
        <f t="shared" ref="GA6:GA18" si="66">(FY6/FM6)-1</f>
        <v>3.6905272631854169E-2</v>
      </c>
      <c r="GB6" s="528">
        <f>+GB7+GB8+GB16+GB15+GB14</f>
        <v>958066.78823748929</v>
      </c>
      <c r="GC6" s="96">
        <f t="shared" ref="GC6:GC18" si="67">GB6/GB$5</f>
        <v>0.82910974302526008</v>
      </c>
      <c r="GD6" s="99">
        <f t="shared" ref="GD6:GD18" si="68">(GB6/FP6)-1</f>
        <v>-5.7483141175500241E-2</v>
      </c>
      <c r="GE6" s="528">
        <f>+GE7+GE8+GE16+GE15+GE14</f>
        <v>532699.65403000033</v>
      </c>
      <c r="GF6" s="96">
        <f t="shared" ref="GF6:GF18" si="69">GE6/GE$5</f>
        <v>0.67983956193087602</v>
      </c>
      <c r="GG6" s="99">
        <f t="shared" ref="GG6:GG18" si="70">(GE6/FS6)-1</f>
        <v>-0.45130407236229175</v>
      </c>
      <c r="GH6" s="528">
        <f>+GH7+GH8+GH16+GH15+GH14</f>
        <v>600698.00000000012</v>
      </c>
      <c r="GI6" s="96">
        <f t="shared" ref="GI6:GI18" si="71">GH6/GH$5</f>
        <v>0.70575615556059457</v>
      </c>
      <c r="GJ6" s="99">
        <f t="shared" ref="GJ6" si="72">(GH6/FV6)-1</f>
        <v>-0.33969129913014517</v>
      </c>
      <c r="GK6" s="528">
        <f>+GK7+GK8+GK16+GK15+GK14</f>
        <v>960930.98685999995</v>
      </c>
      <c r="GL6" s="96">
        <f t="shared" ref="GL6:GL18" si="73">GK6/GK$5</f>
        <v>0.82295796862943249</v>
      </c>
      <c r="GM6" s="99">
        <f t="shared" ref="GM6" si="74">(GK6/FY6)-1</f>
        <v>-0.22531397978757828</v>
      </c>
    </row>
    <row r="7" spans="2:195" s="200" customFormat="1" ht="16.5" customHeight="1">
      <c r="B7" s="267" t="s">
        <v>1041</v>
      </c>
      <c r="C7" s="267" t="s">
        <v>383</v>
      </c>
      <c r="D7" s="268">
        <v>228989</v>
      </c>
      <c r="E7" s="269">
        <f t="shared" si="2"/>
        <v>0.79531056806657308</v>
      </c>
      <c r="F7" s="270" t="s">
        <v>112</v>
      </c>
      <c r="G7" s="268">
        <v>235745</v>
      </c>
      <c r="H7" s="269">
        <f t="shared" si="3"/>
        <v>0.7814535510068783</v>
      </c>
      <c r="I7" s="270" t="s">
        <v>112</v>
      </c>
      <c r="J7" s="268">
        <v>225690</v>
      </c>
      <c r="K7" s="269">
        <f t="shared" si="4"/>
        <v>0.77640210948546029</v>
      </c>
      <c r="L7" s="270" t="s">
        <v>112</v>
      </c>
      <c r="M7" s="268">
        <v>400149</v>
      </c>
      <c r="N7" s="269">
        <f t="shared" si="5"/>
        <v>0.90011337205378872</v>
      </c>
      <c r="O7" s="270" t="s">
        <v>112</v>
      </c>
      <c r="P7" s="268">
        <v>303242</v>
      </c>
      <c r="Q7" s="269">
        <f t="shared" si="6"/>
        <v>0.80253536409469239</v>
      </c>
      <c r="R7" s="271">
        <f>(P7/D7)-1</f>
        <v>0.3242644843202076</v>
      </c>
      <c r="S7" s="268">
        <v>330999</v>
      </c>
      <c r="T7" s="269">
        <f t="shared" si="7"/>
        <v>0.79764369076393293</v>
      </c>
      <c r="U7" s="271">
        <f>(S7/G7)-1</f>
        <v>0.40405522916710845</v>
      </c>
      <c r="V7" s="268">
        <v>322507</v>
      </c>
      <c r="W7" s="269">
        <f t="shared" si="8"/>
        <v>0.80723214241018015</v>
      </c>
      <c r="X7" s="271">
        <f>(V7/J7)-1</f>
        <v>0.42898223226549681</v>
      </c>
      <c r="Y7" s="268">
        <v>526961</v>
      </c>
      <c r="Z7" s="269">
        <f t="shared" si="9"/>
        <v>0.90326932273784566</v>
      </c>
      <c r="AA7" s="271">
        <f>(Y7/M7)-1</f>
        <v>0.31691195029851382</v>
      </c>
      <c r="AB7" s="268">
        <v>391654</v>
      </c>
      <c r="AC7" s="269">
        <f t="shared" si="10"/>
        <v>0.87161284005127471</v>
      </c>
      <c r="AD7" s="272">
        <f>(AB7/P7)-1</f>
        <v>0.29155591903496214</v>
      </c>
      <c r="AE7" s="268">
        <v>422183</v>
      </c>
      <c r="AF7" s="269">
        <f t="shared" si="11"/>
        <v>0.87694448771875166</v>
      </c>
      <c r="AG7" s="272">
        <f>(AE7/S7)-1</f>
        <v>0.2754811948072351</v>
      </c>
      <c r="AH7" s="268">
        <v>382243</v>
      </c>
      <c r="AI7" s="269">
        <f t="shared" si="12"/>
        <v>0.85864115443019773</v>
      </c>
      <c r="AJ7" s="272">
        <f>(AH7/V7)-1</f>
        <v>0.18522388661331379</v>
      </c>
      <c r="AK7" s="268">
        <v>586019</v>
      </c>
      <c r="AL7" s="269">
        <f t="shared" si="13"/>
        <v>0.98097702813772736</v>
      </c>
      <c r="AM7" s="272">
        <f>(AK7/Y7)-1</f>
        <v>0.11207280994229185</v>
      </c>
      <c r="AN7" s="268">
        <v>452495</v>
      </c>
      <c r="AO7" s="269">
        <f t="shared" si="14"/>
        <v>0.87441599428841432</v>
      </c>
      <c r="AP7" s="272">
        <f>(AN7/AB7)-1</f>
        <v>0.15534374728714639</v>
      </c>
      <c r="AQ7" s="268">
        <v>467379</v>
      </c>
      <c r="AR7" s="269">
        <f t="shared" si="15"/>
        <v>0.87894501468383068</v>
      </c>
      <c r="AS7" s="272">
        <f>(AQ7/AE7)-1</f>
        <v>0.1070531025645276</v>
      </c>
      <c r="AT7" s="268">
        <v>408670</v>
      </c>
      <c r="AU7" s="269">
        <f t="shared" si="16"/>
        <v>0.8341194601896198</v>
      </c>
      <c r="AV7" s="272">
        <f>(AT7/AH7)-1</f>
        <v>6.9136648676365597E-2</v>
      </c>
      <c r="AW7" s="268">
        <v>563390</v>
      </c>
      <c r="AX7" s="269">
        <f t="shared" si="17"/>
        <v>0.95028358445747962</v>
      </c>
      <c r="AY7" s="272">
        <f>(AW7/AK7)-1</f>
        <v>-3.8614788940290357E-2</v>
      </c>
      <c r="AZ7" s="268">
        <v>409653</v>
      </c>
      <c r="BA7" s="269">
        <f t="shared" si="18"/>
        <v>0.85693176337673993</v>
      </c>
      <c r="BB7" s="272">
        <f>(AZ7/AN7)-1</f>
        <v>-9.4679499220985841E-2</v>
      </c>
      <c r="BC7" s="268">
        <v>452210</v>
      </c>
      <c r="BD7" s="269">
        <f t="shared" si="19"/>
        <v>0.87709688918879325</v>
      </c>
      <c r="BE7" s="272">
        <f>(BC7/AQ7)-1</f>
        <v>-3.2455459059992031E-2</v>
      </c>
      <c r="BF7" s="268">
        <v>411474</v>
      </c>
      <c r="BG7" s="269">
        <f t="shared" si="20"/>
        <v>0.86908342002017291</v>
      </c>
      <c r="BH7" s="272">
        <f>(BF7/AT7)-1</f>
        <v>6.861281718746115E-3</v>
      </c>
      <c r="BI7" s="268">
        <v>617742</v>
      </c>
      <c r="BJ7" s="269">
        <f t="shared" si="21"/>
        <v>0.98852037622866573</v>
      </c>
      <c r="BK7" s="272">
        <f>(BI7/AW7)-1</f>
        <v>9.6473135838406776E-2</v>
      </c>
      <c r="BL7" s="268">
        <v>466022</v>
      </c>
      <c r="BM7" s="269">
        <f t="shared" si="22"/>
        <v>0.88965366236574284</v>
      </c>
      <c r="BN7" s="272">
        <f>(BL7/AZ7)-1</f>
        <v>0.13760182398273657</v>
      </c>
      <c r="BO7" s="268">
        <v>501286</v>
      </c>
      <c r="BP7" s="269">
        <f t="shared" si="23"/>
        <v>0.89618901146569663</v>
      </c>
      <c r="BQ7" s="272">
        <f>(BO7/BC7)-1</f>
        <v>0.10852480042458157</v>
      </c>
      <c r="BR7" s="268">
        <v>459199</v>
      </c>
      <c r="BS7" s="269">
        <f t="shared" si="24"/>
        <v>0.88179376273620702</v>
      </c>
      <c r="BT7" s="272">
        <f>(BR7/BF7)-1</f>
        <v>0.11598545716132724</v>
      </c>
      <c r="BU7" s="268">
        <v>668844</v>
      </c>
      <c r="BV7" s="269">
        <f t="shared" si="25"/>
        <v>0.96844271419959183</v>
      </c>
      <c r="BW7" s="272">
        <f>(BU7/BI7)-1</f>
        <v>8.2723855590197903E-2</v>
      </c>
      <c r="BX7" s="268">
        <v>527709</v>
      </c>
      <c r="BY7" s="269">
        <f t="shared" si="26"/>
        <v>0.87308404669829387</v>
      </c>
      <c r="BZ7" s="272">
        <f>(BX7/BL7)-1</f>
        <v>0.13236928728686626</v>
      </c>
      <c r="CA7" s="268">
        <v>564831</v>
      </c>
      <c r="CB7" s="269">
        <f t="shared" si="27"/>
        <v>0.87473112004979403</v>
      </c>
      <c r="CC7" s="272">
        <f>(CA7/BO7)-1</f>
        <v>0.12676396308694038</v>
      </c>
      <c r="CD7" s="268">
        <v>492888</v>
      </c>
      <c r="CE7" s="269">
        <f t="shared" si="28"/>
        <v>0.83938995457768928</v>
      </c>
      <c r="CF7" s="272">
        <f>(CD7/BR7)-1</f>
        <v>7.3364706804674995E-2</v>
      </c>
      <c r="CG7" s="268">
        <v>730301</v>
      </c>
      <c r="CH7" s="269">
        <f t="shared" si="29"/>
        <v>0.91704076135751478</v>
      </c>
      <c r="CI7" s="272">
        <f>(CG7/BU7)-1</f>
        <v>9.188540227616615E-2</v>
      </c>
      <c r="CJ7" s="268">
        <v>573185</v>
      </c>
      <c r="CK7" s="269">
        <f t="shared" si="30"/>
        <v>0.84705598961989359</v>
      </c>
      <c r="CL7" s="272">
        <f>(CJ7/BX7)-1</f>
        <v>8.6176282761901035E-2</v>
      </c>
      <c r="CM7" s="268">
        <v>609367</v>
      </c>
      <c r="CN7" s="269">
        <f t="shared" si="31"/>
        <v>0.8456899949483454</v>
      </c>
      <c r="CO7" s="272">
        <f>(CM7/CA7)-1</f>
        <v>7.8848363492797002E-2</v>
      </c>
      <c r="CP7" s="268">
        <v>573034</v>
      </c>
      <c r="CQ7" s="269">
        <f t="shared" si="32"/>
        <v>0.82093475454447096</v>
      </c>
      <c r="CR7" s="272">
        <f>(CP7/CD7)-1</f>
        <v>0.16260489198357431</v>
      </c>
      <c r="CS7" s="268">
        <v>846003</v>
      </c>
      <c r="CT7" s="269">
        <f t="shared" si="33"/>
        <v>0.90716399665444247</v>
      </c>
      <c r="CU7" s="272">
        <f t="shared" ref="CU7:CU13" si="75">(CS7/CG7)-1</f>
        <v>0.15843056493144614</v>
      </c>
      <c r="CV7" s="268">
        <v>682134</v>
      </c>
      <c r="CW7" s="269">
        <f t="shared" si="34"/>
        <v>0.84069293117333066</v>
      </c>
      <c r="CX7" s="272">
        <f>(CV7/CJ7)-1</f>
        <v>0.19007650235089901</v>
      </c>
      <c r="CY7" s="268">
        <v>685508</v>
      </c>
      <c r="CZ7" s="269">
        <f t="shared" si="35"/>
        <v>0.83178995651417276</v>
      </c>
      <c r="DA7" s="272">
        <f>(CY7/CM7)-1</f>
        <v>0.12495097371534714</v>
      </c>
      <c r="DB7" s="268">
        <v>649297</v>
      </c>
      <c r="DC7" s="269">
        <f t="shared" si="36"/>
        <v>0.81860774577078033</v>
      </c>
      <c r="DD7" s="272">
        <f>(DB7/CP7)-1</f>
        <v>0.13308634391676577</v>
      </c>
      <c r="DE7" s="268">
        <v>962205</v>
      </c>
      <c r="DF7" s="269">
        <f t="shared" si="37"/>
        <v>0.90621851722949309</v>
      </c>
      <c r="DG7" s="272">
        <f>(DE7/CS7)-1</f>
        <v>0.13735412285772042</v>
      </c>
      <c r="DH7" s="268">
        <v>751806</v>
      </c>
      <c r="DI7" s="269">
        <f t="shared" si="38"/>
        <v>0.83418657085095271</v>
      </c>
      <c r="DJ7" s="272">
        <f t="shared" ref="DJ7:DJ12" si="76">(DH7/CV7)-1</f>
        <v>0.10213828954428306</v>
      </c>
      <c r="DK7" s="268">
        <v>754344</v>
      </c>
      <c r="DL7" s="269">
        <f t="shared" si="39"/>
        <v>0.81178597563600363</v>
      </c>
      <c r="DM7" s="272">
        <f t="shared" ref="DM7:DM13" si="77">(DK7/CY7)-1</f>
        <v>0.1004160418259159</v>
      </c>
      <c r="DN7" s="268">
        <v>712816</v>
      </c>
      <c r="DO7" s="269">
        <f t="shared" si="40"/>
        <v>0.81173666523560672</v>
      </c>
      <c r="DP7" s="272">
        <f t="shared" ref="DP7:DP13" si="78">(DN7/DB7)-1</f>
        <v>9.7827342495036884E-2</v>
      </c>
      <c r="DQ7" s="268">
        <v>1093959</v>
      </c>
      <c r="DR7" s="269">
        <f t="shared" si="41"/>
        <v>0.90761479185472305</v>
      </c>
      <c r="DS7" s="272">
        <f>(DQ7/DE7)-1</f>
        <v>0.13692924065038126</v>
      </c>
      <c r="DT7" s="268">
        <v>843665</v>
      </c>
      <c r="DU7" s="269">
        <f t="shared" si="42"/>
        <v>0.8273594009265397</v>
      </c>
      <c r="DV7" s="272">
        <f>(DT7/DH7)-1</f>
        <v>0.12218444651944793</v>
      </c>
      <c r="DW7" s="268">
        <v>865661</v>
      </c>
      <c r="DX7" s="269">
        <f t="shared" si="43"/>
        <v>0.81864659413543295</v>
      </c>
      <c r="DY7" s="272">
        <f>(DW7/DK7)-1</f>
        <v>0.14756795308241344</v>
      </c>
      <c r="DZ7" s="268">
        <v>803961</v>
      </c>
      <c r="EA7" s="269">
        <f t="shared" si="44"/>
        <v>0.81150638638056649</v>
      </c>
      <c r="EB7" s="272">
        <f t="shared" ref="EB7:EB13" si="79">(DZ7/DN7)-1</f>
        <v>0.1278660972817669</v>
      </c>
      <c r="EC7" s="268">
        <v>1145202</v>
      </c>
      <c r="ED7" s="269">
        <f t="shared" si="45"/>
        <v>0.90136763330804182</v>
      </c>
      <c r="EE7" s="272">
        <f t="shared" ref="EE7:EE13" si="80">(EC7/DQ7)-1</f>
        <v>4.684179205984873E-2</v>
      </c>
      <c r="EF7" s="268">
        <v>844712</v>
      </c>
      <c r="EG7" s="269">
        <f t="shared" si="46"/>
        <v>0.83048904462180695</v>
      </c>
      <c r="EH7" s="272">
        <f t="shared" ref="EH7:EH13" si="81">(EF7/DT7)-1</f>
        <v>1.2410139095493378E-3</v>
      </c>
      <c r="EI7" s="268">
        <v>882444</v>
      </c>
      <c r="EJ7" s="269">
        <f>EI7/EI$5</f>
        <v>0.83066687250313465</v>
      </c>
      <c r="EK7" s="272">
        <f>(EI7/DW7)-1</f>
        <v>1.9387496953195305E-2</v>
      </c>
      <c r="EL7" s="268">
        <v>781502</v>
      </c>
      <c r="EM7" s="269">
        <f>EL7/EL$5</f>
        <v>0.81283432471478068</v>
      </c>
      <c r="EN7" s="272">
        <f>(EL7/DZ7)-1</f>
        <v>-2.7935434679045357E-2</v>
      </c>
      <c r="EO7" s="268">
        <v>1148901</v>
      </c>
      <c r="EP7" s="269">
        <f t="shared" si="0"/>
        <v>0.91417402153467153</v>
      </c>
      <c r="EQ7" s="272">
        <f t="shared" si="1"/>
        <v>3.2299978519072514E-3</v>
      </c>
      <c r="ER7" s="268">
        <v>876059</v>
      </c>
      <c r="ES7" s="269">
        <f t="shared" si="49"/>
        <v>0.84770906571528382</v>
      </c>
      <c r="ET7" s="272">
        <f t="shared" ref="ET7:ET13" si="82">(ER7/EF7)-1</f>
        <v>3.710968945628812E-2</v>
      </c>
      <c r="EU7" s="268">
        <v>827329</v>
      </c>
      <c r="EV7" s="269">
        <f>EU7/EU$5</f>
        <v>0.83285080080936613</v>
      </c>
      <c r="EW7" s="272">
        <f>(EU7/EI7)-1</f>
        <v>-6.245722108145102E-2</v>
      </c>
      <c r="EX7" s="268">
        <v>746257</v>
      </c>
      <c r="EY7" s="269">
        <f>EX7/EX$5</f>
        <v>0.82154343982833611</v>
      </c>
      <c r="EZ7" s="272">
        <f>(EX7/EL7)-1</f>
        <v>-4.5099052849512877E-2</v>
      </c>
      <c r="FA7" s="268">
        <v>1068644.8819900001</v>
      </c>
      <c r="FB7" s="269">
        <f>FA7/FA$5</f>
        <v>0.90468208765843638</v>
      </c>
      <c r="FC7" s="272">
        <f>(FA7/EO7)-1</f>
        <v>-6.9854685486390733E-2</v>
      </c>
      <c r="FD7" s="268">
        <v>815639.35074000002</v>
      </c>
      <c r="FE7" s="269">
        <f t="shared" si="53"/>
        <v>0.82187250512993293</v>
      </c>
      <c r="FF7" s="272">
        <f t="shared" ref="FF7:FF13" si="83">(FD7/ER7)-1</f>
        <v>-6.8967557276393476E-2</v>
      </c>
      <c r="FG7" s="268">
        <v>831342.23376999993</v>
      </c>
      <c r="FH7" s="269">
        <f t="shared" si="54"/>
        <v>0.81829863720490448</v>
      </c>
      <c r="FI7" s="272">
        <f t="shared" ref="FI7:FI13" si="84">(FG7/EU7)-1</f>
        <v>4.8508317368300968E-3</v>
      </c>
      <c r="FJ7" s="268">
        <v>793044</v>
      </c>
      <c r="FK7" s="269">
        <f t="shared" si="55"/>
        <v>0.82681345770138892</v>
      </c>
      <c r="FL7" s="272">
        <f t="shared" si="56"/>
        <v>6.2695559304636328E-2</v>
      </c>
      <c r="FM7" s="268">
        <v>1159662</v>
      </c>
      <c r="FN7" s="269">
        <f t="shared" si="57"/>
        <v>0.90400841908325535</v>
      </c>
      <c r="FO7" s="272">
        <f t="shared" si="58"/>
        <v>8.5170592723478267E-2</v>
      </c>
      <c r="FP7" s="268">
        <v>909106.39190579031</v>
      </c>
      <c r="FQ7" s="269">
        <f t="shared" si="59"/>
        <v>0.83522006555993511</v>
      </c>
      <c r="FR7" s="272">
        <f t="shared" si="60"/>
        <v>0.11459358977836342</v>
      </c>
      <c r="FS7" s="268">
        <f>843035.341417545-FS14</f>
        <v>859195.34141754499</v>
      </c>
      <c r="FT7" s="269">
        <f t="shared" si="61"/>
        <v>0.81066126041335096</v>
      </c>
      <c r="FU7" s="272">
        <f t="shared" si="62"/>
        <v>3.3503780412112327E-2</v>
      </c>
      <c r="FV7" s="268">
        <v>803492.87535040488</v>
      </c>
      <c r="FW7" s="269">
        <f t="shared" si="63"/>
        <v>0.7987758882362298</v>
      </c>
      <c r="FX7" s="272">
        <f t="shared" si="64"/>
        <v>1.3175656521460244E-2</v>
      </c>
      <c r="FY7" s="466">
        <v>1191363.3265114273</v>
      </c>
      <c r="FZ7" s="269">
        <f t="shared" si="65"/>
        <v>0.86756491258608248</v>
      </c>
      <c r="GA7" s="272">
        <f t="shared" si="66"/>
        <v>2.7336695098595376E-2</v>
      </c>
      <c r="GB7" s="466">
        <v>827531.09335561388</v>
      </c>
      <c r="GC7" s="269">
        <f t="shared" si="67"/>
        <v>0.71614432373728099</v>
      </c>
      <c r="GD7" s="272">
        <f t="shared" si="68"/>
        <v>-8.973130018277331E-2</v>
      </c>
      <c r="GE7" s="466">
        <v>419006.3373721487</v>
      </c>
      <c r="GF7" s="269">
        <f t="shared" si="69"/>
        <v>0.53474238755428216</v>
      </c>
      <c r="GG7" s="272">
        <f>(GE7/FS7)-1</f>
        <v>-0.51232703766660292</v>
      </c>
      <c r="GH7" s="466">
        <v>586133.33742305951</v>
      </c>
      <c r="GI7" s="269">
        <f t="shared" si="71"/>
        <v>0.68864422865666142</v>
      </c>
      <c r="GJ7" s="272">
        <f>(GH7/FV7)-1</f>
        <v>-0.27051831397080461</v>
      </c>
      <c r="GK7" s="466">
        <v>947498.55889773357</v>
      </c>
      <c r="GL7" s="269">
        <f t="shared" si="73"/>
        <v>0.81145420427928927</v>
      </c>
      <c r="GM7" s="272">
        <f>(GK7/FY7)-1</f>
        <v>-0.20469386809797407</v>
      </c>
    </row>
    <row r="8" spans="2:195" s="23" customFormat="1" ht="16.5" customHeight="1">
      <c r="B8" s="267" t="s">
        <v>1042</v>
      </c>
      <c r="C8" s="267" t="s">
        <v>1037</v>
      </c>
      <c r="D8" s="268">
        <v>58935</v>
      </c>
      <c r="E8" s="269">
        <f t="shared" si="2"/>
        <v>0.20468943193342687</v>
      </c>
      <c r="F8" s="270" t="s">
        <v>112</v>
      </c>
      <c r="G8" s="268">
        <v>65930</v>
      </c>
      <c r="H8" s="269">
        <f t="shared" si="3"/>
        <v>0.21854644899312173</v>
      </c>
      <c r="I8" s="270" t="s">
        <v>112</v>
      </c>
      <c r="J8" s="268">
        <v>64997</v>
      </c>
      <c r="K8" s="269">
        <f t="shared" si="4"/>
        <v>0.22359789051453968</v>
      </c>
      <c r="L8" s="270" t="s">
        <v>112</v>
      </c>
      <c r="M8" s="268">
        <v>44405</v>
      </c>
      <c r="N8" s="269">
        <f t="shared" si="5"/>
        <v>9.9886627946211254E-2</v>
      </c>
      <c r="O8" s="270" t="s">
        <v>112</v>
      </c>
      <c r="P8" s="268">
        <v>74613</v>
      </c>
      <c r="Q8" s="269">
        <f t="shared" si="6"/>
        <v>0.19746463590530758</v>
      </c>
      <c r="R8" s="271">
        <f>(P8/D8)-1</f>
        <v>0.26602188852125219</v>
      </c>
      <c r="S8" s="268">
        <v>83972</v>
      </c>
      <c r="T8" s="269">
        <f t="shared" si="7"/>
        <v>0.20235630923606709</v>
      </c>
      <c r="U8" s="271">
        <f>(S8/G8)-1</f>
        <v>0.27365387532231145</v>
      </c>
      <c r="V8" s="268">
        <v>77015</v>
      </c>
      <c r="W8" s="11" t="s">
        <v>112</v>
      </c>
      <c r="X8" s="271">
        <f>(V8/J8)-1</f>
        <v>0.18490084157730347</v>
      </c>
      <c r="Y8" s="268">
        <v>56432</v>
      </c>
      <c r="Z8" s="269">
        <f t="shared" si="9"/>
        <v>9.6730677262154327E-2</v>
      </c>
      <c r="AA8" s="271">
        <f>(Y8/M8)</f>
        <v>1.2708478774912735</v>
      </c>
      <c r="AB8" s="268">
        <v>88508</v>
      </c>
      <c r="AC8" s="269">
        <f t="shared" si="10"/>
        <v>0.19697158524426719</v>
      </c>
      <c r="AD8" s="272">
        <f>(AB8/P8)-1</f>
        <v>0.18622760108828218</v>
      </c>
      <c r="AE8" s="268">
        <v>98408</v>
      </c>
      <c r="AF8" s="269">
        <f t="shared" si="11"/>
        <v>0.20440982499870178</v>
      </c>
      <c r="AG8" s="272">
        <f>(AE8/S8)-1</f>
        <v>0.17191444767303388</v>
      </c>
      <c r="AH8" s="268">
        <v>98172</v>
      </c>
      <c r="AI8" s="269">
        <f t="shared" si="12"/>
        <v>0.22052599893973565</v>
      </c>
      <c r="AJ8" s="272">
        <f>(AH8/V8)-1</f>
        <v>0.27471271830162958</v>
      </c>
      <c r="AK8" s="268">
        <v>74472</v>
      </c>
      <c r="AL8" s="269">
        <f t="shared" si="13"/>
        <v>0.12466374168665663</v>
      </c>
      <c r="AM8" s="272">
        <f>(AK8/Y8)-1</f>
        <v>0.31967677913240711</v>
      </c>
      <c r="AN8" s="268">
        <v>103084</v>
      </c>
      <c r="AO8" s="269">
        <f t="shared" si="14"/>
        <v>0.19920286048514771</v>
      </c>
      <c r="AP8" s="272">
        <f>(AN8/AB8)-1</f>
        <v>0.16468567813079038</v>
      </c>
      <c r="AQ8" s="268">
        <v>110212</v>
      </c>
      <c r="AR8" s="269">
        <f t="shared" si="15"/>
        <v>0.20726281659709644</v>
      </c>
      <c r="AS8" s="272">
        <f>(AQ8/AE8)-1</f>
        <v>0.1199495975936915</v>
      </c>
      <c r="AT8" s="268">
        <v>112886</v>
      </c>
      <c r="AU8" s="269">
        <f t="shared" si="16"/>
        <v>0.23040695275641818</v>
      </c>
      <c r="AV8" s="272">
        <f>(AT8/AH8)-1</f>
        <v>0.14987980279509427</v>
      </c>
      <c r="AW8" s="268">
        <f>SUM(AW10:AW13)</f>
        <v>84431</v>
      </c>
      <c r="AX8" s="269">
        <f t="shared" si="17"/>
        <v>0.14241181653797452</v>
      </c>
      <c r="AY8" s="272">
        <f>(AW8/AK8)-1</f>
        <v>0.13372811257922446</v>
      </c>
      <c r="AZ8" s="268">
        <v>106692</v>
      </c>
      <c r="BA8" s="269">
        <f t="shared" si="18"/>
        <v>0.22318343500033233</v>
      </c>
      <c r="BB8" s="272">
        <f>(AZ8/AN8)-1</f>
        <v>3.5000582049590667E-2</v>
      </c>
      <c r="BC8" s="268">
        <v>107472</v>
      </c>
      <c r="BD8" s="269">
        <f t="shared" si="19"/>
        <v>0.20845040329691514</v>
      </c>
      <c r="BE8" s="272">
        <f>(BC8/AQ8)-1</f>
        <v>-2.4861176641382099E-2</v>
      </c>
      <c r="BF8" s="268">
        <v>100551</v>
      </c>
      <c r="BG8" s="269">
        <f t="shared" si="20"/>
        <v>0.21237601152551169</v>
      </c>
      <c r="BH8" s="272">
        <f>(BF8/AT8)-1</f>
        <v>-0.10926952855092753</v>
      </c>
      <c r="BI8" s="268">
        <f>SUM(BI10:BI13)</f>
        <v>68503</v>
      </c>
      <c r="BJ8" s="269">
        <f t="shared" si="21"/>
        <v>0.10961956825469579</v>
      </c>
      <c r="BK8" s="272">
        <f>(BI8/AW8)-1</f>
        <v>-0.18865108787056883</v>
      </c>
      <c r="BL8" s="268">
        <f>SUM(BL10:BL13)</f>
        <v>99602</v>
      </c>
      <c r="BM8" s="269">
        <f t="shared" si="22"/>
        <v>0.1901439933714561</v>
      </c>
      <c r="BN8" s="272">
        <f>(BL8/AZ8)-1</f>
        <v>-6.6452967420237652E-2</v>
      </c>
      <c r="BO8" s="268">
        <f>SUM(BO10:BO13)</f>
        <v>105782</v>
      </c>
      <c r="BP8" s="269">
        <f t="shared" si="23"/>
        <v>0.18911492842581745</v>
      </c>
      <c r="BQ8" s="272">
        <f>(BO8/BC8)-1</f>
        <v>-1.5725026053297619E-2</v>
      </c>
      <c r="BR8" s="268">
        <f>SUM(BR10:BR13)</f>
        <v>104039</v>
      </c>
      <c r="BS8" s="269">
        <f t="shared" si="24"/>
        <v>0.19978471486504162</v>
      </c>
      <c r="BT8" s="272">
        <f>(BR8/BF8)-1</f>
        <v>3.4688864357390825E-2</v>
      </c>
      <c r="BU8" s="268">
        <f>SUM(BU10:BU13)</f>
        <v>77442</v>
      </c>
      <c r="BV8" s="269">
        <f t="shared" si="25"/>
        <v>0.11213099119233302</v>
      </c>
      <c r="BW8" s="272">
        <f t="shared" ref="BW8:BW13" si="85">(BU8/BI8)-1</f>
        <v>0.13049063544662287</v>
      </c>
      <c r="BX8" s="268">
        <f>SUM(BX10:BX13)</f>
        <v>113995</v>
      </c>
      <c r="BY8" s="269">
        <f t="shared" si="26"/>
        <v>0.18860246064283914</v>
      </c>
      <c r="BZ8" s="272">
        <f t="shared" ref="BZ8:BZ13" si="86">(BX8/BL8)-1</f>
        <v>0.14450513041906787</v>
      </c>
      <c r="CA8" s="268">
        <f>SUM(CA10:CA13)</f>
        <v>124144</v>
      </c>
      <c r="CB8" s="269">
        <f t="shared" si="27"/>
        <v>0.19225683464162133</v>
      </c>
      <c r="CC8" s="272">
        <f t="shared" ref="CC8:CC13" si="87">(CA8/BO8)-1</f>
        <v>0.17358340738499933</v>
      </c>
      <c r="CD8" s="268">
        <f>SUM(CD10:CD13)</f>
        <v>130559</v>
      </c>
      <c r="CE8" s="269">
        <f t="shared" si="28"/>
        <v>0.22234242480991329</v>
      </c>
      <c r="CF8" s="272">
        <f t="shared" ref="CF8:CF13" si="88">(CD8/BR8)-1</f>
        <v>0.25490441084593285</v>
      </c>
      <c r="CG8" s="268">
        <f>SUM(CG10:CG13)</f>
        <v>98076</v>
      </c>
      <c r="CH8" s="269">
        <f t="shared" si="29"/>
        <v>0.12315427434838461</v>
      </c>
      <c r="CI8" s="272">
        <f t="shared" ref="CI8:CI13" si="89">(CG8/BU8)-1</f>
        <v>0.26644456496474778</v>
      </c>
      <c r="CJ8" s="268">
        <f>SUM(CJ10:CJ13)</f>
        <v>126715</v>
      </c>
      <c r="CK8" s="269">
        <f t="shared" si="30"/>
        <v>0.1872601336822925</v>
      </c>
      <c r="CL8" s="272">
        <f t="shared" ref="CL8:CL13" si="90">(CJ8/BX8)-1</f>
        <v>0.11158384139655242</v>
      </c>
      <c r="CM8" s="268">
        <f>SUM(CM10:CM13)</f>
        <v>134847</v>
      </c>
      <c r="CN8" s="269">
        <f t="shared" si="31"/>
        <v>0.18714298402899981</v>
      </c>
      <c r="CO8" s="272">
        <f t="shared" ref="CO8:CO13" si="91">(CM8/CA8)-1</f>
        <v>8.6214396185075426E-2</v>
      </c>
      <c r="CP8" s="268">
        <f>SUM(CP10:CP13)</f>
        <v>141705</v>
      </c>
      <c r="CQ8" s="269">
        <f t="shared" si="32"/>
        <v>0.20300812760276749</v>
      </c>
      <c r="CR8" s="272">
        <f t="shared" ref="CR8:CR13" si="92">(CP8/CD8)-1</f>
        <v>8.5371364670378869E-2</v>
      </c>
      <c r="CS8" s="268">
        <f>SUM(CS10:CS13)</f>
        <v>111185</v>
      </c>
      <c r="CT8" s="269">
        <f t="shared" si="33"/>
        <v>0.119223015719831</v>
      </c>
      <c r="CU8" s="272">
        <f t="shared" si="75"/>
        <v>0.13366165014886411</v>
      </c>
      <c r="CV8" s="268">
        <f>SUM(CV10:CV13)</f>
        <v>147506</v>
      </c>
      <c r="CW8" s="269">
        <f t="shared" si="34"/>
        <v>0.1817930956463881</v>
      </c>
      <c r="CX8" s="272">
        <f t="shared" ref="CX8:CX13" si="93">(CV8/CJ8)-1</f>
        <v>0.16407686540662114</v>
      </c>
      <c r="CY8" s="268">
        <f>SUM(CY10:CY13)</f>
        <v>156029</v>
      </c>
      <c r="CZ8" s="269">
        <f t="shared" si="35"/>
        <v>0.18932434796523143</v>
      </c>
      <c r="DA8" s="272">
        <f t="shared" ref="DA8:DA13" si="94">(CY8/CM8)-1</f>
        <v>0.15708172966398948</v>
      </c>
      <c r="DB8" s="268">
        <f>SUM(DB10:DB13)</f>
        <v>161133</v>
      </c>
      <c r="DC8" s="269">
        <f t="shared" si="36"/>
        <v>0.20315005598252131</v>
      </c>
      <c r="DD8" s="272">
        <f t="shared" ref="DD8:DD12" si="95">(DB8/CP8)-1</f>
        <v>0.13710172541547583</v>
      </c>
      <c r="DE8" s="268">
        <f>SUM(DE10:DE13)</f>
        <v>126741</v>
      </c>
      <c r="DF8" s="269">
        <f t="shared" si="37"/>
        <v>0.1193664978795404</v>
      </c>
      <c r="DG8" s="272">
        <f t="shared" ref="DG8:DG13" si="96">(DE8/CS8)-1</f>
        <v>0.13991095921212393</v>
      </c>
      <c r="DH8" s="268">
        <f>SUM(DH10:DH13)</f>
        <v>170065</v>
      </c>
      <c r="DI8" s="269">
        <f t="shared" si="38"/>
        <v>0.18870019549161257</v>
      </c>
      <c r="DJ8" s="272">
        <f t="shared" si="76"/>
        <v>0.15293615174975939</v>
      </c>
      <c r="DK8" s="268">
        <f>SUM(DK10:DK13)</f>
        <v>195408</v>
      </c>
      <c r="DL8" s="269">
        <f t="shared" si="39"/>
        <v>0.21028797727174894</v>
      </c>
      <c r="DM8" s="272">
        <f t="shared" si="77"/>
        <v>0.25238256990687624</v>
      </c>
      <c r="DN8" s="268">
        <f>SUM(DN10:DN13)</f>
        <v>185433</v>
      </c>
      <c r="DO8" s="269">
        <f t="shared" si="40"/>
        <v>0.21116636697918434</v>
      </c>
      <c r="DP8" s="272">
        <f t="shared" si="78"/>
        <v>0.15080709724265051</v>
      </c>
      <c r="DQ8" s="268">
        <f>SUM(DQ10:DQ13)</f>
        <v>144408</v>
      </c>
      <c r="DR8" s="269">
        <f t="shared" si="41"/>
        <v>0.11980964264854245</v>
      </c>
      <c r="DS8" s="272">
        <f t="shared" ref="DS8:DS13" si="97">(DQ8/DE8)-1</f>
        <v>0.13939451321987351</v>
      </c>
      <c r="DT8" s="268">
        <f>SUM(DT10:DT13)</f>
        <v>200366</v>
      </c>
      <c r="DU8" s="269">
        <f t="shared" si="42"/>
        <v>0.19649350598406604</v>
      </c>
      <c r="DV8" s="272">
        <f t="shared" ref="DV8:DV13" si="98">(DT8/DH8)-1</f>
        <v>0.17817305148031637</v>
      </c>
      <c r="DW8" s="268">
        <f>SUM(DW10:DW13)</f>
        <v>216985.42827999988</v>
      </c>
      <c r="DX8" s="269">
        <f t="shared" si="43"/>
        <v>0.2052008601963588</v>
      </c>
      <c r="DY8" s="272">
        <f t="shared" ref="DY8:DY13" si="99">(DW8/DK8)-1</f>
        <v>0.11042244063702555</v>
      </c>
      <c r="DZ8" s="268">
        <f>SUM(DZ10:DZ13)</f>
        <v>210900</v>
      </c>
      <c r="EA8" s="269">
        <f t="shared" si="44"/>
        <v>0.21287935221691284</v>
      </c>
      <c r="EB8" s="272">
        <f t="shared" si="79"/>
        <v>0.13733801426930481</v>
      </c>
      <c r="EC8" s="268">
        <f>SUM(EC10:EC13)</f>
        <v>162231</v>
      </c>
      <c r="ED8" s="269">
        <f t="shared" si="45"/>
        <v>0.12768906491535723</v>
      </c>
      <c r="EE8" s="272">
        <f t="shared" si="80"/>
        <v>0.12342114010304139</v>
      </c>
      <c r="EF8" s="268">
        <f>SUM(EF10:EF13)</f>
        <v>199965</v>
      </c>
      <c r="EG8" s="269">
        <f t="shared" si="46"/>
        <v>0.19659806159708826</v>
      </c>
      <c r="EH8" s="272">
        <f t="shared" si="81"/>
        <v>-2.0013375522793808E-3</v>
      </c>
      <c r="EI8" s="268">
        <f>SUM(EI10:EI13)</f>
        <v>209007</v>
      </c>
      <c r="EJ8" s="269">
        <f>EI8/EI$5</f>
        <v>0.1967435792200555</v>
      </c>
      <c r="EK8" s="272">
        <f>(EI8/DW8)-1</f>
        <v>-3.6769419694415828E-2</v>
      </c>
      <c r="EL8" s="268">
        <f>SUM(EL10:EL13)</f>
        <v>205413</v>
      </c>
      <c r="EM8" s="269">
        <f>EL8/EL$5</f>
        <v>0.21364850907948699</v>
      </c>
      <c r="EN8" s="272">
        <f>(EL8/DZ8)-1</f>
        <v>-2.601706970128026E-2</v>
      </c>
      <c r="EO8" s="268">
        <f>SUM(EO10:EO13)</f>
        <v>147040</v>
      </c>
      <c r="EP8" s="269">
        <f t="shared" si="0"/>
        <v>0.11699889557625776</v>
      </c>
      <c r="EQ8" s="272">
        <f t="shared" si="1"/>
        <v>-9.3638083966689489E-2</v>
      </c>
      <c r="ER8" s="268">
        <f>SUM(ER10:ER13)</f>
        <v>185775</v>
      </c>
      <c r="ES8" s="269">
        <f t="shared" si="49"/>
        <v>0.17976317997219005</v>
      </c>
      <c r="ET8" s="272">
        <f t="shared" si="82"/>
        <v>-7.0962418423224038E-2</v>
      </c>
      <c r="EU8" s="268">
        <f>SUM(EU10:EU13)</f>
        <v>192181</v>
      </c>
      <c r="EV8" s="269">
        <f>EU8/EU$5</f>
        <v>0.19346366409293617</v>
      </c>
      <c r="EW8" s="272">
        <f>(EU8/EI8)-1</f>
        <v>-8.0504480711172333E-2</v>
      </c>
      <c r="EX8" s="268">
        <f>SUM(EX10:EX13)</f>
        <v>185159.75777000003</v>
      </c>
      <c r="EY8" s="269">
        <f>EX8/EX$5</f>
        <v>0.20383967495936026</v>
      </c>
      <c r="EZ8" s="272">
        <f>(EX8/EL8)-1</f>
        <v>-9.8597665337636697E-2</v>
      </c>
      <c r="FA8" s="268">
        <f>SUM(FA10:FA13)</f>
        <v>146874.14247000002</v>
      </c>
      <c r="FB8" s="269">
        <f>FA8/FA$5</f>
        <v>0.12433915894058958</v>
      </c>
      <c r="FC8" s="272">
        <f>(FA8/EO8)-1</f>
        <v>-1.127975584874763E-3</v>
      </c>
      <c r="FD8" s="268">
        <f>SUM(FD10:FD13)</f>
        <v>195292.56005999999</v>
      </c>
      <c r="FE8" s="269">
        <f t="shared" si="53"/>
        <v>0.19678499501541849</v>
      </c>
      <c r="FF8" s="272">
        <f t="shared" si="83"/>
        <v>5.1231651513928167E-2</v>
      </c>
      <c r="FG8" s="268">
        <v>199042.66392999995</v>
      </c>
      <c r="FH8" s="269">
        <f t="shared" si="54"/>
        <v>0.19591972357874254</v>
      </c>
      <c r="FI8" s="272">
        <f t="shared" si="84"/>
        <v>3.5704174346058881E-2</v>
      </c>
      <c r="FJ8" s="268">
        <f>SUM(FJ9:FJ13)</f>
        <v>179845.19798</v>
      </c>
      <c r="FK8" s="269">
        <f t="shared" si="55"/>
        <v>0.18750337937470637</v>
      </c>
      <c r="FL8" s="272">
        <f t="shared" si="56"/>
        <v>-2.870256395885773E-2</v>
      </c>
      <c r="FM8" s="268">
        <v>144123</v>
      </c>
      <c r="FN8" s="269">
        <f t="shared" si="57"/>
        <v>0.11235032740879326</v>
      </c>
      <c r="FO8" s="272">
        <f t="shared" si="58"/>
        <v>-1.8731292137157185E-2</v>
      </c>
      <c r="FP8" s="268">
        <f>SUM(FP9:FP13)</f>
        <v>195355.91183</v>
      </c>
      <c r="FQ8" s="269">
        <f t="shared" si="59"/>
        <v>0.17947863851680201</v>
      </c>
      <c r="FR8" s="272">
        <f t="shared" si="60"/>
        <v>3.2439418061058767E-4</v>
      </c>
      <c r="FS8" s="268">
        <f>SUM(FS9:FS13)</f>
        <v>216834.4011916513</v>
      </c>
      <c r="FT8" s="269">
        <f t="shared" si="61"/>
        <v>0.20458589624216134</v>
      </c>
      <c r="FU8" s="272">
        <f t="shared" si="62"/>
        <v>8.938655115623062E-2</v>
      </c>
      <c r="FV8" s="268">
        <f>FV9+FV13</f>
        <v>217052.76052007201</v>
      </c>
      <c r="FW8" s="269">
        <f t="shared" si="63"/>
        <v>0.21577853008707309</v>
      </c>
      <c r="FX8" s="272">
        <f t="shared" si="64"/>
        <v>0.20688660558070482</v>
      </c>
      <c r="FY8" s="268">
        <f>FY9+FY13</f>
        <v>203450.94803351763</v>
      </c>
      <c r="FZ8" s="269">
        <f t="shared" si="65"/>
        <v>0.1481553947636656</v>
      </c>
      <c r="GA8" s="272">
        <f t="shared" si="66"/>
        <v>0.41164802310191728</v>
      </c>
      <c r="GB8" s="268">
        <f>GB9+GB13</f>
        <v>341385.30487438617</v>
      </c>
      <c r="GC8" s="269">
        <f t="shared" si="67"/>
        <v>0.29543439546392031</v>
      </c>
      <c r="GD8" s="272">
        <f t="shared" si="68"/>
        <v>0.74750434566557633</v>
      </c>
      <c r="GE8" s="268">
        <f>GE9+GE13</f>
        <v>370594.31555785157</v>
      </c>
      <c r="GF8" s="269">
        <f t="shared" si="69"/>
        <v>0.47295821432753127</v>
      </c>
      <c r="GG8" s="272">
        <f t="shared" si="70"/>
        <v>0.7091121774090543</v>
      </c>
      <c r="GH8" s="268">
        <f>GH9+GH13</f>
        <v>272604.66257694061</v>
      </c>
      <c r="GI8" s="269">
        <f t="shared" si="71"/>
        <v>0.3202814370086044</v>
      </c>
      <c r="GJ8" s="272">
        <f t="shared" ref="GJ8:GJ18" si="100">(GH8/FV8)-1</f>
        <v>0.2559373210631497</v>
      </c>
      <c r="GK8" s="268">
        <f>GK9+GK13</f>
        <v>232421.44110226637</v>
      </c>
      <c r="GL8" s="269">
        <f t="shared" si="73"/>
        <v>0.19904975450990778</v>
      </c>
      <c r="GM8" s="272">
        <f t="shared" ref="GM8:GM18" si="101">(GK8/FY8)-1</f>
        <v>0.1423954685331621</v>
      </c>
    </row>
    <row r="9" spans="2:195" s="23" customFormat="1" ht="16.5" customHeight="1">
      <c r="B9" s="222" t="s">
        <v>1308</v>
      </c>
      <c r="C9" s="267"/>
      <c r="D9" s="268"/>
      <c r="E9" s="269"/>
      <c r="F9" s="270"/>
      <c r="G9" s="268"/>
      <c r="H9" s="269"/>
      <c r="I9" s="270"/>
      <c r="J9" s="268"/>
      <c r="K9" s="269"/>
      <c r="L9" s="270"/>
      <c r="M9" s="268"/>
      <c r="N9" s="269"/>
      <c r="O9" s="270"/>
      <c r="P9" s="268"/>
      <c r="Q9" s="269"/>
      <c r="R9" s="271"/>
      <c r="S9" s="268"/>
      <c r="T9" s="269"/>
      <c r="U9" s="271"/>
      <c r="V9" s="268"/>
      <c r="W9" s="11"/>
      <c r="X9" s="271"/>
      <c r="Y9" s="268"/>
      <c r="Z9" s="269"/>
      <c r="AA9" s="271"/>
      <c r="AB9" s="268"/>
      <c r="AC9" s="269"/>
      <c r="AD9" s="272"/>
      <c r="AE9" s="268"/>
      <c r="AF9" s="269"/>
      <c r="AG9" s="272"/>
      <c r="AH9" s="268"/>
      <c r="AI9" s="269"/>
      <c r="AJ9" s="272"/>
      <c r="AK9" s="268"/>
      <c r="AL9" s="269"/>
      <c r="AM9" s="272"/>
      <c r="AN9" s="268"/>
      <c r="AO9" s="269"/>
      <c r="AP9" s="272"/>
      <c r="AQ9" s="268"/>
      <c r="AR9" s="269"/>
      <c r="AS9" s="272"/>
      <c r="AT9" s="268"/>
      <c r="AU9" s="269"/>
      <c r="AV9" s="272"/>
      <c r="AW9" s="432">
        <v>52212</v>
      </c>
      <c r="AX9" s="432">
        <v>52212</v>
      </c>
      <c r="AY9" s="432">
        <v>52212</v>
      </c>
      <c r="AZ9" s="432">
        <v>52212</v>
      </c>
      <c r="BA9" s="432">
        <v>52212</v>
      </c>
      <c r="BB9" s="432">
        <v>52212</v>
      </c>
      <c r="BC9" s="432">
        <v>52212</v>
      </c>
      <c r="BD9" s="432">
        <v>52212</v>
      </c>
      <c r="BE9" s="432">
        <v>52212</v>
      </c>
      <c r="BF9" s="432">
        <v>52212</v>
      </c>
      <c r="BG9" s="432">
        <v>52212</v>
      </c>
      <c r="BH9" s="432">
        <v>52212</v>
      </c>
      <c r="BI9" s="432">
        <f>SUM(BI10,BI11,BI12)</f>
        <v>43830</v>
      </c>
      <c r="BJ9" s="27">
        <f t="shared" si="21"/>
        <v>7.0137449113225933E-2</v>
      </c>
      <c r="BK9" s="272"/>
      <c r="BL9" s="432">
        <f>SUM(BL10,BL11,BL12)</f>
        <v>80847</v>
      </c>
      <c r="BM9" s="27">
        <f t="shared" si="22"/>
        <v>0.15433998747115632</v>
      </c>
      <c r="BN9" s="272"/>
      <c r="BO9" s="432">
        <f>SUM(BO10,BO11,BO12)</f>
        <v>76875</v>
      </c>
      <c r="BP9" s="27">
        <f t="shared" si="23"/>
        <v>0.1374355762108366</v>
      </c>
      <c r="BQ9" s="272"/>
      <c r="BR9" s="432">
        <f>SUM(BR10,BR11,BR12)</f>
        <v>74230</v>
      </c>
      <c r="BS9" s="27">
        <f t="shared" si="24"/>
        <v>0.14254288665242879</v>
      </c>
      <c r="BT9" s="272"/>
      <c r="BU9" s="432">
        <f>SUM(BU10,BU11,BU12)</f>
        <v>50900</v>
      </c>
      <c r="BV9" s="27">
        <f t="shared" si="25"/>
        <v>7.3699897364346872E-2</v>
      </c>
      <c r="BW9" s="272"/>
      <c r="BX9" s="432">
        <f>SUM(BX10,BX11,BX12)</f>
        <v>90968</v>
      </c>
      <c r="BY9" s="27">
        <f t="shared" si="26"/>
        <v>0.15050474704818451</v>
      </c>
      <c r="BZ9" s="272"/>
      <c r="CA9" s="432">
        <f>SUM(CA10,CA11,CA12)</f>
        <v>89201</v>
      </c>
      <c r="CB9" s="27">
        <f t="shared" si="27"/>
        <v>0.1381420117514118</v>
      </c>
      <c r="CC9" s="272"/>
      <c r="CD9" s="432">
        <f>SUM(CD10,CD11,CD12)</f>
        <v>91800</v>
      </c>
      <c r="CE9" s="27">
        <f t="shared" si="28"/>
        <v>0.15633571486875694</v>
      </c>
      <c r="CF9" s="272"/>
      <c r="CG9" s="432">
        <f>SUM(CG10,CG11,CG12)</f>
        <v>60470</v>
      </c>
      <c r="CH9" s="27">
        <f t="shared" si="29"/>
        <v>7.5932327683090842E-2</v>
      </c>
      <c r="CI9" s="272"/>
      <c r="CJ9" s="432">
        <f>SUM(CJ10,CJ11,CJ12)</f>
        <v>95996</v>
      </c>
      <c r="CK9" s="27">
        <f t="shared" si="30"/>
        <v>0.14186342416419012</v>
      </c>
      <c r="CL9" s="272"/>
      <c r="CM9" s="432">
        <f>SUM(CM10,CM11,CM12)</f>
        <v>95697</v>
      </c>
      <c r="CN9" s="27">
        <f t="shared" si="31"/>
        <v>0.13280994121206402</v>
      </c>
      <c r="CO9" s="272"/>
      <c r="CP9" s="432">
        <f>SUM(CP10,CP11,CP12)</f>
        <v>100742</v>
      </c>
      <c r="CQ9" s="27">
        <f t="shared" si="32"/>
        <v>0.14432408730078686</v>
      </c>
      <c r="CR9" s="27">
        <f t="shared" si="92"/>
        <v>9.7407407407407387E-2</v>
      </c>
      <c r="CS9" s="432">
        <f>SUM(CS10,CS11,CS12)</f>
        <v>71933</v>
      </c>
      <c r="CT9" s="27">
        <f t="shared" si="33"/>
        <v>7.7133329044157067E-2</v>
      </c>
      <c r="CU9" s="27">
        <f t="shared" si="75"/>
        <v>0.18956507359021013</v>
      </c>
      <c r="CV9" s="432">
        <f>SUM(CV10,CV11,CV12)</f>
        <v>113363</v>
      </c>
      <c r="CW9" s="27">
        <f t="shared" si="34"/>
        <v>0.13971371131860058</v>
      </c>
      <c r="CX9" s="27">
        <f t="shared" si="93"/>
        <v>0.18091378807450309</v>
      </c>
      <c r="CY9" s="432">
        <f>SUM(CY10,CY11,CY12)</f>
        <v>113833</v>
      </c>
      <c r="CZ9" s="27">
        <f t="shared" si="35"/>
        <v>0.13812405707865966</v>
      </c>
      <c r="DA9" s="27">
        <f t="shared" si="94"/>
        <v>0.18951482282621179</v>
      </c>
      <c r="DB9" s="432">
        <f>SUM(DB10,DB11,DB12)</f>
        <v>117078</v>
      </c>
      <c r="DC9" s="27">
        <f t="shared" si="36"/>
        <v>0.14760727010805752</v>
      </c>
      <c r="DD9" s="27">
        <f>(DB9/CP9)-1</f>
        <v>0.16215679656945459</v>
      </c>
      <c r="DE9" s="432">
        <f>SUM(DE10,DE11,DE12)</f>
        <v>81826</v>
      </c>
      <c r="DF9" s="27">
        <f t="shared" si="37"/>
        <v>7.7064904454685335E-2</v>
      </c>
      <c r="DG9" s="27">
        <f t="shared" si="96"/>
        <v>0.13753075778849766</v>
      </c>
      <c r="DH9" s="432">
        <f>SUM(DH10,DH11,DH12)</f>
        <v>131596</v>
      </c>
      <c r="DI9" s="27">
        <f t="shared" si="38"/>
        <v>0.1460158817270705</v>
      </c>
      <c r="DJ9" s="27">
        <f>(DH9/CV9)-1</f>
        <v>0.16083731023349768</v>
      </c>
      <c r="DK9" s="432">
        <f>SUM(DK10,DK11,DK12)</f>
        <v>141665</v>
      </c>
      <c r="DL9" s="27">
        <f t="shared" si="39"/>
        <v>0.15245254186216695</v>
      </c>
      <c r="DM9" s="27">
        <f t="shared" si="77"/>
        <v>0.24449851976140491</v>
      </c>
      <c r="DN9" s="432">
        <f>SUM(DN10,DN11,DN12)</f>
        <v>126283</v>
      </c>
      <c r="DO9" s="27">
        <f t="shared" ref="DO9" si="102">DN9/DN$5</f>
        <v>0.14380785686060377</v>
      </c>
      <c r="DP9" s="27">
        <f t="shared" ref="DP9" si="103">(DN9/DB9)-1</f>
        <v>7.862279847622955E-2</v>
      </c>
      <c r="DQ9" s="432">
        <f>SUM(DQ10,DQ11,DQ12)</f>
        <v>92590</v>
      </c>
      <c r="DR9" s="27">
        <f t="shared" ref="DR9" si="104">DQ9/DQ$5</f>
        <v>7.6818284394414058E-2</v>
      </c>
      <c r="DS9" s="27">
        <f t="shared" ref="DS9" si="105">(DQ9/DE9)-1</f>
        <v>0.13154742991225277</v>
      </c>
      <c r="DT9" s="432">
        <f>SUM(DT10,DT11,DT12)</f>
        <v>155564</v>
      </c>
      <c r="DU9" s="27">
        <f t="shared" ref="DU9" si="106">DT9/DT$5</f>
        <v>0.15255739878475014</v>
      </c>
      <c r="DV9" s="27">
        <f t="shared" ref="DV9" si="107">(DT9/DH9)-1</f>
        <v>0.18213319553785823</v>
      </c>
      <c r="DW9" s="432">
        <f>SUM(DW10,DW11,DW12)</f>
        <v>149682</v>
      </c>
      <c r="DX9" s="27">
        <f t="shared" ref="DX9" si="108">DW9/DW$5</f>
        <v>0.14155270885875634</v>
      </c>
      <c r="DY9" s="27">
        <f t="shared" ref="DY9" si="109">(DW9/DK9)-1</f>
        <v>5.6591254014753067E-2</v>
      </c>
      <c r="DZ9" s="432">
        <f>SUM(DZ10,DZ11,DZ12)</f>
        <v>141762</v>
      </c>
      <c r="EA9" s="27">
        <f t="shared" ref="EA9" si="110">DZ9/DZ$5</f>
        <v>0.14309247382159318</v>
      </c>
      <c r="EB9" s="27">
        <f t="shared" ref="EB9" si="111">(DZ9/DN9)-1</f>
        <v>0.12257390147525804</v>
      </c>
      <c r="EC9" s="432">
        <f>SUM(EC10,EC11,EC12)</f>
        <v>99159</v>
      </c>
      <c r="ED9" s="27">
        <f t="shared" ref="ED9" si="112">EC9/EC$5</f>
        <v>7.8046242628979093E-2</v>
      </c>
      <c r="EE9" s="27">
        <f t="shared" ref="EE9" si="113">(EC9/DQ9)-1</f>
        <v>7.0947186521222561E-2</v>
      </c>
      <c r="EF9" s="432">
        <f>SUM(EF10,EF11,EF12)</f>
        <v>147294</v>
      </c>
      <c r="EG9" s="27">
        <f t="shared" ref="EG9" si="114">EF9/EF$5</f>
        <v>0.14481391685985806</v>
      </c>
      <c r="EH9" s="27">
        <f t="shared" ref="EH9" si="115">(EF9/DT9)-1</f>
        <v>-5.3161399809724563E-2</v>
      </c>
      <c r="EI9" s="432">
        <f>SUM(EI10,EI11,EI12)</f>
        <v>143797</v>
      </c>
      <c r="EJ9" s="27">
        <f t="shared" ref="EJ9" si="116">EI9/EI$5</f>
        <v>0.13535975570725536</v>
      </c>
      <c r="EK9" s="27">
        <f t="shared" ref="EK9" si="117">(EI9/DW9)-1</f>
        <v>-3.9316684704907789E-2</v>
      </c>
      <c r="EL9" s="432">
        <f>SUM(EL10,EL11,EL12)</f>
        <v>139376</v>
      </c>
      <c r="EM9" s="27">
        <f t="shared" ref="EM9" si="118">EL9/EL$5</f>
        <v>0.14496392439360009</v>
      </c>
      <c r="EN9" s="27">
        <f t="shared" ref="EN9" si="119">(EL9/DZ9)-1</f>
        <v>-1.6831026650301228E-2</v>
      </c>
      <c r="EO9" s="432">
        <f>SUM(EO10,EO11,EO12)</f>
        <v>92205</v>
      </c>
      <c r="EP9" s="27">
        <f t="shared" ref="EP9" si="120">EO9/EO$5</f>
        <v>7.3366996508493237E-2</v>
      </c>
      <c r="EQ9" s="27">
        <f t="shared" ref="EQ9" si="121">(EO9/EC9)-1</f>
        <v>-7.0129791546909459E-2</v>
      </c>
      <c r="ER9" s="432">
        <f>SUM(ER10,ER11,ER12)</f>
        <v>144213</v>
      </c>
      <c r="ES9" s="27">
        <f t="shared" ref="ES9" si="122">ER9/ER$5</f>
        <v>0.13954615784324825</v>
      </c>
      <c r="ET9" s="27">
        <f t="shared" ref="ET9" si="123">(ER9/EF9)-1</f>
        <v>-2.0917348975518335E-2</v>
      </c>
      <c r="EU9" s="432">
        <f>SUM(EU10,EU11,EU12)</f>
        <v>153944</v>
      </c>
      <c r="EV9" s="27">
        <f t="shared" ref="EV9" si="124">EU9/EU$5</f>
        <v>0.15497146078500457</v>
      </c>
      <c r="EW9" s="27">
        <f t="shared" ref="EW9" si="125">(EU9/EI9)-1</f>
        <v>7.0564754480274328E-2</v>
      </c>
      <c r="EX9" s="432">
        <f>SUM(EX10,EX11,EX12)</f>
        <v>125524</v>
      </c>
      <c r="EY9" s="27">
        <f t="shared" ref="EY9" si="126">EX9/EX$5</f>
        <v>0.13818753960232474</v>
      </c>
      <c r="EZ9" s="27">
        <f t="shared" ref="EZ9" si="127">(EX9/EL9)-1</f>
        <v>-9.938583400298473E-2</v>
      </c>
      <c r="FA9" s="432">
        <f>SUM(FA10,FA11,FA12)</f>
        <v>93867.926680000004</v>
      </c>
      <c r="FB9" s="27">
        <f t="shared" ref="FB9" si="128">FA9/FA$5</f>
        <v>7.9465717100422217E-2</v>
      </c>
      <c r="FC9" s="27">
        <f t="shared" ref="FC9" si="129">(FA9/EO9)-1</f>
        <v>1.8035103085515924E-2</v>
      </c>
      <c r="FD9" s="435">
        <f>SUM(FD10,FD11,FD12)</f>
        <v>148240.33773</v>
      </c>
      <c r="FE9" s="27">
        <f t="shared" ref="FE9" si="130">FD9/FD$5</f>
        <v>0.14937319738304219</v>
      </c>
      <c r="FF9" s="27">
        <f t="shared" ref="FF9" si="131">(FD9/ER9)-1</f>
        <v>2.7926315450063521E-2</v>
      </c>
      <c r="FG9" s="435">
        <v>133592</v>
      </c>
      <c r="FH9" s="27">
        <f t="shared" ref="FH9" si="132">FG9/FG$5</f>
        <v>0.13149596772647745</v>
      </c>
      <c r="FI9" s="27">
        <f t="shared" ref="FI9" si="133">(FG9/EU9)-1</f>
        <v>-0.13220391830795619</v>
      </c>
      <c r="FJ9" s="435">
        <v>116900.65892</v>
      </c>
      <c r="FK9" s="27">
        <f t="shared" si="55"/>
        <v>0.12187853134153454</v>
      </c>
      <c r="FL9" s="27">
        <f t="shared" si="56"/>
        <v>-6.8698743507217719E-2</v>
      </c>
      <c r="FM9" s="435">
        <v>92172.762830000021</v>
      </c>
      <c r="FN9" s="27">
        <f t="shared" si="57"/>
        <v>7.1852792976301857E-2</v>
      </c>
      <c r="FO9" s="27">
        <f t="shared" si="58"/>
        <v>-1.8059031555888838E-2</v>
      </c>
      <c r="FP9" s="435">
        <v>149915.60245999999</v>
      </c>
      <c r="FQ9" s="27">
        <f t="shared" si="59"/>
        <v>0.13773142552942691</v>
      </c>
      <c r="FR9" s="27">
        <f t="shared" si="60"/>
        <v>1.1301004542038084E-2</v>
      </c>
      <c r="FS9" s="435">
        <v>150910.031121651</v>
      </c>
      <c r="FT9" s="27">
        <f t="shared" si="61"/>
        <v>0.14238545082921172</v>
      </c>
      <c r="FU9" s="27">
        <f t="shared" si="62"/>
        <v>0.12963374394912131</v>
      </c>
      <c r="FV9" s="435">
        <v>125649.80743600472</v>
      </c>
      <c r="FW9" s="27">
        <f t="shared" si="63"/>
        <v>0.12491216738871029</v>
      </c>
      <c r="FX9" s="27">
        <f t="shared" si="64"/>
        <v>7.4842593675987112E-2</v>
      </c>
      <c r="FY9" s="435">
        <v>77116.184033499318</v>
      </c>
      <c r="FZ9" s="27">
        <f t="shared" si="65"/>
        <v>5.6156920371136974E-2</v>
      </c>
      <c r="GA9" s="27">
        <f t="shared" si="66"/>
        <v>-0.16335171404453275</v>
      </c>
      <c r="GB9" s="435">
        <v>185973.53201000011</v>
      </c>
      <c r="GC9" s="27">
        <f t="shared" si="67"/>
        <v>0.16094125088917011</v>
      </c>
      <c r="GD9" s="27">
        <f t="shared" si="68"/>
        <v>0.24052152650102565</v>
      </c>
      <c r="GE9" s="435">
        <v>73211.656763192354</v>
      </c>
      <c r="GF9" s="27">
        <f t="shared" si="69"/>
        <v>9.3433852050745475E-2</v>
      </c>
      <c r="GG9" s="27">
        <f t="shared" si="70"/>
        <v>-0.51486553796960477</v>
      </c>
      <c r="GH9" s="435">
        <v>37926.660813959286</v>
      </c>
      <c r="GI9" s="27">
        <f t="shared" si="71"/>
        <v>4.4559785997806807E-2</v>
      </c>
      <c r="GJ9" s="27">
        <f t="shared" si="100"/>
        <v>-0.6981558381354791</v>
      </c>
      <c r="GK9" s="435">
        <v>49324.477860855535</v>
      </c>
      <c r="GL9" s="27">
        <f t="shared" si="73"/>
        <v>4.2242338585331739E-2</v>
      </c>
      <c r="GM9" s="27">
        <f t="shared" si="101"/>
        <v>-0.36038746627518614</v>
      </c>
    </row>
    <row r="10" spans="2:195" ht="16.5" hidden="1" customHeight="1" outlineLevel="1">
      <c r="B10" s="433" t="s">
        <v>1043</v>
      </c>
      <c r="C10" s="222" t="s">
        <v>384</v>
      </c>
      <c r="D10" s="27" t="s">
        <v>112</v>
      </c>
      <c r="E10" s="27" t="s">
        <v>112</v>
      </c>
      <c r="F10" s="27" t="s">
        <v>112</v>
      </c>
      <c r="G10" s="27" t="s">
        <v>112</v>
      </c>
      <c r="H10" s="27" t="s">
        <v>112</v>
      </c>
      <c r="I10" s="27" t="s">
        <v>112</v>
      </c>
      <c r="J10" s="27" t="s">
        <v>112</v>
      </c>
      <c r="K10" s="27" t="s">
        <v>112</v>
      </c>
      <c r="L10" s="27" t="s">
        <v>112</v>
      </c>
      <c r="M10" s="27" t="s">
        <v>112</v>
      </c>
      <c r="N10" s="27" t="s">
        <v>112</v>
      </c>
      <c r="O10" s="27" t="s">
        <v>112</v>
      </c>
      <c r="P10" s="27" t="s">
        <v>112</v>
      </c>
      <c r="Q10" s="27" t="s">
        <v>112</v>
      </c>
      <c r="R10" s="27" t="s">
        <v>112</v>
      </c>
      <c r="S10" s="27" t="s">
        <v>112</v>
      </c>
      <c r="T10" s="27" t="s">
        <v>112</v>
      </c>
      <c r="U10" s="27" t="s">
        <v>112</v>
      </c>
      <c r="V10" s="27" t="s">
        <v>112</v>
      </c>
      <c r="W10" s="27" t="s">
        <v>112</v>
      </c>
      <c r="X10" s="27" t="s">
        <v>112</v>
      </c>
      <c r="Y10" s="27" t="s">
        <v>112</v>
      </c>
      <c r="Z10" s="27" t="s">
        <v>112</v>
      </c>
      <c r="AA10" s="27" t="s">
        <v>112</v>
      </c>
      <c r="AB10" s="27" t="s">
        <v>112</v>
      </c>
      <c r="AC10" s="27" t="s">
        <v>112</v>
      </c>
      <c r="AD10" s="27" t="s">
        <v>112</v>
      </c>
      <c r="AE10" s="27" t="s">
        <v>112</v>
      </c>
      <c r="AF10" s="27" t="s">
        <v>112</v>
      </c>
      <c r="AG10" s="27" t="s">
        <v>112</v>
      </c>
      <c r="AH10" s="27" t="s">
        <v>112</v>
      </c>
      <c r="AI10" s="27" t="s">
        <v>112</v>
      </c>
      <c r="AJ10" s="27" t="s">
        <v>112</v>
      </c>
      <c r="AK10" s="27" t="s">
        <v>112</v>
      </c>
      <c r="AL10" s="27" t="s">
        <v>112</v>
      </c>
      <c r="AM10" s="27" t="s">
        <v>112</v>
      </c>
      <c r="AN10" s="27" t="s">
        <v>112</v>
      </c>
      <c r="AO10" s="27" t="s">
        <v>112</v>
      </c>
      <c r="AP10" s="27" t="s">
        <v>112</v>
      </c>
      <c r="AQ10" s="27" t="s">
        <v>112</v>
      </c>
      <c r="AR10" s="27" t="s">
        <v>112</v>
      </c>
      <c r="AS10" s="27" t="s">
        <v>112</v>
      </c>
      <c r="AT10" s="27" t="s">
        <v>112</v>
      </c>
      <c r="AU10" s="27" t="s">
        <v>112</v>
      </c>
      <c r="AV10" s="27" t="s">
        <v>112</v>
      </c>
      <c r="AW10" s="32">
        <v>33285</v>
      </c>
      <c r="AX10" s="27">
        <f t="shared" si="17"/>
        <v>5.6142617207737458E-2</v>
      </c>
      <c r="AY10" s="27" t="s">
        <v>112</v>
      </c>
      <c r="AZ10" s="27" t="s">
        <v>112</v>
      </c>
      <c r="BA10" s="27" t="s">
        <v>112</v>
      </c>
      <c r="BB10" s="27" t="s">
        <v>112</v>
      </c>
      <c r="BC10" s="27" t="s">
        <v>112</v>
      </c>
      <c r="BD10" s="27" t="s">
        <v>112</v>
      </c>
      <c r="BE10" s="27" t="s">
        <v>112</v>
      </c>
      <c r="BF10" s="27" t="s">
        <v>112</v>
      </c>
      <c r="BG10" s="27" t="s">
        <v>112</v>
      </c>
      <c r="BH10" s="27" t="s">
        <v>112</v>
      </c>
      <c r="BI10" s="32">
        <v>29433</v>
      </c>
      <c r="BJ10" s="27">
        <f t="shared" si="21"/>
        <v>4.7099145328532488E-2</v>
      </c>
      <c r="BK10" s="27" t="s">
        <v>112</v>
      </c>
      <c r="BL10" s="28">
        <v>54971</v>
      </c>
      <c r="BM10" s="27">
        <f t="shared" si="22"/>
        <v>0.10494172265237961</v>
      </c>
      <c r="BN10" s="27" t="s">
        <v>112</v>
      </c>
      <c r="BO10" s="28">
        <v>51839</v>
      </c>
      <c r="BP10" s="27">
        <f t="shared" si="23"/>
        <v>9.2676719807395877E-2</v>
      </c>
      <c r="BQ10" s="27" t="s">
        <v>112</v>
      </c>
      <c r="BR10" s="28">
        <v>52364</v>
      </c>
      <c r="BS10" s="27">
        <f t="shared" si="24"/>
        <v>0.10055389622346465</v>
      </c>
      <c r="BT10" s="27" t="s">
        <v>112</v>
      </c>
      <c r="BU10" s="32">
        <v>33432</v>
      </c>
      <c r="BV10" s="27">
        <f t="shared" si="25"/>
        <v>4.8407366771804419E-2</v>
      </c>
      <c r="BW10" s="27">
        <f t="shared" si="85"/>
        <v>0.1358679033737642</v>
      </c>
      <c r="BX10" s="100">
        <v>61001</v>
      </c>
      <c r="BY10" s="27">
        <f t="shared" si="26"/>
        <v>0.10092494145948358</v>
      </c>
      <c r="BZ10" s="11">
        <f t="shared" si="86"/>
        <v>0.10969420239762795</v>
      </c>
      <c r="CA10" s="100">
        <v>57344</v>
      </c>
      <c r="CB10" s="27">
        <f t="shared" si="27"/>
        <v>8.8806353313000505E-2</v>
      </c>
      <c r="CC10" s="27">
        <f t="shared" si="87"/>
        <v>0.10619417812843612</v>
      </c>
      <c r="CD10" s="100">
        <v>60450</v>
      </c>
      <c r="CE10" s="27">
        <f t="shared" si="28"/>
        <v>0.10294655734004747</v>
      </c>
      <c r="CF10" s="27">
        <f t="shared" si="88"/>
        <v>0.15441906653426019</v>
      </c>
      <c r="CG10" s="100">
        <v>33726</v>
      </c>
      <c r="CH10" s="27">
        <f t="shared" si="29"/>
        <v>4.2349821125184747E-2</v>
      </c>
      <c r="CI10" s="27">
        <f t="shared" si="89"/>
        <v>8.793969849246297E-3</v>
      </c>
      <c r="CJ10" s="100">
        <v>60162</v>
      </c>
      <c r="CK10" s="27">
        <f t="shared" si="30"/>
        <v>8.8907739120025892E-2</v>
      </c>
      <c r="CL10" s="27">
        <f t="shared" si="90"/>
        <v>-1.3753872887329766E-2</v>
      </c>
      <c r="CM10" s="100">
        <v>58076</v>
      </c>
      <c r="CN10" s="27">
        <f t="shared" si="31"/>
        <v>8.0598870871937775E-2</v>
      </c>
      <c r="CO10" s="27">
        <f t="shared" si="91"/>
        <v>1.2765066964285809E-2</v>
      </c>
      <c r="CP10" s="100">
        <v>63444</v>
      </c>
      <c r="CQ10" s="27">
        <f t="shared" si="32"/>
        <v>9.0890565947778695E-2</v>
      </c>
      <c r="CR10" s="27">
        <f t="shared" si="92"/>
        <v>4.9528535980148947E-2</v>
      </c>
      <c r="CS10" s="100">
        <v>41090</v>
      </c>
      <c r="CT10" s="27">
        <f t="shared" si="33"/>
        <v>4.4060563168843422E-2</v>
      </c>
      <c r="CU10" s="27">
        <f t="shared" si="75"/>
        <v>0.21834786218347868</v>
      </c>
      <c r="CV10" s="100">
        <v>72132</v>
      </c>
      <c r="CW10" s="27">
        <f t="shared" si="34"/>
        <v>8.8898753780627685E-2</v>
      </c>
      <c r="CX10" s="27">
        <f t="shared" si="93"/>
        <v>0.19896280043881509</v>
      </c>
      <c r="CY10" s="100">
        <v>69898</v>
      </c>
      <c r="CZ10" s="27">
        <f t="shared" si="35"/>
        <v>8.4813677419413994E-2</v>
      </c>
      <c r="DA10" s="27">
        <f t="shared" si="94"/>
        <v>0.20356085129829871</v>
      </c>
      <c r="DB10" s="100">
        <v>73287</v>
      </c>
      <c r="DC10" s="27">
        <f t="shared" si="36"/>
        <v>9.2397324898009961E-2</v>
      </c>
      <c r="DD10" s="27">
        <f t="shared" si="95"/>
        <v>0.15514469453376201</v>
      </c>
      <c r="DE10" s="100">
        <v>46605</v>
      </c>
      <c r="DF10" s="27">
        <f t="shared" si="37"/>
        <v>4.3893259747642681E-2</v>
      </c>
      <c r="DG10" s="27">
        <f t="shared" si="96"/>
        <v>0.13421757118520317</v>
      </c>
      <c r="DH10" s="100">
        <v>82705</v>
      </c>
      <c r="DI10" s="27">
        <f t="shared" si="38"/>
        <v>9.1767557511150538E-2</v>
      </c>
      <c r="DJ10" s="27">
        <f t="shared" si="76"/>
        <v>0.14657849498142306</v>
      </c>
      <c r="DK10" s="100">
        <v>85172</v>
      </c>
      <c r="DL10" s="27">
        <f t="shared" si="39"/>
        <v>9.165769876458181E-2</v>
      </c>
      <c r="DM10" s="27">
        <f t="shared" si="77"/>
        <v>0.21851841254399273</v>
      </c>
      <c r="DN10" s="100">
        <v>77518</v>
      </c>
      <c r="DO10" s="27">
        <f t="shared" si="40"/>
        <v>8.8275519651261708E-2</v>
      </c>
      <c r="DP10" s="27">
        <f t="shared" si="78"/>
        <v>5.7731930628897254E-2</v>
      </c>
      <c r="DQ10" s="100">
        <v>54135</v>
      </c>
      <c r="DR10" s="27">
        <f t="shared" si="41"/>
        <v>4.4913682100568154E-2</v>
      </c>
      <c r="DS10" s="27">
        <f t="shared" si="97"/>
        <v>0.16157064692629541</v>
      </c>
      <c r="DT10" s="100">
        <v>94807</v>
      </c>
      <c r="DU10" s="27">
        <f t="shared" si="42"/>
        <v>9.2974655489610758E-2</v>
      </c>
      <c r="DV10" s="27">
        <f t="shared" si="98"/>
        <v>0.14632730790157789</v>
      </c>
      <c r="DW10" s="100">
        <v>85159</v>
      </c>
      <c r="DX10" s="27">
        <f t="shared" si="43"/>
        <v>8.0533979594759775E-2</v>
      </c>
      <c r="DY10" s="27">
        <f>(DW10/DK10)-1</f>
        <v>-1.5263232048090547E-4</v>
      </c>
      <c r="DZ10" s="100">
        <v>85248</v>
      </c>
      <c r="EA10" s="27">
        <f t="shared" si="44"/>
        <v>8.6048075001362676E-2</v>
      </c>
      <c r="EB10" s="27">
        <f t="shared" si="79"/>
        <v>9.9718774994194792E-2</v>
      </c>
      <c r="EC10" s="100">
        <v>54706</v>
      </c>
      <c r="ED10" s="27">
        <f t="shared" si="45"/>
        <v>4.3058096080647548E-2</v>
      </c>
      <c r="EE10" s="27">
        <f t="shared" si="80"/>
        <v>1.0547704812043923E-2</v>
      </c>
      <c r="EF10" s="100">
        <v>92556</v>
      </c>
      <c r="EG10" s="27">
        <f t="shared" si="46"/>
        <v>9.0997575521616789E-2</v>
      </c>
      <c r="EH10" s="27">
        <f t="shared" si="81"/>
        <v>-2.3742972565316878E-2</v>
      </c>
      <c r="EI10" s="100">
        <v>82929</v>
      </c>
      <c r="EJ10" s="27">
        <f t="shared" si="47"/>
        <v>7.806316669365132E-2</v>
      </c>
      <c r="EK10" s="27">
        <f t="shared" ref="EK10:EK13" si="134">(EI10/DW10)-1</f>
        <v>-2.6186310313648598E-2</v>
      </c>
      <c r="EL10" s="100">
        <v>84005</v>
      </c>
      <c r="EM10" s="27">
        <f t="shared" ref="EM10:EM13" si="135">EL10/EL$5</f>
        <v>8.737296570919223E-2</v>
      </c>
      <c r="EN10" s="27">
        <f t="shared" ref="EN10:EN13" si="136">(EL10/DZ10)-1</f>
        <v>-1.458098723723722E-2</v>
      </c>
      <c r="EO10" s="100">
        <v>50367</v>
      </c>
      <c r="EP10" s="27">
        <f t="shared" si="0"/>
        <v>4.0076736762033285E-2</v>
      </c>
      <c r="EQ10" s="27">
        <f t="shared" si="1"/>
        <v>-7.9314883193799535E-2</v>
      </c>
      <c r="ER10" s="100">
        <v>88984</v>
      </c>
      <c r="ES10" s="27">
        <f t="shared" si="49"/>
        <v>8.6104410209368099E-2</v>
      </c>
      <c r="ET10" s="27">
        <f t="shared" si="82"/>
        <v>-3.8592851895068891E-2</v>
      </c>
      <c r="EU10" s="100">
        <v>93871</v>
      </c>
      <c r="EV10" s="27">
        <f t="shared" ref="EV10:EV13" si="137">EU10/EU$5</f>
        <v>9.4497518547973058E-2</v>
      </c>
      <c r="EW10" s="27">
        <f t="shared" ref="EW10:EW13" si="138">(EU10/EI10)-1</f>
        <v>0.1319441932255303</v>
      </c>
      <c r="EX10" s="100">
        <v>71306</v>
      </c>
      <c r="EY10" s="27">
        <f t="shared" ref="EY10:EY13" si="139">EX10/EX$5</f>
        <v>7.8499734703191174E-2</v>
      </c>
      <c r="EZ10" s="27">
        <f t="shared" ref="EZ10:EZ13" si="140">(EX10/EL10)-1</f>
        <v>-0.15116957323968816</v>
      </c>
      <c r="FA10" s="100">
        <v>49601.169849999998</v>
      </c>
      <c r="FB10" s="27">
        <f t="shared" ref="FB10:FB13" si="141">FA10/FA$5</f>
        <v>4.1990834042677422E-2</v>
      </c>
      <c r="FC10" s="27">
        <f t="shared" ref="FC10:FC13" si="142">(FA10/EO10)-1</f>
        <v>-1.5204998312387086E-2</v>
      </c>
      <c r="FD10" s="100">
        <v>85682.751669999998</v>
      </c>
      <c r="FE10" s="27">
        <f t="shared" si="53"/>
        <v>8.6337543299693745E-2</v>
      </c>
      <c r="FF10" s="27">
        <f t="shared" si="83"/>
        <v>-3.7099347410770478E-2</v>
      </c>
      <c r="FG10" s="100"/>
      <c r="FH10" s="27">
        <f t="shared" si="54"/>
        <v>0</v>
      </c>
      <c r="FI10" s="27">
        <f t="shared" si="84"/>
        <v>-1</v>
      </c>
      <c r="FJ10" s="100"/>
      <c r="FK10" s="27">
        <f t="shared" si="55"/>
        <v>0</v>
      </c>
      <c r="FL10" s="27">
        <f t="shared" si="56"/>
        <v>-1</v>
      </c>
      <c r="FM10" s="100"/>
      <c r="FN10" s="27">
        <f t="shared" si="57"/>
        <v>0</v>
      </c>
      <c r="FO10" s="27">
        <f t="shared" si="58"/>
        <v>-1</v>
      </c>
      <c r="FP10" s="100"/>
      <c r="FQ10" s="27">
        <f t="shared" si="59"/>
        <v>0</v>
      </c>
      <c r="FR10" s="27">
        <f t="shared" si="60"/>
        <v>-1</v>
      </c>
      <c r="FS10" s="100"/>
      <c r="FT10" s="27">
        <f t="shared" si="61"/>
        <v>0</v>
      </c>
      <c r="FU10" s="27" t="e">
        <f t="shared" si="62"/>
        <v>#DIV/0!</v>
      </c>
      <c r="FV10" s="100"/>
      <c r="FW10" s="27">
        <f t="shared" si="63"/>
        <v>0</v>
      </c>
      <c r="FX10" s="27" t="e">
        <f t="shared" si="64"/>
        <v>#DIV/0!</v>
      </c>
      <c r="FY10" s="100"/>
      <c r="FZ10" s="27">
        <f t="shared" si="65"/>
        <v>0</v>
      </c>
      <c r="GA10" s="27" t="e">
        <f t="shared" si="66"/>
        <v>#DIV/0!</v>
      </c>
      <c r="GB10" s="100"/>
      <c r="GC10" s="27">
        <f t="shared" si="67"/>
        <v>0</v>
      </c>
      <c r="GD10" s="27" t="e">
        <f t="shared" si="68"/>
        <v>#DIV/0!</v>
      </c>
      <c r="GE10" s="100"/>
      <c r="GF10" s="27">
        <f t="shared" si="69"/>
        <v>0</v>
      </c>
      <c r="GG10" s="27" t="e">
        <f t="shared" si="70"/>
        <v>#DIV/0!</v>
      </c>
      <c r="GH10" s="100"/>
      <c r="GI10" s="27">
        <f t="shared" si="71"/>
        <v>0</v>
      </c>
      <c r="GJ10" s="27" t="e">
        <f t="shared" si="100"/>
        <v>#DIV/0!</v>
      </c>
      <c r="GK10" s="100"/>
      <c r="GL10" s="27">
        <f t="shared" si="73"/>
        <v>0</v>
      </c>
      <c r="GM10" s="27" t="e">
        <f t="shared" si="101"/>
        <v>#DIV/0!</v>
      </c>
    </row>
    <row r="11" spans="2:195" ht="16.5" hidden="1" customHeight="1" outlineLevel="1">
      <c r="B11" s="222" t="s">
        <v>1044</v>
      </c>
      <c r="C11" s="36" t="s">
        <v>385</v>
      </c>
      <c r="D11" s="27" t="s">
        <v>112</v>
      </c>
      <c r="E11" s="27" t="s">
        <v>112</v>
      </c>
      <c r="F11" s="27" t="s">
        <v>112</v>
      </c>
      <c r="G11" s="27" t="s">
        <v>112</v>
      </c>
      <c r="H11" s="27" t="s">
        <v>112</v>
      </c>
      <c r="I11" s="27" t="s">
        <v>112</v>
      </c>
      <c r="J11" s="27" t="s">
        <v>112</v>
      </c>
      <c r="K11" s="27" t="s">
        <v>112</v>
      </c>
      <c r="L11" s="27" t="s">
        <v>112</v>
      </c>
      <c r="M11" s="27" t="s">
        <v>112</v>
      </c>
      <c r="N11" s="27" t="s">
        <v>112</v>
      </c>
      <c r="O11" s="27" t="s">
        <v>112</v>
      </c>
      <c r="P11" s="27" t="s">
        <v>112</v>
      </c>
      <c r="Q11" s="27" t="s">
        <v>112</v>
      </c>
      <c r="R11" s="27" t="s">
        <v>112</v>
      </c>
      <c r="S11" s="27" t="s">
        <v>112</v>
      </c>
      <c r="T11" s="27" t="s">
        <v>112</v>
      </c>
      <c r="U11" s="27" t="s">
        <v>112</v>
      </c>
      <c r="V11" s="27" t="s">
        <v>112</v>
      </c>
      <c r="W11" s="27" t="s">
        <v>112</v>
      </c>
      <c r="X11" s="27" t="s">
        <v>112</v>
      </c>
      <c r="Y11" s="27" t="s">
        <v>112</v>
      </c>
      <c r="Z11" s="27" t="s">
        <v>112</v>
      </c>
      <c r="AA11" s="27" t="s">
        <v>112</v>
      </c>
      <c r="AB11" s="27" t="s">
        <v>112</v>
      </c>
      <c r="AC11" s="27" t="s">
        <v>112</v>
      </c>
      <c r="AD11" s="27" t="s">
        <v>112</v>
      </c>
      <c r="AE11" s="27" t="s">
        <v>112</v>
      </c>
      <c r="AF11" s="27" t="s">
        <v>112</v>
      </c>
      <c r="AG11" s="27" t="s">
        <v>112</v>
      </c>
      <c r="AH11" s="27" t="s">
        <v>112</v>
      </c>
      <c r="AI11" s="27" t="s">
        <v>112</v>
      </c>
      <c r="AJ11" s="27" t="s">
        <v>112</v>
      </c>
      <c r="AK11" s="27" t="s">
        <v>112</v>
      </c>
      <c r="AL11" s="27" t="s">
        <v>112</v>
      </c>
      <c r="AM11" s="27" t="s">
        <v>112</v>
      </c>
      <c r="AN11" s="27" t="s">
        <v>112</v>
      </c>
      <c r="AO11" s="27" t="s">
        <v>112</v>
      </c>
      <c r="AP11" s="27" t="s">
        <v>112</v>
      </c>
      <c r="AQ11" s="27" t="s">
        <v>112</v>
      </c>
      <c r="AR11" s="27" t="s">
        <v>112</v>
      </c>
      <c r="AS11" s="27" t="s">
        <v>112</v>
      </c>
      <c r="AT11" s="27" t="s">
        <v>112</v>
      </c>
      <c r="AU11" s="27" t="s">
        <v>112</v>
      </c>
      <c r="AV11" s="27" t="s">
        <v>112</v>
      </c>
      <c r="AW11" s="32">
        <v>8992</v>
      </c>
      <c r="AX11" s="27">
        <f t="shared" si="17"/>
        <v>1.5167024603634527E-2</v>
      </c>
      <c r="AY11" s="27" t="s">
        <v>112</v>
      </c>
      <c r="AZ11" s="27" t="s">
        <v>112</v>
      </c>
      <c r="BA11" s="27" t="s">
        <v>112</v>
      </c>
      <c r="BB11" s="27" t="s">
        <v>112</v>
      </c>
      <c r="BC11" s="27" t="s">
        <v>112</v>
      </c>
      <c r="BD11" s="27" t="s">
        <v>112</v>
      </c>
      <c r="BE11" s="27" t="s">
        <v>112</v>
      </c>
      <c r="BF11" s="27" t="s">
        <v>112</v>
      </c>
      <c r="BG11" s="27" t="s">
        <v>112</v>
      </c>
      <c r="BH11" s="27" t="s">
        <v>112</v>
      </c>
      <c r="BI11" s="32">
        <v>6272</v>
      </c>
      <c r="BJ11" s="27">
        <f t="shared" si="21"/>
        <v>1.0036552152364889E-2</v>
      </c>
      <c r="BK11" s="27" t="s">
        <v>112</v>
      </c>
      <c r="BL11" s="28">
        <v>16728</v>
      </c>
      <c r="BM11" s="27">
        <f t="shared" si="22"/>
        <v>3.1934386067726729E-2</v>
      </c>
      <c r="BN11" s="27" t="s">
        <v>112</v>
      </c>
      <c r="BO11" s="28">
        <v>13228</v>
      </c>
      <c r="BP11" s="27">
        <f t="shared" si="23"/>
        <v>2.3648751897456213E-2</v>
      </c>
      <c r="BQ11" s="27" t="s">
        <v>112</v>
      </c>
      <c r="BR11" s="28">
        <v>11861</v>
      </c>
      <c r="BS11" s="27">
        <f t="shared" si="24"/>
        <v>2.27765213334832E-2</v>
      </c>
      <c r="BT11" s="27" t="s">
        <v>112</v>
      </c>
      <c r="BU11" s="32">
        <v>8569</v>
      </c>
      <c r="BV11" s="27">
        <f t="shared" si="25"/>
        <v>1.2407356002261069E-2</v>
      </c>
      <c r="BW11" s="27">
        <f t="shared" si="85"/>
        <v>0.36623086734693877</v>
      </c>
      <c r="BX11" s="100">
        <v>18423</v>
      </c>
      <c r="BY11" s="27">
        <f t="shared" si="26"/>
        <v>3.0480487147883904E-2</v>
      </c>
      <c r="BZ11" s="11">
        <f t="shared" si="86"/>
        <v>0.10132711621233859</v>
      </c>
      <c r="CA11" s="100">
        <v>16874</v>
      </c>
      <c r="CB11" s="27">
        <f t="shared" si="27"/>
        <v>2.6132087154777665E-2</v>
      </c>
      <c r="CC11" s="27">
        <f t="shared" si="87"/>
        <v>0.27562745690958579</v>
      </c>
      <c r="CD11" s="100">
        <v>17572</v>
      </c>
      <c r="CE11" s="27">
        <f t="shared" si="28"/>
        <v>2.9925176270956397E-2</v>
      </c>
      <c r="CF11" s="27">
        <f t="shared" si="88"/>
        <v>0.48149397184048559</v>
      </c>
      <c r="CG11" s="100">
        <v>14210</v>
      </c>
      <c r="CH11" s="27">
        <f t="shared" si="29"/>
        <v>1.7843531939419892E-2</v>
      </c>
      <c r="CI11" s="27">
        <f t="shared" si="89"/>
        <v>0.65830318590267245</v>
      </c>
      <c r="CJ11" s="100">
        <v>22206</v>
      </c>
      <c r="CK11" s="27">
        <f t="shared" si="30"/>
        <v>3.2816150641589291E-2</v>
      </c>
      <c r="CL11" s="27">
        <f t="shared" si="90"/>
        <v>0.20534114964989425</v>
      </c>
      <c r="CM11" s="100">
        <v>21660</v>
      </c>
      <c r="CN11" s="27">
        <f t="shared" si="31"/>
        <v>3.0060120240480961E-2</v>
      </c>
      <c r="CO11" s="27">
        <f t="shared" si="91"/>
        <v>0.28363162261467356</v>
      </c>
      <c r="CP11" s="100">
        <v>22662</v>
      </c>
      <c r="CQ11" s="27">
        <f t="shared" si="32"/>
        <v>3.2465828218721404E-2</v>
      </c>
      <c r="CR11" s="27">
        <f t="shared" si="92"/>
        <v>0.28966537673571602</v>
      </c>
      <c r="CS11" s="100">
        <v>17092</v>
      </c>
      <c r="CT11" s="27">
        <f t="shared" si="33"/>
        <v>1.8327650174783931E-2</v>
      </c>
      <c r="CU11" s="27">
        <f t="shared" si="75"/>
        <v>0.20281491907107663</v>
      </c>
      <c r="CV11" s="100">
        <v>26582</v>
      </c>
      <c r="CW11" s="27">
        <f t="shared" si="34"/>
        <v>3.2760864429055694E-2</v>
      </c>
      <c r="CX11" s="27">
        <f t="shared" si="93"/>
        <v>0.1970638566153291</v>
      </c>
      <c r="CY11" s="100">
        <v>25759</v>
      </c>
      <c r="CZ11" s="27">
        <f t="shared" si="35"/>
        <v>3.125576578223533E-2</v>
      </c>
      <c r="DA11" s="27">
        <f t="shared" si="94"/>
        <v>0.18924284395198532</v>
      </c>
      <c r="DB11" s="100">
        <v>26698</v>
      </c>
      <c r="DC11" s="27">
        <f t="shared" si="36"/>
        <v>3.3659772949187032E-2</v>
      </c>
      <c r="DD11" s="27">
        <f t="shared" si="95"/>
        <v>0.17809549024799232</v>
      </c>
      <c r="DE11" s="100">
        <v>19742</v>
      </c>
      <c r="DF11" s="27">
        <f t="shared" si="37"/>
        <v>1.8593299730457286E-2</v>
      </c>
      <c r="DG11" s="27">
        <f t="shared" si="96"/>
        <v>0.15504329510882275</v>
      </c>
      <c r="DH11" s="100">
        <v>31494</v>
      </c>
      <c r="DI11" s="27">
        <f t="shared" si="38"/>
        <v>3.494501488732453E-2</v>
      </c>
      <c r="DJ11" s="27">
        <f t="shared" si="76"/>
        <v>0.18478669776540513</v>
      </c>
      <c r="DK11" s="100">
        <v>32676</v>
      </c>
      <c r="DL11" s="27">
        <f t="shared" si="39"/>
        <v>3.5164220222977917E-2</v>
      </c>
      <c r="DM11" s="27">
        <f t="shared" si="77"/>
        <v>0.26852750494972621</v>
      </c>
      <c r="DN11" s="100">
        <v>28280</v>
      </c>
      <c r="DO11" s="27">
        <f t="shared" si="40"/>
        <v>3.220454211586575E-2</v>
      </c>
      <c r="DP11" s="27">
        <f t="shared" si="78"/>
        <v>5.9255374934451988E-2</v>
      </c>
      <c r="DQ11" s="100">
        <v>21249</v>
      </c>
      <c r="DR11" s="27">
        <f t="shared" si="41"/>
        <v>1.7629460255933732E-2</v>
      </c>
      <c r="DS11" s="27">
        <f t="shared" si="97"/>
        <v>7.6334717860399248E-2</v>
      </c>
      <c r="DT11" s="100">
        <v>38045</v>
      </c>
      <c r="DU11" s="27">
        <f t="shared" si="42"/>
        <v>3.7309700424042962E-2</v>
      </c>
      <c r="DV11" s="27">
        <f t="shared" si="98"/>
        <v>0.20800787451578073</v>
      </c>
      <c r="DW11" s="100">
        <v>36675</v>
      </c>
      <c r="DX11" s="27">
        <f t="shared" si="43"/>
        <v>3.4683165627095371E-2</v>
      </c>
      <c r="DY11" s="27">
        <f t="shared" si="99"/>
        <v>0.12238340066103559</v>
      </c>
      <c r="DZ11" s="100">
        <v>32656</v>
      </c>
      <c r="EA11" s="27">
        <f t="shared" si="44"/>
        <v>3.2962485187271247E-2</v>
      </c>
      <c r="EB11" s="27">
        <f t="shared" si="79"/>
        <v>0.15473833097595469</v>
      </c>
      <c r="EC11" s="100">
        <v>23852</v>
      </c>
      <c r="ED11" s="27">
        <f t="shared" si="45"/>
        <v>1.8773474714210606E-2</v>
      </c>
      <c r="EE11" s="27">
        <f t="shared" si="80"/>
        <v>0.12249988234740461</v>
      </c>
      <c r="EF11" s="100">
        <v>33166</v>
      </c>
      <c r="EG11" s="27">
        <f t="shared" si="46"/>
        <v>3.2607562878148824E-2</v>
      </c>
      <c r="EH11" s="27">
        <f t="shared" si="81"/>
        <v>-0.12824287028518855</v>
      </c>
      <c r="EI11" s="100">
        <v>35055</v>
      </c>
      <c r="EJ11" s="27">
        <f t="shared" si="47"/>
        <v>3.2998158767692208E-2</v>
      </c>
      <c r="EK11" s="27">
        <f t="shared" si="134"/>
        <v>-4.4171779141104262E-2</v>
      </c>
      <c r="EL11" s="100">
        <v>32262</v>
      </c>
      <c r="EM11" s="27">
        <f t="shared" si="135"/>
        <v>3.3555462409498957E-2</v>
      </c>
      <c r="EN11" s="27">
        <f t="shared" si="136"/>
        <v>-1.2065164135227846E-2</v>
      </c>
      <c r="EO11" s="100">
        <v>22230</v>
      </c>
      <c r="EP11" s="27">
        <f t="shared" si="0"/>
        <v>1.7688285151388806E-2</v>
      </c>
      <c r="EQ11" s="27">
        <f t="shared" si="1"/>
        <v>-6.800268321314773E-2</v>
      </c>
      <c r="ER11" s="100">
        <v>34335</v>
      </c>
      <c r="ES11" s="27">
        <f t="shared" si="49"/>
        <v>3.3223893335191199E-2</v>
      </c>
      <c r="ET11" s="27">
        <f t="shared" si="82"/>
        <v>3.524693963697767E-2</v>
      </c>
      <c r="EU11" s="100">
        <v>33569</v>
      </c>
      <c r="EV11" s="27">
        <f t="shared" si="137"/>
        <v>3.379304790762757E-2</v>
      </c>
      <c r="EW11" s="27">
        <f t="shared" si="138"/>
        <v>-4.2390529168449542E-2</v>
      </c>
      <c r="EX11" s="100">
        <v>31587</v>
      </c>
      <c r="EY11" s="27">
        <f t="shared" si="139"/>
        <v>3.4773667294052388E-2</v>
      </c>
      <c r="EZ11" s="27">
        <f t="shared" si="140"/>
        <v>-2.0922447461409699E-2</v>
      </c>
      <c r="FA11" s="100">
        <v>24456.867450000002</v>
      </c>
      <c r="FB11" s="27">
        <f t="shared" si="141"/>
        <v>2.0704436314755777E-2</v>
      </c>
      <c r="FC11" s="27">
        <f t="shared" si="142"/>
        <v>0.10017397435897446</v>
      </c>
      <c r="FD11" s="100">
        <v>39968.173849999999</v>
      </c>
      <c r="FE11" s="27">
        <f t="shared" si="53"/>
        <v>4.0273612519756065E-2</v>
      </c>
      <c r="FF11" s="27">
        <f t="shared" si="83"/>
        <v>0.16406506043395952</v>
      </c>
      <c r="FG11" s="100"/>
      <c r="FH11" s="27">
        <f t="shared" si="54"/>
        <v>0</v>
      </c>
      <c r="FI11" s="27">
        <f t="shared" si="84"/>
        <v>-1</v>
      </c>
      <c r="FJ11" s="100"/>
      <c r="FK11" s="27">
        <f t="shared" si="55"/>
        <v>0</v>
      </c>
      <c r="FL11" s="27">
        <f t="shared" si="56"/>
        <v>-1</v>
      </c>
      <c r="FM11" s="100"/>
      <c r="FN11" s="27">
        <f t="shared" si="57"/>
        <v>0</v>
      </c>
      <c r="FO11" s="27">
        <f t="shared" si="58"/>
        <v>-1</v>
      </c>
      <c r="FP11" s="100"/>
      <c r="FQ11" s="27">
        <f t="shared" si="59"/>
        <v>0</v>
      </c>
      <c r="FR11" s="27">
        <f t="shared" si="60"/>
        <v>-1</v>
      </c>
      <c r="FS11" s="100"/>
      <c r="FT11" s="27">
        <f t="shared" si="61"/>
        <v>0</v>
      </c>
      <c r="FU11" s="27" t="e">
        <f t="shared" si="62"/>
        <v>#DIV/0!</v>
      </c>
      <c r="FV11" s="100"/>
      <c r="FW11" s="27">
        <f t="shared" si="63"/>
        <v>0</v>
      </c>
      <c r="FX11" s="27" t="e">
        <f t="shared" si="64"/>
        <v>#DIV/0!</v>
      </c>
      <c r="FY11" s="100"/>
      <c r="FZ11" s="27">
        <f t="shared" si="65"/>
        <v>0</v>
      </c>
      <c r="GA11" s="27" t="e">
        <f t="shared" si="66"/>
        <v>#DIV/0!</v>
      </c>
      <c r="GB11" s="100"/>
      <c r="GC11" s="27">
        <f t="shared" si="67"/>
        <v>0</v>
      </c>
      <c r="GD11" s="27" t="e">
        <f t="shared" si="68"/>
        <v>#DIV/0!</v>
      </c>
      <c r="GE11" s="100"/>
      <c r="GF11" s="27">
        <f t="shared" si="69"/>
        <v>0</v>
      </c>
      <c r="GG11" s="27" t="e">
        <f t="shared" si="70"/>
        <v>#DIV/0!</v>
      </c>
      <c r="GH11" s="100"/>
      <c r="GI11" s="27">
        <f t="shared" si="71"/>
        <v>0</v>
      </c>
      <c r="GJ11" s="27" t="e">
        <f t="shared" si="100"/>
        <v>#DIV/0!</v>
      </c>
      <c r="GK11" s="100"/>
      <c r="GL11" s="27">
        <f t="shared" si="73"/>
        <v>0</v>
      </c>
      <c r="GM11" s="27" t="e">
        <f t="shared" si="101"/>
        <v>#DIV/0!</v>
      </c>
    </row>
    <row r="12" spans="2:195" ht="16.5" hidden="1" customHeight="1" outlineLevel="1">
      <c r="B12" s="222" t="s">
        <v>1045</v>
      </c>
      <c r="C12" s="36" t="s">
        <v>386</v>
      </c>
      <c r="D12" s="27" t="s">
        <v>112</v>
      </c>
      <c r="E12" s="27" t="s">
        <v>112</v>
      </c>
      <c r="F12" s="27" t="s">
        <v>112</v>
      </c>
      <c r="G12" s="27" t="s">
        <v>112</v>
      </c>
      <c r="H12" s="27" t="s">
        <v>112</v>
      </c>
      <c r="I12" s="27" t="s">
        <v>112</v>
      </c>
      <c r="J12" s="27" t="s">
        <v>112</v>
      </c>
      <c r="K12" s="27" t="s">
        <v>112</v>
      </c>
      <c r="L12" s="27" t="s">
        <v>112</v>
      </c>
      <c r="M12" s="27" t="s">
        <v>112</v>
      </c>
      <c r="N12" s="27" t="s">
        <v>112</v>
      </c>
      <c r="O12" s="27" t="s">
        <v>112</v>
      </c>
      <c r="P12" s="27" t="s">
        <v>112</v>
      </c>
      <c r="Q12" s="27" t="s">
        <v>112</v>
      </c>
      <c r="R12" s="27" t="s">
        <v>112</v>
      </c>
      <c r="S12" s="27" t="s">
        <v>112</v>
      </c>
      <c r="T12" s="27" t="s">
        <v>112</v>
      </c>
      <c r="U12" s="27" t="s">
        <v>112</v>
      </c>
      <c r="V12" s="27" t="s">
        <v>112</v>
      </c>
      <c r="W12" s="27" t="s">
        <v>112</v>
      </c>
      <c r="X12" s="27" t="s">
        <v>112</v>
      </c>
      <c r="Y12" s="27" t="s">
        <v>112</v>
      </c>
      <c r="Z12" s="27" t="s">
        <v>112</v>
      </c>
      <c r="AA12" s="27" t="s">
        <v>112</v>
      </c>
      <c r="AB12" s="27" t="s">
        <v>112</v>
      </c>
      <c r="AC12" s="27" t="s">
        <v>112</v>
      </c>
      <c r="AD12" s="27" t="s">
        <v>112</v>
      </c>
      <c r="AE12" s="27" t="s">
        <v>112</v>
      </c>
      <c r="AF12" s="27" t="s">
        <v>112</v>
      </c>
      <c r="AG12" s="27" t="s">
        <v>112</v>
      </c>
      <c r="AH12" s="27" t="s">
        <v>112</v>
      </c>
      <c r="AI12" s="27" t="s">
        <v>112</v>
      </c>
      <c r="AJ12" s="27" t="s">
        <v>112</v>
      </c>
      <c r="AK12" s="27" t="s">
        <v>112</v>
      </c>
      <c r="AL12" s="27" t="s">
        <v>112</v>
      </c>
      <c r="AM12" s="27" t="s">
        <v>112</v>
      </c>
      <c r="AN12" s="27" t="s">
        <v>112</v>
      </c>
      <c r="AO12" s="27" t="s">
        <v>112</v>
      </c>
      <c r="AP12" s="27" t="s">
        <v>112</v>
      </c>
      <c r="AQ12" s="27" t="s">
        <v>112</v>
      </c>
      <c r="AR12" s="27" t="s">
        <v>112</v>
      </c>
      <c r="AS12" s="27" t="s">
        <v>112</v>
      </c>
      <c r="AT12" s="27" t="s">
        <v>112</v>
      </c>
      <c r="AU12" s="27" t="s">
        <v>112</v>
      </c>
      <c r="AV12" s="27" t="s">
        <v>112</v>
      </c>
      <c r="AW12" s="32">
        <v>9935</v>
      </c>
      <c r="AX12" s="27">
        <f t="shared" si="17"/>
        <v>1.6757605586867109E-2</v>
      </c>
      <c r="AY12" s="27" t="s">
        <v>112</v>
      </c>
      <c r="AZ12" s="27" t="s">
        <v>112</v>
      </c>
      <c r="BA12" s="27" t="s">
        <v>112</v>
      </c>
      <c r="BB12" s="27" t="s">
        <v>112</v>
      </c>
      <c r="BC12" s="27" t="s">
        <v>112</v>
      </c>
      <c r="BD12" s="27" t="s">
        <v>112</v>
      </c>
      <c r="BE12" s="27" t="s">
        <v>112</v>
      </c>
      <c r="BF12" s="27" t="s">
        <v>112</v>
      </c>
      <c r="BG12" s="27" t="s">
        <v>112</v>
      </c>
      <c r="BH12" s="27" t="s">
        <v>112</v>
      </c>
      <c r="BI12" s="32">
        <v>8125</v>
      </c>
      <c r="BJ12" s="27">
        <f t="shared" si="21"/>
        <v>1.300175163232856E-2</v>
      </c>
      <c r="BK12" s="27" t="s">
        <v>112</v>
      </c>
      <c r="BL12" s="28">
        <v>9148</v>
      </c>
      <c r="BM12" s="27">
        <f t="shared" si="22"/>
        <v>1.7463878751049985E-2</v>
      </c>
      <c r="BN12" s="27" t="s">
        <v>112</v>
      </c>
      <c r="BO12" s="28">
        <v>11808</v>
      </c>
      <c r="BP12" s="27">
        <f t="shared" si="23"/>
        <v>2.1110104505984502E-2</v>
      </c>
      <c r="BQ12" s="27" t="s">
        <v>112</v>
      </c>
      <c r="BR12" s="28">
        <v>10005</v>
      </c>
      <c r="BS12" s="27">
        <f t="shared" si="24"/>
        <v>1.9212469095480939E-2</v>
      </c>
      <c r="BT12" s="27" t="s">
        <v>112</v>
      </c>
      <c r="BU12" s="32">
        <v>8899</v>
      </c>
      <c r="BV12" s="27">
        <f t="shared" si="25"/>
        <v>1.2885174590281392E-2</v>
      </c>
      <c r="BW12" s="27">
        <f t="shared" si="85"/>
        <v>9.5261538461538509E-2</v>
      </c>
      <c r="BX12" s="100">
        <v>11544</v>
      </c>
      <c r="BY12" s="27">
        <f t="shared" si="26"/>
        <v>1.9099318440817012E-2</v>
      </c>
      <c r="BZ12" s="11">
        <f t="shared" si="86"/>
        <v>0.2619151727153477</v>
      </c>
      <c r="CA12" s="100">
        <v>14983</v>
      </c>
      <c r="CB12" s="27">
        <f t="shared" si="27"/>
        <v>2.3203571283633623E-2</v>
      </c>
      <c r="CC12" s="27">
        <f t="shared" si="87"/>
        <v>0.26888550135501355</v>
      </c>
      <c r="CD12" s="100">
        <v>13778</v>
      </c>
      <c r="CE12" s="27">
        <f t="shared" si="28"/>
        <v>2.3463981257753085E-2</v>
      </c>
      <c r="CF12" s="27">
        <f t="shared" si="88"/>
        <v>0.37711144427786114</v>
      </c>
      <c r="CG12" s="100">
        <v>12534</v>
      </c>
      <c r="CH12" s="27">
        <f t="shared" si="29"/>
        <v>1.5738974618486199E-2</v>
      </c>
      <c r="CI12" s="27">
        <f t="shared" si="89"/>
        <v>0.4084728621193392</v>
      </c>
      <c r="CJ12" s="100">
        <v>13628</v>
      </c>
      <c r="CK12" s="27">
        <f t="shared" si="30"/>
        <v>2.0139534402574929E-2</v>
      </c>
      <c r="CL12" s="27">
        <f t="shared" si="90"/>
        <v>0.18052668052668053</v>
      </c>
      <c r="CM12" s="100">
        <v>15961</v>
      </c>
      <c r="CN12" s="27">
        <f t="shared" si="31"/>
        <v>2.2150950099645274E-2</v>
      </c>
      <c r="CO12" s="27">
        <f t="shared" si="91"/>
        <v>6.5273977174130637E-2</v>
      </c>
      <c r="CP12" s="100">
        <v>14636</v>
      </c>
      <c r="CQ12" s="27">
        <f t="shared" si="32"/>
        <v>2.0967693134286758E-2</v>
      </c>
      <c r="CR12" s="27">
        <f t="shared" si="92"/>
        <v>6.2273189142110663E-2</v>
      </c>
      <c r="CS12" s="100">
        <v>13751</v>
      </c>
      <c r="CT12" s="27">
        <f t="shared" si="33"/>
        <v>1.4745115700529714E-2</v>
      </c>
      <c r="CU12" s="27">
        <f t="shared" si="75"/>
        <v>9.709589915430028E-2</v>
      </c>
      <c r="CV12" s="100">
        <v>14649</v>
      </c>
      <c r="CW12" s="27">
        <f t="shared" si="34"/>
        <v>1.8054093108917191E-2</v>
      </c>
      <c r="CX12" s="27">
        <f t="shared" si="93"/>
        <v>7.4919283827414196E-2</v>
      </c>
      <c r="CY12" s="100">
        <v>18176</v>
      </c>
      <c r="CZ12" s="27">
        <f t="shared" si="35"/>
        <v>2.205461387701034E-2</v>
      </c>
      <c r="DA12" s="27">
        <f t="shared" si="94"/>
        <v>0.13877576592945307</v>
      </c>
      <c r="DB12" s="100">
        <v>17093</v>
      </c>
      <c r="DC12" s="27">
        <f t="shared" si="36"/>
        <v>2.1550172260860513E-2</v>
      </c>
      <c r="DD12" s="27">
        <f t="shared" si="95"/>
        <v>0.1678737359934408</v>
      </c>
      <c r="DE12" s="100">
        <v>15479</v>
      </c>
      <c r="DF12" s="27">
        <f t="shared" si="37"/>
        <v>1.4578344976585366E-2</v>
      </c>
      <c r="DG12" s="27">
        <f t="shared" si="96"/>
        <v>0.12566358810268352</v>
      </c>
      <c r="DH12" s="100">
        <v>17397</v>
      </c>
      <c r="DI12" s="27">
        <f t="shared" si="38"/>
        <v>1.930330932859544E-2</v>
      </c>
      <c r="DJ12" s="27">
        <f t="shared" si="76"/>
        <v>0.18758959655949203</v>
      </c>
      <c r="DK12" s="100">
        <v>23817</v>
      </c>
      <c r="DL12" s="27">
        <f t="shared" si="39"/>
        <v>2.5630622874607205E-2</v>
      </c>
      <c r="DM12" s="27">
        <f t="shared" si="77"/>
        <v>0.31035431338028174</v>
      </c>
      <c r="DN12" s="100">
        <v>20485</v>
      </c>
      <c r="DO12" s="27">
        <f t="shared" si="40"/>
        <v>2.3327795093476301E-2</v>
      </c>
      <c r="DP12" s="27">
        <f t="shared" si="78"/>
        <v>0.19844380740654066</v>
      </c>
      <c r="DQ12" s="100">
        <v>17206</v>
      </c>
      <c r="DR12" s="27">
        <f t="shared" si="41"/>
        <v>1.4275142037912176E-2</v>
      </c>
      <c r="DS12" s="27">
        <f t="shared" si="97"/>
        <v>0.11157051489114278</v>
      </c>
      <c r="DT12" s="100">
        <v>22712</v>
      </c>
      <c r="DU12" s="27">
        <f t="shared" si="42"/>
        <v>2.2273042871096431E-2</v>
      </c>
      <c r="DV12" s="27">
        <f t="shared" si="98"/>
        <v>0.30551244467436911</v>
      </c>
      <c r="DW12" s="100">
        <v>27848</v>
      </c>
      <c r="DX12" s="27">
        <f t="shared" si="43"/>
        <v>2.6335563636901208E-2</v>
      </c>
      <c r="DY12" s="27">
        <f t="shared" si="99"/>
        <v>0.16924885585926019</v>
      </c>
      <c r="DZ12" s="100">
        <v>23858</v>
      </c>
      <c r="EA12" s="27">
        <f t="shared" si="44"/>
        <v>2.4081913632959254E-2</v>
      </c>
      <c r="EB12" s="27">
        <f t="shared" si="79"/>
        <v>0.16465706614596054</v>
      </c>
      <c r="EC12" s="100">
        <v>20601</v>
      </c>
      <c r="ED12" s="27">
        <f t="shared" si="45"/>
        <v>1.6214671834120939E-2</v>
      </c>
      <c r="EE12" s="27">
        <f t="shared" si="80"/>
        <v>0.19731489015459713</v>
      </c>
      <c r="EF12" s="100">
        <v>21572</v>
      </c>
      <c r="EG12" s="27">
        <f t="shared" si="46"/>
        <v>2.1208778460092458E-2</v>
      </c>
      <c r="EH12" s="27">
        <f t="shared" si="81"/>
        <v>-5.0193730186685492E-2</v>
      </c>
      <c r="EI12" s="100">
        <v>25813</v>
      </c>
      <c r="EJ12" s="27">
        <f t="shared" si="47"/>
        <v>2.4298430245911825E-2</v>
      </c>
      <c r="EK12" s="27">
        <f t="shared" si="134"/>
        <v>-7.3075265728238969E-2</v>
      </c>
      <c r="EL12" s="100">
        <v>23109</v>
      </c>
      <c r="EM12" s="27">
        <f t="shared" si="135"/>
        <v>2.4035496274908915E-2</v>
      </c>
      <c r="EN12" s="27">
        <f t="shared" si="136"/>
        <v>-3.1394081649761096E-2</v>
      </c>
      <c r="EO12" s="100">
        <v>19608</v>
      </c>
      <c r="EP12" s="27">
        <f t="shared" si="0"/>
        <v>1.5601974595071151E-2</v>
      </c>
      <c r="EQ12" s="27">
        <f t="shared" si="1"/>
        <v>-4.8201543614387665E-2</v>
      </c>
      <c r="ER12" s="100">
        <v>20894</v>
      </c>
      <c r="ES12" s="27">
        <f t="shared" si="49"/>
        <v>2.0217854298688945E-2</v>
      </c>
      <c r="ET12" s="27">
        <f t="shared" si="82"/>
        <v>-3.1429631003152214E-2</v>
      </c>
      <c r="EU12" s="100">
        <v>26504</v>
      </c>
      <c r="EV12" s="27">
        <f t="shared" si="137"/>
        <v>2.6680894329403949E-2</v>
      </c>
      <c r="EW12" s="27">
        <f t="shared" si="138"/>
        <v>2.6769457250222839E-2</v>
      </c>
      <c r="EX12" s="100">
        <v>22631</v>
      </c>
      <c r="EY12" s="27">
        <f t="shared" si="139"/>
        <v>2.4914137605081193E-2</v>
      </c>
      <c r="EZ12" s="27">
        <f t="shared" si="140"/>
        <v>-2.0684581764680465E-2</v>
      </c>
      <c r="FA12" s="100">
        <v>19809.889380000004</v>
      </c>
      <c r="FB12" s="27">
        <f t="shared" si="141"/>
        <v>1.6770446742989029E-2</v>
      </c>
      <c r="FC12" s="27">
        <f t="shared" si="142"/>
        <v>1.0296276009792216E-2</v>
      </c>
      <c r="FD12" s="100">
        <v>22589.412210000002</v>
      </c>
      <c r="FE12" s="27">
        <f t="shared" si="53"/>
        <v>2.2762041563592395E-2</v>
      </c>
      <c r="FF12" s="27">
        <f t="shared" si="83"/>
        <v>8.1143496219010292E-2</v>
      </c>
      <c r="FG12" s="100"/>
      <c r="FH12" s="27">
        <f t="shared" si="54"/>
        <v>0</v>
      </c>
      <c r="FI12" s="27">
        <f t="shared" si="84"/>
        <v>-1</v>
      </c>
      <c r="FJ12" s="100"/>
      <c r="FK12" s="27">
        <f t="shared" si="55"/>
        <v>0</v>
      </c>
      <c r="FL12" s="27">
        <f t="shared" si="56"/>
        <v>-1</v>
      </c>
      <c r="FM12" s="100"/>
      <c r="FN12" s="27">
        <f t="shared" si="57"/>
        <v>0</v>
      </c>
      <c r="FO12" s="27">
        <f t="shared" si="58"/>
        <v>-1</v>
      </c>
      <c r="FP12" s="100"/>
      <c r="FQ12" s="27">
        <f t="shared" si="59"/>
        <v>0</v>
      </c>
      <c r="FR12" s="27">
        <f t="shared" si="60"/>
        <v>-1</v>
      </c>
      <c r="FS12" s="100"/>
      <c r="FT12" s="27">
        <f t="shared" si="61"/>
        <v>0</v>
      </c>
      <c r="FU12" s="27" t="e">
        <f t="shared" si="62"/>
        <v>#DIV/0!</v>
      </c>
      <c r="FV12" s="100"/>
      <c r="FW12" s="27">
        <f t="shared" si="63"/>
        <v>0</v>
      </c>
      <c r="FX12" s="27" t="e">
        <f t="shared" si="64"/>
        <v>#DIV/0!</v>
      </c>
      <c r="FY12" s="100"/>
      <c r="FZ12" s="27">
        <f t="shared" si="65"/>
        <v>0</v>
      </c>
      <c r="GA12" s="27" t="e">
        <f t="shared" si="66"/>
        <v>#DIV/0!</v>
      </c>
      <c r="GB12" s="100"/>
      <c r="GC12" s="27">
        <f t="shared" si="67"/>
        <v>0</v>
      </c>
      <c r="GD12" s="27" t="e">
        <f t="shared" si="68"/>
        <v>#DIV/0!</v>
      </c>
      <c r="GE12" s="100"/>
      <c r="GF12" s="27">
        <f t="shared" si="69"/>
        <v>0</v>
      </c>
      <c r="GG12" s="27" t="e">
        <f t="shared" si="70"/>
        <v>#DIV/0!</v>
      </c>
      <c r="GH12" s="100"/>
      <c r="GI12" s="27">
        <f t="shared" si="71"/>
        <v>0</v>
      </c>
      <c r="GJ12" s="27" t="e">
        <f t="shared" si="100"/>
        <v>#DIV/0!</v>
      </c>
      <c r="GK12" s="100"/>
      <c r="GL12" s="27">
        <f t="shared" si="73"/>
        <v>0</v>
      </c>
      <c r="GM12" s="27" t="e">
        <f t="shared" si="101"/>
        <v>#DIV/0!</v>
      </c>
    </row>
    <row r="13" spans="2:195" ht="16.5" customHeight="1" collapsed="1">
      <c r="B13" s="36" t="s">
        <v>1381</v>
      </c>
      <c r="C13" s="36" t="s">
        <v>387</v>
      </c>
      <c r="D13" s="27" t="s">
        <v>112</v>
      </c>
      <c r="E13" s="27" t="s">
        <v>112</v>
      </c>
      <c r="F13" s="27" t="s">
        <v>112</v>
      </c>
      <c r="G13" s="27" t="s">
        <v>112</v>
      </c>
      <c r="H13" s="27" t="s">
        <v>112</v>
      </c>
      <c r="I13" s="27" t="s">
        <v>112</v>
      </c>
      <c r="J13" s="27" t="s">
        <v>112</v>
      </c>
      <c r="K13" s="27" t="s">
        <v>112</v>
      </c>
      <c r="L13" s="27" t="s">
        <v>112</v>
      </c>
      <c r="M13" s="27" t="s">
        <v>112</v>
      </c>
      <c r="N13" s="27" t="s">
        <v>112</v>
      </c>
      <c r="O13" s="27" t="s">
        <v>112</v>
      </c>
      <c r="P13" s="27" t="s">
        <v>112</v>
      </c>
      <c r="Q13" s="27" t="s">
        <v>112</v>
      </c>
      <c r="R13" s="27" t="s">
        <v>112</v>
      </c>
      <c r="S13" s="27" t="s">
        <v>112</v>
      </c>
      <c r="T13" s="27" t="s">
        <v>112</v>
      </c>
      <c r="U13" s="27" t="s">
        <v>112</v>
      </c>
      <c r="V13" s="27" t="s">
        <v>112</v>
      </c>
      <c r="W13" s="27" t="s">
        <v>112</v>
      </c>
      <c r="X13" s="27" t="s">
        <v>112</v>
      </c>
      <c r="Y13" s="27" t="s">
        <v>112</v>
      </c>
      <c r="Z13" s="27" t="s">
        <v>112</v>
      </c>
      <c r="AA13" s="27" t="s">
        <v>112</v>
      </c>
      <c r="AB13" s="27" t="s">
        <v>112</v>
      </c>
      <c r="AC13" s="27" t="s">
        <v>112</v>
      </c>
      <c r="AD13" s="27" t="s">
        <v>112</v>
      </c>
      <c r="AE13" s="27" t="s">
        <v>112</v>
      </c>
      <c r="AF13" s="27" t="s">
        <v>112</v>
      </c>
      <c r="AG13" s="27" t="s">
        <v>112</v>
      </c>
      <c r="AH13" s="27" t="s">
        <v>112</v>
      </c>
      <c r="AI13" s="27" t="s">
        <v>112</v>
      </c>
      <c r="AJ13" s="27" t="s">
        <v>112</v>
      </c>
      <c r="AK13" s="27" t="s">
        <v>112</v>
      </c>
      <c r="AL13" s="27" t="s">
        <v>112</v>
      </c>
      <c r="AM13" s="27" t="s">
        <v>112</v>
      </c>
      <c r="AN13" s="27" t="s">
        <v>112</v>
      </c>
      <c r="AO13" s="27" t="s">
        <v>112</v>
      </c>
      <c r="AP13" s="27" t="s">
        <v>112</v>
      </c>
      <c r="AQ13" s="27" t="s">
        <v>112</v>
      </c>
      <c r="AR13" s="27" t="s">
        <v>112</v>
      </c>
      <c r="AS13" s="27" t="s">
        <v>112</v>
      </c>
      <c r="AT13" s="27" t="s">
        <v>112</v>
      </c>
      <c r="AU13" s="27" t="s">
        <v>112</v>
      </c>
      <c r="AV13" s="27" t="s">
        <v>112</v>
      </c>
      <c r="AW13" s="32">
        <v>32219</v>
      </c>
      <c r="AX13" s="27">
        <f t="shared" si="17"/>
        <v>5.4344569139735413E-2</v>
      </c>
      <c r="AY13" s="27" t="s">
        <v>112</v>
      </c>
      <c r="AZ13" s="27" t="s">
        <v>112</v>
      </c>
      <c r="BA13" s="27" t="s">
        <v>112</v>
      </c>
      <c r="BB13" s="27" t="s">
        <v>112</v>
      </c>
      <c r="BC13" s="27" t="s">
        <v>112</v>
      </c>
      <c r="BD13" s="27" t="s">
        <v>112</v>
      </c>
      <c r="BE13" s="27" t="s">
        <v>112</v>
      </c>
      <c r="BF13" s="27" t="s">
        <v>112</v>
      </c>
      <c r="BG13" s="27" t="s">
        <v>112</v>
      </c>
      <c r="BH13" s="27" t="s">
        <v>112</v>
      </c>
      <c r="BI13" s="32">
        <v>24673</v>
      </c>
      <c r="BJ13" s="27">
        <f t="shared" si="21"/>
        <v>3.9482119141469853E-2</v>
      </c>
      <c r="BK13" s="27" t="s">
        <v>112</v>
      </c>
      <c r="BL13" s="28">
        <v>18755</v>
      </c>
      <c r="BM13" s="27">
        <f t="shared" si="22"/>
        <v>3.5804005900299786E-2</v>
      </c>
      <c r="BN13" s="27" t="s">
        <v>112</v>
      </c>
      <c r="BO13" s="28">
        <v>28907</v>
      </c>
      <c r="BP13" s="27">
        <f t="shared" si="23"/>
        <v>5.1679352214980857E-2</v>
      </c>
      <c r="BQ13" s="27" t="s">
        <v>112</v>
      </c>
      <c r="BR13" s="28">
        <v>29809</v>
      </c>
      <c r="BS13" s="27">
        <f t="shared" si="24"/>
        <v>5.7241828212612825E-2</v>
      </c>
      <c r="BT13" s="27" t="s">
        <v>112</v>
      </c>
      <c r="BU13" s="32">
        <v>26542</v>
      </c>
      <c r="BV13" s="27">
        <f t="shared" si="25"/>
        <v>3.8431093827986144E-2</v>
      </c>
      <c r="BW13" s="27">
        <f t="shared" si="85"/>
        <v>7.5750820735216662E-2</v>
      </c>
      <c r="BX13" s="100">
        <v>23027</v>
      </c>
      <c r="BY13" s="27">
        <f t="shared" si="26"/>
        <v>3.809771359465465E-2</v>
      </c>
      <c r="BZ13" s="11">
        <f t="shared" si="86"/>
        <v>0.22777925886430284</v>
      </c>
      <c r="CA13" s="100">
        <v>34943</v>
      </c>
      <c r="CB13" s="27">
        <f t="shared" si="27"/>
        <v>5.4114822890209552E-2</v>
      </c>
      <c r="CC13" s="27">
        <f t="shared" si="87"/>
        <v>0.20880755526343098</v>
      </c>
      <c r="CD13" s="100">
        <v>38759</v>
      </c>
      <c r="CE13" s="27">
        <f t="shared" si="28"/>
        <v>6.600670994115633E-2</v>
      </c>
      <c r="CF13" s="27">
        <f t="shared" si="88"/>
        <v>0.30024489248213637</v>
      </c>
      <c r="CG13" s="100">
        <v>37606</v>
      </c>
      <c r="CH13" s="27">
        <f t="shared" si="29"/>
        <v>4.7221946665293765E-2</v>
      </c>
      <c r="CI13" s="27">
        <f t="shared" si="89"/>
        <v>0.41684876799035497</v>
      </c>
      <c r="CJ13" s="100">
        <v>30719</v>
      </c>
      <c r="CK13" s="27">
        <f t="shared" si="30"/>
        <v>4.5396709518102381E-2</v>
      </c>
      <c r="CL13" s="27">
        <f t="shared" si="90"/>
        <v>0.33404264558995966</v>
      </c>
      <c r="CM13" s="100">
        <v>39150</v>
      </c>
      <c r="CN13" s="27">
        <f t="shared" si="31"/>
        <v>5.4333042816935809E-2</v>
      </c>
      <c r="CO13" s="27">
        <f t="shared" si="91"/>
        <v>0.12039607360558624</v>
      </c>
      <c r="CP13" s="100">
        <v>40963</v>
      </c>
      <c r="CQ13" s="27">
        <f t="shared" si="32"/>
        <v>5.8684040301980628E-2</v>
      </c>
      <c r="CR13" s="27">
        <f t="shared" si="92"/>
        <v>5.686421218297677E-2</v>
      </c>
      <c r="CS13" s="100">
        <v>39252</v>
      </c>
      <c r="CT13" s="27">
        <f t="shared" si="33"/>
        <v>4.2089686675673935E-2</v>
      </c>
      <c r="CU13" s="27">
        <f t="shared" si="75"/>
        <v>4.3769611232250094E-2</v>
      </c>
      <c r="CV13" s="100">
        <v>34143</v>
      </c>
      <c r="CW13" s="27">
        <f t="shared" si="34"/>
        <v>4.2079384327787545E-2</v>
      </c>
      <c r="CX13" s="27">
        <f t="shared" si="93"/>
        <v>0.11146196165239752</v>
      </c>
      <c r="CY13" s="100">
        <v>42196</v>
      </c>
      <c r="CZ13" s="27">
        <f t="shared" si="35"/>
        <v>5.1200290886571756E-2</v>
      </c>
      <c r="DA13" s="27">
        <f t="shared" si="94"/>
        <v>7.780332056194128E-2</v>
      </c>
      <c r="DB13" s="100">
        <v>44055</v>
      </c>
      <c r="DC13" s="27">
        <f t="shared" si="36"/>
        <v>5.5542785874463804E-2</v>
      </c>
      <c r="DD13" s="27">
        <f>(DB13/CP13)-1</f>
        <v>7.54827527280717E-2</v>
      </c>
      <c r="DE13" s="100">
        <v>44915</v>
      </c>
      <c r="DF13" s="27">
        <f t="shared" si="37"/>
        <v>4.230159342485508E-2</v>
      </c>
      <c r="DG13" s="27">
        <f t="shared" si="96"/>
        <v>0.14427290329155196</v>
      </c>
      <c r="DH13" s="100">
        <v>38469</v>
      </c>
      <c r="DI13" s="27">
        <f t="shared" si="38"/>
        <v>4.2684313764542049E-2</v>
      </c>
      <c r="DJ13" s="27">
        <f>(DH13/CV13)-1</f>
        <v>0.12670239873473332</v>
      </c>
      <c r="DK13" s="100">
        <v>53743</v>
      </c>
      <c r="DL13" s="27">
        <f t="shared" si="39"/>
        <v>5.7835435409582026E-2</v>
      </c>
      <c r="DM13" s="27">
        <f t="shared" si="77"/>
        <v>0.27365153095080097</v>
      </c>
      <c r="DN13" s="100">
        <v>59150</v>
      </c>
      <c r="DO13" s="27">
        <f t="shared" si="40"/>
        <v>6.7358510118580586E-2</v>
      </c>
      <c r="DP13" s="27">
        <f t="shared" si="78"/>
        <v>0.34263988196572459</v>
      </c>
      <c r="DQ13" s="100">
        <v>51818</v>
      </c>
      <c r="DR13" s="27">
        <f t="shared" si="41"/>
        <v>4.2991358254128392E-2</v>
      </c>
      <c r="DS13" s="27">
        <f t="shared" si="97"/>
        <v>0.1536903039073807</v>
      </c>
      <c r="DT13" s="100">
        <v>44802</v>
      </c>
      <c r="DU13" s="27">
        <f t="shared" si="42"/>
        <v>4.3936107199315885E-2</v>
      </c>
      <c r="DV13" s="27">
        <f t="shared" si="98"/>
        <v>0.16462606254386647</v>
      </c>
      <c r="DW13" s="100">
        <v>67303.428279999876</v>
      </c>
      <c r="DX13" s="27">
        <f t="shared" si="43"/>
        <v>6.364815133760246E-2</v>
      </c>
      <c r="DY13" s="27">
        <f t="shared" si="99"/>
        <v>0.25231989803322996</v>
      </c>
      <c r="DZ13" s="100">
        <v>69138</v>
      </c>
      <c r="EA13" s="27">
        <f t="shared" si="44"/>
        <v>6.9786878395319676E-2</v>
      </c>
      <c r="EB13" s="27">
        <f t="shared" si="79"/>
        <v>0.16885883347421804</v>
      </c>
      <c r="EC13" s="100">
        <v>63072</v>
      </c>
      <c r="ED13" s="27">
        <f t="shared" si="45"/>
        <v>4.9642822286378133E-2</v>
      </c>
      <c r="EE13" s="27">
        <f t="shared" si="80"/>
        <v>0.21718321818673059</v>
      </c>
      <c r="EF13" s="100">
        <v>52671</v>
      </c>
      <c r="EG13" s="27">
        <f t="shared" si="46"/>
        <v>5.1784144737230198E-2</v>
      </c>
      <c r="EH13" s="27">
        <f t="shared" si="81"/>
        <v>0.17563948038034027</v>
      </c>
      <c r="EI13" s="100">
        <v>65210</v>
      </c>
      <c r="EJ13" s="27">
        <f t="shared" si="47"/>
        <v>6.138382351280014E-2</v>
      </c>
      <c r="EK13" s="27">
        <f t="shared" si="134"/>
        <v>-3.1104333516127403E-2</v>
      </c>
      <c r="EL13" s="100">
        <v>66037</v>
      </c>
      <c r="EM13" s="27">
        <f t="shared" si="135"/>
        <v>6.8684584685886882E-2</v>
      </c>
      <c r="EN13" s="27">
        <f t="shared" si="136"/>
        <v>-4.4852324336833616E-2</v>
      </c>
      <c r="EO13" s="100">
        <v>54835</v>
      </c>
      <c r="EP13" s="27">
        <f t="shared" si="0"/>
        <v>4.3631899067764511E-2</v>
      </c>
      <c r="EQ13" s="27">
        <f t="shared" si="1"/>
        <v>-0.1305967782851345</v>
      </c>
      <c r="ER13" s="100">
        <v>41562</v>
      </c>
      <c r="ES13" s="27">
        <f t="shared" si="49"/>
        <v>4.02170221289418E-2</v>
      </c>
      <c r="ET13" s="27">
        <f t="shared" si="82"/>
        <v>-0.21091302614341856</v>
      </c>
      <c r="EU13" s="100">
        <v>38237</v>
      </c>
      <c r="EV13" s="27">
        <f t="shared" si="137"/>
        <v>3.8492203307931586E-2</v>
      </c>
      <c r="EW13" s="27">
        <f t="shared" si="138"/>
        <v>-0.41363287839288454</v>
      </c>
      <c r="EX13" s="100">
        <v>59635.757770000033</v>
      </c>
      <c r="EY13" s="27">
        <f t="shared" si="139"/>
        <v>6.5652135357035513E-2</v>
      </c>
      <c r="EZ13" s="27">
        <f t="shared" si="140"/>
        <v>-9.6934176749397527E-2</v>
      </c>
      <c r="FA13" s="100">
        <v>53006.215790000017</v>
      </c>
      <c r="FB13" s="27">
        <f t="shared" si="141"/>
        <v>4.4873441840167366E-2</v>
      </c>
      <c r="FC13" s="27">
        <f t="shared" si="142"/>
        <v>-3.3350674022065929E-2</v>
      </c>
      <c r="FD13" s="100">
        <v>47052.222329999997</v>
      </c>
      <c r="FE13" s="27">
        <f t="shared" si="53"/>
        <v>4.7411797632376289E-2</v>
      </c>
      <c r="FF13" s="27">
        <f t="shared" si="83"/>
        <v>0.13209716399595783</v>
      </c>
      <c r="FG13" s="435">
        <v>65450.622089999997</v>
      </c>
      <c r="FH13" s="27">
        <f t="shared" si="54"/>
        <v>6.4423714668726512E-2</v>
      </c>
      <c r="FI13" s="27">
        <f t="shared" si="84"/>
        <v>0.71170913225409937</v>
      </c>
      <c r="FJ13" s="435">
        <v>62944.539059999996</v>
      </c>
      <c r="FK13" s="27">
        <f t="shared" si="55"/>
        <v>6.562484803317184E-2</v>
      </c>
      <c r="FL13" s="27">
        <f t="shared" si="56"/>
        <v>5.5483176767219033E-2</v>
      </c>
      <c r="FM13" s="435">
        <v>51950.016940000001</v>
      </c>
      <c r="FN13" s="27">
        <f t="shared" si="57"/>
        <v>4.0497362753352042E-2</v>
      </c>
      <c r="FO13" s="27">
        <f t="shared" si="58"/>
        <v>-1.9925943292848247E-2</v>
      </c>
      <c r="FP13" s="435">
        <v>45440.309369999995</v>
      </c>
      <c r="FQ13" s="27">
        <f t="shared" si="59"/>
        <v>4.1747212987375104E-2</v>
      </c>
      <c r="FR13" s="27">
        <f t="shared" si="60"/>
        <v>-3.4257955951471852E-2</v>
      </c>
      <c r="FS13" s="435">
        <f>65815.22669+109.1433800003</f>
        <v>65924.370070000296</v>
      </c>
      <c r="FT13" s="27">
        <f t="shared" si="61"/>
        <v>6.2200445412949633E-2</v>
      </c>
      <c r="FU13" s="27">
        <f>(FS13/FG13)-1</f>
        <v>7.2382502239451973E-3</v>
      </c>
      <c r="FV13" s="435">
        <v>91402.953084067296</v>
      </c>
      <c r="FW13" s="27">
        <f t="shared" si="63"/>
        <v>9.0866362698362804E-2</v>
      </c>
      <c r="FX13" s="27">
        <f t="shared" si="64"/>
        <v>0.45211887240829851</v>
      </c>
      <c r="FY13" s="435">
        <v>126334.76400001833</v>
      </c>
      <c r="FZ13" s="27">
        <f t="shared" si="65"/>
        <v>9.1998474392528631E-2</v>
      </c>
      <c r="GA13" s="27">
        <f t="shared" si="66"/>
        <v>1.4318522195272712</v>
      </c>
      <c r="GB13" s="435">
        <v>155411.77286438609</v>
      </c>
      <c r="GC13" s="27">
        <f t="shared" si="67"/>
        <v>0.13449314457475023</v>
      </c>
      <c r="GD13" s="27">
        <f t="shared" si="68"/>
        <v>2.4201301667851323</v>
      </c>
      <c r="GE13" s="435">
        <v>297382.65879465919</v>
      </c>
      <c r="GF13" s="27">
        <f t="shared" si="69"/>
        <v>0.37952436227678576</v>
      </c>
      <c r="GG13" s="27">
        <f t="shared" si="70"/>
        <v>3.5109670138507223</v>
      </c>
      <c r="GH13" s="435">
        <v>234678.00176298129</v>
      </c>
      <c r="GI13" s="27">
        <f t="shared" si="71"/>
        <v>0.2757216510107976</v>
      </c>
      <c r="GJ13" s="27">
        <f t="shared" si="100"/>
        <v>1.5675100622529961</v>
      </c>
      <c r="GK13" s="435">
        <v>183096.96324141082</v>
      </c>
      <c r="GL13" s="27">
        <f t="shared" si="73"/>
        <v>0.15680741592457603</v>
      </c>
      <c r="GM13" s="27">
        <f t="shared" si="101"/>
        <v>0.44929991907361511</v>
      </c>
    </row>
    <row r="14" spans="2:195" s="23" customFormat="1" ht="16.5" customHeight="1">
      <c r="B14" s="267" t="s">
        <v>1040</v>
      </c>
      <c r="C14" s="267" t="s">
        <v>388</v>
      </c>
      <c r="D14" s="268"/>
      <c r="E14" s="269" t="s">
        <v>112</v>
      </c>
      <c r="F14" s="270"/>
      <c r="G14" s="268"/>
      <c r="H14" s="269">
        <f t="shared" si="3"/>
        <v>0</v>
      </c>
      <c r="I14" s="270"/>
      <c r="J14" s="268"/>
      <c r="K14" s="269">
        <f t="shared" si="4"/>
        <v>0</v>
      </c>
      <c r="L14" s="270"/>
      <c r="M14" s="268"/>
      <c r="N14" s="269">
        <f t="shared" si="5"/>
        <v>0</v>
      </c>
      <c r="O14" s="270"/>
      <c r="P14" s="268"/>
      <c r="Q14" s="269">
        <f t="shared" si="6"/>
        <v>0</v>
      </c>
      <c r="R14" s="271"/>
      <c r="S14" s="268"/>
      <c r="T14" s="269">
        <f t="shared" si="7"/>
        <v>0</v>
      </c>
      <c r="U14" s="271"/>
      <c r="V14" s="268"/>
      <c r="W14" s="269">
        <f t="shared" si="8"/>
        <v>0</v>
      </c>
      <c r="X14" s="271"/>
      <c r="Y14" s="268"/>
      <c r="Z14" s="269">
        <f t="shared" si="9"/>
        <v>0</v>
      </c>
      <c r="AA14" s="271"/>
      <c r="AB14" s="268">
        <v>-30818</v>
      </c>
      <c r="AC14" s="269">
        <f t="shared" si="10"/>
        <v>-6.8584425295541943E-2</v>
      </c>
      <c r="AD14" s="272" t="s">
        <v>112</v>
      </c>
      <c r="AE14" s="268">
        <v>-39166</v>
      </c>
      <c r="AF14" s="269">
        <f t="shared" si="11"/>
        <v>-8.13543127174534E-2</v>
      </c>
      <c r="AG14" s="272" t="s">
        <v>112</v>
      </c>
      <c r="AH14" s="268">
        <v>-35243</v>
      </c>
      <c r="AI14" s="269">
        <f t="shared" si="12"/>
        <v>-7.9167153369933421E-2</v>
      </c>
      <c r="AJ14" s="272" t="s">
        <v>112</v>
      </c>
      <c r="AK14" s="268">
        <v>-63108</v>
      </c>
      <c r="AL14" s="269">
        <f t="shared" si="13"/>
        <v>-0.10564076982438401</v>
      </c>
      <c r="AM14" s="272" t="s">
        <v>112</v>
      </c>
      <c r="AN14" s="268">
        <v>-38096.471140000001</v>
      </c>
      <c r="AO14" s="269">
        <f t="shared" si="14"/>
        <v>-7.3618854773562101E-2</v>
      </c>
      <c r="AP14" s="272">
        <f>AN14/AB14-1</f>
        <v>0.23617597313258498</v>
      </c>
      <c r="AQ14" s="268">
        <v>-45841.013149999999</v>
      </c>
      <c r="AR14" s="269">
        <f t="shared" si="15"/>
        <v>-8.6207831280927086E-2</v>
      </c>
      <c r="AS14" s="272">
        <f>AQ14/AE14-1</f>
        <v>0.17042876857478428</v>
      </c>
      <c r="AT14" s="268">
        <v>-31614.187699999999</v>
      </c>
      <c r="AU14" s="269">
        <f t="shared" si="16"/>
        <v>-6.452641294603792E-2</v>
      </c>
      <c r="AV14" s="272">
        <f>AT14/AH14-1</f>
        <v>-0.10296547683227875</v>
      </c>
      <c r="AW14" s="268">
        <v>-54955.870880000002</v>
      </c>
      <c r="AX14" s="269">
        <f t="shared" si="17"/>
        <v>-9.2695400995453994E-2</v>
      </c>
      <c r="AY14" s="272">
        <f>AW14/AK14-1</f>
        <v>-0.12917742790137543</v>
      </c>
      <c r="AZ14" s="268">
        <v>-38298.768657422399</v>
      </c>
      <c r="BA14" s="269">
        <f t="shared" si="18"/>
        <v>-8.0115198377072289E-2</v>
      </c>
      <c r="BB14" s="272">
        <f>AZ14/AN14-1</f>
        <v>5.3101379568458729E-3</v>
      </c>
      <c r="BC14" s="268">
        <v>-44106.120557264061</v>
      </c>
      <c r="BD14" s="269">
        <f t="shared" si="19"/>
        <v>-8.5547292485708401E-2</v>
      </c>
      <c r="BE14" s="272">
        <f>BC14/AQ14-1</f>
        <v>-3.7845860584692081E-2</v>
      </c>
      <c r="BF14" s="268">
        <v>-38567.57287470861</v>
      </c>
      <c r="BG14" s="269">
        <f t="shared" si="20"/>
        <v>-8.1459431545684566E-2</v>
      </c>
      <c r="BH14" s="272">
        <f>BF14/AT14-1</f>
        <v>0.21994508417208558</v>
      </c>
      <c r="BI14" s="268">
        <v>-61329.201747295854</v>
      </c>
      <c r="BJ14" s="269">
        <f t="shared" si="21"/>
        <v>-9.8139944483361399E-2</v>
      </c>
      <c r="BK14" s="272">
        <f>BI14/AW14-1</f>
        <v>0.11597179273552904</v>
      </c>
      <c r="BL14" s="268">
        <v>-41799.932597448118</v>
      </c>
      <c r="BM14" s="269">
        <f t="shared" si="22"/>
        <v>-7.9797655737198922E-2</v>
      </c>
      <c r="BN14" s="272">
        <f>BL14/AZ14-1</f>
        <v>9.1417141144750191E-2</v>
      </c>
      <c r="BO14" s="268">
        <v>-47715.013535506092</v>
      </c>
      <c r="BP14" s="269">
        <f t="shared" si="23"/>
        <v>-8.5303939891514108E-2</v>
      </c>
      <c r="BQ14" s="272">
        <f>BO14/BC14-1</f>
        <v>8.182295184081112E-2</v>
      </c>
      <c r="BR14" s="268">
        <v>-42482.445350684997</v>
      </c>
      <c r="BS14" s="269">
        <f t="shared" si="24"/>
        <v>-8.1578477601248714E-2</v>
      </c>
      <c r="BT14" s="272">
        <f>BR14/BF14-1</f>
        <v>0.10150684069994043</v>
      </c>
      <c r="BU14" s="268">
        <v>-55647.317718422986</v>
      </c>
      <c r="BV14" s="269">
        <f t="shared" si="25"/>
        <v>-8.0573705391924863E-2</v>
      </c>
      <c r="BW14" s="272">
        <f>BU14/BI14-1</f>
        <v>-9.2645654386385279E-2</v>
      </c>
      <c r="BX14" s="268">
        <v>-37284.526301430524</v>
      </c>
      <c r="BY14" s="269">
        <f t="shared" si="26"/>
        <v>-6.1686507341132957E-2</v>
      </c>
      <c r="BZ14" s="272">
        <f>BX14/BL14-1</f>
        <v>-0.10802424825664092</v>
      </c>
      <c r="CA14" s="268">
        <v>-43255.4330914315</v>
      </c>
      <c r="CB14" s="269">
        <f t="shared" si="27"/>
        <v>-6.6987954691415302E-2</v>
      </c>
      <c r="CC14" s="272">
        <f>CA14/BO14-1</f>
        <v>-9.3462835146344236E-2</v>
      </c>
      <c r="CD14" s="268">
        <v>-36249.122169808499</v>
      </c>
      <c r="CE14" s="269">
        <f t="shared" si="28"/>
        <v>-6.1732379387602593E-2</v>
      </c>
      <c r="CF14" s="272">
        <f>CD14/BR14-1</f>
        <v>-0.14672703347044946</v>
      </c>
      <c r="CG14" s="268">
        <v>-32010</v>
      </c>
      <c r="CH14" s="269">
        <f t="shared" si="29"/>
        <v>-4.0195035705899412E-2</v>
      </c>
      <c r="CI14" s="272">
        <f>CG14/BU14-1</f>
        <v>-0.4247701180859873</v>
      </c>
      <c r="CJ14" s="268">
        <v>-23221</v>
      </c>
      <c r="CK14" s="269">
        <f t="shared" si="30"/>
        <v>-3.431612330218612E-2</v>
      </c>
      <c r="CL14" s="272">
        <f>CJ14/BX14-1</f>
        <v>-0.37719471578457298</v>
      </c>
      <c r="CM14" s="268">
        <v>-23658</v>
      </c>
      <c r="CN14" s="269">
        <f t="shared" si="31"/>
        <v>-3.2832978977345273E-2</v>
      </c>
      <c r="CO14" s="272">
        <f>CM14/CA14-1</f>
        <v>-0.45306292622263833</v>
      </c>
      <c r="CP14" s="268">
        <v>-16712.759999999998</v>
      </c>
      <c r="CQ14" s="269">
        <f t="shared" si="32"/>
        <v>-2.3942882147238474E-2</v>
      </c>
      <c r="CR14" s="272">
        <f>CP14/CD14-1</f>
        <v>-0.5389471799700607</v>
      </c>
      <c r="CS14" s="268">
        <v>-24608</v>
      </c>
      <c r="CT14" s="269">
        <f t="shared" si="33"/>
        <v>-2.638701237427352E-2</v>
      </c>
      <c r="CU14" s="272">
        <f>CS14/CG14-1</f>
        <v>-0.23124023742580446</v>
      </c>
      <c r="CV14" s="268">
        <v>-18245.048637716682</v>
      </c>
      <c r="CW14" s="269">
        <f t="shared" si="34"/>
        <v>-2.2486026819718737E-2</v>
      </c>
      <c r="CX14" s="272">
        <f>CV14/CJ14-1</f>
        <v>-0.21428669576173798</v>
      </c>
      <c r="CY14" s="268">
        <v>-17401.057228106576</v>
      </c>
      <c r="CZ14" s="269">
        <f t="shared" si="35"/>
        <v>-2.111430447940418E-2</v>
      </c>
      <c r="DA14" s="272">
        <f>CY14/CM14-1</f>
        <v>-0.26447471349621365</v>
      </c>
      <c r="DB14" s="268">
        <v>-17257.685964981421</v>
      </c>
      <c r="DC14" s="269">
        <f t="shared" si="36"/>
        <v>-2.1757801753301609E-2</v>
      </c>
      <c r="DD14" s="272">
        <f>DB14/CP14-1</f>
        <v>3.2605384447657038E-2</v>
      </c>
      <c r="DE14" s="268">
        <v>-27165.665890662003</v>
      </c>
      <c r="DF14" s="269">
        <f t="shared" si="37"/>
        <v>-2.5585015109033455E-2</v>
      </c>
      <c r="DG14" s="272">
        <f>DE14/CS14-1</f>
        <v>0.10393635771545862</v>
      </c>
      <c r="DH14" s="268">
        <v>-20626.570671578153</v>
      </c>
      <c r="DI14" s="269">
        <f t="shared" si="38"/>
        <v>-2.2886766342565253E-2</v>
      </c>
      <c r="DJ14" s="272">
        <f>DH14/CV14-1</f>
        <v>0.13052977172877034</v>
      </c>
      <c r="DK14" s="268">
        <v>-20512</v>
      </c>
      <c r="DL14" s="269">
        <f t="shared" si="39"/>
        <v>-2.2073952907752572E-2</v>
      </c>
      <c r="DM14" s="272">
        <f>DK14/CY14-1</f>
        <v>0.1787789518253271</v>
      </c>
      <c r="DN14" s="268">
        <v>-20112</v>
      </c>
      <c r="DO14" s="269">
        <f t="shared" si="40"/>
        <v>-2.2903032214791084E-2</v>
      </c>
      <c r="DP14" s="272">
        <f>DN14/DB14-1</f>
        <v>0.16539378690807305</v>
      </c>
      <c r="DQ14" s="268">
        <v>-33055</v>
      </c>
      <c r="DR14" s="269">
        <f t="shared" si="41"/>
        <v>-2.7424434503265545E-2</v>
      </c>
      <c r="DS14" s="272">
        <f>DQ14/DE14-1</f>
        <v>0.21679329095195898</v>
      </c>
      <c r="DT14" s="268">
        <v>-24323</v>
      </c>
      <c r="DU14" s="269">
        <f t="shared" si="42"/>
        <v>-2.3852906910605782E-2</v>
      </c>
      <c r="DV14" s="272">
        <f>DT14/DH14-1</f>
        <v>0.17920716862135722</v>
      </c>
      <c r="DW14" s="268">
        <v>-25217</v>
      </c>
      <c r="DX14" s="269">
        <f t="shared" si="43"/>
        <v>-2.3847454331791793E-2</v>
      </c>
      <c r="DY14" s="272">
        <f>DW14/DK14-1</f>
        <v>0.22937792511700472</v>
      </c>
      <c r="DZ14" s="268">
        <v>-24159</v>
      </c>
      <c r="EA14" s="269">
        <f t="shared" si="44"/>
        <v>-2.4385738597479362E-2</v>
      </c>
      <c r="EB14" s="272">
        <f>DZ14/DN14-1</f>
        <v>0.20122315035799532</v>
      </c>
      <c r="EC14" s="268">
        <v>-36917</v>
      </c>
      <c r="ED14" s="269">
        <f t="shared" si="45"/>
        <v>-2.9056698223398996E-2</v>
      </c>
      <c r="EE14" s="272">
        <f>EC14/DQ14-1</f>
        <v>0.1168355770685221</v>
      </c>
      <c r="EF14" s="268">
        <v>-27551</v>
      </c>
      <c r="EG14" s="269">
        <f t="shared" si="46"/>
        <v>-2.70871062188952E-2</v>
      </c>
      <c r="EH14" s="272">
        <f>EF14/DT14-1</f>
        <v>0.13271389220079755</v>
      </c>
      <c r="EI14" s="268">
        <v>-29119</v>
      </c>
      <c r="EJ14" s="269">
        <f>EI14/EI$5</f>
        <v>-2.7410451723190114E-2</v>
      </c>
      <c r="EK14" s="272">
        <f>EI14/DW14-1</f>
        <v>0.15473688384819773</v>
      </c>
      <c r="EL14" s="268">
        <v>-25462</v>
      </c>
      <c r="EM14" s="269">
        <f>EL14/EL$5</f>
        <v>-2.6482833794267635E-2</v>
      </c>
      <c r="EN14" s="272">
        <f>EL14/DZ14-1</f>
        <v>5.3934351587400231E-2</v>
      </c>
      <c r="EO14" s="268">
        <v>-39177</v>
      </c>
      <c r="EP14" s="269">
        <f t="shared" si="0"/>
        <v>-3.117291711092934E-2</v>
      </c>
      <c r="EQ14" s="272">
        <f>EO14/EC14-1</f>
        <v>6.1218408863125351E-2</v>
      </c>
      <c r="ER14" s="268">
        <v>-28391</v>
      </c>
      <c r="ES14" s="269">
        <f t="shared" si="49"/>
        <v>-2.7472245687473813E-2</v>
      </c>
      <c r="ET14" s="272">
        <f>ER14/EF14-1</f>
        <v>3.0488911473267821E-2</v>
      </c>
      <c r="EU14" s="268">
        <v>-26140</v>
      </c>
      <c r="EV14" s="269">
        <f>EU14/EU$5</f>
        <v>-2.6314464902302263E-2</v>
      </c>
      <c r="EW14" s="272">
        <f>EU14/EI14-1</f>
        <v>-0.10230433737422306</v>
      </c>
      <c r="EX14" s="268">
        <v>-23057</v>
      </c>
      <c r="EY14" s="269">
        <f>EX14/EX$5</f>
        <v>-2.5383114787696393E-2</v>
      </c>
      <c r="EZ14" s="272">
        <f>EX14/EL14-1</f>
        <v>-9.4454481187652206E-2</v>
      </c>
      <c r="FA14" s="268">
        <v>-34281</v>
      </c>
      <c r="FB14" s="269">
        <f>FA14/FA$5</f>
        <v>-2.9021246599026024E-2</v>
      </c>
      <c r="FC14" s="272">
        <f>FA14/EO14-1</f>
        <v>-0.12497128417183556</v>
      </c>
      <c r="FD14" s="268">
        <v>-18516</v>
      </c>
      <c r="FE14" s="269">
        <f t="shared" si="53"/>
        <v>-1.865750014535136E-2</v>
      </c>
      <c r="FF14" s="272">
        <f>FD14/ER14-1</f>
        <v>-0.34782149272656826</v>
      </c>
      <c r="FG14" s="268">
        <v>-14445</v>
      </c>
      <c r="FH14" s="269">
        <f t="shared" si="54"/>
        <v>-1.4218360783646978E-2</v>
      </c>
      <c r="FI14" s="272">
        <f>FG14/EU14-1</f>
        <v>-0.44739862280030607</v>
      </c>
      <c r="FJ14" s="268">
        <v>-13732.095960000001</v>
      </c>
      <c r="FK14" s="269">
        <f t="shared" si="55"/>
        <v>-1.431683707609524E-2</v>
      </c>
      <c r="FL14" s="272">
        <f t="shared" si="56"/>
        <v>-0.4044283315262176</v>
      </c>
      <c r="FM14" s="268">
        <v>-20985</v>
      </c>
      <c r="FN14" s="269">
        <f t="shared" si="57"/>
        <v>-1.6358746492048645E-2</v>
      </c>
      <c r="FO14" s="272">
        <f t="shared" si="58"/>
        <v>-0.38785332983285203</v>
      </c>
      <c r="FP14" s="268">
        <v>-15999</v>
      </c>
      <c r="FQ14" s="269">
        <f t="shared" si="59"/>
        <v>-1.4698704076737106E-2</v>
      </c>
      <c r="FR14" s="272">
        <f t="shared" si="60"/>
        <v>-0.13593648736228126</v>
      </c>
      <c r="FS14" s="268">
        <v>-16160</v>
      </c>
      <c r="FT14" s="269">
        <f t="shared" si="61"/>
        <v>-1.5247156655512378E-2</v>
      </c>
      <c r="FU14" s="272">
        <f t="shared" si="62"/>
        <v>0.11872620283835245</v>
      </c>
      <c r="FV14" s="268">
        <v>-14640.366090000001</v>
      </c>
      <c r="FW14" s="269">
        <f t="shared" si="63"/>
        <v>-1.4554418323302981E-2</v>
      </c>
      <c r="FX14" s="272">
        <f t="shared" si="64"/>
        <v>6.614213392082946E-2</v>
      </c>
      <c r="FY14" s="268">
        <v>-21587.54623</v>
      </c>
      <c r="FZ14" s="269">
        <f t="shared" si="65"/>
        <v>-1.5720307349748122E-2</v>
      </c>
      <c r="GA14" s="272">
        <f t="shared" si="66"/>
        <v>2.8713187038360788E-2</v>
      </c>
      <c r="GB14" s="268">
        <v>-13379.635699999999</v>
      </c>
      <c r="GC14" s="269">
        <f t="shared" si="67"/>
        <v>-1.1578719201201215E-2</v>
      </c>
      <c r="GD14" s="272">
        <f t="shared" si="68"/>
        <v>-0.1637205012813302</v>
      </c>
      <c r="GE14" s="268">
        <f>-6.03393534*1000</f>
        <v>-6033.93534</v>
      </c>
      <c r="GF14" s="269">
        <f t="shared" si="69"/>
        <v>-7.7006018818135203E-3</v>
      </c>
      <c r="GG14" s="272">
        <f t="shared" si="70"/>
        <v>-0.62661291212871295</v>
      </c>
      <c r="GH14" s="268">
        <v>-7597</v>
      </c>
      <c r="GI14" s="269">
        <f t="shared" si="71"/>
        <v>-8.9256656652658001E-3</v>
      </c>
      <c r="GJ14" s="272">
        <f t="shared" si="100"/>
        <v>-0.48109221085741316</v>
      </c>
      <c r="GK14" s="268">
        <v>-12265</v>
      </c>
      <c r="GL14" s="269">
        <f t="shared" si="73"/>
        <v>-1.0503958789197151E-2</v>
      </c>
      <c r="GM14" s="272">
        <f t="shared" si="101"/>
        <v>-0.43184835046442427</v>
      </c>
    </row>
    <row r="15" spans="2:195" s="23" customFormat="1" ht="16.5" customHeight="1" collapsed="1">
      <c r="B15" s="267" t="s">
        <v>1290</v>
      </c>
      <c r="C15" s="267" t="s">
        <v>1287</v>
      </c>
      <c r="D15" s="268">
        <v>-19828</v>
      </c>
      <c r="E15" s="269">
        <f t="shared" si="2"/>
        <v>-6.8865395034800853E-2</v>
      </c>
      <c r="F15" s="270"/>
      <c r="G15" s="268">
        <v>-24506</v>
      </c>
      <c r="H15" s="269">
        <f t="shared" si="3"/>
        <v>-8.1233115107317483E-2</v>
      </c>
      <c r="I15" s="270"/>
      <c r="J15" s="268">
        <v>-21208</v>
      </c>
      <c r="K15" s="269">
        <f t="shared" si="4"/>
        <v>-7.2958199025068199E-2</v>
      </c>
      <c r="L15" s="270"/>
      <c r="M15" s="268">
        <v>-22996</v>
      </c>
      <c r="N15" s="269">
        <f t="shared" si="5"/>
        <v>-5.17282489866248E-2</v>
      </c>
      <c r="O15" s="270"/>
      <c r="P15" s="268">
        <v>-22115</v>
      </c>
      <c r="Q15" s="269">
        <f t="shared" si="6"/>
        <v>-5.8527742123301266E-2</v>
      </c>
      <c r="R15" s="271">
        <f>(P15/D15)-1</f>
        <v>0.11534194068993342</v>
      </c>
      <c r="S15" s="268">
        <v>-27534</v>
      </c>
      <c r="T15" s="269">
        <f t="shared" si="7"/>
        <v>-6.6351624571355586E-2</v>
      </c>
      <c r="U15" s="271">
        <f>(S15/G15)-1</f>
        <v>0.12356157675671264</v>
      </c>
      <c r="V15" s="268">
        <v>-25247</v>
      </c>
      <c r="W15" s="269">
        <f t="shared" si="8"/>
        <v>-6.3193015653706178E-2</v>
      </c>
      <c r="X15" s="271">
        <f>(V15/J15)-1</f>
        <v>0.19044700113164836</v>
      </c>
      <c r="Y15" s="268">
        <v>-33628</v>
      </c>
      <c r="Z15" s="269">
        <f t="shared" si="9"/>
        <v>-5.7642104036215724E-2</v>
      </c>
      <c r="AA15" s="271">
        <f>(Y15/M15)-1</f>
        <v>0.46234127674378156</v>
      </c>
      <c r="AB15" s="268">
        <v>-32238</v>
      </c>
      <c r="AC15" s="269">
        <f t="shared" si="10"/>
        <v>-7.1744587665574705E-2</v>
      </c>
      <c r="AD15" s="272">
        <f>(AB15/P15)-1</f>
        <v>0.45774361293239885</v>
      </c>
      <c r="AE15" s="268">
        <v>-45724</v>
      </c>
      <c r="AF15" s="269">
        <f t="shared" si="11"/>
        <v>-9.497637222828062E-2</v>
      </c>
      <c r="AG15" s="272">
        <f>(AE15/S15)-1</f>
        <v>0.66063775695503746</v>
      </c>
      <c r="AH15" s="268">
        <v>-43111</v>
      </c>
      <c r="AI15" s="269">
        <f t="shared" si="12"/>
        <v>-9.6841220921351751E-2</v>
      </c>
      <c r="AJ15" s="272">
        <f>(AH15/V15)-1</f>
        <v>0.70756921614449242</v>
      </c>
      <c r="AK15" s="268">
        <v>-53043</v>
      </c>
      <c r="AL15" s="269">
        <f t="shared" si="13"/>
        <v>-8.8792282338131481E-2</v>
      </c>
      <c r="AM15" s="272">
        <f>(AK15/Y15)-1</f>
        <v>0.57734625906982284</v>
      </c>
      <c r="AN15" s="268">
        <v>-46037</v>
      </c>
      <c r="AO15" s="269">
        <f t="shared" si="14"/>
        <v>-8.8963389935923565E-2</v>
      </c>
      <c r="AP15" s="272">
        <f>(AN15/AB15)-1</f>
        <v>0.42803523791798503</v>
      </c>
      <c r="AQ15" s="268">
        <v>-56514</v>
      </c>
      <c r="AR15" s="269">
        <f t="shared" si="15"/>
        <v>-0.10627926920088837</v>
      </c>
      <c r="AS15" s="272">
        <f>(AQ15/AE15)-1</f>
        <v>0.23598110401539674</v>
      </c>
      <c r="AT15" s="268">
        <v>-53443</v>
      </c>
      <c r="AU15" s="269">
        <f t="shared" si="16"/>
        <v>-0.10908030026895502</v>
      </c>
      <c r="AV15" s="272">
        <f>(AT15/AH15)-1</f>
        <v>0.239660411495906</v>
      </c>
      <c r="AW15" s="268">
        <v>-56530</v>
      </c>
      <c r="AX15" s="269">
        <f t="shared" si="17"/>
        <v>-9.5350522780633884E-2</v>
      </c>
      <c r="AY15" s="272">
        <f>(AW15/AK15)-1</f>
        <v>6.5739117319910223E-2</v>
      </c>
      <c r="AZ15" s="268">
        <v>-30030</v>
      </c>
      <c r="BA15" s="269">
        <f t="shared" si="18"/>
        <v>-6.2818192114310167E-2</v>
      </c>
      <c r="BB15" s="272">
        <f>(AZ15/AN15)-1</f>
        <v>-0.34769859026435257</v>
      </c>
      <c r="BC15" s="268">
        <v>-41214</v>
      </c>
      <c r="BD15" s="269">
        <f t="shared" si="19"/>
        <v>-7.9937797021354964E-2</v>
      </c>
      <c r="BE15" s="272">
        <f>(BC15/AQ15)-1</f>
        <v>-0.27072937679159148</v>
      </c>
      <c r="BF15" s="268">
        <v>-40375</v>
      </c>
      <c r="BG15" s="269">
        <f t="shared" si="20"/>
        <v>-8.527693872107224E-2</v>
      </c>
      <c r="BH15" s="272">
        <f>(BF15/AT15)-1</f>
        <v>-0.24452220122373369</v>
      </c>
      <c r="BI15" s="268">
        <v>-47882</v>
      </c>
      <c r="BJ15" s="269">
        <f t="shared" si="21"/>
        <v>-7.6621522665742292E-2</v>
      </c>
      <c r="BK15" s="272">
        <f>(BI15/AW15)-1</f>
        <v>-0.15298071820272419</v>
      </c>
      <c r="BL15" s="268">
        <v>-46347</v>
      </c>
      <c r="BM15" s="269">
        <f t="shared" si="22"/>
        <v>-8.8478179763326795E-2</v>
      </c>
      <c r="BN15" s="272">
        <f>(BL15/AZ15)-1</f>
        <v>0.54335664335664347</v>
      </c>
      <c r="BO15" s="268">
        <v>-57916</v>
      </c>
      <c r="BP15" s="269">
        <f t="shared" si="23"/>
        <v>-0.10354105797498292</v>
      </c>
      <c r="BQ15" s="272">
        <f>(BO15/BC15)-1</f>
        <v>0.40525064298539326</v>
      </c>
      <c r="BR15" s="268">
        <v>-50853</v>
      </c>
      <c r="BS15" s="269">
        <f t="shared" si="24"/>
        <v>-9.7652342919789331E-2</v>
      </c>
      <c r="BT15" s="272">
        <f>(BR15/BF15)-1</f>
        <v>0.25951702786377706</v>
      </c>
      <c r="BU15" s="268">
        <v>-42200</v>
      </c>
      <c r="BV15" s="269">
        <f t="shared" si="25"/>
        <v>-6.1102861861992895E-2</v>
      </c>
      <c r="BW15" s="272">
        <f>(BU15/BI15)-1</f>
        <v>-0.11866672235913289</v>
      </c>
      <c r="BX15" s="268">
        <v>-37763</v>
      </c>
      <c r="BY15" s="269">
        <f t="shared" si="26"/>
        <v>-6.2478132560687176E-2</v>
      </c>
      <c r="BZ15" s="272">
        <f>(BX15/BL15)-1</f>
        <v>-0.18521155630353636</v>
      </c>
      <c r="CA15" s="268">
        <v>-45721</v>
      </c>
      <c r="CB15" s="269">
        <f t="shared" si="27"/>
        <v>-7.0806279293800498E-2</v>
      </c>
      <c r="CC15" s="272">
        <f>(CA15/BO15)-1</f>
        <v>-0.21056357483251609</v>
      </c>
      <c r="CD15" s="268">
        <v>-39233</v>
      </c>
      <c r="CE15" s="269">
        <f t="shared" si="28"/>
        <v>-6.6813933566949257E-2</v>
      </c>
      <c r="CF15" s="272">
        <f>(CD15/BR15)-1</f>
        <v>-0.22850175997482935</v>
      </c>
      <c r="CG15" s="268">
        <v>-47283</v>
      </c>
      <c r="CH15" s="269">
        <f t="shared" si="29"/>
        <v>-5.9373379359014121E-2</v>
      </c>
      <c r="CI15" s="272">
        <f>(CG15/BU15)-1</f>
        <v>0.12045023696682455</v>
      </c>
      <c r="CJ15" s="268">
        <v>-37491</v>
      </c>
      <c r="CK15" s="269">
        <f t="shared" si="30"/>
        <v>-5.5404408885158248E-2</v>
      </c>
      <c r="CL15" s="272">
        <f>(CJ15/BX15)-1</f>
        <v>-7.2028175727564259E-3</v>
      </c>
      <c r="CM15" s="268">
        <v>-47480</v>
      </c>
      <c r="CN15" s="269">
        <f t="shared" si="31"/>
        <v>-6.5893559973131857E-2</v>
      </c>
      <c r="CO15" s="272">
        <f>(CM15/CA15)-1</f>
        <v>3.8472474355329078E-2</v>
      </c>
      <c r="CP15" s="268">
        <v>-43211</v>
      </c>
      <c r="CQ15" s="269">
        <f t="shared" si="32"/>
        <v>-6.190454960547042E-2</v>
      </c>
      <c r="CR15" s="272">
        <f>(CP15/CD15)-1</f>
        <v>0.10139423444549234</v>
      </c>
      <c r="CS15" s="268">
        <v>-52071</v>
      </c>
      <c r="CT15" s="269">
        <f t="shared" si="33"/>
        <v>-5.5835424306761888E-2</v>
      </c>
      <c r="CU15" s="272">
        <f>(CS15/CG15)-1</f>
        <v>0.10126261024046701</v>
      </c>
      <c r="CV15" s="268">
        <v>-43029</v>
      </c>
      <c r="CW15" s="269">
        <f t="shared" si="34"/>
        <v>-5.3030894421707823E-2</v>
      </c>
      <c r="CX15" s="272">
        <f>(CV15/CJ15)-1</f>
        <v>0.14771545170841005</v>
      </c>
      <c r="CY15" s="268">
        <v>-51094</v>
      </c>
      <c r="CZ15" s="269">
        <f t="shared" si="35"/>
        <v>-6.1997053335825607E-2</v>
      </c>
      <c r="DA15" s="272">
        <f>(CY15/CM15)-1</f>
        <v>7.6116259477674753E-2</v>
      </c>
      <c r="DB15" s="268">
        <v>-49356</v>
      </c>
      <c r="DC15" s="269">
        <f t="shared" si="36"/>
        <v>-6.2226075124731259E-2</v>
      </c>
      <c r="DD15" s="272">
        <f>(DB15/CP15)-1</f>
        <v>0.14220915970470482</v>
      </c>
      <c r="DE15" s="268">
        <v>-55832</v>
      </c>
      <c r="DF15" s="269">
        <f t="shared" si="37"/>
        <v>-5.2583381144306107E-2</v>
      </c>
      <c r="DG15" s="272">
        <f>(DE15/CS15)-1</f>
        <v>7.2228303662307258E-2</v>
      </c>
      <c r="DH15" s="268">
        <v>-43882</v>
      </c>
      <c r="DI15" s="269">
        <f t="shared" si="38"/>
        <v>-4.8690453524022827E-2</v>
      </c>
      <c r="DJ15" s="272">
        <f>(DH15/CV15)-1</f>
        <v>1.9823839735991999E-2</v>
      </c>
      <c r="DK15" s="268">
        <v>-59504</v>
      </c>
      <c r="DL15" s="269">
        <f t="shared" si="39"/>
        <v>-6.4035125478885971E-2</v>
      </c>
      <c r="DM15" s="272">
        <f>(DK15/CY15)-1</f>
        <v>0.1645985830038752</v>
      </c>
      <c r="DN15" s="268">
        <v>-57373</v>
      </c>
      <c r="DO15" s="269">
        <f t="shared" si="40"/>
        <v>-6.5334907878838958E-2</v>
      </c>
      <c r="DP15" s="272">
        <f>(DN15/DB15)-1</f>
        <v>0.16243212578004695</v>
      </c>
      <c r="DQ15" s="268">
        <v>-58878</v>
      </c>
      <c r="DR15" s="269">
        <f t="shared" si="41"/>
        <v>-4.8848762809961241E-2</v>
      </c>
      <c r="DS15" s="272">
        <f>(DQ15/DE15)-1</f>
        <v>5.4556526723026133E-2</v>
      </c>
      <c r="DT15" s="268">
        <v>-49619</v>
      </c>
      <c r="DU15" s="269">
        <f t="shared" si="42"/>
        <v>-4.8660008551467675E-2</v>
      </c>
      <c r="DV15" s="272">
        <f>(DT15/DH15)-1</f>
        <v>0.13073697643680782</v>
      </c>
      <c r="DW15" s="268">
        <v>-67586</v>
      </c>
      <c r="DX15" s="269">
        <f t="shared" si="43"/>
        <v>-6.3915376470971175E-2</v>
      </c>
      <c r="DY15" s="272">
        <f>(DW15/DK15)-1</f>
        <v>0.13582280182844841</v>
      </c>
      <c r="DZ15" s="268">
        <v>-63902</v>
      </c>
      <c r="EA15" s="269">
        <f t="shared" si="44"/>
        <v>-6.4501737152039662E-2</v>
      </c>
      <c r="EB15" s="272">
        <f>(DZ15/DN15)-1</f>
        <v>0.11379917382741001</v>
      </c>
      <c r="EC15" s="268">
        <v>-74969</v>
      </c>
      <c r="ED15" s="269">
        <f t="shared" si="45"/>
        <v>-5.9006734271744708E-2</v>
      </c>
      <c r="EE15" s="272">
        <f>(EC15/DQ15)-1</f>
        <v>0.27329392982098577</v>
      </c>
      <c r="EF15" s="268">
        <v>-56027</v>
      </c>
      <c r="EG15" s="269">
        <f t="shared" si="46"/>
        <v>-5.5083637622084188E-2</v>
      </c>
      <c r="EH15" s="272">
        <f>(EF15/DT15)-1</f>
        <v>0.12914407787339521</v>
      </c>
      <c r="EI15" s="268">
        <v>-68200</v>
      </c>
      <c r="EJ15" s="269">
        <f>EI15/EI$5</f>
        <v>-6.419838619188728E-2</v>
      </c>
      <c r="EK15" s="272">
        <f>(EI15/DW15)-1</f>
        <v>9.0847216879235138E-3</v>
      </c>
      <c r="EL15" s="268">
        <v>-62010</v>
      </c>
      <c r="EM15" s="269">
        <f>EL15/EL$5</f>
        <v>-6.4496132416249158E-2</v>
      </c>
      <c r="EN15" s="272">
        <f>(EL15/DZ15)-1</f>
        <v>-2.9607837000406922E-2</v>
      </c>
      <c r="EO15" s="268">
        <v>-57860</v>
      </c>
      <c r="EP15" s="269">
        <f t="shared" si="0"/>
        <v>-4.6038874442616118E-2</v>
      </c>
      <c r="EQ15" s="272">
        <f>(EO15/EC15)-1</f>
        <v>-0.22821432858915014</v>
      </c>
      <c r="ER15" s="268">
        <v>-47511</v>
      </c>
      <c r="ES15" s="269">
        <f t="shared" si="49"/>
        <v>-4.5973507972863523E-2</v>
      </c>
      <c r="ET15" s="272">
        <f>(ER15/EF15)-1</f>
        <v>-0.15199814375211951</v>
      </c>
      <c r="EU15" s="268">
        <v>-57079</v>
      </c>
      <c r="EV15" s="269">
        <f>EU15/EU$5</f>
        <v>-5.7459959531695137E-2</v>
      </c>
      <c r="EW15" s="272">
        <f>(EU15/EI15)-1</f>
        <v>-0.16306451612903228</v>
      </c>
      <c r="EX15" s="268">
        <v>-48776</v>
      </c>
      <c r="EY15" s="269">
        <f>EX15/EX$5</f>
        <v>-5.369678652403518E-2</v>
      </c>
      <c r="EZ15" s="272">
        <f>(EX15/EL15)-1</f>
        <v>-0.21341719077568133</v>
      </c>
      <c r="FA15" s="268">
        <v>-53064.3</v>
      </c>
      <c r="FB15" s="269">
        <f>FA15/FA$5</f>
        <v>-4.492261415666686E-2</v>
      </c>
      <c r="FC15" s="272">
        <f>(FA15/EO15)-1</f>
        <v>-8.2884548911164813E-2</v>
      </c>
      <c r="FD15" s="268">
        <v>-66562</v>
      </c>
      <c r="FE15" s="269">
        <f t="shared" si="53"/>
        <v>-6.7070669943555691E-2</v>
      </c>
      <c r="FF15" s="272">
        <f>(FD15/ER15)-1</f>
        <v>0.40098082549304381</v>
      </c>
      <c r="FG15" s="268">
        <v>-82188</v>
      </c>
      <c r="FH15" s="269">
        <f t="shared" si="54"/>
        <v>-8.0898486402656816E-2</v>
      </c>
      <c r="FI15" s="272">
        <f>(FG15/EU15)-1</f>
        <v>0.4398990872299795</v>
      </c>
      <c r="FJ15" s="268">
        <v>-65197.561172857386</v>
      </c>
      <c r="FK15" s="269">
        <f t="shared" si="55"/>
        <v>-6.7973808498681079E-2</v>
      </c>
      <c r="FL15" s="272">
        <f t="shared" si="56"/>
        <v>0.33667297795754858</v>
      </c>
      <c r="FM15" s="268">
        <v>-63993</v>
      </c>
      <c r="FN15" s="269">
        <f t="shared" si="57"/>
        <v>-4.9885406922357343E-2</v>
      </c>
      <c r="FO15" s="272">
        <f t="shared" si="58"/>
        <v>0.2059520242422872</v>
      </c>
      <c r="FP15" s="268">
        <v>-69546</v>
      </c>
      <c r="FQ15" s="269">
        <f t="shared" si="59"/>
        <v>-6.3893747966795353E-2</v>
      </c>
      <c r="FR15" s="272">
        <f t="shared" si="60"/>
        <v>4.4830383702412879E-2</v>
      </c>
      <c r="FS15" s="268">
        <v>-89023</v>
      </c>
      <c r="FT15" s="269">
        <f t="shared" si="61"/>
        <v>-8.3994283845524667E-2</v>
      </c>
      <c r="FU15" s="272">
        <f t="shared" si="62"/>
        <v>8.3162992164306226E-2</v>
      </c>
      <c r="FV15" s="268">
        <v>-96182.288379999984</v>
      </c>
      <c r="FW15" s="269">
        <f t="shared" si="63"/>
        <v>-9.5617640417561642E-2</v>
      </c>
      <c r="FX15" s="272">
        <f t="shared" si="64"/>
        <v>0.47524365405315128</v>
      </c>
      <c r="FY15" s="268">
        <v>-132813.24235000001</v>
      </c>
      <c r="FZ15" s="269">
        <f t="shared" si="65"/>
        <v>-9.6716179208783754E-2</v>
      </c>
      <c r="GA15" s="272">
        <f t="shared" si="66"/>
        <v>1.0754339123029082</v>
      </c>
      <c r="GB15" s="268">
        <v>-197469.97429251063</v>
      </c>
      <c r="GC15" s="269">
        <f t="shared" si="67"/>
        <v>-0.17089025697473983</v>
      </c>
      <c r="GD15" s="272">
        <f t="shared" si="68"/>
        <v>1.8394152689228802</v>
      </c>
      <c r="GE15" s="268">
        <v>-250867.06356000001</v>
      </c>
      <c r="GF15" s="269">
        <f t="shared" si="69"/>
        <v>-0.32016043806912392</v>
      </c>
      <c r="GG15" s="272">
        <f t="shared" si="70"/>
        <v>1.8180028033204905</v>
      </c>
      <c r="GH15" s="268">
        <v>-250443</v>
      </c>
      <c r="GI15" s="269">
        <f t="shared" si="71"/>
        <v>-0.29424384443940543</v>
      </c>
      <c r="GJ15" s="272">
        <f t="shared" si="100"/>
        <v>1.6038369872272322</v>
      </c>
      <c r="GK15" s="268">
        <v>-206724.01314000002</v>
      </c>
      <c r="GL15" s="269">
        <f t="shared" si="73"/>
        <v>-0.17704203137056754</v>
      </c>
      <c r="GM15" s="272">
        <f t="shared" si="101"/>
        <v>0.55650151658239366</v>
      </c>
    </row>
    <row r="16" spans="2:195" s="23" customFormat="1" ht="16.5" customHeight="1" collapsed="1">
      <c r="B16" s="267" t="s">
        <v>1033</v>
      </c>
      <c r="C16" s="267" t="s">
        <v>1034</v>
      </c>
      <c r="D16" s="268">
        <f>SUM(D17:D18)</f>
        <v>0</v>
      </c>
      <c r="E16" s="269">
        <f t="shared" si="2"/>
        <v>0</v>
      </c>
      <c r="F16" s="270"/>
      <c r="G16" s="268">
        <f t="shared" ref="G16" si="143">SUM(G17:G18)</f>
        <v>0</v>
      </c>
      <c r="H16" s="269">
        <f t="shared" si="3"/>
        <v>0</v>
      </c>
      <c r="I16" s="270"/>
      <c r="J16" s="268">
        <f t="shared" ref="J16" si="144">SUM(J17:J18)</f>
        <v>0</v>
      </c>
      <c r="K16" s="269">
        <f t="shared" si="4"/>
        <v>0</v>
      </c>
      <c r="L16" s="270"/>
      <c r="M16" s="268">
        <f t="shared" ref="M16" si="145">SUM(M17:M18)</f>
        <v>0</v>
      </c>
      <c r="N16" s="269">
        <f t="shared" si="5"/>
        <v>0</v>
      </c>
      <c r="O16" s="270"/>
      <c r="P16" s="268">
        <f t="shared" ref="P16" si="146">SUM(P17:P18)</f>
        <v>0</v>
      </c>
      <c r="Q16" s="269">
        <f t="shared" si="6"/>
        <v>0</v>
      </c>
      <c r="R16" s="271" t="e">
        <f>(P16/D16)-1</f>
        <v>#DIV/0!</v>
      </c>
      <c r="S16" s="268">
        <f>SUM(S17:S18)</f>
        <v>0</v>
      </c>
      <c r="T16" s="269">
        <f t="shared" si="7"/>
        <v>0</v>
      </c>
      <c r="U16" s="271" t="e">
        <f>(S16/G16)-1</f>
        <v>#DIV/0!</v>
      </c>
      <c r="V16" s="268">
        <f>SUM(V17:V18)</f>
        <v>0</v>
      </c>
      <c r="W16" s="269">
        <f t="shared" si="8"/>
        <v>0</v>
      </c>
      <c r="X16" s="271" t="e">
        <f>(V16/J16)-1</f>
        <v>#DIV/0!</v>
      </c>
      <c r="Y16" s="268">
        <f>SUM(Y17:Y18)</f>
        <v>0</v>
      </c>
      <c r="Z16" s="269">
        <f t="shared" si="9"/>
        <v>0</v>
      </c>
      <c r="AA16" s="271" t="e">
        <f>(Y16/M16)-1</f>
        <v>#DIV/0!</v>
      </c>
      <c r="AB16" s="268">
        <f>SUM(AB17:AB18)</f>
        <v>0</v>
      </c>
      <c r="AC16" s="269">
        <f t="shared" si="10"/>
        <v>0</v>
      </c>
      <c r="AD16" s="272" t="e">
        <f>(AB16/P16)-1</f>
        <v>#DIV/0!</v>
      </c>
      <c r="AE16" s="268">
        <f>SUM(AE17:AE18)</f>
        <v>0</v>
      </c>
      <c r="AF16" s="269">
        <f t="shared" si="11"/>
        <v>0</v>
      </c>
      <c r="AG16" s="272" t="e">
        <f>(AE16/S16)-1</f>
        <v>#DIV/0!</v>
      </c>
      <c r="AH16" s="268">
        <f>SUM(AH17:AH18)</f>
        <v>0</v>
      </c>
      <c r="AI16" s="269">
        <f t="shared" si="12"/>
        <v>0</v>
      </c>
      <c r="AJ16" s="272" t="e">
        <f>(AH16/V16)-1</f>
        <v>#DIV/0!</v>
      </c>
      <c r="AK16" s="268">
        <f>SUM(AK17:AK18)</f>
        <v>0</v>
      </c>
      <c r="AL16" s="269">
        <f t="shared" si="13"/>
        <v>0</v>
      </c>
      <c r="AM16" s="272" t="e">
        <f>(AK16/Y16)-1</f>
        <v>#DIV/0!</v>
      </c>
      <c r="AN16" s="268">
        <f>SUM(AN17:AN18)</f>
        <v>0</v>
      </c>
      <c r="AO16" s="269">
        <f t="shared" si="14"/>
        <v>0</v>
      </c>
      <c r="AP16" s="272" t="e">
        <f>(AN16/AB16)-1</f>
        <v>#DIV/0!</v>
      </c>
      <c r="AQ16" s="268">
        <f>SUM(AQ17:AQ18)</f>
        <v>0</v>
      </c>
      <c r="AR16" s="269">
        <f t="shared" si="15"/>
        <v>0</v>
      </c>
      <c r="AS16" s="272" t="e">
        <f>(AQ16/AE16)-1</f>
        <v>#DIV/0!</v>
      </c>
      <c r="AT16" s="268">
        <f>SUM(AT17:AT18)</f>
        <v>0</v>
      </c>
      <c r="AU16" s="269">
        <f t="shared" si="16"/>
        <v>0</v>
      </c>
      <c r="AV16" s="272" t="e">
        <f>(AT16/AH16)-1</f>
        <v>#DIV/0!</v>
      </c>
      <c r="AW16" s="268">
        <f>SUM(AW17:AW18)</f>
        <v>0</v>
      </c>
      <c r="AX16" s="269">
        <f t="shared" si="17"/>
        <v>0</v>
      </c>
      <c r="AY16" s="272" t="e">
        <f>(AW16/AK16)-1</f>
        <v>#DIV/0!</v>
      </c>
      <c r="AZ16" s="268">
        <f>SUM(AZ17:AZ18)</f>
        <v>0</v>
      </c>
      <c r="BA16" s="269">
        <f t="shared" si="18"/>
        <v>0</v>
      </c>
      <c r="BB16" s="272" t="e">
        <f>(AZ16/AN16)-1</f>
        <v>#DIV/0!</v>
      </c>
      <c r="BC16" s="268">
        <f>SUM(BC17:BC18)</f>
        <v>0</v>
      </c>
      <c r="BD16" s="269">
        <f t="shared" si="19"/>
        <v>0</v>
      </c>
      <c r="BE16" s="272" t="e">
        <f>(BC16/AQ16)-1</f>
        <v>#DIV/0!</v>
      </c>
      <c r="BF16" s="268">
        <f>SUM(BF17:BF18)</f>
        <v>0</v>
      </c>
      <c r="BG16" s="269">
        <f t="shared" si="20"/>
        <v>0</v>
      </c>
      <c r="BH16" s="272" t="e">
        <f>(BF16/AT16)-1</f>
        <v>#DIV/0!</v>
      </c>
      <c r="BI16" s="268">
        <f>SUM(BI17:BI18)</f>
        <v>0</v>
      </c>
      <c r="BJ16" s="269">
        <f t="shared" si="21"/>
        <v>0</v>
      </c>
      <c r="BK16" s="272" t="e">
        <f>(BI16/AW16)-1</f>
        <v>#DIV/0!</v>
      </c>
      <c r="BL16" s="268">
        <f>SUM(BL17:BL18)</f>
        <v>0</v>
      </c>
      <c r="BM16" s="269">
        <f t="shared" si="22"/>
        <v>0</v>
      </c>
      <c r="BN16" s="272" t="e">
        <f>(BL16/AZ16)-1</f>
        <v>#DIV/0!</v>
      </c>
      <c r="BO16" s="268">
        <f>SUM(BO17:BO18)</f>
        <v>0</v>
      </c>
      <c r="BP16" s="269">
        <f t="shared" si="23"/>
        <v>0</v>
      </c>
      <c r="BQ16" s="272" t="e">
        <f>(BO16/BC16)-1</f>
        <v>#DIV/0!</v>
      </c>
      <c r="BR16" s="268">
        <f>SUM(BR17:BR18)</f>
        <v>0</v>
      </c>
      <c r="BS16" s="269">
        <f t="shared" si="24"/>
        <v>0</v>
      </c>
      <c r="BT16" s="272" t="e">
        <f>(BR16/BF16)-1</f>
        <v>#DIV/0!</v>
      </c>
      <c r="BU16" s="268">
        <f>SUM(BU17:BU18)</f>
        <v>-19660</v>
      </c>
      <c r="BV16" s="269">
        <f t="shared" si="25"/>
        <v>-2.8466404365089581E-2</v>
      </c>
      <c r="BW16" s="272" t="e">
        <f>(BU16/BI16)-1</f>
        <v>#DIV/0!</v>
      </c>
      <c r="BX16" s="268">
        <f>SUM(BX17:BX18)</f>
        <v>-29082</v>
      </c>
      <c r="BY16" s="269">
        <f t="shared" si="26"/>
        <v>-4.8115590687442852E-2</v>
      </c>
      <c r="BZ16" s="272" t="e">
        <f>(BX16/BL16)-1</f>
        <v>#DIV/0!</v>
      </c>
      <c r="CA16" s="268">
        <f>SUM(CA17:CA18)</f>
        <v>-30973</v>
      </c>
      <c r="CB16" s="269">
        <f t="shared" si="27"/>
        <v>-4.7966643086697201E-2</v>
      </c>
      <c r="CC16" s="272" t="e">
        <f>(CA16/BO16)-1</f>
        <v>#DIV/0!</v>
      </c>
      <c r="CD16" s="268">
        <f>SUM(CD17:CD18)</f>
        <v>-27442</v>
      </c>
      <c r="CE16" s="269">
        <f t="shared" si="28"/>
        <v>-4.6733820124492682E-2</v>
      </c>
      <c r="CF16" s="272" t="e">
        <f>(CD16/BR16)-1</f>
        <v>#DIV/0!</v>
      </c>
      <c r="CG16" s="268">
        <f>SUM(CG17:CG18)</f>
        <v>-42108</v>
      </c>
      <c r="CH16" s="269">
        <f t="shared" si="29"/>
        <v>-5.2875119134770776E-2</v>
      </c>
      <c r="CI16" s="272">
        <f>(CG16/BU16)-1</f>
        <v>1.1418107833163784</v>
      </c>
      <c r="CJ16" s="268">
        <f>SUM(CJ17:CJ18)</f>
        <v>-32523</v>
      </c>
      <c r="CK16" s="269">
        <f t="shared" si="30"/>
        <v>-4.8062670778906982E-2</v>
      </c>
      <c r="CL16" s="272">
        <f>(CJ16/BX16)-1</f>
        <v>0.11832061068702293</v>
      </c>
      <c r="CM16" s="268">
        <f>SUM(CM17:CM18)</f>
        <v>-34420</v>
      </c>
      <c r="CN16" s="269">
        <f t="shared" si="31"/>
        <v>-4.7768667528963742E-2</v>
      </c>
      <c r="CO16" s="272">
        <f>(CM16/CA16)-1</f>
        <v>0.1112904788041198</v>
      </c>
      <c r="CP16" s="268">
        <f>SUM(CP17:CP18)</f>
        <v>-28020</v>
      </c>
      <c r="CQ16" s="269">
        <f t="shared" si="32"/>
        <v>-4.0141757421612113E-2</v>
      </c>
      <c r="CR16" s="272">
        <f>(CP16/CD16)-1</f>
        <v>2.1062604766416415E-2</v>
      </c>
      <c r="CS16" s="268">
        <f>SUM(CS17:CS18)</f>
        <v>-37097</v>
      </c>
      <c r="CT16" s="269">
        <f t="shared" si="33"/>
        <v>-3.9778892963606337E-2</v>
      </c>
      <c r="CU16" s="272">
        <f>(CS16/CG16)-1</f>
        <v>-0.11900351477153981</v>
      </c>
      <c r="CV16" s="268">
        <f>SUM(CV17:CV18)</f>
        <v>-42115</v>
      </c>
      <c r="CW16" s="269">
        <f t="shared" si="34"/>
        <v>-5.1904439298385389E-2</v>
      </c>
      <c r="CX16" s="272">
        <f>(CV16/CJ16)-1</f>
        <v>0.29492974202871824</v>
      </c>
      <c r="CY16" s="268">
        <f>SUM(CY17:CY18)</f>
        <v>-30682</v>
      </c>
      <c r="CZ16" s="269">
        <f t="shared" si="35"/>
        <v>-3.7229294837941858E-2</v>
      </c>
      <c r="DA16" s="272">
        <f>(CY16/CM16)-1</f>
        <v>-0.10859965136548522</v>
      </c>
      <c r="DB16" s="268">
        <f>SUM(DB17:DB18)</f>
        <v>-6752</v>
      </c>
      <c r="DC16" s="269">
        <f t="shared" si="36"/>
        <v>-8.5126521444644117E-3</v>
      </c>
      <c r="DD16" s="272">
        <f>(DB16/CP16)-1</f>
        <v>-0.75902926481084942</v>
      </c>
      <c r="DE16" s="268">
        <f>SUM(DE17:DE18)</f>
        <v>-933</v>
      </c>
      <c r="DF16" s="269">
        <f t="shared" si="37"/>
        <v>-8.7871282790581739E-4</v>
      </c>
      <c r="DG16" s="272">
        <f>(DE16/CS16)-1</f>
        <v>-0.97484971830606248</v>
      </c>
      <c r="DH16" s="268">
        <f>SUM(DH17:DH18)</f>
        <v>-1369</v>
      </c>
      <c r="DI16" s="269">
        <f t="shared" si="38"/>
        <v>-1.5190107760445571E-3</v>
      </c>
      <c r="DJ16" s="272">
        <f>(DH16/CV16)-1</f>
        <v>-0.96749376706636592</v>
      </c>
      <c r="DK16" s="268">
        <f>SUM(DK17:DK18)</f>
        <v>-43234</v>
      </c>
      <c r="DL16" s="269">
        <f t="shared" si="39"/>
        <v>-4.6526193448409456E-2</v>
      </c>
      <c r="DM16" s="272">
        <f>(DK16/CY16)-1</f>
        <v>0.40909979792712337</v>
      </c>
      <c r="DN16" s="268">
        <f>SUM(DN17:DN18)</f>
        <v>-41750</v>
      </c>
      <c r="DO16" s="269">
        <f t="shared" si="40"/>
        <v>-4.7543834276428394E-2</v>
      </c>
      <c r="DP16" s="272">
        <f>(DN16/DB16)-1</f>
        <v>5.18335308056872</v>
      </c>
      <c r="DQ16" s="268">
        <f>SUM(DQ17:DQ18)</f>
        <v>-58206</v>
      </c>
      <c r="DR16" s="269">
        <f t="shared" si="41"/>
        <v>-4.8291230818244574E-2</v>
      </c>
      <c r="DS16" s="272">
        <f>(DQ16/DE16)-1</f>
        <v>61.385852090032152</v>
      </c>
      <c r="DT16" s="268">
        <f>SUM(DT17:DT18)</f>
        <v>-45124</v>
      </c>
      <c r="DU16" s="269">
        <f t="shared" si="42"/>
        <v>-4.4251883872638051E-2</v>
      </c>
      <c r="DV16" s="272">
        <f>(DT16/DH16)-1</f>
        <v>31.961285609934258</v>
      </c>
      <c r="DW16" s="268">
        <f>SUM(DW17:DW18)</f>
        <v>-45602</v>
      </c>
      <c r="DX16" s="269">
        <f t="shared" si="43"/>
        <v>-4.3125336576054614E-2</v>
      </c>
      <c r="DY16" s="272">
        <f>(DW16/DK16)-1</f>
        <v>5.4771707452468066E-2</v>
      </c>
      <c r="DZ16" s="268">
        <f>SUM(DZ17:DZ18)</f>
        <v>-43753</v>
      </c>
      <c r="EA16" s="269">
        <f t="shared" si="44"/>
        <v>-4.4163633463947784E-2</v>
      </c>
      <c r="EB16" s="272">
        <f>(DZ16/DN16)-1</f>
        <v>4.7976047904191521E-2</v>
      </c>
      <c r="EC16" s="268">
        <f>SUM(EC17:EC18)</f>
        <v>-60403</v>
      </c>
      <c r="ED16" s="269">
        <f t="shared" si="45"/>
        <v>-4.7542101004631188E-2</v>
      </c>
      <c r="EE16" s="272">
        <f>(EC16/DQ16)-1</f>
        <v>3.7745249630622313E-2</v>
      </c>
      <c r="EF16" s="268">
        <f>SUM(EF17:EF18)</f>
        <v>-41947</v>
      </c>
      <c r="EG16" s="269">
        <f t="shared" si="46"/>
        <v>-4.1240711573590688E-2</v>
      </c>
      <c r="EH16" s="272">
        <f>(EF16/DT16)-1</f>
        <v>-7.040599237656231E-2</v>
      </c>
      <c r="EI16" s="268">
        <f>SUM(EI17:EI18)</f>
        <v>-48026</v>
      </c>
      <c r="EJ16" s="269">
        <f>EI16/EI$5</f>
        <v>-4.5208089373190305E-2</v>
      </c>
      <c r="EK16" s="272">
        <f>(EI16/DW16)-1</f>
        <v>5.3155563352484503E-2</v>
      </c>
      <c r="EL16" s="268">
        <f>SUM(EL17:EL18)</f>
        <v>-45484</v>
      </c>
      <c r="EM16" s="269">
        <f>EL16/EL$5</f>
        <v>-4.730756469635021E-2</v>
      </c>
      <c r="EN16" s="272">
        <f>(EL16/DZ16)-1</f>
        <v>3.9563001394190112E-2</v>
      </c>
      <c r="EO16" s="268">
        <f>SUM(EO17:EO18)</f>
        <v>-60246</v>
      </c>
      <c r="EP16" s="269">
        <f t="shared" si="0"/>
        <v>-4.7937401134978408E-2</v>
      </c>
      <c r="EQ16" s="272">
        <f>(EO16/EC16)-1</f>
        <v>-2.5992086485771004E-3</v>
      </c>
      <c r="ER16" s="268">
        <f>SUM(ER17:ER18)</f>
        <v>-48409</v>
      </c>
      <c r="ES16" s="269">
        <f t="shared" si="49"/>
        <v>-4.6842448011162684E-2</v>
      </c>
      <c r="ET16" s="272">
        <f>(ER16/EF16)-1</f>
        <v>0.1540515412306005</v>
      </c>
      <c r="EU16" s="268">
        <f>SUM(EU17:EU18)</f>
        <v>-41767</v>
      </c>
      <c r="EV16" s="269">
        <f>EU16/EU$5</f>
        <v>-4.2045763411417698E-2</v>
      </c>
      <c r="EW16" s="272">
        <f>(EU16/EI16)-1</f>
        <v>-0.13032524049473204</v>
      </c>
      <c r="EX16" s="268">
        <f>SUM(EX17:EX18)</f>
        <v>-39143</v>
      </c>
      <c r="EY16" s="269">
        <f>EX16/EX$5</f>
        <v>-4.3091957415743586E-2</v>
      </c>
      <c r="EZ16" s="272">
        <f>(EX16/EL16)-1</f>
        <v>-0.13941166124351423</v>
      </c>
      <c r="FA16" s="268">
        <f>SUM(FA17:FA18)</f>
        <v>-49266</v>
      </c>
      <c r="FB16" s="269">
        <f>FA16/FA$5</f>
        <v>-4.1707089494110908E-2</v>
      </c>
      <c r="FC16" s="272">
        <f>(FA16/EO16)-1</f>
        <v>-0.18225276366895726</v>
      </c>
      <c r="FD16" s="268">
        <f>SUM(FD17:FD18)</f>
        <v>-38238</v>
      </c>
      <c r="FE16" s="269">
        <f t="shared" si="53"/>
        <v>-3.8530216599586588E-2</v>
      </c>
      <c r="FF16" s="272">
        <f>(FD16/ER16)-1</f>
        <v>-0.21010555888367866</v>
      </c>
      <c r="FG16" s="268">
        <v>-38008</v>
      </c>
      <c r="FH16" s="269">
        <f t="shared" si="54"/>
        <v>-3.7411661935953917E-2</v>
      </c>
      <c r="FI16" s="272">
        <f>(FG16/EU16)-1</f>
        <v>-8.9999281729595149E-2</v>
      </c>
      <c r="FJ16" s="268">
        <v>-33511</v>
      </c>
      <c r="FK16" s="269">
        <f t="shared" si="55"/>
        <v>-3.4937967856803961E-2</v>
      </c>
      <c r="FL16" s="272">
        <f t="shared" si="56"/>
        <v>-0.14388268655953806</v>
      </c>
      <c r="FM16" s="268">
        <v>-22542</v>
      </c>
      <c r="FN16" s="269">
        <f t="shared" si="57"/>
        <v>-1.7572497661365764E-2</v>
      </c>
      <c r="FO16" s="272">
        <f t="shared" si="58"/>
        <v>-0.54244306418219468</v>
      </c>
      <c r="FP16" s="268">
        <v>-2419</v>
      </c>
      <c r="FQ16" s="269">
        <f t="shared" si="59"/>
        <v>-2.2223992225531009E-3</v>
      </c>
      <c r="FR16" s="272">
        <f t="shared" si="60"/>
        <v>-0.93673832313405514</v>
      </c>
      <c r="FS16" s="268">
        <v>0</v>
      </c>
      <c r="FT16" s="269">
        <f t="shared" si="61"/>
        <v>0</v>
      </c>
      <c r="FU16" s="272">
        <f t="shared" si="62"/>
        <v>-1</v>
      </c>
      <c r="FV16" s="268">
        <v>0</v>
      </c>
      <c r="FW16" s="269">
        <f t="shared" si="63"/>
        <v>0</v>
      </c>
      <c r="FX16" s="272">
        <f t="shared" si="64"/>
        <v>-1</v>
      </c>
      <c r="FY16" s="268">
        <v>0</v>
      </c>
      <c r="FZ16" s="269">
        <f t="shared" si="65"/>
        <v>0</v>
      </c>
      <c r="GA16" s="272">
        <f t="shared" si="66"/>
        <v>-1</v>
      </c>
      <c r="GB16" s="268">
        <v>0</v>
      </c>
      <c r="GC16" s="269">
        <f t="shared" si="67"/>
        <v>0</v>
      </c>
      <c r="GD16" s="272">
        <f t="shared" si="68"/>
        <v>-1</v>
      </c>
      <c r="GE16" s="268">
        <v>0</v>
      </c>
      <c r="GF16" s="269">
        <f t="shared" si="69"/>
        <v>0</v>
      </c>
      <c r="GG16" s="272" t="e">
        <f t="shared" si="70"/>
        <v>#DIV/0!</v>
      </c>
      <c r="GH16" s="268">
        <v>0</v>
      </c>
      <c r="GI16" s="269">
        <f t="shared" si="71"/>
        <v>0</v>
      </c>
      <c r="GJ16" s="272" t="e">
        <f t="shared" si="100"/>
        <v>#DIV/0!</v>
      </c>
      <c r="GK16" s="268">
        <v>0</v>
      </c>
      <c r="GL16" s="269">
        <f t="shared" si="73"/>
        <v>0</v>
      </c>
      <c r="GM16" s="272" t="e">
        <f t="shared" si="101"/>
        <v>#DIV/0!</v>
      </c>
    </row>
    <row r="17" spans="2:195" s="23" customFormat="1" ht="16.5" hidden="1" customHeight="1" outlineLevel="1">
      <c r="B17" s="222" t="s">
        <v>1038</v>
      </c>
      <c r="C17" s="222" t="s">
        <v>1035</v>
      </c>
      <c r="D17" s="16"/>
      <c r="E17" s="27" t="s">
        <v>112</v>
      </c>
      <c r="F17" s="24"/>
      <c r="G17" s="16"/>
      <c r="H17" s="27">
        <f t="shared" si="3"/>
        <v>0</v>
      </c>
      <c r="I17" s="24"/>
      <c r="J17" s="16"/>
      <c r="K17" s="27">
        <f t="shared" si="4"/>
        <v>0</v>
      </c>
      <c r="L17" s="24"/>
      <c r="M17" s="16"/>
      <c r="N17" s="27">
        <f t="shared" si="5"/>
        <v>0</v>
      </c>
      <c r="O17" s="24"/>
      <c r="P17" s="16"/>
      <c r="Q17" s="27">
        <f t="shared" si="6"/>
        <v>0</v>
      </c>
      <c r="R17" s="26" t="e">
        <f t="shared" ref="R17:R18" si="147">(P17/D17)-1</f>
        <v>#DIV/0!</v>
      </c>
      <c r="S17" s="16"/>
      <c r="T17" s="27">
        <f t="shared" si="7"/>
        <v>0</v>
      </c>
      <c r="U17" s="26" t="e">
        <f t="shared" ref="U17:U18" si="148">(S17/G17)-1</f>
        <v>#DIV/0!</v>
      </c>
      <c r="V17" s="16"/>
      <c r="W17" s="27">
        <f t="shared" si="8"/>
        <v>0</v>
      </c>
      <c r="X17" s="26" t="e">
        <f t="shared" ref="X17:X18" si="149">(V17/J17)-1</f>
        <v>#DIV/0!</v>
      </c>
      <c r="Y17" s="16"/>
      <c r="Z17" s="27">
        <f t="shared" si="9"/>
        <v>0</v>
      </c>
      <c r="AA17" s="26" t="e">
        <f t="shared" ref="AA17:AA18" si="150">(Y17/M17)-1</f>
        <v>#DIV/0!</v>
      </c>
      <c r="AB17" s="16"/>
      <c r="AC17" s="27">
        <f t="shared" si="10"/>
        <v>0</v>
      </c>
      <c r="AD17" s="27" t="e">
        <f t="shared" ref="AD17:AD18" si="151">(AB17/P17)-1</f>
        <v>#DIV/0!</v>
      </c>
      <c r="AE17" s="16"/>
      <c r="AF17" s="27">
        <f t="shared" si="11"/>
        <v>0</v>
      </c>
      <c r="AG17" s="27" t="e">
        <f t="shared" ref="AG17:AG18" si="152">(AE17/S17)-1</f>
        <v>#DIV/0!</v>
      </c>
      <c r="AH17" s="16"/>
      <c r="AI17" s="27">
        <f t="shared" si="12"/>
        <v>0</v>
      </c>
      <c r="AJ17" s="27" t="e">
        <f t="shared" ref="AJ17:AJ18" si="153">(AH17/V17)-1</f>
        <v>#DIV/0!</v>
      </c>
      <c r="AK17" s="16"/>
      <c r="AL17" s="27">
        <f t="shared" si="13"/>
        <v>0</v>
      </c>
      <c r="AM17" s="27" t="e">
        <f t="shared" ref="AM17:AM18" si="154">(AK17/Y17)-1</f>
        <v>#DIV/0!</v>
      </c>
      <c r="AN17" s="16"/>
      <c r="AO17" s="27">
        <f t="shared" si="14"/>
        <v>0</v>
      </c>
      <c r="AP17" s="27" t="e">
        <f t="shared" ref="AP17:AP18" si="155">(AN17/AB17)-1</f>
        <v>#DIV/0!</v>
      </c>
      <c r="AQ17" s="16"/>
      <c r="AR17" s="27">
        <f t="shared" si="15"/>
        <v>0</v>
      </c>
      <c r="AS17" s="27" t="e">
        <f t="shared" ref="AS17:AS18" si="156">(AQ17/AE17)-1</f>
        <v>#DIV/0!</v>
      </c>
      <c r="AT17" s="33"/>
      <c r="AU17" s="27">
        <f t="shared" si="16"/>
        <v>0</v>
      </c>
      <c r="AV17" s="27" t="e">
        <f t="shared" ref="AV17:AV18" si="157">(AT17/AH17)-1</f>
        <v>#DIV/0!</v>
      </c>
      <c r="AW17" s="28"/>
      <c r="AX17" s="27">
        <f t="shared" si="17"/>
        <v>0</v>
      </c>
      <c r="AY17" s="27" t="e">
        <f t="shared" ref="AY17:AY18" si="158">(AW17/AK17)-1</f>
        <v>#DIV/0!</v>
      </c>
      <c r="AZ17" s="33"/>
      <c r="BA17" s="27">
        <f t="shared" si="18"/>
        <v>0</v>
      </c>
      <c r="BB17" s="27" t="e">
        <f t="shared" ref="BB17:BB18" si="159">(AZ17/AN17)-1</f>
        <v>#DIV/0!</v>
      </c>
      <c r="BC17" s="33"/>
      <c r="BD17" s="27">
        <f t="shared" si="19"/>
        <v>0</v>
      </c>
      <c r="BE17" s="27" t="e">
        <f t="shared" ref="BE17:BE18" si="160">(BC17/AQ17)-1</f>
        <v>#DIV/0!</v>
      </c>
      <c r="BF17" s="33"/>
      <c r="BG17" s="27">
        <f t="shared" si="20"/>
        <v>0</v>
      </c>
      <c r="BH17" s="27" t="e">
        <f t="shared" ref="BH17:BH18" si="161">(BF17/AT17)-1</f>
        <v>#DIV/0!</v>
      </c>
      <c r="BI17" s="29"/>
      <c r="BJ17" s="27">
        <f t="shared" si="21"/>
        <v>0</v>
      </c>
      <c r="BK17" s="27" t="e">
        <f t="shared" ref="BK17:BK18" si="162">(BI17/AW17)-1</f>
        <v>#DIV/0!</v>
      </c>
      <c r="BL17" s="33"/>
      <c r="BM17" s="27">
        <f t="shared" si="22"/>
        <v>0</v>
      </c>
      <c r="BN17" s="27" t="e">
        <f t="shared" ref="BN17:BN18" si="163">(BL17/AZ17)-1</f>
        <v>#DIV/0!</v>
      </c>
      <c r="BO17" s="33"/>
      <c r="BP17" s="27">
        <f t="shared" si="23"/>
        <v>0</v>
      </c>
      <c r="BQ17" s="27" t="e">
        <f t="shared" ref="BQ17:BQ18" si="164">(BO17/BC17)-1</f>
        <v>#DIV/0!</v>
      </c>
      <c r="BR17" s="33"/>
      <c r="BS17" s="27">
        <f t="shared" si="24"/>
        <v>0</v>
      </c>
      <c r="BT17" s="27" t="e">
        <f t="shared" ref="BT17:BT18" si="165">(BR17/BF17)-1</f>
        <v>#DIV/0!</v>
      </c>
      <c r="BU17" s="32">
        <v>-19660</v>
      </c>
      <c r="BV17" s="27">
        <f t="shared" si="25"/>
        <v>-2.8466404365089581E-2</v>
      </c>
      <c r="BW17" s="27" t="e">
        <f t="shared" ref="BW17:BW18" si="166">(BU17/BI17)-1</f>
        <v>#DIV/0!</v>
      </c>
      <c r="BX17" s="32">
        <v>-29082</v>
      </c>
      <c r="BY17" s="27">
        <f t="shared" si="26"/>
        <v>-4.8115590687442852E-2</v>
      </c>
      <c r="BZ17" s="11" t="e">
        <f t="shared" ref="BZ17:BZ18" si="167">(BX17/BL17)-1</f>
        <v>#DIV/0!</v>
      </c>
      <c r="CA17" s="32">
        <v>-30973</v>
      </c>
      <c r="CB17" s="27">
        <f t="shared" si="27"/>
        <v>-4.7966643086697201E-2</v>
      </c>
      <c r="CC17" s="27" t="e">
        <f t="shared" ref="CC17:CC18" si="168">(CA17/BO17)-1</f>
        <v>#DIV/0!</v>
      </c>
      <c r="CD17" s="32">
        <v>-27442</v>
      </c>
      <c r="CE17" s="27">
        <f t="shared" si="28"/>
        <v>-4.6733820124492682E-2</v>
      </c>
      <c r="CF17" s="27" t="e">
        <f t="shared" ref="CF17:CF18" si="169">(CD17/BR17)-1</f>
        <v>#DIV/0!</v>
      </c>
      <c r="CG17" s="33">
        <v>-42051</v>
      </c>
      <c r="CH17" s="27">
        <f t="shared" si="29"/>
        <v>-5.2803544094619695E-2</v>
      </c>
      <c r="CI17" s="27">
        <f t="shared" ref="CI17:CI18" si="170">(CG17/BU17)-1</f>
        <v>1.1389114954221768</v>
      </c>
      <c r="CJ17" s="33">
        <v>-32150</v>
      </c>
      <c r="CK17" s="27">
        <f t="shared" si="30"/>
        <v>-4.7511449298707362E-2</v>
      </c>
      <c r="CL17" s="27">
        <f t="shared" ref="CL17:CL18" si="171">(CJ17/BX17)-1</f>
        <v>0.10549480778488407</v>
      </c>
      <c r="CM17" s="33">
        <v>-34010</v>
      </c>
      <c r="CN17" s="27">
        <f t="shared" si="31"/>
        <v>-4.7199662482860456E-2</v>
      </c>
      <c r="CO17" s="27">
        <f t="shared" ref="CO17:CO18" si="172">(CM17/CA17)-1</f>
        <v>9.8053143060084613E-2</v>
      </c>
      <c r="CP17" s="33">
        <v>-27739</v>
      </c>
      <c r="CQ17" s="27">
        <f t="shared" si="32"/>
        <v>-3.9739193758675892E-2</v>
      </c>
      <c r="CR17" s="27">
        <f t="shared" ref="CR17:CR18" si="173">(CP17/CD17)-1</f>
        <v>1.0822826324611956E-2</v>
      </c>
      <c r="CS17" s="33">
        <v>-36539</v>
      </c>
      <c r="CT17" s="27">
        <f t="shared" si="33"/>
        <v>-3.918055287482039E-2</v>
      </c>
      <c r="CU17" s="27">
        <f t="shared" ref="CU17:CU18" si="174">(CS17/CG17)-1</f>
        <v>-0.13107892796841925</v>
      </c>
      <c r="CV17" s="33">
        <v>-39930</v>
      </c>
      <c r="CW17" s="27">
        <f t="shared" si="34"/>
        <v>-4.9211546033112397E-2</v>
      </c>
      <c r="CX17" s="27">
        <f t="shared" ref="CX17:CX18" si="175">(CV17/CJ17)-1</f>
        <v>0.24199066874027997</v>
      </c>
      <c r="CY17" s="33">
        <v>-29009</v>
      </c>
      <c r="CZ17" s="27">
        <f t="shared" si="35"/>
        <v>-3.5199289940481562E-2</v>
      </c>
      <c r="DA17" s="27">
        <f t="shared" ref="DA17:DA18" si="176">(CY17/CM17)-1</f>
        <v>-0.14704498676859745</v>
      </c>
      <c r="DB17" s="33">
        <v>-6253</v>
      </c>
      <c r="DC17" s="27">
        <f t="shared" si="36"/>
        <v>-7.8835328583139758E-3</v>
      </c>
      <c r="DD17" s="27">
        <f t="shared" ref="DD17:DD18" si="177">(DB17/CP17)-1</f>
        <v>-0.77457730992465479</v>
      </c>
      <c r="DE17" s="33">
        <v>0</v>
      </c>
      <c r="DF17" s="27">
        <f t="shared" si="37"/>
        <v>0</v>
      </c>
      <c r="DG17" s="27">
        <f t="shared" ref="DG17:DG18" si="178">(DE17/CS17)-1</f>
        <v>-1</v>
      </c>
      <c r="DH17" s="33">
        <v>0</v>
      </c>
      <c r="DI17" s="27">
        <f t="shared" si="38"/>
        <v>0</v>
      </c>
      <c r="DJ17" s="27">
        <f t="shared" ref="DJ17:DJ18" si="179">(DH17/CV17)-1</f>
        <v>-1</v>
      </c>
      <c r="DK17" s="33">
        <v>-41445</v>
      </c>
      <c r="DL17" s="27">
        <f t="shared" si="39"/>
        <v>-4.4600964228832161E-2</v>
      </c>
      <c r="DM17" s="27">
        <f t="shared" ref="DM17:DM18" si="180">(DK17/CY17)-1</f>
        <v>0.4286945430728395</v>
      </c>
      <c r="DN17" s="33">
        <v>-39652</v>
      </c>
      <c r="DO17" s="27">
        <f t="shared" si="40"/>
        <v>-4.5154685430633258E-2</v>
      </c>
      <c r="DP17" s="27">
        <f t="shared" ref="DP17:DP18" si="181">(DN17/DB17)-1</f>
        <v>5.3412761874300339</v>
      </c>
      <c r="DQ17" s="33">
        <v>-57835</v>
      </c>
      <c r="DR17" s="27">
        <f t="shared" si="41"/>
        <v>-4.798342669781766E-2</v>
      </c>
      <c r="DS17" s="27" t="e">
        <f t="shared" ref="DS17:DS18" si="182">(DQ17/DE17)-1</f>
        <v>#DIV/0!</v>
      </c>
      <c r="DT17" s="33">
        <v>-44357</v>
      </c>
      <c r="DU17" s="27">
        <f t="shared" si="42"/>
        <v>-4.3499707759476244E-2</v>
      </c>
      <c r="DV17" s="27" t="e">
        <f t="shared" ref="DV17:DV18" si="183">(DT17/DH17)-1</f>
        <v>#DIV/0!</v>
      </c>
      <c r="DW17" s="33">
        <v>-44504</v>
      </c>
      <c r="DX17" s="27">
        <f t="shared" si="43"/>
        <v>-4.2086969408813971E-2</v>
      </c>
      <c r="DY17" s="27">
        <f t="shared" ref="DY17:DY18" si="184">(DW17/DK17)-1</f>
        <v>7.3808662082277765E-2</v>
      </c>
      <c r="DZ17" s="33">
        <v>-42400</v>
      </c>
      <c r="EA17" s="27">
        <f t="shared" si="44"/>
        <v>-4.279793520150358E-2</v>
      </c>
      <c r="EB17" s="27">
        <f t="shared" ref="EB17:EB18" si="185">(DZ17/DN17)-1</f>
        <v>6.930293553919098E-2</v>
      </c>
      <c r="EC17" s="33">
        <v>-60271</v>
      </c>
      <c r="ED17" s="27">
        <f t="shared" si="45"/>
        <v>-4.7438206209130779E-2</v>
      </c>
      <c r="EE17" s="27">
        <f t="shared" ref="EE17:EE18" si="186">(EC17/DQ17)-1</f>
        <v>4.2119823636206366E-2</v>
      </c>
      <c r="EF17" s="33">
        <v>-41635</v>
      </c>
      <c r="EG17" s="27">
        <f t="shared" si="46"/>
        <v>-4.0933964916834299E-2</v>
      </c>
      <c r="EH17" s="27">
        <f t="shared" ref="EH17:EH18" si="187">(EF17/DT17)-1</f>
        <v>-6.1365737087720085E-2</v>
      </c>
      <c r="EI17" s="33">
        <v>-47324</v>
      </c>
      <c r="EJ17" s="27">
        <f t="shared" si="47"/>
        <v>-4.4547279005056797E-2</v>
      </c>
      <c r="EK17" s="27">
        <f t="shared" ref="EK17:EK18" si="188">(EI17/DW17)-1</f>
        <v>6.3365090778356947E-2</v>
      </c>
      <c r="EL17" s="33">
        <v>-44763</v>
      </c>
      <c r="EM17" s="27">
        <f t="shared" ref="EM17:EM18" si="189">EL17/EL$5</f>
        <v>-4.655765804464701E-2</v>
      </c>
      <c r="EN17" s="27">
        <f t="shared" ref="EN17:EN18" si="190">(EL17/DZ17)-1</f>
        <v>5.5731132075471645E-2</v>
      </c>
      <c r="EO17" s="33">
        <v>-60246</v>
      </c>
      <c r="EP17" s="27">
        <f t="shared" si="0"/>
        <v>-4.7937401134978408E-2</v>
      </c>
      <c r="EQ17" s="27">
        <f>(EO17/EC17)-1</f>
        <v>-4.147931841184116E-4</v>
      </c>
      <c r="ER17" s="33">
        <v>-48409</v>
      </c>
      <c r="ES17" s="27">
        <f t="shared" si="49"/>
        <v>-4.6842448011162684E-2</v>
      </c>
      <c r="ET17" s="27">
        <f t="shared" ref="ET17:ET18" si="191">(ER17/EF17)-1</f>
        <v>0.16269965173531875</v>
      </c>
      <c r="EU17" s="33">
        <v>-41767</v>
      </c>
      <c r="EV17" s="27">
        <f t="shared" ref="EV17:EV18" si="192">EU17/EU$5</f>
        <v>-4.2045763411417698E-2</v>
      </c>
      <c r="EW17" s="27">
        <f t="shared" ref="EW17:EW18" si="193">(EU17/EI17)-1</f>
        <v>-0.11742456258980649</v>
      </c>
      <c r="EX17" s="33">
        <v>-39143</v>
      </c>
      <c r="EY17" s="27">
        <f t="shared" ref="EY17:EY18" si="194">EX17/EX$5</f>
        <v>-4.3091957415743586E-2</v>
      </c>
      <c r="EZ17" s="27">
        <f t="shared" ref="EZ17:EZ18" si="195">(EX17/EL17)-1</f>
        <v>-0.12555011951835227</v>
      </c>
      <c r="FA17" s="33">
        <v>-49266</v>
      </c>
      <c r="FB17" s="27">
        <f t="shared" ref="FB17:FB18" si="196">FA17/FA$5</f>
        <v>-4.1707089494110908E-2</v>
      </c>
      <c r="FC17" s="27">
        <f t="shared" ref="FC17" si="197">(FA17/EO17)-1</f>
        <v>-0.18225276366895726</v>
      </c>
      <c r="FD17" s="33">
        <v>-38238</v>
      </c>
      <c r="FE17" s="27">
        <f t="shared" si="53"/>
        <v>-3.8530216599586588E-2</v>
      </c>
      <c r="FF17" s="27">
        <f t="shared" ref="FF17" si="198">(FD17/ER17)-1</f>
        <v>-0.21010555888367866</v>
      </c>
      <c r="FG17" s="33"/>
      <c r="FH17" s="27">
        <f t="shared" si="54"/>
        <v>0</v>
      </c>
      <c r="FI17" s="27">
        <f t="shared" ref="FI17" si="199">(FG17/EU17)-1</f>
        <v>-1</v>
      </c>
      <c r="FJ17" s="33"/>
      <c r="FK17" s="27">
        <f t="shared" si="55"/>
        <v>0</v>
      </c>
      <c r="FL17" s="27">
        <f t="shared" si="56"/>
        <v>-1</v>
      </c>
      <c r="FM17" s="33"/>
      <c r="FN17" s="27">
        <f t="shared" si="57"/>
        <v>0</v>
      </c>
      <c r="FO17" s="27">
        <f t="shared" si="58"/>
        <v>-1</v>
      </c>
      <c r="FP17" s="33"/>
      <c r="FQ17" s="27">
        <f t="shared" si="59"/>
        <v>0</v>
      </c>
      <c r="FR17" s="27">
        <f t="shared" si="60"/>
        <v>-1</v>
      </c>
      <c r="FS17" s="33"/>
      <c r="FT17" s="27">
        <f t="shared" si="61"/>
        <v>0</v>
      </c>
      <c r="FU17" s="27" t="e">
        <f t="shared" si="62"/>
        <v>#DIV/0!</v>
      </c>
      <c r="FV17" s="33"/>
      <c r="FW17" s="27">
        <f t="shared" si="63"/>
        <v>0</v>
      </c>
      <c r="FX17" s="27" t="e">
        <f t="shared" si="64"/>
        <v>#DIV/0!</v>
      </c>
      <c r="FY17" s="33"/>
      <c r="FZ17" s="27">
        <f t="shared" si="65"/>
        <v>0</v>
      </c>
      <c r="GA17" s="27" t="e">
        <f t="shared" si="66"/>
        <v>#DIV/0!</v>
      </c>
      <c r="GB17" s="33"/>
      <c r="GC17" s="27">
        <f t="shared" si="67"/>
        <v>0</v>
      </c>
      <c r="GD17" s="27" t="e">
        <f t="shared" si="68"/>
        <v>#DIV/0!</v>
      </c>
      <c r="GE17" s="33"/>
      <c r="GF17" s="27">
        <f t="shared" si="69"/>
        <v>0</v>
      </c>
      <c r="GG17" s="27" t="e">
        <f t="shared" si="70"/>
        <v>#DIV/0!</v>
      </c>
      <c r="GH17" s="33"/>
      <c r="GI17" s="27">
        <f t="shared" si="71"/>
        <v>0</v>
      </c>
      <c r="GJ17" s="27" t="e">
        <f t="shared" si="100"/>
        <v>#DIV/0!</v>
      </c>
      <c r="GK17" s="33"/>
      <c r="GL17" s="27">
        <f t="shared" si="73"/>
        <v>0</v>
      </c>
      <c r="GM17" s="27" t="e">
        <f t="shared" si="101"/>
        <v>#DIV/0!</v>
      </c>
    </row>
    <row r="18" spans="2:195" s="23" customFormat="1" ht="16.5" hidden="1" customHeight="1" outlineLevel="1">
      <c r="B18" s="222" t="s">
        <v>1039</v>
      </c>
      <c r="C18" s="222" t="s">
        <v>1036</v>
      </c>
      <c r="D18" s="16"/>
      <c r="E18" s="27" t="s">
        <v>112</v>
      </c>
      <c r="F18" s="24"/>
      <c r="G18" s="16"/>
      <c r="H18" s="27">
        <f t="shared" si="3"/>
        <v>0</v>
      </c>
      <c r="I18" s="24"/>
      <c r="J18" s="16"/>
      <c r="K18" s="27">
        <f t="shared" si="4"/>
        <v>0</v>
      </c>
      <c r="L18" s="24"/>
      <c r="M18" s="16"/>
      <c r="N18" s="27">
        <f t="shared" si="5"/>
        <v>0</v>
      </c>
      <c r="O18" s="24"/>
      <c r="P18" s="16"/>
      <c r="Q18" s="27">
        <f t="shared" si="6"/>
        <v>0</v>
      </c>
      <c r="R18" s="26" t="e">
        <f t="shared" si="147"/>
        <v>#DIV/0!</v>
      </c>
      <c r="S18" s="16"/>
      <c r="T18" s="27">
        <f t="shared" si="7"/>
        <v>0</v>
      </c>
      <c r="U18" s="26" t="e">
        <f t="shared" si="148"/>
        <v>#DIV/0!</v>
      </c>
      <c r="V18" s="16"/>
      <c r="W18" s="27">
        <f t="shared" si="8"/>
        <v>0</v>
      </c>
      <c r="X18" s="26" t="e">
        <f t="shared" si="149"/>
        <v>#DIV/0!</v>
      </c>
      <c r="Y18" s="16"/>
      <c r="Z18" s="27">
        <f t="shared" si="9"/>
        <v>0</v>
      </c>
      <c r="AA18" s="26" t="e">
        <f t="shared" si="150"/>
        <v>#DIV/0!</v>
      </c>
      <c r="AB18" s="16"/>
      <c r="AC18" s="27">
        <f t="shared" si="10"/>
        <v>0</v>
      </c>
      <c r="AD18" s="27" t="e">
        <f t="shared" si="151"/>
        <v>#DIV/0!</v>
      </c>
      <c r="AE18" s="16"/>
      <c r="AF18" s="27">
        <f t="shared" si="11"/>
        <v>0</v>
      </c>
      <c r="AG18" s="27" t="e">
        <f t="shared" si="152"/>
        <v>#DIV/0!</v>
      </c>
      <c r="AH18" s="16"/>
      <c r="AI18" s="27">
        <f t="shared" si="12"/>
        <v>0</v>
      </c>
      <c r="AJ18" s="27" t="e">
        <f t="shared" si="153"/>
        <v>#DIV/0!</v>
      </c>
      <c r="AK18" s="16"/>
      <c r="AL18" s="27">
        <f t="shared" si="13"/>
        <v>0</v>
      </c>
      <c r="AM18" s="27" t="e">
        <f t="shared" si="154"/>
        <v>#DIV/0!</v>
      </c>
      <c r="AN18" s="16"/>
      <c r="AO18" s="27">
        <f t="shared" si="14"/>
        <v>0</v>
      </c>
      <c r="AP18" s="27" t="e">
        <f t="shared" si="155"/>
        <v>#DIV/0!</v>
      </c>
      <c r="AQ18" s="16"/>
      <c r="AR18" s="27">
        <f t="shared" si="15"/>
        <v>0</v>
      </c>
      <c r="AS18" s="27" t="e">
        <f t="shared" si="156"/>
        <v>#DIV/0!</v>
      </c>
      <c r="AT18" s="33"/>
      <c r="AU18" s="27">
        <f t="shared" si="16"/>
        <v>0</v>
      </c>
      <c r="AV18" s="27" t="e">
        <f t="shared" si="157"/>
        <v>#DIV/0!</v>
      </c>
      <c r="AW18" s="28"/>
      <c r="AX18" s="27">
        <f t="shared" si="17"/>
        <v>0</v>
      </c>
      <c r="AY18" s="27" t="e">
        <f t="shared" si="158"/>
        <v>#DIV/0!</v>
      </c>
      <c r="AZ18" s="33"/>
      <c r="BA18" s="27">
        <f t="shared" si="18"/>
        <v>0</v>
      </c>
      <c r="BB18" s="27" t="e">
        <f t="shared" si="159"/>
        <v>#DIV/0!</v>
      </c>
      <c r="BC18" s="33"/>
      <c r="BD18" s="27">
        <f t="shared" si="19"/>
        <v>0</v>
      </c>
      <c r="BE18" s="27" t="e">
        <f t="shared" si="160"/>
        <v>#DIV/0!</v>
      </c>
      <c r="BF18" s="33"/>
      <c r="BG18" s="27">
        <f t="shared" si="20"/>
        <v>0</v>
      </c>
      <c r="BH18" s="27" t="e">
        <f t="shared" si="161"/>
        <v>#DIV/0!</v>
      </c>
      <c r="BI18" s="29"/>
      <c r="BJ18" s="27">
        <f t="shared" si="21"/>
        <v>0</v>
      </c>
      <c r="BK18" s="27" t="e">
        <f t="shared" si="162"/>
        <v>#DIV/0!</v>
      </c>
      <c r="BL18" s="33"/>
      <c r="BM18" s="27">
        <f t="shared" si="22"/>
        <v>0</v>
      </c>
      <c r="BN18" s="27" t="e">
        <f t="shared" si="163"/>
        <v>#DIV/0!</v>
      </c>
      <c r="BO18" s="33"/>
      <c r="BP18" s="27">
        <f t="shared" si="23"/>
        <v>0</v>
      </c>
      <c r="BQ18" s="27" t="e">
        <f t="shared" si="164"/>
        <v>#DIV/0!</v>
      </c>
      <c r="BR18" s="33"/>
      <c r="BS18" s="27">
        <f t="shared" si="24"/>
        <v>0</v>
      </c>
      <c r="BT18" s="27" t="e">
        <f t="shared" si="165"/>
        <v>#DIV/0!</v>
      </c>
      <c r="BU18" s="33"/>
      <c r="BV18" s="27">
        <f t="shared" si="25"/>
        <v>0</v>
      </c>
      <c r="BW18" s="27" t="e">
        <f t="shared" si="166"/>
        <v>#DIV/0!</v>
      </c>
      <c r="BX18" s="33"/>
      <c r="BY18" s="27">
        <f t="shared" si="26"/>
        <v>0</v>
      </c>
      <c r="BZ18" s="11" t="e">
        <f t="shared" si="167"/>
        <v>#DIV/0!</v>
      </c>
      <c r="CA18" s="33"/>
      <c r="CB18" s="27">
        <f t="shared" si="27"/>
        <v>0</v>
      </c>
      <c r="CC18" s="27" t="e">
        <f t="shared" si="168"/>
        <v>#DIV/0!</v>
      </c>
      <c r="CD18" s="33"/>
      <c r="CE18" s="27">
        <f t="shared" si="28"/>
        <v>0</v>
      </c>
      <c r="CF18" s="27" t="e">
        <f t="shared" si="169"/>
        <v>#DIV/0!</v>
      </c>
      <c r="CG18" s="33">
        <v>-57</v>
      </c>
      <c r="CH18" s="27">
        <f t="shared" si="29"/>
        <v>-7.1575040151086115E-5</v>
      </c>
      <c r="CI18" s="27" t="e">
        <f t="shared" si="170"/>
        <v>#DIV/0!</v>
      </c>
      <c r="CJ18" s="33">
        <v>-373</v>
      </c>
      <c r="CK18" s="27">
        <f t="shared" si="30"/>
        <v>-5.51221480199622E-4</v>
      </c>
      <c r="CL18" s="27" t="e">
        <f t="shared" si="171"/>
        <v>#DIV/0!</v>
      </c>
      <c r="CM18" s="33">
        <v>-410</v>
      </c>
      <c r="CN18" s="27">
        <f t="shared" si="31"/>
        <v>-5.6900504610328691E-4</v>
      </c>
      <c r="CO18" s="27" t="e">
        <f t="shared" si="172"/>
        <v>#DIV/0!</v>
      </c>
      <c r="CP18" s="33">
        <v>-281</v>
      </c>
      <c r="CQ18" s="27">
        <f t="shared" si="32"/>
        <v>-4.025636629362243E-4</v>
      </c>
      <c r="CR18" s="27" t="e">
        <f t="shared" si="173"/>
        <v>#DIV/0!</v>
      </c>
      <c r="CS18" s="33">
        <v>-558</v>
      </c>
      <c r="CT18" s="27">
        <f t="shared" si="33"/>
        <v>-5.9834008878594869E-4</v>
      </c>
      <c r="CU18" s="27">
        <f t="shared" si="174"/>
        <v>8.7894736842105257</v>
      </c>
      <c r="CV18" s="33">
        <v>-2185</v>
      </c>
      <c r="CW18" s="27">
        <f t="shared" si="34"/>
        <v>-2.6928932652729924E-3</v>
      </c>
      <c r="CX18" s="27">
        <f t="shared" si="175"/>
        <v>4.8579088471849863</v>
      </c>
      <c r="CY18" s="33">
        <v>-1673</v>
      </c>
      <c r="CZ18" s="27">
        <f t="shared" si="35"/>
        <v>-2.0300048974602938E-3</v>
      </c>
      <c r="DA18" s="27">
        <f t="shared" si="176"/>
        <v>3.0804878048780484</v>
      </c>
      <c r="DB18" s="33">
        <v>-499</v>
      </c>
      <c r="DC18" s="27">
        <f t="shared" si="36"/>
        <v>-6.2911928615043563E-4</v>
      </c>
      <c r="DD18" s="27">
        <f t="shared" si="177"/>
        <v>0.77580071174377219</v>
      </c>
      <c r="DE18" s="33">
        <v>-933</v>
      </c>
      <c r="DF18" s="27">
        <f t="shared" si="37"/>
        <v>-8.7871282790581739E-4</v>
      </c>
      <c r="DG18" s="27">
        <f t="shared" si="178"/>
        <v>0.67204301075268824</v>
      </c>
      <c r="DH18" s="33">
        <v>-1369</v>
      </c>
      <c r="DI18" s="27">
        <f t="shared" si="38"/>
        <v>-1.5190107760445571E-3</v>
      </c>
      <c r="DJ18" s="27">
        <f t="shared" si="179"/>
        <v>-0.37345537757437075</v>
      </c>
      <c r="DK18" s="33">
        <v>-1789</v>
      </c>
      <c r="DL18" s="27">
        <f t="shared" si="39"/>
        <v>-1.9252292195772889E-3</v>
      </c>
      <c r="DM18" s="27">
        <f t="shared" si="180"/>
        <v>6.9336521219366398E-2</v>
      </c>
      <c r="DN18" s="33">
        <v>-2098</v>
      </c>
      <c r="DO18" s="27">
        <f t="shared" si="40"/>
        <v>-2.3891488457951321E-3</v>
      </c>
      <c r="DP18" s="27">
        <f t="shared" si="181"/>
        <v>3.2044088176352705</v>
      </c>
      <c r="DQ18" s="33">
        <v>-371</v>
      </c>
      <c r="DR18" s="27">
        <f t="shared" si="41"/>
        <v>-3.0780412042691021E-4</v>
      </c>
      <c r="DS18" s="27">
        <f t="shared" si="182"/>
        <v>-0.60235798499464099</v>
      </c>
      <c r="DT18" s="33">
        <v>-767</v>
      </c>
      <c r="DU18" s="27">
        <f t="shared" si="42"/>
        <v>-7.5217611316180709E-4</v>
      </c>
      <c r="DV18" s="27">
        <f t="shared" si="183"/>
        <v>-0.43973703433162892</v>
      </c>
      <c r="DW18" s="33">
        <v>-1098</v>
      </c>
      <c r="DX18" s="27">
        <f t="shared" si="43"/>
        <v>-1.0383671672406466E-3</v>
      </c>
      <c r="DY18" s="27">
        <f t="shared" si="184"/>
        <v>-0.38624930128563439</v>
      </c>
      <c r="DZ18" s="33">
        <v>-1353</v>
      </c>
      <c r="EA18" s="27">
        <f t="shared" si="44"/>
        <v>-1.3656982624442062E-3</v>
      </c>
      <c r="EB18" s="27">
        <f t="shared" si="185"/>
        <v>-0.35510009532888465</v>
      </c>
      <c r="EC18" s="33">
        <v>-132</v>
      </c>
      <c r="ED18" s="27">
        <f t="shared" si="45"/>
        <v>-1.0389479550041086E-4</v>
      </c>
      <c r="EE18" s="27">
        <f t="shared" si="186"/>
        <v>-0.64420485175202158</v>
      </c>
      <c r="EF18" s="33">
        <v>-312</v>
      </c>
      <c r="EG18" s="27">
        <f t="shared" si="46"/>
        <v>-3.0674665675639004E-4</v>
      </c>
      <c r="EH18" s="27">
        <f t="shared" si="187"/>
        <v>-0.59322033898305082</v>
      </c>
      <c r="EI18" s="33">
        <v>-702</v>
      </c>
      <c r="EJ18" s="27">
        <f t="shared" si="47"/>
        <v>-6.6081036813350248E-4</v>
      </c>
      <c r="EK18" s="27">
        <f t="shared" si="188"/>
        <v>-0.36065573770491799</v>
      </c>
      <c r="EL18" s="33">
        <v>-721</v>
      </c>
      <c r="EM18" s="27">
        <f t="shared" si="189"/>
        <v>-7.4990665170320339E-4</v>
      </c>
      <c r="EN18" s="27">
        <f t="shared" si="190"/>
        <v>-0.46711012564671106</v>
      </c>
      <c r="EO18" s="33">
        <v>0</v>
      </c>
      <c r="EP18" s="27">
        <f t="shared" si="0"/>
        <v>0</v>
      </c>
      <c r="EQ18" s="27">
        <f>(EO18/EC18)-1</f>
        <v>-1</v>
      </c>
      <c r="ER18" s="33">
        <v>0</v>
      </c>
      <c r="ES18" s="27">
        <f t="shared" si="49"/>
        <v>0</v>
      </c>
      <c r="ET18" s="27">
        <f t="shared" si="191"/>
        <v>-1</v>
      </c>
      <c r="EU18" s="33">
        <v>0</v>
      </c>
      <c r="EV18" s="27">
        <f t="shared" si="192"/>
        <v>0</v>
      </c>
      <c r="EW18" s="27">
        <f t="shared" si="193"/>
        <v>-1</v>
      </c>
      <c r="EX18" s="33">
        <v>0</v>
      </c>
      <c r="EY18" s="27">
        <f t="shared" si="194"/>
        <v>0</v>
      </c>
      <c r="EZ18" s="27">
        <f t="shared" si="195"/>
        <v>-1</v>
      </c>
      <c r="FA18" s="33">
        <v>0</v>
      </c>
      <c r="FB18" s="27">
        <f t="shared" si="196"/>
        <v>0</v>
      </c>
      <c r="FC18" s="27" t="s">
        <v>112</v>
      </c>
      <c r="FD18" s="33">
        <v>0</v>
      </c>
      <c r="FE18" s="27">
        <f t="shared" si="53"/>
        <v>0</v>
      </c>
      <c r="FF18" s="27" t="s">
        <v>112</v>
      </c>
      <c r="FG18" s="33"/>
      <c r="FH18" s="27">
        <f t="shared" si="54"/>
        <v>0</v>
      </c>
      <c r="FI18" s="27" t="s">
        <v>112</v>
      </c>
      <c r="FJ18" s="33"/>
      <c r="FK18" s="27">
        <f t="shared" si="55"/>
        <v>0</v>
      </c>
      <c r="FL18" s="27" t="e">
        <f t="shared" si="56"/>
        <v>#DIV/0!</v>
      </c>
      <c r="FM18" s="33"/>
      <c r="FN18" s="27">
        <f t="shared" si="57"/>
        <v>0</v>
      </c>
      <c r="FO18" s="27" t="e">
        <f t="shared" si="58"/>
        <v>#DIV/0!</v>
      </c>
      <c r="FP18" s="33"/>
      <c r="FQ18" s="27">
        <f t="shared" si="59"/>
        <v>0</v>
      </c>
      <c r="FR18" s="27" t="e">
        <f t="shared" si="60"/>
        <v>#DIV/0!</v>
      </c>
      <c r="FS18" s="33"/>
      <c r="FT18" s="27">
        <f t="shared" si="61"/>
        <v>0</v>
      </c>
      <c r="FU18" s="27" t="e">
        <f t="shared" si="62"/>
        <v>#DIV/0!</v>
      </c>
      <c r="FV18" s="33"/>
      <c r="FW18" s="27">
        <f t="shared" si="63"/>
        <v>0</v>
      </c>
      <c r="FX18" s="27" t="e">
        <f t="shared" si="64"/>
        <v>#DIV/0!</v>
      </c>
      <c r="FY18" s="33"/>
      <c r="FZ18" s="27">
        <f t="shared" si="65"/>
        <v>0</v>
      </c>
      <c r="GA18" s="27" t="e">
        <f t="shared" si="66"/>
        <v>#DIV/0!</v>
      </c>
      <c r="GB18" s="33"/>
      <c r="GC18" s="27">
        <f t="shared" si="67"/>
        <v>0</v>
      </c>
      <c r="GD18" s="27" t="e">
        <f t="shared" si="68"/>
        <v>#DIV/0!</v>
      </c>
      <c r="GE18" s="33"/>
      <c r="GF18" s="27">
        <f t="shared" si="69"/>
        <v>0</v>
      </c>
      <c r="GG18" s="27" t="e">
        <f t="shared" si="70"/>
        <v>#DIV/0!</v>
      </c>
      <c r="GH18" s="33"/>
      <c r="GI18" s="27">
        <f t="shared" si="71"/>
        <v>0</v>
      </c>
      <c r="GJ18" s="27" t="e">
        <f t="shared" si="100"/>
        <v>#DIV/0!</v>
      </c>
      <c r="GK18" s="33"/>
      <c r="GL18" s="27">
        <f t="shared" si="73"/>
        <v>0</v>
      </c>
      <c r="GM18" s="27" t="e">
        <f t="shared" si="101"/>
        <v>#DIV/0!</v>
      </c>
    </row>
    <row r="19" spans="2:195" ht="13.5" customHeight="1" collapsed="1">
      <c r="B19" s="340"/>
      <c r="C19" s="34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35"/>
      <c r="AD19" s="35"/>
      <c r="AE19" s="20"/>
      <c r="AF19" s="204"/>
      <c r="AG19" s="35"/>
      <c r="AH19" s="20"/>
      <c r="AI19" s="35"/>
      <c r="AJ19" s="35"/>
      <c r="AK19" s="20"/>
      <c r="AL19" s="35"/>
      <c r="AM19" s="35"/>
      <c r="AN19" s="20"/>
      <c r="AO19" s="35"/>
      <c r="AP19" s="35"/>
      <c r="AQ19" s="20"/>
      <c r="AR19" s="204"/>
      <c r="AS19" s="35"/>
      <c r="AT19" s="20"/>
      <c r="AU19" s="35"/>
      <c r="AV19" s="35"/>
      <c r="AW19" s="20"/>
      <c r="AX19" s="35"/>
      <c r="AY19" s="35"/>
      <c r="AZ19" s="20"/>
      <c r="BA19" s="35"/>
      <c r="BB19" s="35"/>
      <c r="BC19" s="20"/>
      <c r="BD19" s="204"/>
      <c r="BE19" s="35"/>
      <c r="BF19" s="20"/>
      <c r="BG19" s="35"/>
      <c r="BH19" s="35"/>
      <c r="BI19" s="20"/>
      <c r="BJ19" s="35"/>
      <c r="BK19" s="35"/>
      <c r="BL19" s="20"/>
      <c r="BM19" s="35"/>
      <c r="BN19" s="35"/>
      <c r="BO19" s="20"/>
      <c r="BP19" s="204"/>
      <c r="BQ19" s="35"/>
      <c r="BR19" s="20"/>
      <c r="BS19" s="35"/>
      <c r="BT19" s="35"/>
      <c r="BU19" s="20"/>
      <c r="BV19" s="35"/>
      <c r="BW19" s="35"/>
      <c r="BX19" s="20"/>
      <c r="BY19" s="35"/>
      <c r="BZ19" s="35"/>
      <c r="CG19" s="38">
        <f>CG24+CG25-CG23</f>
        <v>0.13515000000006694</v>
      </c>
      <c r="CM19" s="38">
        <f>CM24+CM25-CM23</f>
        <v>8.8800000012270175E-3</v>
      </c>
      <c r="CP19" s="38">
        <f>CP23-CP24-CP25</f>
        <v>-0.13246555805380922</v>
      </c>
    </row>
    <row r="20" spans="2:195" s="200" customFormat="1" ht="16.5" customHeight="1">
      <c r="B20" s="47" t="s">
        <v>1183</v>
      </c>
      <c r="C20" s="47" t="s">
        <v>1286</v>
      </c>
      <c r="D20" s="73" t="s">
        <v>77</v>
      </c>
      <c r="E20" s="73" t="s">
        <v>77</v>
      </c>
      <c r="F20" s="73" t="s">
        <v>77</v>
      </c>
      <c r="G20" s="73" t="s">
        <v>77</v>
      </c>
      <c r="H20" s="73" t="s">
        <v>77</v>
      </c>
      <c r="I20" s="73" t="s">
        <v>77</v>
      </c>
      <c r="J20" s="73" t="s">
        <v>77</v>
      </c>
      <c r="K20" s="73" t="s">
        <v>77</v>
      </c>
      <c r="L20" s="73" t="s">
        <v>77</v>
      </c>
      <c r="M20" s="73" t="s">
        <v>77</v>
      </c>
      <c r="N20" s="73" t="s">
        <v>77</v>
      </c>
      <c r="O20" s="73" t="s">
        <v>77</v>
      </c>
      <c r="P20" s="73" t="s">
        <v>77</v>
      </c>
      <c r="Q20" s="73" t="s">
        <v>77</v>
      </c>
      <c r="R20" s="73" t="s">
        <v>77</v>
      </c>
      <c r="S20" s="73" t="s">
        <v>77</v>
      </c>
      <c r="T20" s="73" t="s">
        <v>77</v>
      </c>
      <c r="U20" s="73" t="s">
        <v>77</v>
      </c>
      <c r="V20" s="73" t="s">
        <v>77</v>
      </c>
      <c r="W20" s="73" t="s">
        <v>77</v>
      </c>
      <c r="X20" s="73" t="s">
        <v>77</v>
      </c>
      <c r="Y20" s="73" t="s">
        <v>77</v>
      </c>
      <c r="Z20" s="73" t="s">
        <v>77</v>
      </c>
      <c r="AA20" s="73" t="s">
        <v>77</v>
      </c>
      <c r="AB20" s="73" t="s">
        <v>77</v>
      </c>
      <c r="AC20" s="73" t="s">
        <v>77</v>
      </c>
      <c r="AD20" s="73" t="s">
        <v>77</v>
      </c>
      <c r="AE20" s="73" t="s">
        <v>77</v>
      </c>
      <c r="AF20" s="73" t="s">
        <v>77</v>
      </c>
      <c r="AG20" s="73" t="s">
        <v>77</v>
      </c>
      <c r="AH20" s="73" t="s">
        <v>77</v>
      </c>
      <c r="AI20" s="73" t="s">
        <v>77</v>
      </c>
      <c r="AJ20" s="73" t="s">
        <v>77</v>
      </c>
      <c r="AK20" s="73" t="s">
        <v>77</v>
      </c>
      <c r="AL20" s="73" t="s">
        <v>77</v>
      </c>
      <c r="AM20" s="73" t="s">
        <v>77</v>
      </c>
      <c r="AN20" s="73" t="s">
        <v>77</v>
      </c>
      <c r="AO20" s="73" t="s">
        <v>77</v>
      </c>
      <c r="AP20" s="73" t="s">
        <v>77</v>
      </c>
      <c r="AQ20" s="73" t="s">
        <v>77</v>
      </c>
      <c r="AR20" s="73" t="s">
        <v>77</v>
      </c>
      <c r="AS20" s="73" t="s">
        <v>77</v>
      </c>
      <c r="AT20" s="73" t="s">
        <v>77</v>
      </c>
      <c r="AU20" s="73" t="s">
        <v>77</v>
      </c>
      <c r="AV20" s="73" t="s">
        <v>77</v>
      </c>
      <c r="AW20" s="73" t="s">
        <v>77</v>
      </c>
      <c r="AX20" s="73" t="s">
        <v>77</v>
      </c>
      <c r="AY20" s="73" t="s">
        <v>77</v>
      </c>
      <c r="AZ20" s="73" t="s">
        <v>77</v>
      </c>
      <c r="BA20" s="73" t="s">
        <v>77</v>
      </c>
      <c r="BB20" s="73" t="s">
        <v>77</v>
      </c>
      <c r="BC20" s="73" t="s">
        <v>77</v>
      </c>
      <c r="BD20" s="73" t="s">
        <v>77</v>
      </c>
      <c r="BE20" s="73" t="s">
        <v>77</v>
      </c>
      <c r="BF20" s="73" t="s">
        <v>77</v>
      </c>
      <c r="BG20" s="73" t="s">
        <v>77</v>
      </c>
      <c r="BH20" s="73" t="s">
        <v>77</v>
      </c>
      <c r="BI20" s="73" t="s">
        <v>77</v>
      </c>
      <c r="BJ20" s="73" t="s">
        <v>77</v>
      </c>
      <c r="BK20" s="73" t="s">
        <v>77</v>
      </c>
      <c r="BL20" s="95">
        <v>8.2645399999999984</v>
      </c>
      <c r="BM20" s="96">
        <f>BL20/BL$20</f>
        <v>1</v>
      </c>
      <c r="BN20" s="99" t="e">
        <f>(BL20/AZ20)-1</f>
        <v>#VALUE!</v>
      </c>
      <c r="BO20" s="95">
        <v>39.991490000000027</v>
      </c>
      <c r="BP20" s="96">
        <f>BO20/BO$20</f>
        <v>1</v>
      </c>
      <c r="BQ20" s="99" t="e">
        <f>(BO20/BC20)-1</f>
        <v>#VALUE!</v>
      </c>
      <c r="BR20" s="95">
        <v>203.30846000000011</v>
      </c>
      <c r="BS20" s="96">
        <f>BR20/BR$20</f>
        <v>1</v>
      </c>
      <c r="BT20" s="99" t="e">
        <f>(BR20/BF20)-1</f>
        <v>#VALUE!</v>
      </c>
      <c r="BU20" s="95">
        <v>1665.6486299999897</v>
      </c>
      <c r="BV20" s="96">
        <f>BU20/BU$20</f>
        <v>1</v>
      </c>
      <c r="BW20" s="99" t="e">
        <f>(BU20/BI20)-1</f>
        <v>#VALUE!</v>
      </c>
      <c r="BX20" s="95">
        <v>5326.6398700000245</v>
      </c>
      <c r="BY20" s="96">
        <f>BX20/BX$20</f>
        <v>1</v>
      </c>
      <c r="BZ20" s="99">
        <f>(BX20/BL20)-1</f>
        <v>643.51740447744533</v>
      </c>
      <c r="CA20" s="95">
        <v>14245.27797000011</v>
      </c>
      <c r="CB20" s="96">
        <f>CA20/CA$20</f>
        <v>1</v>
      </c>
      <c r="CC20" s="99">
        <f>(CA20/BO20)-1</f>
        <v>355.20773244508018</v>
      </c>
      <c r="CD20" s="95">
        <v>19597.621390000058</v>
      </c>
      <c r="CE20" s="96">
        <f>CD20/CD$20</f>
        <v>1</v>
      </c>
      <c r="CF20" s="99">
        <f>(CD20/BR20)-1</f>
        <v>95.393536156833065</v>
      </c>
      <c r="CG20" s="95">
        <f t="shared" ref="CG20" si="200">SUM(CG22:CG23)</f>
        <v>28636</v>
      </c>
      <c r="CH20" s="96">
        <f t="shared" ref="CH20:CH28" si="201">CG20/CG$20</f>
        <v>1</v>
      </c>
      <c r="CI20" s="99">
        <f>(CG20/BU20)-1</f>
        <v>16.192101313708747</v>
      </c>
      <c r="CJ20" s="95">
        <v>37007</v>
      </c>
      <c r="CK20" s="96">
        <f t="shared" ref="CK20:CK28" si="202">CJ20/CJ$20</f>
        <v>1</v>
      </c>
      <c r="CL20" s="99">
        <f>(CJ20/BX20)-1</f>
        <v>5.9475318217823929</v>
      </c>
      <c r="CM20" s="95">
        <f t="shared" ref="CM20" si="203">SUM(CM22:CM23)</f>
        <v>62594</v>
      </c>
      <c r="CN20" s="96">
        <f t="shared" ref="CN20:CN28" si="204">CM20/CM$20</f>
        <v>1</v>
      </c>
      <c r="CO20" s="99">
        <f>(CM20/CA20)-1</f>
        <v>3.3940174513842436</v>
      </c>
      <c r="CP20" s="95">
        <f t="shared" ref="CP20" si="205">SUM(CP22:CP23)</f>
        <v>80413</v>
      </c>
      <c r="CQ20" s="96">
        <f t="shared" ref="CQ20:CQ28" si="206">CP20/CP$20</f>
        <v>1</v>
      </c>
      <c r="CR20" s="99">
        <f>(CP20/CD20)-1</f>
        <v>3.1032020366018385</v>
      </c>
      <c r="CS20" s="95">
        <f t="shared" ref="CS20" si="207">SUM(CS22:CS23)</f>
        <v>90713</v>
      </c>
      <c r="CT20" s="96">
        <f t="shared" ref="CT20:CT28" si="208">CS20/CS$20</f>
        <v>1</v>
      </c>
      <c r="CU20" s="99">
        <f>(CS20/CG20)-1</f>
        <v>2.1677957815337336</v>
      </c>
      <c r="CV20" s="95">
        <f t="shared" ref="CV20" si="209">SUM(CV22:CV23)</f>
        <v>84155</v>
      </c>
      <c r="CW20" s="96">
        <f t="shared" ref="CW20:CW28" si="210">CV20/CV$20</f>
        <v>1</v>
      </c>
      <c r="CX20" s="99">
        <f>(CV20/CJ20)-1</f>
        <v>1.2740292377117841</v>
      </c>
      <c r="CY20" s="95">
        <f t="shared" ref="CY20" si="211">SUM(CY22:CY23)</f>
        <v>93839</v>
      </c>
      <c r="CZ20" s="96">
        <f t="shared" ref="CZ20:CZ28" si="212">CY20/CY$20</f>
        <v>1</v>
      </c>
      <c r="DA20" s="99">
        <f>(CY20/CM20)-1</f>
        <v>0.4991692494488289</v>
      </c>
      <c r="DB20" s="95">
        <f t="shared" ref="DB20" si="213">SUM(DB22:DB23)</f>
        <v>128667</v>
      </c>
      <c r="DC20" s="96">
        <f t="shared" ref="DC20:DC28" si="214">DB20/DB$20</f>
        <v>1</v>
      </c>
      <c r="DD20" s="99">
        <f>(DB20/CP20)-1</f>
        <v>0.60007710196112574</v>
      </c>
      <c r="DE20" s="95">
        <f t="shared" ref="DE20" si="215">SUM(DE22:DE23)</f>
        <v>175307</v>
      </c>
      <c r="DF20" s="96">
        <f t="shared" ref="DF20:DF28" si="216">DE20/DE$20</f>
        <v>1</v>
      </c>
      <c r="DG20" s="99">
        <f>(DE20/CS20)-1</f>
        <v>0.93254550064489106</v>
      </c>
      <c r="DH20" s="95">
        <f t="shared" ref="DH20" si="217">SUM(DH22:DH23)</f>
        <v>207942</v>
      </c>
      <c r="DI20" s="96">
        <f t="shared" ref="DI20:DI28" si="218">DH20/DH$20</f>
        <v>1</v>
      </c>
      <c r="DJ20" s="99">
        <f>(DH20/CV20)-1</f>
        <v>1.4709405264096014</v>
      </c>
      <c r="DK20" s="95">
        <f t="shared" ref="DK20" si="219">SUM(DK22:DK23)</f>
        <v>247693</v>
      </c>
      <c r="DL20" s="96">
        <f t="shared" ref="DL20:DL28" si="220">DK20/DK$20</f>
        <v>1</v>
      </c>
      <c r="DM20" s="99">
        <f>(DK20/CY20)-1</f>
        <v>1.6395528511599653</v>
      </c>
      <c r="DN20" s="95">
        <f t="shared" ref="DN20" si="221">SUM(DN22:DN23)</f>
        <v>284950</v>
      </c>
      <c r="DO20" s="96">
        <f t="shared" ref="DO20:DO28" si="222">DN20/DN$20</f>
        <v>1</v>
      </c>
      <c r="DP20" s="99">
        <f>(DN20/DB20)-1</f>
        <v>1.214631568311999</v>
      </c>
      <c r="DQ20" s="95">
        <f t="shared" ref="DQ20" si="223">SUM(DQ22:DQ23)</f>
        <v>338005</v>
      </c>
      <c r="DR20" s="96">
        <f t="shared" ref="DR20:DR28" si="224">DQ20/DQ$20</f>
        <v>1</v>
      </c>
      <c r="DS20" s="99">
        <f>(DQ20/DE20)-1</f>
        <v>0.92807474886912678</v>
      </c>
      <c r="DT20" s="95">
        <f t="shared" ref="DT20" si="225">SUM(DT22:DT23)</f>
        <v>348194</v>
      </c>
      <c r="DU20" s="96">
        <f t="shared" ref="DU20:DU28" si="226">DT20/DT$20</f>
        <v>1</v>
      </c>
      <c r="DV20" s="99">
        <f>(DT20/DH20)-1</f>
        <v>0.67447653672658725</v>
      </c>
      <c r="DW20" s="95">
        <f t="shared" ref="DW20" si="227">SUM(DW22:DW23)</f>
        <v>389603.33</v>
      </c>
      <c r="DX20" s="96">
        <f t="shared" ref="DX20:DX28" si="228">DW20/DW$20</f>
        <v>1</v>
      </c>
      <c r="DY20" s="99">
        <f>(DW20/DK20)-1</f>
        <v>0.57292830237431014</v>
      </c>
      <c r="DZ20" s="95">
        <f t="shared" ref="DZ20" si="229">SUM(DZ22:DZ23)</f>
        <v>408275</v>
      </c>
      <c r="EA20" s="96">
        <f t="shared" ref="EA20:EA28" si="230">DZ20/DZ$20</f>
        <v>1</v>
      </c>
      <c r="EB20" s="99">
        <f>(DZ20/DN20)-1</f>
        <v>0.43279522723284791</v>
      </c>
      <c r="EC20" s="95">
        <f t="shared" ref="EC20" si="231">SUM(EC22:EC23)</f>
        <v>455225</v>
      </c>
      <c r="ED20" s="96">
        <f t="shared" ref="ED20:ED28" si="232">EC20/EC$20</f>
        <v>1</v>
      </c>
      <c r="EE20" s="99">
        <f>(EC20/DQ20)-1</f>
        <v>0.34679960355616046</v>
      </c>
      <c r="EF20" s="95">
        <f t="shared" ref="EF20" si="233">SUM(EF22:EF23)</f>
        <v>447493</v>
      </c>
      <c r="EG20" s="96">
        <f t="shared" ref="EG20:EG28" si="234">EF20/EF$20</f>
        <v>1</v>
      </c>
      <c r="EH20" s="99">
        <f>(EF20/DT20)-1</f>
        <v>0.28518297271061543</v>
      </c>
      <c r="EI20" s="95">
        <f>SUM(EI22,EI23,EI27)</f>
        <v>478719</v>
      </c>
      <c r="EJ20" s="96">
        <f>EI20/EI$20</f>
        <v>1</v>
      </c>
      <c r="EK20" s="99">
        <f>(EI20/DW20)-1</f>
        <v>0.22873436425710225</v>
      </c>
      <c r="EL20" s="95">
        <f>SUM(EL22,EL23,EL27)</f>
        <v>492084</v>
      </c>
      <c r="EM20" s="96">
        <f>EL20/EL$20</f>
        <v>1</v>
      </c>
      <c r="EN20" s="99">
        <f>(EL20/DZ20)-1</f>
        <v>0.2052758557344927</v>
      </c>
      <c r="EO20" s="95">
        <f>SUM(EO22,EO23,EO27)</f>
        <v>529464</v>
      </c>
      <c r="EP20" s="96">
        <f>EO20/EO$20</f>
        <v>1</v>
      </c>
      <c r="EQ20" s="99">
        <f>(EO20/EC20)-1</f>
        <v>0.16308199242133004</v>
      </c>
      <c r="ER20" s="95">
        <f>SUM(ER22,ER23,ER27)</f>
        <v>571869</v>
      </c>
      <c r="ES20" s="96">
        <f t="shared" ref="ES20:ES28" si="235">ER20/ER$20</f>
        <v>1</v>
      </c>
      <c r="ET20" s="99">
        <f>(ER20/EF20)-1</f>
        <v>0.2779395431883851</v>
      </c>
      <c r="EU20" s="95">
        <f>SUM(EU22,EU23,EU27)</f>
        <v>827343</v>
      </c>
      <c r="EV20" s="96">
        <f>EU20/EU$20</f>
        <v>1</v>
      </c>
      <c r="EW20" s="99">
        <f>(EU20/EI20)-1</f>
        <v>0.72824349984019854</v>
      </c>
      <c r="EX20" s="95">
        <f>SUM(EX22,EX23,EX27)</f>
        <v>882624.08537999995</v>
      </c>
      <c r="EY20" s="96">
        <f t="shared" ref="EY20:EY28" si="236">EX20/EX$20</f>
        <v>1</v>
      </c>
      <c r="EZ20" s="99">
        <f>(EX20/EL20)-1</f>
        <v>0.79364516094813076</v>
      </c>
      <c r="FA20" s="95">
        <f>SUM(FA22,FA23,FA27)</f>
        <v>1063352.9999999998</v>
      </c>
      <c r="FB20" s="96">
        <f t="shared" ref="FB20:FB28" si="237">FA20/FA$20</f>
        <v>1</v>
      </c>
      <c r="FC20" s="99">
        <f>(FA20/EO20)-1</f>
        <v>1.0083575087258052</v>
      </c>
      <c r="FD20" s="95">
        <f>SUM(FD22,FD23,FD27)</f>
        <v>1066493</v>
      </c>
      <c r="FE20" s="96">
        <f t="shared" ref="FE20" si="238">FD20/FD$20</f>
        <v>1</v>
      </c>
      <c r="FF20" s="99">
        <f>(FD20/ER20)-1</f>
        <v>0.86492535877972054</v>
      </c>
      <c r="FG20" s="95">
        <f>SUM(FG22,FG23,FG27)</f>
        <v>1151907.1823200001</v>
      </c>
      <c r="FH20" s="96">
        <f t="shared" ref="FH20" si="239">FG20/FG$20</f>
        <v>1</v>
      </c>
      <c r="FI20" s="99">
        <f>(FG20/EU20)-1</f>
        <v>0.39229700658614397</v>
      </c>
      <c r="FJ20" s="95">
        <f>SUM(FJ22,FJ23,FJ27)</f>
        <v>1206332.6143199999</v>
      </c>
      <c r="FK20" s="96">
        <f t="shared" si="55"/>
        <v>1.2577007580712736</v>
      </c>
      <c r="FL20" s="99">
        <f t="shared" si="56"/>
        <v>0.36675696290412518</v>
      </c>
      <c r="FM20" s="95">
        <f>SUM(FM22,FM23,FM27)</f>
        <v>1452075.75397</v>
      </c>
      <c r="FN20" s="96">
        <f t="shared" ref="FN20:FN28" si="240">FM20/FM$5</f>
        <v>1.1319580246102277</v>
      </c>
      <c r="FO20" s="99">
        <f t="shared" ref="FO20:FO28" si="241">(FM20/FA20)-1</f>
        <v>0.36556322685881382</v>
      </c>
      <c r="FP20" s="95">
        <f>SUM(FP22,FP23,FP27)</f>
        <v>1452167.9122840315</v>
      </c>
      <c r="FQ20" s="96">
        <f t="shared" si="59"/>
        <v>1.3341450348394341</v>
      </c>
      <c r="FR20" s="99">
        <f t="shared" si="60"/>
        <v>0.36162910800542658</v>
      </c>
      <c r="FS20" s="95">
        <f>SUM(FS22,FS23,FS27)</f>
        <v>1592622.5010899999</v>
      </c>
      <c r="FT20" s="96">
        <f t="shared" ref="FT20:FT28" si="242">FS20/FS$5</f>
        <v>1.5026587108423988</v>
      </c>
      <c r="FU20" s="99">
        <f t="shared" ref="FU20:FU28" si="243">(FS20/FG20)-1</f>
        <v>0.38259620699853314</v>
      </c>
      <c r="FV20" s="95">
        <f>SUM(FV22,FV23,FV27)</f>
        <v>1772837.8112899999</v>
      </c>
      <c r="FW20" s="96">
        <f t="shared" ref="FW20:FW28" si="244">FV20/FV$5</f>
        <v>1.762430185574924</v>
      </c>
      <c r="FX20" s="99">
        <f t="shared" ref="FX20:FX28" si="245">(FV20/FJ20)-1</f>
        <v>0.46960945119546027</v>
      </c>
      <c r="FY20" s="95">
        <f>SUM(FY22,FY23,FY27)</f>
        <v>2070550.9184218463</v>
      </c>
      <c r="FZ20" s="96">
        <f t="shared" ref="FZ20:FZ28" si="246">FY20/FY$5</f>
        <v>1.5077997505645495</v>
      </c>
      <c r="GA20" s="99">
        <f t="shared" ref="GA20:GA28" si="247">(FY20/FM20)-1</f>
        <v>0.42592486153764675</v>
      </c>
      <c r="GB20" s="95">
        <f>SUM(GB22,GB23)+GB27</f>
        <v>2075485.5758099994</v>
      </c>
      <c r="GC20" s="96">
        <f t="shared" ref="GC20:GC28" si="248">GB20/GB$5</f>
        <v>1.7961224974494188</v>
      </c>
      <c r="GD20" s="99">
        <f t="shared" ref="GD20:GD28" si="249">(GB20/FP20)-1</f>
        <v>0.42923250008023328</v>
      </c>
      <c r="GE20" s="95">
        <f>SUM(GE22,GE23)+GE27</f>
        <v>1863693.65494</v>
      </c>
      <c r="GF20" s="96">
        <f t="shared" ref="GF20:GF28" si="250">GE20/GE$5</f>
        <v>2.3784747528227377</v>
      </c>
      <c r="GG20" s="99">
        <f t="shared" ref="GG20:GG28" si="251">(GE20/FS20)-1</f>
        <v>0.17020427230211643</v>
      </c>
      <c r="GH20" s="95">
        <f>SUM(GH22,GH23)+GH27</f>
        <v>2005173.9017600003</v>
      </c>
      <c r="GI20" s="96">
        <f t="shared" ref="GI20:GI28" si="252">GH20/GH$5</f>
        <v>2.3558657164441614</v>
      </c>
      <c r="GJ20" s="99">
        <f t="shared" ref="GJ20:GJ28" si="253">(GH20/FV20)-1</f>
        <v>0.13105321253326707</v>
      </c>
      <c r="GK20" s="95">
        <f>SUM(GK22,GK23)+GK27</f>
        <v>2349649.4253900005</v>
      </c>
      <c r="GL20" s="96">
        <f t="shared" ref="GL20:GL28" si="254">GK20/GK$5</f>
        <v>2.0122805326830275</v>
      </c>
      <c r="GM20" s="99">
        <f t="shared" ref="GM20:GM28" si="255">(GK20/FY20)-1</f>
        <v>0.13479432188070994</v>
      </c>
    </row>
    <row r="21" spans="2:195" s="200" customFormat="1" ht="16.5" customHeight="1">
      <c r="B21" s="94" t="s">
        <v>1048</v>
      </c>
      <c r="C21" s="47" t="s">
        <v>1047</v>
      </c>
      <c r="D21" s="73" t="s">
        <v>77</v>
      </c>
      <c r="E21" s="73" t="s">
        <v>77</v>
      </c>
      <c r="F21" s="73" t="s">
        <v>77</v>
      </c>
      <c r="G21" s="73" t="s">
        <v>77</v>
      </c>
      <c r="H21" s="73" t="s">
        <v>77</v>
      </c>
      <c r="I21" s="73" t="s">
        <v>77</v>
      </c>
      <c r="J21" s="73" t="s">
        <v>77</v>
      </c>
      <c r="K21" s="73" t="s">
        <v>77</v>
      </c>
      <c r="L21" s="73" t="s">
        <v>77</v>
      </c>
      <c r="M21" s="73" t="s">
        <v>77</v>
      </c>
      <c r="N21" s="73" t="s">
        <v>77</v>
      </c>
      <c r="O21" s="73" t="s">
        <v>77</v>
      </c>
      <c r="P21" s="73" t="s">
        <v>77</v>
      </c>
      <c r="Q21" s="73" t="s">
        <v>77</v>
      </c>
      <c r="R21" s="73" t="s">
        <v>77</v>
      </c>
      <c r="S21" s="73" t="s">
        <v>77</v>
      </c>
      <c r="T21" s="73" t="s">
        <v>77</v>
      </c>
      <c r="U21" s="73" t="s">
        <v>77</v>
      </c>
      <c r="V21" s="73" t="s">
        <v>77</v>
      </c>
      <c r="W21" s="73" t="s">
        <v>77</v>
      </c>
      <c r="X21" s="73" t="s">
        <v>77</v>
      </c>
      <c r="Y21" s="73" t="s">
        <v>77</v>
      </c>
      <c r="Z21" s="73" t="s">
        <v>77</v>
      </c>
      <c r="AA21" s="73" t="s">
        <v>77</v>
      </c>
      <c r="AB21" s="73" t="s">
        <v>77</v>
      </c>
      <c r="AC21" s="73" t="s">
        <v>77</v>
      </c>
      <c r="AD21" s="73" t="s">
        <v>77</v>
      </c>
      <c r="AE21" s="73" t="s">
        <v>77</v>
      </c>
      <c r="AF21" s="73" t="s">
        <v>77</v>
      </c>
      <c r="AG21" s="73" t="s">
        <v>77</v>
      </c>
      <c r="AH21" s="73" t="s">
        <v>77</v>
      </c>
      <c r="AI21" s="73" t="s">
        <v>77</v>
      </c>
      <c r="AJ21" s="73" t="s">
        <v>77</v>
      </c>
      <c r="AK21" s="73" t="s">
        <v>77</v>
      </c>
      <c r="AL21" s="73" t="s">
        <v>77</v>
      </c>
      <c r="AM21" s="73" t="s">
        <v>77</v>
      </c>
      <c r="AN21" s="73" t="s">
        <v>77</v>
      </c>
      <c r="AO21" s="73" t="s">
        <v>77</v>
      </c>
      <c r="AP21" s="73" t="s">
        <v>77</v>
      </c>
      <c r="AQ21" s="73" t="s">
        <v>77</v>
      </c>
      <c r="AR21" s="73" t="s">
        <v>77</v>
      </c>
      <c r="AS21" s="73" t="s">
        <v>77</v>
      </c>
      <c r="AT21" s="73" t="s">
        <v>77</v>
      </c>
      <c r="AU21" s="73" t="s">
        <v>77</v>
      </c>
      <c r="AV21" s="73" t="s">
        <v>77</v>
      </c>
      <c r="AW21" s="73" t="s">
        <v>77</v>
      </c>
      <c r="AX21" s="73" t="s">
        <v>77</v>
      </c>
      <c r="AY21" s="73" t="s">
        <v>77</v>
      </c>
      <c r="AZ21" s="73" t="s">
        <v>77</v>
      </c>
      <c r="BA21" s="73" t="s">
        <v>77</v>
      </c>
      <c r="BB21" s="73" t="s">
        <v>77</v>
      </c>
      <c r="BC21" s="73" t="s">
        <v>77</v>
      </c>
      <c r="BD21" s="73" t="s">
        <v>77</v>
      </c>
      <c r="BE21" s="73" t="s">
        <v>77</v>
      </c>
      <c r="BF21" s="73" t="s">
        <v>77</v>
      </c>
      <c r="BG21" s="73" t="s">
        <v>77</v>
      </c>
      <c r="BH21" s="73" t="s">
        <v>77</v>
      </c>
      <c r="BI21" s="73" t="s">
        <v>77</v>
      </c>
      <c r="BJ21" s="73" t="s">
        <v>77</v>
      </c>
      <c r="BK21" s="73" t="s">
        <v>77</v>
      </c>
      <c r="BL21" s="73" t="s">
        <v>77</v>
      </c>
      <c r="BM21" s="73" t="s">
        <v>77</v>
      </c>
      <c r="BN21" s="73" t="s">
        <v>77</v>
      </c>
      <c r="BO21" s="73" t="s">
        <v>77</v>
      </c>
      <c r="BP21" s="73" t="s">
        <v>77</v>
      </c>
      <c r="BQ21" s="73" t="s">
        <v>77</v>
      </c>
      <c r="BR21" s="73" t="s">
        <v>77</v>
      </c>
      <c r="BS21" s="73" t="s">
        <v>77</v>
      </c>
      <c r="BT21" s="73" t="s">
        <v>77</v>
      </c>
      <c r="BU21" s="73" t="s">
        <v>77</v>
      </c>
      <c r="BV21" s="73" t="s">
        <v>77</v>
      </c>
      <c r="BW21" s="73" t="s">
        <v>77</v>
      </c>
      <c r="BX21" s="73" t="s">
        <v>77</v>
      </c>
      <c r="BY21" s="73" t="s">
        <v>77</v>
      </c>
      <c r="BZ21" s="73" t="s">
        <v>77</v>
      </c>
      <c r="CA21" s="73" t="s">
        <v>77</v>
      </c>
      <c r="CB21" s="73" t="s">
        <v>77</v>
      </c>
      <c r="CC21" s="73" t="s">
        <v>77</v>
      </c>
      <c r="CD21" s="73" t="s">
        <v>77</v>
      </c>
      <c r="CE21" s="73" t="s">
        <v>77</v>
      </c>
      <c r="CF21" s="73" t="s">
        <v>77</v>
      </c>
      <c r="CG21" s="95">
        <f>SUM(CG22:CG28)</f>
        <v>32153.135150000002</v>
      </c>
      <c r="CH21" s="96">
        <f t="shared" si="201"/>
        <v>1.1228221521860595</v>
      </c>
      <c r="CI21" s="393" t="s">
        <v>112</v>
      </c>
      <c r="CJ21" s="95">
        <f>37007-1540</f>
        <v>35467</v>
      </c>
      <c r="CK21" s="96">
        <f t="shared" si="202"/>
        <v>0.95838625124976351</v>
      </c>
      <c r="CL21" s="99" t="s">
        <v>112</v>
      </c>
      <c r="CM21" s="95">
        <f>SUM(CM22:CM28)</f>
        <v>72407.008879999994</v>
      </c>
      <c r="CN21" s="96">
        <f t="shared" si="204"/>
        <v>1.1567723564558903</v>
      </c>
      <c r="CO21" s="99" t="s">
        <v>112</v>
      </c>
      <c r="CP21" s="95">
        <f>SUM(CP22:CP28)</f>
        <v>96129.132465558054</v>
      </c>
      <c r="CQ21" s="96">
        <f t="shared" si="206"/>
        <v>1.19544268296865</v>
      </c>
      <c r="CR21" s="99" t="s">
        <v>112</v>
      </c>
      <c r="CS21" s="95">
        <f>SUM(CS22:CS28)</f>
        <v>85471</v>
      </c>
      <c r="CT21" s="96">
        <f t="shared" si="208"/>
        <v>0.94221335420502028</v>
      </c>
      <c r="CU21" s="99">
        <f>(CS21/CG21)-1</f>
        <v>1.658247775878241</v>
      </c>
      <c r="CV21" s="95">
        <f>SUM(CV22:CV28)</f>
        <v>78964</v>
      </c>
      <c r="CW21" s="96">
        <f t="shared" si="210"/>
        <v>0.93831620224585588</v>
      </c>
      <c r="CX21" s="99">
        <f>(CV21/CJ21)-1</f>
        <v>1.2264076465446752</v>
      </c>
      <c r="CY21" s="95">
        <f>SUM(CY22:CY28)</f>
        <v>88846</v>
      </c>
      <c r="CZ21" s="96">
        <f t="shared" si="212"/>
        <v>0.94679184560790286</v>
      </c>
      <c r="DA21" s="99">
        <f>(CY21/CM21)-1</f>
        <v>0.22703590956566533</v>
      </c>
      <c r="DB21" s="95">
        <f>SUM(DB22:DB28)</f>
        <v>124080</v>
      </c>
      <c r="DC21" s="96">
        <f t="shared" si="214"/>
        <v>0.96434983329058732</v>
      </c>
      <c r="DD21" s="99">
        <f>(DB21/CP21)-1</f>
        <v>0.29076375514422148</v>
      </c>
      <c r="DE21" s="95">
        <f>SUM(DE22:DE28)</f>
        <v>169137</v>
      </c>
      <c r="DF21" s="96">
        <f t="shared" si="216"/>
        <v>0.96480459993040779</v>
      </c>
      <c r="DG21" s="99">
        <f>(DE21/CS21)-1</f>
        <v>0.97888172596553225</v>
      </c>
      <c r="DH21" s="95">
        <f>SUM(DH22:DH28)</f>
        <v>200580</v>
      </c>
      <c r="DI21" s="96">
        <f t="shared" si="218"/>
        <v>0.96459589693279857</v>
      </c>
      <c r="DJ21" s="99">
        <f>(DH21/CV21)-1</f>
        <v>1.5401448761460919</v>
      </c>
      <c r="DK21" s="95">
        <f>SUM(DK22:DK28)</f>
        <v>236194</v>
      </c>
      <c r="DL21" s="96">
        <f t="shared" si="220"/>
        <v>0.95357559559616134</v>
      </c>
      <c r="DM21" s="99">
        <f>(DK21/CY21)-1</f>
        <v>1.6584652094635661</v>
      </c>
      <c r="DN21" s="95">
        <f>SUM(DN22:DN28)</f>
        <v>272265</v>
      </c>
      <c r="DO21" s="96">
        <f t="shared" si="222"/>
        <v>0.95548341814353399</v>
      </c>
      <c r="DP21" s="99">
        <f>(DN21/DB21)-1</f>
        <v>1.1942698259187621</v>
      </c>
      <c r="DQ21" s="95">
        <f>SUM(DQ22:DQ28)</f>
        <v>326079</v>
      </c>
      <c r="DR21" s="96">
        <f t="shared" si="224"/>
        <v>0.96471649827665273</v>
      </c>
      <c r="DS21" s="99">
        <f>(DQ21/DE21)-1</f>
        <v>0.92789868568083866</v>
      </c>
      <c r="DT21" s="95">
        <f>SUM(DT22:DT28)</f>
        <v>415851.71912560001</v>
      </c>
      <c r="DU21" s="96">
        <f t="shared" si="226"/>
        <v>1.1943104106492357</v>
      </c>
      <c r="DV21" s="99">
        <f>(DT21/DH21)-1</f>
        <v>1.0732461817010668</v>
      </c>
      <c r="DW21" s="95">
        <f>SUM(DW22:DW28)</f>
        <v>463705.79924830003</v>
      </c>
      <c r="DX21" s="96">
        <f t="shared" si="228"/>
        <v>1.1901997840939913</v>
      </c>
      <c r="DY21" s="99">
        <f>(DW21/DK21)-1</f>
        <v>0.96324123071839263</v>
      </c>
      <c r="DZ21" s="95">
        <f>SUM(DZ22:DZ28)</f>
        <v>482141.48571000004</v>
      </c>
      <c r="EA21" s="96">
        <f t="shared" si="230"/>
        <v>1.1809233622190927</v>
      </c>
      <c r="EB21" s="99">
        <f>(DZ21/DN21)-1</f>
        <v>0.77085371131067171</v>
      </c>
      <c r="EC21" s="95">
        <f>SUM(EC22:EC28)</f>
        <v>515881.69173179998</v>
      </c>
      <c r="ED21" s="96">
        <f t="shared" si="232"/>
        <v>1.1332455197579219</v>
      </c>
      <c r="EE21" s="99">
        <f>(EC21/DQ21)-1</f>
        <v>0.58207579062681125</v>
      </c>
      <c r="EF21" s="95">
        <f>SUM(EF22:EF28)</f>
        <v>532176.17010150012</v>
      </c>
      <c r="EG21" s="96">
        <f t="shared" si="234"/>
        <v>1.1892390944696345</v>
      </c>
      <c r="EH21" s="99">
        <f>(EF21/DT21)-1</f>
        <v>0.27972579077102844</v>
      </c>
      <c r="EI21" s="95">
        <f>SUM(EI22,EI23,EI27,EI28)</f>
        <v>453666</v>
      </c>
      <c r="EJ21" s="96">
        <f>EI21/EI$20</f>
        <v>0.94766658519925051</v>
      </c>
      <c r="EK21" s="99">
        <f>(EI21/DW21)-1</f>
        <v>-2.1651226412469415E-2</v>
      </c>
      <c r="EL21" s="95">
        <f>SUM(EL22,EL23,EL27,EL28)</f>
        <v>468248</v>
      </c>
      <c r="EM21" s="96">
        <f>EL21/EL$20</f>
        <v>0.95156111558189249</v>
      </c>
      <c r="EN21" s="99">
        <f>(EL21/DZ21)-1</f>
        <v>-2.8816200475967224E-2</v>
      </c>
      <c r="EO21" s="95">
        <f>SUM(EO22,EO23,EO27,EO28)</f>
        <v>505374</v>
      </c>
      <c r="EP21" s="96">
        <f>EO21/EO$20</f>
        <v>0.95450115588595263</v>
      </c>
      <c r="EQ21" s="99">
        <f>(EO21/EC21)-1</f>
        <v>-2.0368413727818058E-2</v>
      </c>
      <c r="ER21" s="95">
        <f>SUM(ER22,ER23,ER27,ER28)</f>
        <v>550840</v>
      </c>
      <c r="ES21" s="96">
        <f>ER21/ER$20</f>
        <v>0.9632275923332092</v>
      </c>
      <c r="ET21" s="99">
        <f>(ER21/EF21)-1</f>
        <v>3.5070773452595905E-2</v>
      </c>
      <c r="EU21" s="95">
        <f>SUM(EU22,EU23,EU27,EU28)</f>
        <v>799953</v>
      </c>
      <c r="EV21" s="96">
        <f>EU21/EU$20</f>
        <v>0.96689402098041566</v>
      </c>
      <c r="EW21" s="99">
        <f>(EU21/EI21)-1</f>
        <v>0.76330824879977777</v>
      </c>
      <c r="EX21" s="95">
        <f>SUM(EX22,EX23,EX27,EX28)</f>
        <v>796901.08537999995</v>
      </c>
      <c r="EY21" s="96">
        <f t="shared" si="236"/>
        <v>0.90287711221579303</v>
      </c>
      <c r="EZ21" s="99">
        <f>(EX21/EL21)-1</f>
        <v>0.70187824695460521</v>
      </c>
      <c r="FA21" s="95">
        <f>SUM(FA22,FA23,FA27,FA28)</f>
        <v>917807.49999999977</v>
      </c>
      <c r="FB21" s="96">
        <f t="shared" si="237"/>
        <v>0.86312588575947968</v>
      </c>
      <c r="FC21" s="99">
        <f>(FA21/EO21)-1</f>
        <v>0.81609560444344154</v>
      </c>
      <c r="FD21" s="95">
        <f>SUM(FD22,FD23,FD27,FD28)</f>
        <v>888050.2424401053</v>
      </c>
      <c r="FE21" s="96">
        <f>FD21/FD$20</f>
        <v>0.83268267343536739</v>
      </c>
      <c r="FF21" s="99">
        <f>(FD21/ER21)-1</f>
        <v>0.61217457417781085</v>
      </c>
      <c r="FG21" s="95">
        <f>SUM(FG22,FG23,FG27,FG28)</f>
        <v>958676.18232000014</v>
      </c>
      <c r="FH21" s="96">
        <f>FG21/FG$20</f>
        <v>0.8322512412755142</v>
      </c>
      <c r="FI21" s="99">
        <f>(FG21/EU21)-1</f>
        <v>0.19841563481854574</v>
      </c>
      <c r="FJ21" s="95">
        <f>SUM(FJ22,FJ23,FJ27,FJ28)</f>
        <v>995870.61431999994</v>
      </c>
      <c r="FK21" s="96">
        <f t="shared" si="55"/>
        <v>1.0382768497701582</v>
      </c>
      <c r="FL21" s="99">
        <f t="shared" si="56"/>
        <v>0.24967907885973317</v>
      </c>
      <c r="FM21" s="95">
        <f>SUM(FM22,FM23,FM27,FM28)</f>
        <v>1220068.75397</v>
      </c>
      <c r="FN21" s="96">
        <f t="shared" si="240"/>
        <v>0.9510981867555347</v>
      </c>
      <c r="FO21" s="99">
        <f t="shared" si="241"/>
        <v>0.32932968402415574</v>
      </c>
      <c r="FP21" s="95">
        <f>SUM(FP22,FP23,FP27,FP28)</f>
        <v>1215414.9122840315</v>
      </c>
      <c r="FQ21" s="96">
        <f t="shared" si="59"/>
        <v>1.1166337974946163</v>
      </c>
      <c r="FR21" s="99">
        <f t="shared" si="60"/>
        <v>0.36863305047293582</v>
      </c>
      <c r="FS21" s="95">
        <f>SUM(FS22,FS23,FS27,FS28)</f>
        <v>1337434.5010899999</v>
      </c>
      <c r="FT21" s="96">
        <f t="shared" si="242"/>
        <v>1.2618857273890018</v>
      </c>
      <c r="FU21" s="99">
        <f t="shared" si="243"/>
        <v>0.39508472803966321</v>
      </c>
      <c r="FV21" s="95">
        <f>SUM(FV22,FV23,FV27,FV28)</f>
        <v>1496725.4407899999</v>
      </c>
      <c r="FW21" s="96">
        <f t="shared" si="244"/>
        <v>1.4879387609895283</v>
      </c>
      <c r="FX21" s="99">
        <f t="shared" si="245"/>
        <v>0.50293162512079292</v>
      </c>
      <c r="FY21" s="95">
        <f>SUM(FY22,FY23,FY27,FY28)</f>
        <v>1782658.8649218464</v>
      </c>
      <c r="FZ21" s="96">
        <f t="shared" si="246"/>
        <v>1.2981533407154886</v>
      </c>
      <c r="GA21" s="99">
        <f t="shared" si="247"/>
        <v>0.46111344882919592</v>
      </c>
      <c r="GB21" s="95">
        <f>SUM(GB22,GB23,GB28)+GB27</f>
        <v>1713172.7221499993</v>
      </c>
      <c r="GC21" s="96">
        <f t="shared" si="248"/>
        <v>1.4825774286913023</v>
      </c>
      <c r="GD21" s="99">
        <f t="shared" si="249"/>
        <v>0.40953735620255927</v>
      </c>
      <c r="GE21" s="95">
        <f>SUM(GE22,GE23,GE28)+GE27</f>
        <v>1487340.7101400001</v>
      </c>
      <c r="GF21" s="96">
        <f t="shared" si="250"/>
        <v>1.8981672865261334</v>
      </c>
      <c r="GG21" s="99">
        <f t="shared" si="251"/>
        <v>0.11208489756158357</v>
      </c>
      <c r="GH21" s="95">
        <f>SUM(GH22,GH23,GH28)+GH27</f>
        <v>1617200.9017600003</v>
      </c>
      <c r="GI21" s="96">
        <f t="shared" si="252"/>
        <v>1.9000387735522082</v>
      </c>
      <c r="GJ21" s="99">
        <f t="shared" si="253"/>
        <v>8.0492692705491198E-2</v>
      </c>
      <c r="GK21" s="95">
        <f>SUM(GK22,GK23,GK28)+GK27</f>
        <v>2008264.6977900006</v>
      </c>
      <c r="GL21" s="96">
        <f t="shared" si="254"/>
        <v>1.7199127291794243</v>
      </c>
      <c r="GM21" s="99">
        <f t="shared" si="255"/>
        <v>0.12655580790441645</v>
      </c>
    </row>
    <row r="22" spans="2:195" s="200" customFormat="1" ht="16.5" customHeight="1">
      <c r="B22" s="267" t="s">
        <v>1085</v>
      </c>
      <c r="C22" s="267" t="s">
        <v>383</v>
      </c>
      <c r="D22" s="273" t="s">
        <v>77</v>
      </c>
      <c r="E22" s="273" t="s">
        <v>77</v>
      </c>
      <c r="F22" s="273" t="s">
        <v>77</v>
      </c>
      <c r="G22" s="273" t="s">
        <v>77</v>
      </c>
      <c r="H22" s="273" t="s">
        <v>77</v>
      </c>
      <c r="I22" s="273" t="s">
        <v>77</v>
      </c>
      <c r="J22" s="273" t="s">
        <v>77</v>
      </c>
      <c r="K22" s="273" t="s">
        <v>77</v>
      </c>
      <c r="L22" s="273" t="s">
        <v>77</v>
      </c>
      <c r="M22" s="273" t="s">
        <v>77</v>
      </c>
      <c r="N22" s="273" t="s">
        <v>77</v>
      </c>
      <c r="O22" s="273" t="s">
        <v>77</v>
      </c>
      <c r="P22" s="273" t="s">
        <v>77</v>
      </c>
      <c r="Q22" s="273" t="s">
        <v>77</v>
      </c>
      <c r="R22" s="273" t="s">
        <v>77</v>
      </c>
      <c r="S22" s="273" t="s">
        <v>77</v>
      </c>
      <c r="T22" s="273" t="s">
        <v>77</v>
      </c>
      <c r="U22" s="273" t="s">
        <v>77</v>
      </c>
      <c r="V22" s="273" t="s">
        <v>77</v>
      </c>
      <c r="W22" s="273" t="s">
        <v>77</v>
      </c>
      <c r="X22" s="273" t="s">
        <v>77</v>
      </c>
      <c r="Y22" s="273" t="s">
        <v>77</v>
      </c>
      <c r="Z22" s="273" t="s">
        <v>77</v>
      </c>
      <c r="AA22" s="273" t="s">
        <v>77</v>
      </c>
      <c r="AB22" s="273" t="s">
        <v>77</v>
      </c>
      <c r="AC22" s="273" t="s">
        <v>77</v>
      </c>
      <c r="AD22" s="273" t="s">
        <v>77</v>
      </c>
      <c r="AE22" s="273" t="s">
        <v>77</v>
      </c>
      <c r="AF22" s="273" t="s">
        <v>77</v>
      </c>
      <c r="AG22" s="273" t="s">
        <v>77</v>
      </c>
      <c r="AH22" s="273" t="s">
        <v>77</v>
      </c>
      <c r="AI22" s="273" t="s">
        <v>77</v>
      </c>
      <c r="AJ22" s="273" t="s">
        <v>77</v>
      </c>
      <c r="AK22" s="273" t="s">
        <v>77</v>
      </c>
      <c r="AL22" s="273" t="s">
        <v>77</v>
      </c>
      <c r="AM22" s="273" t="s">
        <v>77</v>
      </c>
      <c r="AN22" s="273" t="s">
        <v>77</v>
      </c>
      <c r="AO22" s="273" t="s">
        <v>77</v>
      </c>
      <c r="AP22" s="273" t="s">
        <v>77</v>
      </c>
      <c r="AQ22" s="273" t="s">
        <v>77</v>
      </c>
      <c r="AR22" s="273" t="s">
        <v>77</v>
      </c>
      <c r="AS22" s="273" t="s">
        <v>77</v>
      </c>
      <c r="AT22" s="273" t="s">
        <v>77</v>
      </c>
      <c r="AU22" s="273" t="s">
        <v>77</v>
      </c>
      <c r="AV22" s="273" t="s">
        <v>77</v>
      </c>
      <c r="AW22" s="273" t="s">
        <v>77</v>
      </c>
      <c r="AX22" s="273" t="s">
        <v>77</v>
      </c>
      <c r="AY22" s="273" t="s">
        <v>77</v>
      </c>
      <c r="AZ22" s="273" t="s">
        <v>77</v>
      </c>
      <c r="BA22" s="273" t="s">
        <v>77</v>
      </c>
      <c r="BB22" s="273" t="s">
        <v>77</v>
      </c>
      <c r="BC22" s="273" t="s">
        <v>77</v>
      </c>
      <c r="BD22" s="273" t="s">
        <v>77</v>
      </c>
      <c r="BE22" s="273" t="s">
        <v>77</v>
      </c>
      <c r="BF22" s="273" t="s">
        <v>77</v>
      </c>
      <c r="BG22" s="273" t="s">
        <v>77</v>
      </c>
      <c r="BH22" s="273" t="s">
        <v>77</v>
      </c>
      <c r="BI22" s="273" t="s">
        <v>77</v>
      </c>
      <c r="BJ22" s="273" t="s">
        <v>77</v>
      </c>
      <c r="BK22" s="273" t="s">
        <v>77</v>
      </c>
      <c r="BL22" s="273" t="s">
        <v>77</v>
      </c>
      <c r="BM22" s="273" t="s">
        <v>77</v>
      </c>
      <c r="BN22" s="273" t="s">
        <v>77</v>
      </c>
      <c r="BO22" s="273" t="s">
        <v>77</v>
      </c>
      <c r="BP22" s="273" t="s">
        <v>77</v>
      </c>
      <c r="BQ22" s="273" t="s">
        <v>77</v>
      </c>
      <c r="BR22" s="273" t="s">
        <v>77</v>
      </c>
      <c r="BS22" s="273" t="s">
        <v>77</v>
      </c>
      <c r="BT22" s="273" t="s">
        <v>77</v>
      </c>
      <c r="BU22" s="273" t="s">
        <v>77</v>
      </c>
      <c r="BV22" s="273" t="s">
        <v>77</v>
      </c>
      <c r="BW22" s="273" t="s">
        <v>77</v>
      </c>
      <c r="BX22" s="273" t="s">
        <v>77</v>
      </c>
      <c r="BY22" s="273" t="s">
        <v>77</v>
      </c>
      <c r="BZ22" s="273" t="s">
        <v>77</v>
      </c>
      <c r="CA22" s="273" t="s">
        <v>77</v>
      </c>
      <c r="CB22" s="273" t="s">
        <v>77</v>
      </c>
      <c r="CC22" s="273" t="s">
        <v>77</v>
      </c>
      <c r="CD22" s="273" t="s">
        <v>77</v>
      </c>
      <c r="CE22" s="273" t="s">
        <v>77</v>
      </c>
      <c r="CF22" s="273" t="s">
        <v>77</v>
      </c>
      <c r="CG22" s="268">
        <v>23829</v>
      </c>
      <c r="CH22" s="269">
        <f t="shared" si="201"/>
        <v>0.83213437630954046</v>
      </c>
      <c r="CI22" s="272" t="s">
        <v>112</v>
      </c>
      <c r="CJ22" s="273" t="s">
        <v>77</v>
      </c>
      <c r="CK22" s="270" t="s">
        <v>112</v>
      </c>
      <c r="CL22" s="272" t="s">
        <v>112</v>
      </c>
      <c r="CM22" s="268">
        <v>50259</v>
      </c>
      <c r="CN22" s="269">
        <f t="shared" si="204"/>
        <v>0.80293638367894682</v>
      </c>
      <c r="CO22" s="272" t="s">
        <v>112</v>
      </c>
      <c r="CP22" s="268">
        <v>61153</v>
      </c>
      <c r="CQ22" s="269">
        <f t="shared" si="206"/>
        <v>0.76048648850310274</v>
      </c>
      <c r="CR22" s="272" t="s">
        <v>112</v>
      </c>
      <c r="CS22" s="268">
        <v>70405</v>
      </c>
      <c r="CT22" s="269">
        <f t="shared" si="208"/>
        <v>0.77612911049132982</v>
      </c>
      <c r="CU22" s="272">
        <f>CS22/CG22-1</f>
        <v>1.9545931428091823</v>
      </c>
      <c r="CV22" s="268">
        <v>64322</v>
      </c>
      <c r="CW22" s="269">
        <f t="shared" si="210"/>
        <v>0.76432772859604303</v>
      </c>
      <c r="CX22" s="272" t="e">
        <f>CV22/CJ22-1</f>
        <v>#VALUE!</v>
      </c>
      <c r="CY22" s="268">
        <v>75643</v>
      </c>
      <c r="CZ22" s="269">
        <f t="shared" si="212"/>
        <v>0.80609341531772505</v>
      </c>
      <c r="DA22" s="272">
        <f>CY22/CM22-1</f>
        <v>0.5050637696730933</v>
      </c>
      <c r="DB22" s="268">
        <v>106558</v>
      </c>
      <c r="DC22" s="269">
        <f t="shared" si="214"/>
        <v>0.82816883894083171</v>
      </c>
      <c r="DD22" s="272">
        <f>DB22/CP22-1</f>
        <v>0.74248197144866146</v>
      </c>
      <c r="DE22" s="268">
        <v>146326</v>
      </c>
      <c r="DF22" s="269">
        <f t="shared" si="216"/>
        <v>0.8346842966909479</v>
      </c>
      <c r="DG22" s="272">
        <f>DE22/CS22-1</f>
        <v>1.0783467083303742</v>
      </c>
      <c r="DH22" s="268">
        <v>169032</v>
      </c>
      <c r="DI22" s="269">
        <f t="shared" si="218"/>
        <v>0.8128805147589232</v>
      </c>
      <c r="DJ22" s="272">
        <f>DH22/CV22-1</f>
        <v>1.6279033612138925</v>
      </c>
      <c r="DK22" s="268">
        <v>193617</v>
      </c>
      <c r="DL22" s="269">
        <f t="shared" si="220"/>
        <v>0.7816813555490062</v>
      </c>
      <c r="DM22" s="272">
        <f>DK22/CY22-1</f>
        <v>1.5596155625768411</v>
      </c>
      <c r="DN22" s="268">
        <v>223460</v>
      </c>
      <c r="DO22" s="269">
        <f t="shared" si="222"/>
        <v>0.78420775574662216</v>
      </c>
      <c r="DP22" s="272">
        <f>DN22/DB22-1</f>
        <v>1.0970738940295428</v>
      </c>
      <c r="DQ22" s="268">
        <v>281017</v>
      </c>
      <c r="DR22" s="269">
        <f t="shared" si="224"/>
        <v>0.83139894380260648</v>
      </c>
      <c r="DS22" s="272">
        <f>DQ22/DE22-1</f>
        <v>0.92048576466246601</v>
      </c>
      <c r="DT22" s="268">
        <v>267839</v>
      </c>
      <c r="DU22" s="269">
        <f t="shared" si="226"/>
        <v>0.76922347886523035</v>
      </c>
      <c r="DV22" s="272">
        <f>DT22/DH22-1</f>
        <v>0.58454612144446028</v>
      </c>
      <c r="DW22" s="268">
        <v>296882.33</v>
      </c>
      <c r="DX22" s="269">
        <f t="shared" si="228"/>
        <v>0.76201178773292311</v>
      </c>
      <c r="DY22" s="272">
        <f>DW22/DK22-1</f>
        <v>0.53334846630202937</v>
      </c>
      <c r="DZ22" s="268">
        <v>315548</v>
      </c>
      <c r="EA22" s="269">
        <f t="shared" si="230"/>
        <v>0.77288102381972934</v>
      </c>
      <c r="EB22" s="272">
        <f>DZ22/DN22-1</f>
        <v>0.41210059965989432</v>
      </c>
      <c r="EC22" s="268">
        <v>374417.30826820002</v>
      </c>
      <c r="ED22" s="269">
        <f t="shared" si="232"/>
        <v>0.8224884579454117</v>
      </c>
      <c r="EE22" s="272">
        <f>EC22/DQ22-1</f>
        <v>0.33236533116573019</v>
      </c>
      <c r="EF22" s="268">
        <v>342352</v>
      </c>
      <c r="EG22" s="269">
        <f t="shared" si="234"/>
        <v>0.76504436940913045</v>
      </c>
      <c r="EH22" s="272">
        <f>EF22/DT22-1</f>
        <v>0.27820071012809944</v>
      </c>
      <c r="EI22" s="268">
        <v>363072</v>
      </c>
      <c r="EJ22" s="269">
        <f>EI22/EI$20</f>
        <v>0.75842404416787301</v>
      </c>
      <c r="EK22" s="272">
        <f>EI22/DW22-1</f>
        <v>0.22294917316230967</v>
      </c>
      <c r="EL22" s="268">
        <v>378020</v>
      </c>
      <c r="EM22" s="269">
        <f>EL22/EL$20</f>
        <v>0.76820217686411263</v>
      </c>
      <c r="EN22" s="272">
        <f>EL22/DZ22-1</f>
        <v>0.1979793882388734</v>
      </c>
      <c r="EO22" s="268">
        <v>433712</v>
      </c>
      <c r="EP22" s="269">
        <f>EO22/EO$20</f>
        <v>0.81915295468624871</v>
      </c>
      <c r="EQ22" s="272">
        <f>EO22/EC22-1</f>
        <v>0.1583652529474584</v>
      </c>
      <c r="ER22" s="268">
        <v>458730</v>
      </c>
      <c r="ES22" s="269">
        <f t="shared" si="235"/>
        <v>0.80215923576903103</v>
      </c>
      <c r="ET22" s="272">
        <f>ER22/EF22-1</f>
        <v>0.33993667336542499</v>
      </c>
      <c r="EU22" s="268">
        <v>613136</v>
      </c>
      <c r="EV22" s="269">
        <f>EU22/EU$20</f>
        <v>0.74109045462401935</v>
      </c>
      <c r="EW22" s="272">
        <f>EU22/EI22-1</f>
        <v>0.68874493213467303</v>
      </c>
      <c r="EX22" s="268">
        <v>706579</v>
      </c>
      <c r="EY22" s="269">
        <f t="shared" si="236"/>
        <v>0.80054352889746205</v>
      </c>
      <c r="EZ22" s="272">
        <f>EX22/EL22-1</f>
        <v>0.86915771652293539</v>
      </c>
      <c r="FA22" s="268">
        <v>841339.56510000024</v>
      </c>
      <c r="FB22" s="269">
        <f t="shared" si="237"/>
        <v>0.79121379739371633</v>
      </c>
      <c r="FC22" s="272">
        <f>FA22/EO22-1</f>
        <v>0.93985770534363877</v>
      </c>
      <c r="FD22" s="268">
        <v>822166.2420919094</v>
      </c>
      <c r="FE22" s="269">
        <f t="shared" ref="FE22:FE23" si="256">FD22/FD$20</f>
        <v>0.77090636515374167</v>
      </c>
      <c r="FF22" s="272">
        <f>FD22/ER22-1</f>
        <v>0.79226613060386164</v>
      </c>
      <c r="FG22" s="268">
        <v>889002.05926000001</v>
      </c>
      <c r="FH22" s="269">
        <f t="shared" ref="FH22:FH23" si="257">FG22/FG$20</f>
        <v>0.77176535827262083</v>
      </c>
      <c r="FI22" s="272">
        <f>FG22/EU22-1</f>
        <v>0.44992637728008145</v>
      </c>
      <c r="FJ22" s="268">
        <v>933964.12396</v>
      </c>
      <c r="FK22" s="269">
        <f t="shared" si="55"/>
        <v>0.97373425270277081</v>
      </c>
      <c r="FL22" s="272">
        <f t="shared" si="56"/>
        <v>0.32181132465018059</v>
      </c>
      <c r="FM22" s="268">
        <v>1187581.8284199999</v>
      </c>
      <c r="FN22" s="269">
        <f t="shared" si="240"/>
        <v>0.92577317463361386</v>
      </c>
      <c r="FO22" s="272">
        <f t="shared" si="241"/>
        <v>0.41153688437182412</v>
      </c>
      <c r="FP22" s="268">
        <v>1158429.5316440314</v>
      </c>
      <c r="FQ22" s="269">
        <f t="shared" si="59"/>
        <v>1.064279822450702</v>
      </c>
      <c r="FR22" s="272">
        <f t="shared" si="60"/>
        <v>0.40899671178001418</v>
      </c>
      <c r="FS22" s="268">
        <f>1257711.91954-FS27</f>
        <v>1262353.9195399999</v>
      </c>
      <c r="FT22" s="269">
        <f t="shared" si="242"/>
        <v>1.191046285020201</v>
      </c>
      <c r="FU22" s="272">
        <f t="shared" si="243"/>
        <v>0.41996737396848749</v>
      </c>
      <c r="FV22" s="268">
        <v>1422994.6815599997</v>
      </c>
      <c r="FW22" s="269">
        <f t="shared" si="244"/>
        <v>1.4146408457235202</v>
      </c>
      <c r="FX22" s="272">
        <f t="shared" si="245"/>
        <v>0.52360743314905323</v>
      </c>
      <c r="FY22" s="466">
        <v>1713197.3375818464</v>
      </c>
      <c r="FZ22" s="269">
        <f t="shared" si="246"/>
        <v>1.2475706321883726</v>
      </c>
      <c r="GA22" s="272">
        <f t="shared" si="247"/>
        <v>0.44259308839471179</v>
      </c>
      <c r="GB22" s="466">
        <v>1647974.9540099993</v>
      </c>
      <c r="GC22" s="269">
        <f t="shared" si="248"/>
        <v>1.4261553655825074</v>
      </c>
      <c r="GD22" s="272">
        <f t="shared" si="249"/>
        <v>0.42259404563971192</v>
      </c>
      <c r="GE22" s="466">
        <v>1384345.7757899999</v>
      </c>
      <c r="GF22" s="269">
        <f t="shared" si="250"/>
        <v>1.7667235536085593</v>
      </c>
      <c r="GG22" s="272">
        <f t="shared" si="251"/>
        <v>9.6638394638528746E-2</v>
      </c>
      <c r="GH22" s="466">
        <v>1627036.1244099999</v>
      </c>
      <c r="GI22" s="269">
        <f t="shared" si="252"/>
        <v>1.9115941123856091</v>
      </c>
      <c r="GJ22" s="272">
        <f t="shared" si="253"/>
        <v>0.143388759982092</v>
      </c>
      <c r="GK22" s="466">
        <v>2030498.7735400007</v>
      </c>
      <c r="GL22" s="269">
        <f t="shared" si="254"/>
        <v>1.7389543773974339</v>
      </c>
      <c r="GM22" s="272">
        <f t="shared" si="255"/>
        <v>0.18521009167923452</v>
      </c>
    </row>
    <row r="23" spans="2:195" s="23" customFormat="1" ht="16.5" customHeight="1">
      <c r="B23" s="267" t="s">
        <v>1042</v>
      </c>
      <c r="C23" s="267" t="s">
        <v>1037</v>
      </c>
      <c r="D23" s="273" t="s">
        <v>77</v>
      </c>
      <c r="E23" s="273" t="s">
        <v>77</v>
      </c>
      <c r="F23" s="273" t="s">
        <v>77</v>
      </c>
      <c r="G23" s="273" t="s">
        <v>77</v>
      </c>
      <c r="H23" s="273" t="s">
        <v>77</v>
      </c>
      <c r="I23" s="273" t="s">
        <v>77</v>
      </c>
      <c r="J23" s="273" t="s">
        <v>77</v>
      </c>
      <c r="K23" s="273" t="s">
        <v>77</v>
      </c>
      <c r="L23" s="273" t="s">
        <v>77</v>
      </c>
      <c r="M23" s="273" t="s">
        <v>77</v>
      </c>
      <c r="N23" s="273" t="s">
        <v>77</v>
      </c>
      <c r="O23" s="273" t="s">
        <v>77</v>
      </c>
      <c r="P23" s="273" t="s">
        <v>77</v>
      </c>
      <c r="Q23" s="273" t="s">
        <v>77</v>
      </c>
      <c r="R23" s="273" t="s">
        <v>77</v>
      </c>
      <c r="S23" s="273" t="s">
        <v>77</v>
      </c>
      <c r="T23" s="273" t="s">
        <v>77</v>
      </c>
      <c r="U23" s="273" t="s">
        <v>77</v>
      </c>
      <c r="V23" s="273" t="s">
        <v>77</v>
      </c>
      <c r="W23" s="273" t="s">
        <v>77</v>
      </c>
      <c r="X23" s="273" t="s">
        <v>77</v>
      </c>
      <c r="Y23" s="273" t="s">
        <v>77</v>
      </c>
      <c r="Z23" s="273" t="s">
        <v>77</v>
      </c>
      <c r="AA23" s="273" t="s">
        <v>77</v>
      </c>
      <c r="AB23" s="273" t="s">
        <v>77</v>
      </c>
      <c r="AC23" s="273" t="s">
        <v>77</v>
      </c>
      <c r="AD23" s="273" t="s">
        <v>77</v>
      </c>
      <c r="AE23" s="273" t="s">
        <v>77</v>
      </c>
      <c r="AF23" s="273" t="s">
        <v>77</v>
      </c>
      <c r="AG23" s="273" t="s">
        <v>77</v>
      </c>
      <c r="AH23" s="273" t="s">
        <v>77</v>
      </c>
      <c r="AI23" s="273" t="s">
        <v>77</v>
      </c>
      <c r="AJ23" s="273" t="s">
        <v>77</v>
      </c>
      <c r="AK23" s="273" t="s">
        <v>77</v>
      </c>
      <c r="AL23" s="273" t="s">
        <v>77</v>
      </c>
      <c r="AM23" s="273" t="s">
        <v>77</v>
      </c>
      <c r="AN23" s="273" t="s">
        <v>77</v>
      </c>
      <c r="AO23" s="273" t="s">
        <v>77</v>
      </c>
      <c r="AP23" s="273" t="s">
        <v>77</v>
      </c>
      <c r="AQ23" s="273" t="s">
        <v>77</v>
      </c>
      <c r="AR23" s="273" t="s">
        <v>77</v>
      </c>
      <c r="AS23" s="273" t="s">
        <v>77</v>
      </c>
      <c r="AT23" s="273" t="s">
        <v>77</v>
      </c>
      <c r="AU23" s="273" t="s">
        <v>77</v>
      </c>
      <c r="AV23" s="273" t="s">
        <v>77</v>
      </c>
      <c r="AW23" s="273" t="s">
        <v>77</v>
      </c>
      <c r="AX23" s="273" t="s">
        <v>77</v>
      </c>
      <c r="AY23" s="273" t="s">
        <v>77</v>
      </c>
      <c r="AZ23" s="273" t="s">
        <v>77</v>
      </c>
      <c r="BA23" s="273" t="s">
        <v>77</v>
      </c>
      <c r="BB23" s="273" t="s">
        <v>77</v>
      </c>
      <c r="BC23" s="273" t="s">
        <v>77</v>
      </c>
      <c r="BD23" s="273" t="s">
        <v>77</v>
      </c>
      <c r="BE23" s="273" t="s">
        <v>77</v>
      </c>
      <c r="BF23" s="273" t="s">
        <v>77</v>
      </c>
      <c r="BG23" s="273" t="s">
        <v>77</v>
      </c>
      <c r="BH23" s="273" t="s">
        <v>77</v>
      </c>
      <c r="BI23" s="273" t="s">
        <v>77</v>
      </c>
      <c r="BJ23" s="273" t="s">
        <v>77</v>
      </c>
      <c r="BK23" s="273" t="s">
        <v>77</v>
      </c>
      <c r="BL23" s="273" t="s">
        <v>77</v>
      </c>
      <c r="BM23" s="273" t="s">
        <v>77</v>
      </c>
      <c r="BN23" s="273" t="s">
        <v>77</v>
      </c>
      <c r="BO23" s="273" t="s">
        <v>77</v>
      </c>
      <c r="BP23" s="273" t="s">
        <v>77</v>
      </c>
      <c r="BQ23" s="273" t="s">
        <v>77</v>
      </c>
      <c r="BR23" s="273" t="s">
        <v>77</v>
      </c>
      <c r="BS23" s="273" t="s">
        <v>77</v>
      </c>
      <c r="BT23" s="273" t="s">
        <v>77</v>
      </c>
      <c r="BU23" s="273" t="s">
        <v>77</v>
      </c>
      <c r="BV23" s="273" t="s">
        <v>77</v>
      </c>
      <c r="BW23" s="273" t="s">
        <v>77</v>
      </c>
      <c r="BX23" s="273" t="s">
        <v>77</v>
      </c>
      <c r="BY23" s="273" t="s">
        <v>77</v>
      </c>
      <c r="BZ23" s="273" t="s">
        <v>77</v>
      </c>
      <c r="CA23" s="273" t="s">
        <v>77</v>
      </c>
      <c r="CB23" s="273" t="s">
        <v>77</v>
      </c>
      <c r="CC23" s="273" t="s">
        <v>77</v>
      </c>
      <c r="CD23" s="273" t="s">
        <v>77</v>
      </c>
      <c r="CE23" s="273" t="s">
        <v>77</v>
      </c>
      <c r="CF23" s="273" t="s">
        <v>77</v>
      </c>
      <c r="CG23" s="268">
        <v>4807</v>
      </c>
      <c r="CH23" s="269">
        <f t="shared" si="201"/>
        <v>0.16786562369045957</v>
      </c>
      <c r="CI23" s="272" t="s">
        <v>112</v>
      </c>
      <c r="CJ23" s="273" t="s">
        <v>77</v>
      </c>
      <c r="CK23" s="270" t="s">
        <v>112</v>
      </c>
      <c r="CL23" s="272" t="s">
        <v>112</v>
      </c>
      <c r="CM23" s="268">
        <v>12335</v>
      </c>
      <c r="CN23" s="269">
        <f t="shared" si="204"/>
        <v>0.19706361632105313</v>
      </c>
      <c r="CO23" s="272" t="s">
        <v>112</v>
      </c>
      <c r="CP23" s="268">
        <v>19260</v>
      </c>
      <c r="CQ23" s="269">
        <f t="shared" si="206"/>
        <v>0.23951351149689726</v>
      </c>
      <c r="CR23" s="272" t="s">
        <v>112</v>
      </c>
      <c r="CS23" s="268">
        <v>20308</v>
      </c>
      <c r="CT23" s="269">
        <f t="shared" si="208"/>
        <v>0.22387088950867021</v>
      </c>
      <c r="CU23" s="272">
        <f>CS23/CG23-1</f>
        <v>3.2246723528188062</v>
      </c>
      <c r="CV23" s="268">
        <v>19833</v>
      </c>
      <c r="CW23" s="269">
        <f t="shared" si="210"/>
        <v>0.235672271403957</v>
      </c>
      <c r="CX23" s="272" t="e">
        <f>CV23/CJ23-1</f>
        <v>#VALUE!</v>
      </c>
      <c r="CY23" s="268">
        <v>18196</v>
      </c>
      <c r="CZ23" s="269">
        <f t="shared" si="212"/>
        <v>0.19390658468227495</v>
      </c>
      <c r="DA23" s="272">
        <f>CY23/CM23-1</f>
        <v>0.47515200648561007</v>
      </c>
      <c r="DB23" s="268">
        <v>22109</v>
      </c>
      <c r="DC23" s="269">
        <f t="shared" si="214"/>
        <v>0.17183116105916824</v>
      </c>
      <c r="DD23" s="272">
        <f>DB23/CP23-1</f>
        <v>0.14792315680166146</v>
      </c>
      <c r="DE23" s="268">
        <v>28981</v>
      </c>
      <c r="DF23" s="269">
        <f t="shared" si="216"/>
        <v>0.16531570330905213</v>
      </c>
      <c r="DG23" s="272">
        <f>DE23/CS23-1</f>
        <v>0.42707307465038413</v>
      </c>
      <c r="DH23" s="268">
        <v>38910</v>
      </c>
      <c r="DI23" s="269">
        <f t="shared" si="218"/>
        <v>0.18711948524107683</v>
      </c>
      <c r="DJ23" s="272">
        <f>DH23/CV23-1</f>
        <v>0.96188171229768571</v>
      </c>
      <c r="DK23" s="268">
        <v>54076</v>
      </c>
      <c r="DL23" s="269">
        <f t="shared" si="220"/>
        <v>0.21831864445099378</v>
      </c>
      <c r="DM23" s="272">
        <f>DK23/CY23-1</f>
        <v>1.971861947680809</v>
      </c>
      <c r="DN23" s="268">
        <v>61490</v>
      </c>
      <c r="DO23" s="269">
        <f t="shared" si="222"/>
        <v>0.21579224425337779</v>
      </c>
      <c r="DP23" s="272">
        <f>DN23/DB23-1</f>
        <v>1.7812203175177528</v>
      </c>
      <c r="DQ23" s="268">
        <v>56988</v>
      </c>
      <c r="DR23" s="269">
        <f t="shared" si="224"/>
        <v>0.16860105619739352</v>
      </c>
      <c r="DS23" s="272">
        <f>DQ23/DE23-1</f>
        <v>0.96639177392084474</v>
      </c>
      <c r="DT23" s="268">
        <v>80355</v>
      </c>
      <c r="DU23" s="269">
        <f t="shared" si="226"/>
        <v>0.23077652113476971</v>
      </c>
      <c r="DV23" s="272">
        <f>DT23/DH23-1</f>
        <v>1.0651503469545105</v>
      </c>
      <c r="DW23" s="268">
        <v>92721</v>
      </c>
      <c r="DX23" s="269">
        <f t="shared" si="228"/>
        <v>0.23798821226707687</v>
      </c>
      <c r="DY23" s="272">
        <f>DW23/DK23-1</f>
        <v>0.71464235520378727</v>
      </c>
      <c r="DZ23" s="268">
        <v>92727</v>
      </c>
      <c r="EA23" s="269">
        <f t="shared" si="230"/>
        <v>0.22711897618027066</v>
      </c>
      <c r="EB23" s="272">
        <f>DZ23/DN23-1</f>
        <v>0.50800130102455676</v>
      </c>
      <c r="EC23" s="268">
        <v>80807.691731799976</v>
      </c>
      <c r="ED23" s="269">
        <f t="shared" si="232"/>
        <v>0.17751154205458833</v>
      </c>
      <c r="EE23" s="272">
        <f>EC23/DQ23-1</f>
        <v>0.41797732385414421</v>
      </c>
      <c r="EF23" s="268">
        <v>105141</v>
      </c>
      <c r="EG23" s="269">
        <f t="shared" si="234"/>
        <v>0.23495563059086957</v>
      </c>
      <c r="EH23" s="272">
        <f>EF23/DT23-1</f>
        <v>0.30845622549934659</v>
      </c>
      <c r="EI23" s="268">
        <v>115647</v>
      </c>
      <c r="EJ23" s="269">
        <f>EI23/EI$20</f>
        <v>0.24157595583212699</v>
      </c>
      <c r="EK23" s="272">
        <f>EI23/DW23-1</f>
        <v>0.24725790274047954</v>
      </c>
      <c r="EL23" s="268">
        <v>114064</v>
      </c>
      <c r="EM23" s="269">
        <f>EL23/EL$20</f>
        <v>0.23179782313588737</v>
      </c>
      <c r="EN23" s="272">
        <f>EL23/DZ23-1</f>
        <v>0.23010557874189819</v>
      </c>
      <c r="EO23" s="268">
        <v>95752</v>
      </c>
      <c r="EP23" s="269">
        <f>EO23/EO$20</f>
        <v>0.18084704531375126</v>
      </c>
      <c r="EQ23" s="272">
        <f>EO23/EC23-1</f>
        <v>0.18493670525573291</v>
      </c>
      <c r="ER23" s="268">
        <v>115091</v>
      </c>
      <c r="ES23" s="269">
        <f t="shared" si="235"/>
        <v>0.2012541333766999</v>
      </c>
      <c r="ET23" s="272">
        <f>ER23/EF23-1</f>
        <v>9.463482371291887E-2</v>
      </c>
      <c r="EU23" s="268">
        <v>219443</v>
      </c>
      <c r="EV23" s="269">
        <f>EU23/EU$20</f>
        <v>0.26523823855402173</v>
      </c>
      <c r="EW23" s="272">
        <f>EU23/EI23-1</f>
        <v>0.89752436293202598</v>
      </c>
      <c r="EX23" s="268">
        <v>181551.08537999997</v>
      </c>
      <c r="EY23" s="269">
        <f t="shared" si="236"/>
        <v>0.20569468745217395</v>
      </c>
      <c r="EZ23" s="272">
        <f>EX23/EL23-1</f>
        <v>0.59165981712021298</v>
      </c>
      <c r="FA23" s="268">
        <v>229793.03489999962</v>
      </c>
      <c r="FB23" s="269">
        <f t="shared" si="237"/>
        <v>0.2161023055372954</v>
      </c>
      <c r="FC23" s="272">
        <f>FA23/EO23-1</f>
        <v>1.399877129459433</v>
      </c>
      <c r="FD23" s="268">
        <v>249187.7579080906</v>
      </c>
      <c r="FE23" s="269">
        <f t="shared" si="256"/>
        <v>0.23365156443416937</v>
      </c>
      <c r="FF23" s="272">
        <f>FD23/ER23-1</f>
        <v>1.1651367866131199</v>
      </c>
      <c r="FG23" s="268">
        <f>SUM(FG24:FG26)</f>
        <v>266341.12306000007</v>
      </c>
      <c r="FH23" s="269">
        <f t="shared" si="257"/>
        <v>0.23121752094953987</v>
      </c>
      <c r="FI23" s="272">
        <f>FG23/EU23-1</f>
        <v>0.21371437257055392</v>
      </c>
      <c r="FJ23" s="268">
        <f>SUM(FJ24:FJ26)</f>
        <v>275948.49036</v>
      </c>
      <c r="FK23" s="269">
        <f t="shared" si="55"/>
        <v>0.28769894919075106</v>
      </c>
      <c r="FL23" s="272">
        <f t="shared" si="56"/>
        <v>0.51994954908927804</v>
      </c>
      <c r="FM23" s="268">
        <f>SUM(FM24:FM26)</f>
        <v>269842.92554999993</v>
      </c>
      <c r="FN23" s="269">
        <f t="shared" si="240"/>
        <v>0.21035463482226374</v>
      </c>
      <c r="FO23" s="272">
        <f t="shared" si="241"/>
        <v>0.17428679101361388</v>
      </c>
      <c r="FP23" s="268">
        <f>SUM(FP24:FP26)</f>
        <v>297665.38063999999</v>
      </c>
      <c r="FQ23" s="269">
        <f t="shared" si="59"/>
        <v>0.2734730510604832</v>
      </c>
      <c r="FR23" s="272">
        <f t="shared" si="60"/>
        <v>0.19454255353021677</v>
      </c>
      <c r="FS23" s="268">
        <f>SUM(FS24:FS26)</f>
        <v>334910.58155</v>
      </c>
      <c r="FT23" s="269">
        <f t="shared" si="242"/>
        <v>0.31599220931198047</v>
      </c>
      <c r="FU23" s="272">
        <f t="shared" si="243"/>
        <v>0.25744976105155537</v>
      </c>
      <c r="FV23" s="268">
        <f>SUM(FV24:FV26)</f>
        <v>355019.70194</v>
      </c>
      <c r="FW23" s="269">
        <f t="shared" si="244"/>
        <v>0.3529355224647322</v>
      </c>
      <c r="FX23" s="272">
        <f t="shared" si="245"/>
        <v>0.28654337436977606</v>
      </c>
      <c r="FY23" s="268">
        <f>SUM(FY24:FY26)</f>
        <v>365180.27952999994</v>
      </c>
      <c r="FZ23" s="269">
        <f t="shared" si="246"/>
        <v>0.26592861324371708</v>
      </c>
      <c r="GA23" s="272">
        <f t="shared" si="247"/>
        <v>0.35330684984859717</v>
      </c>
      <c r="GB23" s="268">
        <f>SUM(GB24:GB26)</f>
        <v>432296.19919000013</v>
      </c>
      <c r="GC23" s="269">
        <f t="shared" si="248"/>
        <v>0.37410856426887318</v>
      </c>
      <c r="GD23" s="272">
        <f t="shared" si="249"/>
        <v>0.45228913842965235</v>
      </c>
      <c r="GE23" s="268">
        <f>SUM(GE24:GE26)</f>
        <v>482065.04661000019</v>
      </c>
      <c r="GF23" s="269">
        <f t="shared" si="250"/>
        <v>0.61521889047645806</v>
      </c>
      <c r="GG23" s="272">
        <f t="shared" si="251"/>
        <v>0.43938434067670973</v>
      </c>
      <c r="GH23" s="268">
        <f>SUM(GH24:GH26)</f>
        <v>381558.77735000046</v>
      </c>
      <c r="GI23" s="269">
        <f t="shared" si="252"/>
        <v>0.44829091460756842</v>
      </c>
      <c r="GJ23" s="272">
        <f t="shared" si="253"/>
        <v>7.4753810182866198E-2</v>
      </c>
      <c r="GK23" s="268">
        <f>SUM(GK24:GK26)</f>
        <v>325417.65184999979</v>
      </c>
      <c r="GL23" s="269">
        <f t="shared" si="254"/>
        <v>0.27869332281367337</v>
      </c>
      <c r="GM23" s="272">
        <f t="shared" si="255"/>
        <v>-0.10888492590885812</v>
      </c>
    </row>
    <row r="24" spans="2:195" s="23" customFormat="1" ht="16.5" customHeight="1">
      <c r="B24" s="222" t="s">
        <v>1308</v>
      </c>
      <c r="C24" s="267"/>
      <c r="D24" s="436"/>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c r="AE24" s="436"/>
      <c r="AF24" s="436"/>
      <c r="AG24" s="436"/>
      <c r="AH24" s="436"/>
      <c r="AI24" s="436"/>
      <c r="AJ24" s="436"/>
      <c r="AK24" s="436"/>
      <c r="AL24" s="436"/>
      <c r="AM24" s="436"/>
      <c r="AN24" s="436"/>
      <c r="AO24" s="436"/>
      <c r="AP24" s="436"/>
      <c r="AQ24" s="436"/>
      <c r="AR24" s="436"/>
      <c r="AS24" s="436"/>
      <c r="AT24" s="436"/>
      <c r="AU24" s="436"/>
      <c r="AV24" s="436"/>
      <c r="AW24" s="436"/>
      <c r="AX24" s="436"/>
      <c r="AY24" s="436"/>
      <c r="AZ24" s="436"/>
      <c r="BA24" s="436"/>
      <c r="BB24" s="436"/>
      <c r="BC24" s="436"/>
      <c r="BD24" s="436"/>
      <c r="BE24" s="436"/>
      <c r="BF24" s="436"/>
      <c r="BG24" s="436"/>
      <c r="BH24" s="436"/>
      <c r="BI24" s="436"/>
      <c r="BJ24" s="436"/>
      <c r="BK24" s="436"/>
      <c r="BL24" s="436"/>
      <c r="BM24" s="436"/>
      <c r="BN24" s="436"/>
      <c r="BO24" s="436"/>
      <c r="BP24" s="436"/>
      <c r="BQ24" s="436"/>
      <c r="BR24" s="436"/>
      <c r="BS24" s="436"/>
      <c r="BT24" s="436"/>
      <c r="BU24" s="436"/>
      <c r="BV24" s="436"/>
      <c r="BW24" s="436"/>
      <c r="BX24" s="436"/>
      <c r="BY24" s="436"/>
      <c r="BZ24" s="436"/>
      <c r="CA24" s="436"/>
      <c r="CB24" s="436"/>
      <c r="CC24" s="436"/>
      <c r="CD24" s="436"/>
      <c r="CE24" s="436"/>
      <c r="CF24" s="436"/>
      <c r="CG24" s="435">
        <v>3027.2163400000004</v>
      </c>
      <c r="CH24" s="437"/>
      <c r="CI24" s="438"/>
      <c r="CJ24" s="436"/>
      <c r="CK24" s="439"/>
      <c r="CL24" s="438"/>
      <c r="CM24" s="435">
        <v>9401.7093400000012</v>
      </c>
      <c r="CN24" s="437"/>
      <c r="CO24" s="438"/>
      <c r="CP24" s="435">
        <v>14928.242275558054</v>
      </c>
      <c r="CQ24" s="437"/>
      <c r="CR24" s="438"/>
      <c r="CS24" s="440"/>
      <c r="CT24" s="437"/>
      <c r="CU24" s="438"/>
      <c r="CV24" s="440"/>
      <c r="CW24" s="437"/>
      <c r="CX24" s="438"/>
      <c r="CY24" s="440"/>
      <c r="CZ24" s="437"/>
      <c r="DA24" s="438"/>
      <c r="DB24" s="440"/>
      <c r="DC24" s="437"/>
      <c r="DD24" s="438"/>
      <c r="DE24" s="440"/>
      <c r="DF24" s="437"/>
      <c r="DG24" s="438"/>
      <c r="DH24" s="440"/>
      <c r="DI24" s="437"/>
      <c r="DJ24" s="438"/>
      <c r="DK24" s="440"/>
      <c r="DL24" s="437"/>
      <c r="DM24" s="438"/>
      <c r="DN24" s="440"/>
      <c r="DO24" s="437"/>
      <c r="DP24" s="438"/>
      <c r="DQ24" s="435"/>
      <c r="DR24" s="437"/>
      <c r="DS24" s="438"/>
      <c r="DT24" s="435">
        <v>63564.429465599998</v>
      </c>
      <c r="DU24" s="441"/>
      <c r="DV24" s="442"/>
      <c r="DW24" s="435">
        <v>66758.732398300053</v>
      </c>
      <c r="DX24" s="441"/>
      <c r="DY24" s="442"/>
      <c r="DZ24" s="435">
        <v>67162.772229999988</v>
      </c>
      <c r="EA24" s="441"/>
      <c r="EB24" s="442"/>
      <c r="EC24" s="435">
        <v>54252.254781799988</v>
      </c>
      <c r="ED24" s="441"/>
      <c r="EE24" s="442"/>
      <c r="EF24" s="435">
        <v>79886.16372390007</v>
      </c>
      <c r="EG24" s="441"/>
      <c r="EH24" s="442"/>
      <c r="EI24" s="435">
        <v>80770.059136000142</v>
      </c>
      <c r="EJ24" s="441"/>
      <c r="EK24" s="442"/>
      <c r="EL24" s="435">
        <v>81010.722194400034</v>
      </c>
      <c r="EM24" s="441"/>
      <c r="EN24" s="442"/>
      <c r="EO24" s="435">
        <v>63229.284709299929</v>
      </c>
      <c r="EP24" s="441"/>
      <c r="EQ24" s="442"/>
      <c r="ER24" s="435">
        <v>89037.018169600036</v>
      </c>
      <c r="ES24" s="441"/>
      <c r="ET24" s="442"/>
      <c r="EU24" s="435">
        <v>186962.45896000005</v>
      </c>
      <c r="EV24" s="441"/>
      <c r="EW24" s="442"/>
      <c r="EX24" s="435">
        <v>86544.897899999996</v>
      </c>
      <c r="EY24" s="441">
        <f t="shared" ref="EY24:EY26" si="258">EX24/EX$5</f>
        <v>9.5276014992634092E-2</v>
      </c>
      <c r="EZ24" s="442">
        <f t="shared" ref="EZ24:EZ25" si="259">(EX24/EL24)-1</f>
        <v>6.8314113930742382E-2</v>
      </c>
      <c r="FA24" s="435">
        <v>84010</v>
      </c>
      <c r="FB24" s="441">
        <f t="shared" ref="FB24:FB26" si="260">FA24/FA$5</f>
        <v>7.1120297738810886E-2</v>
      </c>
      <c r="FC24" s="442">
        <f t="shared" ref="FC24:FC25" si="261">(FA24/EO24)-1</f>
        <v>0.32865649811223618</v>
      </c>
      <c r="FD24" s="435">
        <v>100742.94423000001</v>
      </c>
      <c r="FE24" s="441">
        <f t="shared" ref="FE24:FE27" si="262">FD24/FD$5</f>
        <v>0.10151282656158722</v>
      </c>
      <c r="FF24" s="442">
        <f t="shared" ref="FF24:FF25" si="263">(FD24/ER24)-1</f>
        <v>0.13147257512714794</v>
      </c>
      <c r="FG24" s="435">
        <v>105863.26884</v>
      </c>
      <c r="FH24" s="441">
        <f t="shared" ref="FH24:FH27" si="264">FG24/FG$5</f>
        <v>0.10420229491888772</v>
      </c>
      <c r="FI24" s="442">
        <f t="shared" ref="FI24:FI25" si="265">(FG24/EU24)-1</f>
        <v>-0.43377259034312832</v>
      </c>
      <c r="FJ24" s="435">
        <v>107497.31062</v>
      </c>
      <c r="FK24" s="441">
        <f t="shared" si="55"/>
        <v>0.11207476897539409</v>
      </c>
      <c r="FL24" s="442">
        <f t="shared" si="56"/>
        <v>0.24209876293585664</v>
      </c>
      <c r="FM24" s="435">
        <v>93041.759049999993</v>
      </c>
      <c r="FN24" s="441">
        <f t="shared" si="240"/>
        <v>7.2530214413782351E-2</v>
      </c>
      <c r="FO24" s="442">
        <f t="shared" si="241"/>
        <v>0.10750814248303775</v>
      </c>
      <c r="FP24" s="435">
        <v>129846.68956000001</v>
      </c>
      <c r="FQ24" s="441">
        <f t="shared" si="59"/>
        <v>0.11929358492320705</v>
      </c>
      <c r="FR24" s="442">
        <f t="shared" si="60"/>
        <v>0.28889115314671598</v>
      </c>
      <c r="FS24" s="435">
        <v>147182.79808000001</v>
      </c>
      <c r="FT24" s="441">
        <f t="shared" si="242"/>
        <v>0.13886876109668359</v>
      </c>
      <c r="FU24" s="442">
        <f t="shared" si="243"/>
        <v>0.39031034742040371</v>
      </c>
      <c r="FV24" s="435">
        <v>144752.36992</v>
      </c>
      <c r="FW24" s="441">
        <f t="shared" si="244"/>
        <v>0.14390258632563874</v>
      </c>
      <c r="FX24" s="442">
        <f t="shared" si="245"/>
        <v>0.34656736140772471</v>
      </c>
      <c r="FY24" s="435">
        <v>133154.67878999998</v>
      </c>
      <c r="FZ24" s="441">
        <f t="shared" si="246"/>
        <v>9.6964817276307333E-2</v>
      </c>
      <c r="GA24" s="442">
        <f t="shared" si="247"/>
        <v>0.431128131599958</v>
      </c>
      <c r="GB24" s="435">
        <v>181356.23506000009</v>
      </c>
      <c r="GC24" s="441">
        <f t="shared" si="248"/>
        <v>0.15694544815945805</v>
      </c>
      <c r="GD24" s="442">
        <f t="shared" si="249"/>
        <v>0.39669510000251762</v>
      </c>
      <c r="GE24" s="435">
        <v>144763.82067000004</v>
      </c>
      <c r="GF24" s="441">
        <f t="shared" si="250"/>
        <v>0.18474983357543193</v>
      </c>
      <c r="GG24" s="442">
        <f t="shared" si="251"/>
        <v>-1.6435191079090306E-2</v>
      </c>
      <c r="GH24" s="435">
        <v>79670.279550000298</v>
      </c>
      <c r="GI24" s="441">
        <f t="shared" si="252"/>
        <v>9.3604090920306138E-2</v>
      </c>
      <c r="GJ24" s="442">
        <f t="shared" si="253"/>
        <v>-0.44960984338956589</v>
      </c>
      <c r="GK24" s="435">
        <v>84689.074249999772</v>
      </c>
      <c r="GL24" s="441">
        <f t="shared" si="254"/>
        <v>7.2529192484081143E-2</v>
      </c>
      <c r="GM24" s="442">
        <f t="shared" si="255"/>
        <v>-0.36397973379843418</v>
      </c>
    </row>
    <row r="25" spans="2:195" s="23" customFormat="1" ht="16.5" customHeight="1">
      <c r="B25" s="36" t="s">
        <v>1046</v>
      </c>
      <c r="C25" s="267"/>
      <c r="D25" s="436"/>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c r="AE25" s="436"/>
      <c r="AF25" s="436"/>
      <c r="AG25" s="436"/>
      <c r="AH25" s="436"/>
      <c r="AI25" s="436"/>
      <c r="AJ25" s="436"/>
      <c r="AK25" s="436"/>
      <c r="AL25" s="436"/>
      <c r="AM25" s="436"/>
      <c r="AN25" s="436"/>
      <c r="AO25" s="436"/>
      <c r="AP25" s="436"/>
      <c r="AQ25" s="436"/>
      <c r="AR25" s="436"/>
      <c r="AS25" s="436"/>
      <c r="AT25" s="436"/>
      <c r="AU25" s="436"/>
      <c r="AV25" s="436"/>
      <c r="AW25" s="436"/>
      <c r="AX25" s="436"/>
      <c r="AY25" s="436"/>
      <c r="AZ25" s="436"/>
      <c r="BA25" s="436"/>
      <c r="BB25" s="436"/>
      <c r="BC25" s="436"/>
      <c r="BD25" s="436"/>
      <c r="BE25" s="436"/>
      <c r="BF25" s="436"/>
      <c r="BG25" s="436"/>
      <c r="BH25" s="436"/>
      <c r="BI25" s="436"/>
      <c r="BJ25" s="436"/>
      <c r="BK25" s="436"/>
      <c r="BL25" s="436"/>
      <c r="BM25" s="436"/>
      <c r="BN25" s="436"/>
      <c r="BO25" s="436"/>
      <c r="BP25" s="436"/>
      <c r="BQ25" s="436"/>
      <c r="BR25" s="436"/>
      <c r="BS25" s="436"/>
      <c r="BT25" s="436"/>
      <c r="BU25" s="436"/>
      <c r="BV25" s="436"/>
      <c r="BW25" s="436"/>
      <c r="BX25" s="436"/>
      <c r="BY25" s="436"/>
      <c r="BZ25" s="436"/>
      <c r="CA25" s="436"/>
      <c r="CB25" s="436"/>
      <c r="CC25" s="436"/>
      <c r="CD25" s="436"/>
      <c r="CE25" s="436"/>
      <c r="CF25" s="436"/>
      <c r="CG25" s="435">
        <v>1779.9188099999997</v>
      </c>
      <c r="CH25" s="437"/>
      <c r="CI25" s="438"/>
      <c r="CJ25" s="436"/>
      <c r="CK25" s="439"/>
      <c r="CL25" s="438"/>
      <c r="CM25" s="435">
        <v>2933.2995399999991</v>
      </c>
      <c r="CN25" s="437"/>
      <c r="CO25" s="438"/>
      <c r="CP25" s="435">
        <v>4331.8901900000001</v>
      </c>
      <c r="CQ25" s="437"/>
      <c r="CR25" s="438"/>
      <c r="CS25" s="440"/>
      <c r="CT25" s="437"/>
      <c r="CU25" s="438"/>
      <c r="CV25" s="440"/>
      <c r="CW25" s="437"/>
      <c r="CX25" s="438"/>
      <c r="CY25" s="440"/>
      <c r="CZ25" s="437"/>
      <c r="DA25" s="438"/>
      <c r="DB25" s="440"/>
      <c r="DC25" s="437"/>
      <c r="DD25" s="438"/>
      <c r="DE25" s="440"/>
      <c r="DF25" s="437"/>
      <c r="DG25" s="438"/>
      <c r="DH25" s="440"/>
      <c r="DI25" s="437"/>
      <c r="DJ25" s="438"/>
      <c r="DK25" s="440"/>
      <c r="DL25" s="437"/>
      <c r="DM25" s="438"/>
      <c r="DN25" s="440"/>
      <c r="DO25" s="437"/>
      <c r="DP25" s="438"/>
      <c r="DQ25" s="435"/>
      <c r="DR25" s="437"/>
      <c r="DS25" s="438"/>
      <c r="DT25" s="435">
        <v>16790.289659999991</v>
      </c>
      <c r="DU25" s="441"/>
      <c r="DV25" s="442"/>
      <c r="DW25" s="435">
        <v>25962.736849999983</v>
      </c>
      <c r="DX25" s="441"/>
      <c r="DY25" s="442"/>
      <c r="DZ25" s="435">
        <v>25564.713480000009</v>
      </c>
      <c r="EA25" s="441"/>
      <c r="EB25" s="442"/>
      <c r="EC25" s="435">
        <v>26555.436949999985</v>
      </c>
      <c r="ED25" s="441"/>
      <c r="EE25" s="442"/>
      <c r="EF25" s="435">
        <v>25255.006377599999</v>
      </c>
      <c r="EG25" s="441"/>
      <c r="EH25" s="442"/>
      <c r="EI25" s="435">
        <v>34877.022309999971</v>
      </c>
      <c r="EJ25" s="441"/>
      <c r="EK25" s="442"/>
      <c r="EL25" s="435">
        <v>33052.740529999995</v>
      </c>
      <c r="EM25" s="441"/>
      <c r="EN25" s="442"/>
      <c r="EO25" s="435">
        <v>32522.73514999999</v>
      </c>
      <c r="EP25" s="441"/>
      <c r="EQ25" s="442"/>
      <c r="ER25" s="435">
        <v>26053.796050499997</v>
      </c>
      <c r="ES25" s="441"/>
      <c r="ET25" s="442"/>
      <c r="EU25" s="435">
        <v>32480.583376099985</v>
      </c>
      <c r="EV25" s="441"/>
      <c r="EW25" s="442"/>
      <c r="EX25" s="435">
        <v>59048.203659999985</v>
      </c>
      <c r="EY25" s="441">
        <f t="shared" si="258"/>
        <v>6.5005305612571188E-2</v>
      </c>
      <c r="EZ25" s="442">
        <f t="shared" si="259"/>
        <v>0.78648434935086442</v>
      </c>
      <c r="FA25" s="435">
        <v>68938</v>
      </c>
      <c r="FB25" s="441">
        <f t="shared" si="260"/>
        <v>5.8360803303394181E-2</v>
      </c>
      <c r="FC25" s="442">
        <f t="shared" si="261"/>
        <v>1.1196864188097053</v>
      </c>
      <c r="FD25" s="435">
        <v>55402.446780000006</v>
      </c>
      <c r="FE25" s="441">
        <f t="shared" si="262"/>
        <v>5.5825834891481477E-2</v>
      </c>
      <c r="FF25" s="442">
        <f t="shared" si="263"/>
        <v>1.1264635169713313</v>
      </c>
      <c r="FG25" s="435">
        <v>73911.730990000025</v>
      </c>
      <c r="FH25" s="441">
        <f t="shared" si="264"/>
        <v>7.2752070429884477E-2</v>
      </c>
      <c r="FI25" s="442">
        <f t="shared" si="265"/>
        <v>1.2755666095697684</v>
      </c>
      <c r="FJ25" s="435">
        <v>66625.124349999998</v>
      </c>
      <c r="FK25" s="441">
        <f t="shared" si="55"/>
        <v>6.9462160275607018E-2</v>
      </c>
      <c r="FL25" s="442">
        <f t="shared" si="56"/>
        <v>0.12831754770438031</v>
      </c>
      <c r="FM25" s="435">
        <v>64471.191619999969</v>
      </c>
      <c r="FN25" s="441">
        <f t="shared" si="240"/>
        <v>5.0258178687246621E-2</v>
      </c>
      <c r="FO25" s="442">
        <f t="shared" si="241"/>
        <v>-6.4794574545243955E-2</v>
      </c>
      <c r="FP25" s="435">
        <v>60934.985709999994</v>
      </c>
      <c r="FQ25" s="441">
        <f t="shared" si="59"/>
        <v>5.5982581590817815E-2</v>
      </c>
      <c r="FR25" s="442">
        <f t="shared" si="60"/>
        <v>9.9860913218677627E-2</v>
      </c>
      <c r="FS25" s="435">
        <v>82737.180959999998</v>
      </c>
      <c r="FT25" s="441">
        <f t="shared" si="242"/>
        <v>7.8063537087413121E-2</v>
      </c>
      <c r="FU25" s="442">
        <f t="shared" si="243"/>
        <v>0.11940526695544484</v>
      </c>
      <c r="FV25" s="435">
        <v>89365.847509999992</v>
      </c>
      <c r="FW25" s="441">
        <f t="shared" si="244"/>
        <v>8.8841216160943953E-2</v>
      </c>
      <c r="FX25" s="442">
        <f t="shared" si="245"/>
        <v>0.34132353795749415</v>
      </c>
      <c r="FY25" s="435">
        <v>89914.89923000001</v>
      </c>
      <c r="FZ25" s="441">
        <f t="shared" si="246"/>
        <v>6.547709666293236E-2</v>
      </c>
      <c r="GA25" s="442">
        <f t="shared" si="247"/>
        <v>0.39465235511649843</v>
      </c>
      <c r="GB25" s="435">
        <v>99072.257310000001</v>
      </c>
      <c r="GC25" s="441">
        <f t="shared" si="248"/>
        <v>8.5737001645092958E-2</v>
      </c>
      <c r="GD25" s="442">
        <f t="shared" si="249"/>
        <v>0.62586822915659313</v>
      </c>
      <c r="GE25" s="435">
        <v>171035.98360000001</v>
      </c>
      <c r="GF25" s="441">
        <f t="shared" si="250"/>
        <v>0.21827877545137672</v>
      </c>
      <c r="GG25" s="442">
        <f t="shared" si="251"/>
        <v>1.0672203429639309</v>
      </c>
      <c r="GH25" s="435">
        <v>88914.177370000034</v>
      </c>
      <c r="GI25" s="441">
        <f t="shared" si="252"/>
        <v>0.10446468607434023</v>
      </c>
      <c r="GJ25" s="442">
        <f t="shared" si="253"/>
        <v>-5.0541694907488832E-3</v>
      </c>
      <c r="GK25" s="435">
        <v>47633.082909999997</v>
      </c>
      <c r="GL25" s="441">
        <f t="shared" si="254"/>
        <v>4.0793798604896132E-2</v>
      </c>
      <c r="GM25" s="442">
        <f t="shared" si="255"/>
        <v>-0.4702426036406292</v>
      </c>
    </row>
    <row r="26" spans="2:195" s="23" customFormat="1" ht="16.5" customHeight="1">
      <c r="B26" s="36" t="s">
        <v>1309</v>
      </c>
      <c r="C26" s="267"/>
      <c r="D26" s="436"/>
      <c r="E26" s="436"/>
      <c r="F26" s="436"/>
      <c r="G26" s="436"/>
      <c r="H26" s="436"/>
      <c r="I26" s="436"/>
      <c r="J26" s="436"/>
      <c r="K26" s="436"/>
      <c r="L26" s="436"/>
      <c r="M26" s="436"/>
      <c r="N26" s="436"/>
      <c r="O26" s="436"/>
      <c r="P26" s="436"/>
      <c r="Q26" s="436"/>
      <c r="R26" s="436"/>
      <c r="S26" s="436"/>
      <c r="T26" s="436"/>
      <c r="U26" s="436"/>
      <c r="V26" s="436"/>
      <c r="W26" s="436"/>
      <c r="X26" s="436"/>
      <c r="Y26" s="436"/>
      <c r="Z26" s="436"/>
      <c r="AA26" s="436"/>
      <c r="AB26" s="436"/>
      <c r="AC26" s="436"/>
      <c r="AD26" s="436"/>
      <c r="AE26" s="436"/>
      <c r="AF26" s="436"/>
      <c r="AG26" s="436"/>
      <c r="AH26" s="436"/>
      <c r="AI26" s="436"/>
      <c r="AJ26" s="436"/>
      <c r="AK26" s="436"/>
      <c r="AL26" s="436"/>
      <c r="AM26" s="436"/>
      <c r="AN26" s="436"/>
      <c r="AO26" s="436"/>
      <c r="AP26" s="436"/>
      <c r="AQ26" s="436"/>
      <c r="AR26" s="436"/>
      <c r="AS26" s="436"/>
      <c r="AT26" s="436"/>
      <c r="AU26" s="436"/>
      <c r="AV26" s="436"/>
      <c r="AW26" s="436"/>
      <c r="AX26" s="436"/>
      <c r="AY26" s="436"/>
      <c r="AZ26" s="436"/>
      <c r="BA26" s="436"/>
      <c r="BB26" s="436"/>
      <c r="BC26" s="436"/>
      <c r="BD26" s="436"/>
      <c r="BE26" s="436"/>
      <c r="BF26" s="436"/>
      <c r="BG26" s="436"/>
      <c r="BH26" s="436"/>
      <c r="BI26" s="436"/>
      <c r="BJ26" s="436"/>
      <c r="BK26" s="436"/>
      <c r="BL26" s="436"/>
      <c r="BM26" s="436"/>
      <c r="BN26" s="436"/>
      <c r="BO26" s="436"/>
      <c r="BP26" s="436"/>
      <c r="BQ26" s="436"/>
      <c r="BR26" s="436"/>
      <c r="BS26" s="436"/>
      <c r="BT26" s="436"/>
      <c r="BU26" s="436"/>
      <c r="BV26" s="436"/>
      <c r="BW26" s="436"/>
      <c r="BX26" s="436"/>
      <c r="BY26" s="436"/>
      <c r="BZ26" s="436"/>
      <c r="CA26" s="436"/>
      <c r="CB26" s="436"/>
      <c r="CC26" s="436"/>
      <c r="CD26" s="436"/>
      <c r="CE26" s="436"/>
      <c r="CF26" s="436"/>
      <c r="CG26" s="440">
        <v>0</v>
      </c>
      <c r="CH26" s="437"/>
      <c r="CI26" s="438"/>
      <c r="CJ26" s="436">
        <v>0</v>
      </c>
      <c r="CK26" s="439"/>
      <c r="CL26" s="438"/>
      <c r="CM26" s="440">
        <v>0</v>
      </c>
      <c r="CN26" s="437"/>
      <c r="CO26" s="438"/>
      <c r="CP26" s="440"/>
      <c r="CQ26" s="437"/>
      <c r="CR26" s="438"/>
      <c r="CS26" s="440"/>
      <c r="CT26" s="437"/>
      <c r="CU26" s="438"/>
      <c r="CV26" s="440"/>
      <c r="CW26" s="437"/>
      <c r="CX26" s="438"/>
      <c r="CY26" s="440"/>
      <c r="CZ26" s="437"/>
      <c r="DA26" s="438"/>
      <c r="DB26" s="440"/>
      <c r="DC26" s="437"/>
      <c r="DD26" s="438"/>
      <c r="DE26" s="440"/>
      <c r="DF26" s="437"/>
      <c r="DG26" s="438"/>
      <c r="DH26" s="440"/>
      <c r="DI26" s="437"/>
      <c r="DJ26" s="438"/>
      <c r="DK26" s="440"/>
      <c r="DL26" s="437"/>
      <c r="DM26" s="438"/>
      <c r="DN26" s="440"/>
      <c r="DO26" s="437"/>
      <c r="DP26" s="438"/>
      <c r="DQ26" s="435"/>
      <c r="DR26" s="437"/>
      <c r="DS26" s="438"/>
      <c r="DT26" s="435"/>
      <c r="DU26" s="441"/>
      <c r="DV26" s="442"/>
      <c r="DW26" s="435"/>
      <c r="DX26" s="441"/>
      <c r="DY26" s="442"/>
      <c r="DZ26" s="435"/>
      <c r="EA26" s="441"/>
      <c r="EB26" s="442"/>
      <c r="EC26" s="435">
        <v>0</v>
      </c>
      <c r="ED26" s="441"/>
      <c r="EE26" s="442"/>
      <c r="EF26" s="435">
        <v>0</v>
      </c>
      <c r="EG26" s="441"/>
      <c r="EH26" s="442"/>
      <c r="EI26" s="435">
        <v>0</v>
      </c>
      <c r="EJ26" s="441"/>
      <c r="EK26" s="442"/>
      <c r="EL26" s="435">
        <v>0</v>
      </c>
      <c r="EM26" s="441"/>
      <c r="EN26" s="442"/>
      <c r="EO26" s="435">
        <v>0</v>
      </c>
      <c r="EP26" s="441"/>
      <c r="EQ26" s="442"/>
      <c r="ER26" s="435">
        <v>0</v>
      </c>
      <c r="ES26" s="441"/>
      <c r="ET26" s="442"/>
      <c r="EU26" s="435">
        <v>0</v>
      </c>
      <c r="EV26" s="441"/>
      <c r="EW26" s="442"/>
      <c r="EX26" s="435">
        <v>35957.983819999979</v>
      </c>
      <c r="EY26" s="441">
        <f t="shared" si="258"/>
        <v>3.9585619587855711E-2</v>
      </c>
      <c r="EZ26" s="442" t="s">
        <v>112</v>
      </c>
      <c r="FA26" s="435">
        <v>88202</v>
      </c>
      <c r="FB26" s="441">
        <f t="shared" si="260"/>
        <v>7.4669116785604076E-2</v>
      </c>
      <c r="FC26" s="442" t="s">
        <v>112</v>
      </c>
      <c r="FD26" s="435">
        <v>93043.200139999972</v>
      </c>
      <c r="FE26" s="441">
        <f t="shared" si="262"/>
        <v>9.375424066407459E-2</v>
      </c>
      <c r="FF26" s="442" t="s">
        <v>112</v>
      </c>
      <c r="FG26" s="435">
        <v>86566.123230000012</v>
      </c>
      <c r="FH26" s="441">
        <f t="shared" si="264"/>
        <v>8.5207917738025871E-2</v>
      </c>
      <c r="FI26" s="442" t="s">
        <v>112</v>
      </c>
      <c r="FJ26" s="435">
        <v>101826.05538999999</v>
      </c>
      <c r="FK26" s="441">
        <f t="shared" si="55"/>
        <v>0.10616201993974993</v>
      </c>
      <c r="FL26" s="442">
        <f t="shared" si="56"/>
        <v>1.8318065857008348</v>
      </c>
      <c r="FM26" s="435">
        <v>112329.97487999999</v>
      </c>
      <c r="FN26" s="441">
        <f t="shared" si="240"/>
        <v>8.7566241721234797E-2</v>
      </c>
      <c r="FO26" s="442">
        <f t="shared" si="241"/>
        <v>0.27355360286614805</v>
      </c>
      <c r="FP26" s="435">
        <v>106883.70536999995</v>
      </c>
      <c r="FQ26" s="441">
        <f t="shared" si="59"/>
        <v>9.819688454645828E-2</v>
      </c>
      <c r="FR26" s="442">
        <f t="shared" si="60"/>
        <v>0.14875353824002713</v>
      </c>
      <c r="FS26" s="435">
        <v>104990.60251</v>
      </c>
      <c r="FT26" s="441">
        <f t="shared" si="242"/>
        <v>9.9059911127883732E-2</v>
      </c>
      <c r="FU26" s="442">
        <f t="shared" si="243"/>
        <v>0.21283706134150715</v>
      </c>
      <c r="FV26" s="435">
        <v>120901.48451000001</v>
      </c>
      <c r="FW26" s="441">
        <f t="shared" si="244"/>
        <v>0.12019171997814949</v>
      </c>
      <c r="FX26" s="442">
        <f t="shared" si="245"/>
        <v>0.18733347812541656</v>
      </c>
      <c r="FY26" s="435">
        <v>142110.70150999998</v>
      </c>
      <c r="FZ26" s="441">
        <f t="shared" si="246"/>
        <v>0.10348669930447739</v>
      </c>
      <c r="GA26" s="442">
        <f t="shared" si="247"/>
        <v>0.26511825237933317</v>
      </c>
      <c r="GB26" s="435">
        <v>151867.70682000002</v>
      </c>
      <c r="GC26" s="441">
        <f t="shared" si="248"/>
        <v>0.13142611446432215</v>
      </c>
      <c r="GD26" s="442">
        <f t="shared" si="249"/>
        <v>0.42086865621170877</v>
      </c>
      <c r="GE26" s="435">
        <v>166265.24234000008</v>
      </c>
      <c r="GF26" s="441">
        <f t="shared" si="250"/>
        <v>0.21219028144964935</v>
      </c>
      <c r="GG26" s="442">
        <f t="shared" si="251"/>
        <v>0.58362023233616434</v>
      </c>
      <c r="GH26" s="435">
        <v>212974.32043000011</v>
      </c>
      <c r="GI26" s="441">
        <f t="shared" si="252"/>
        <v>0.25022213761292206</v>
      </c>
      <c r="GJ26" s="442">
        <f t="shared" si="253"/>
        <v>0.76155256730850618</v>
      </c>
      <c r="GK26" s="435">
        <v>193095.49469000002</v>
      </c>
      <c r="GL26" s="441">
        <f t="shared" si="254"/>
        <v>0.16537033172469609</v>
      </c>
      <c r="GM26" s="442">
        <f t="shared" si="255"/>
        <v>0.35876814791750467</v>
      </c>
    </row>
    <row r="27" spans="2:195" s="23" customFormat="1" ht="16.5" customHeight="1">
      <c r="B27" s="267" t="s">
        <v>1040</v>
      </c>
      <c r="C27" s="267" t="s">
        <v>388</v>
      </c>
      <c r="D27" s="273"/>
      <c r="E27" s="273"/>
      <c r="F27" s="273"/>
      <c r="G27" s="273"/>
      <c r="H27" s="273"/>
      <c r="I27" s="273"/>
      <c r="J27" s="273"/>
      <c r="K27" s="273"/>
      <c r="L27" s="273"/>
      <c r="M27" s="273"/>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68"/>
      <c r="CH27" s="269"/>
      <c r="CI27" s="272"/>
      <c r="CJ27" s="273"/>
      <c r="CK27" s="269"/>
      <c r="CL27" s="272"/>
      <c r="CM27" s="268"/>
      <c r="CN27" s="269"/>
      <c r="CO27" s="272"/>
      <c r="CP27" s="268"/>
      <c r="CQ27" s="269"/>
      <c r="CR27" s="272"/>
      <c r="CS27" s="268"/>
      <c r="CT27" s="269"/>
      <c r="CU27" s="272"/>
      <c r="CV27" s="268"/>
      <c r="CW27" s="269"/>
      <c r="CX27" s="272"/>
      <c r="CY27" s="268"/>
      <c r="CZ27" s="269"/>
      <c r="DA27" s="272"/>
      <c r="DB27" s="268"/>
      <c r="DC27" s="269"/>
      <c r="DD27" s="272"/>
      <c r="DE27" s="268"/>
      <c r="DF27" s="269"/>
      <c r="DG27" s="272"/>
      <c r="DH27" s="268"/>
      <c r="DI27" s="269"/>
      <c r="DJ27" s="272"/>
      <c r="DK27" s="268"/>
      <c r="DL27" s="269"/>
      <c r="DM27" s="272"/>
      <c r="DN27" s="268"/>
      <c r="DO27" s="269"/>
      <c r="DP27" s="272"/>
      <c r="DQ27" s="268"/>
      <c r="DR27" s="269"/>
      <c r="DS27" s="272"/>
      <c r="DT27" s="268"/>
      <c r="DU27" s="269"/>
      <c r="DV27" s="272"/>
      <c r="DW27" s="268"/>
      <c r="DX27" s="269"/>
      <c r="DY27" s="272"/>
      <c r="DZ27" s="268"/>
      <c r="EA27" s="269"/>
      <c r="EB27" s="272"/>
      <c r="EC27" s="268"/>
      <c r="ED27" s="269"/>
      <c r="EE27" s="272"/>
      <c r="EF27" s="268"/>
      <c r="EG27" s="269"/>
      <c r="EH27" s="272"/>
      <c r="EI27" s="268"/>
      <c r="EJ27" s="269"/>
      <c r="EK27" s="272"/>
      <c r="EL27" s="268"/>
      <c r="EM27" s="269"/>
      <c r="EN27" s="272"/>
      <c r="EO27" s="268"/>
      <c r="EP27" s="269"/>
      <c r="EQ27" s="272"/>
      <c r="ER27" s="268">
        <v>-1952</v>
      </c>
      <c r="ES27" s="269"/>
      <c r="ET27" s="272"/>
      <c r="EU27" s="268">
        <v>-5236</v>
      </c>
      <c r="EV27" s="269"/>
      <c r="EW27" s="272"/>
      <c r="EX27" s="268">
        <v>-5506</v>
      </c>
      <c r="EY27" s="269">
        <f t="shared" si="236"/>
        <v>-6.2382163496359586E-3</v>
      </c>
      <c r="EZ27" s="272" t="s">
        <v>112</v>
      </c>
      <c r="FA27" s="268">
        <v>-7779.6</v>
      </c>
      <c r="FB27" s="269">
        <f t="shared" si="237"/>
        <v>-7.3161029310116225E-3</v>
      </c>
      <c r="FC27" s="272" t="s">
        <v>112</v>
      </c>
      <c r="FD27" s="268">
        <v>-4861</v>
      </c>
      <c r="FE27" s="269">
        <f t="shared" si="262"/>
        <v>-4.8981479912806733E-3</v>
      </c>
      <c r="FF27" s="272">
        <f t="shared" ref="FF27" si="266">(FD27/ER27)-1</f>
        <v>1.490266393442623</v>
      </c>
      <c r="FG27" s="268">
        <v>-3436</v>
      </c>
      <c r="FH27" s="269">
        <f t="shared" si="264"/>
        <v>-3.3820898340332999E-3</v>
      </c>
      <c r="FI27" s="272">
        <f t="shared" ref="FI27" si="267">(FG27/EU27)-1</f>
        <v>-0.3437738731856379</v>
      </c>
      <c r="FJ27" s="268">
        <v>-3580</v>
      </c>
      <c r="FK27" s="269">
        <f t="shared" si="55"/>
        <v>-3.732443822248163E-3</v>
      </c>
      <c r="FL27" s="272">
        <f t="shared" si="56"/>
        <v>-0.34980021794406102</v>
      </c>
      <c r="FM27" s="268">
        <v>-5349</v>
      </c>
      <c r="FN27" s="269">
        <f t="shared" si="240"/>
        <v>-4.1697848456501404E-3</v>
      </c>
      <c r="FO27" s="272">
        <f t="shared" si="241"/>
        <v>-0.31243251581058151</v>
      </c>
      <c r="FP27" s="268">
        <v>-3927</v>
      </c>
      <c r="FQ27" s="269">
        <f t="shared" si="59"/>
        <v>-3.6078386717511481E-3</v>
      </c>
      <c r="FR27" s="272">
        <f t="shared" si="60"/>
        <v>-0.19214153466364947</v>
      </c>
      <c r="FS27" s="268">
        <v>-4642</v>
      </c>
      <c r="FT27" s="269">
        <f t="shared" si="242"/>
        <v>-4.3797834897827022E-3</v>
      </c>
      <c r="FU27" s="272">
        <f t="shared" si="243"/>
        <v>0.35098952270081485</v>
      </c>
      <c r="FV27" s="268">
        <v>-5176.5722099999994</v>
      </c>
      <c r="FW27" s="269">
        <f t="shared" si="244"/>
        <v>-5.1461826133286934E-3</v>
      </c>
      <c r="FX27" s="272">
        <f t="shared" si="245"/>
        <v>0.44596989106145224</v>
      </c>
      <c r="FY27" s="268">
        <v>-7826.6986900000011</v>
      </c>
      <c r="FZ27" s="269">
        <f t="shared" si="246"/>
        <v>-5.699494867540165E-3</v>
      </c>
      <c r="GA27" s="272">
        <f t="shared" si="247"/>
        <v>0.46320783137034982</v>
      </c>
      <c r="GB27" s="268">
        <v>-4785.5773899999995</v>
      </c>
      <c r="GC27" s="269">
        <f t="shared" si="248"/>
        <v>-4.1414324019619902E-3</v>
      </c>
      <c r="GD27" s="272">
        <f t="shared" si="249"/>
        <v>0.21863442577030789</v>
      </c>
      <c r="GE27" s="268">
        <f>-2.71716746*1000</f>
        <v>-2717.1674600000001</v>
      </c>
      <c r="GF27" s="269">
        <f t="shared" si="250"/>
        <v>-3.4676912622796626E-3</v>
      </c>
      <c r="GG27" s="272">
        <f t="shared" si="251"/>
        <v>-0.41465586816027566</v>
      </c>
      <c r="GH27" s="268">
        <v>-3421</v>
      </c>
      <c r="GI27" s="269">
        <f t="shared" si="252"/>
        <v>-4.0193105490159671E-3</v>
      </c>
      <c r="GJ27" s="272">
        <f t="shared" si="253"/>
        <v>-0.3391379736978497</v>
      </c>
      <c r="GK27" s="268">
        <v>-6267</v>
      </c>
      <c r="GL27" s="269">
        <f t="shared" si="254"/>
        <v>-5.3671675280797838E-3</v>
      </c>
      <c r="GM27" s="272">
        <f t="shared" si="255"/>
        <v>-0.19927925575987659</v>
      </c>
    </row>
    <row r="28" spans="2:195" s="23" customFormat="1" ht="16.5" customHeight="1">
      <c r="B28" s="267" t="s">
        <v>1290</v>
      </c>
      <c r="C28" s="267" t="s">
        <v>1287</v>
      </c>
      <c r="D28" s="273" t="s">
        <v>77</v>
      </c>
      <c r="E28" s="273" t="s">
        <v>77</v>
      </c>
      <c r="F28" s="273" t="s">
        <v>77</v>
      </c>
      <c r="G28" s="273" t="s">
        <v>77</v>
      </c>
      <c r="H28" s="273" t="s">
        <v>77</v>
      </c>
      <c r="I28" s="273" t="s">
        <v>77</v>
      </c>
      <c r="J28" s="273" t="s">
        <v>77</v>
      </c>
      <c r="K28" s="273" t="s">
        <v>77</v>
      </c>
      <c r="L28" s="273" t="s">
        <v>77</v>
      </c>
      <c r="M28" s="273" t="s">
        <v>77</v>
      </c>
      <c r="N28" s="273" t="s">
        <v>77</v>
      </c>
      <c r="O28" s="273" t="s">
        <v>77</v>
      </c>
      <c r="P28" s="273" t="s">
        <v>77</v>
      </c>
      <c r="Q28" s="273" t="s">
        <v>77</v>
      </c>
      <c r="R28" s="273" t="s">
        <v>77</v>
      </c>
      <c r="S28" s="273" t="s">
        <v>77</v>
      </c>
      <c r="T28" s="273" t="s">
        <v>77</v>
      </c>
      <c r="U28" s="273" t="s">
        <v>77</v>
      </c>
      <c r="V28" s="273" t="s">
        <v>77</v>
      </c>
      <c r="W28" s="273" t="s">
        <v>77</v>
      </c>
      <c r="X28" s="273" t="s">
        <v>77</v>
      </c>
      <c r="Y28" s="273" t="s">
        <v>77</v>
      </c>
      <c r="Z28" s="273" t="s">
        <v>77</v>
      </c>
      <c r="AA28" s="273" t="s">
        <v>77</v>
      </c>
      <c r="AB28" s="273" t="s">
        <v>77</v>
      </c>
      <c r="AC28" s="273" t="s">
        <v>77</v>
      </c>
      <c r="AD28" s="273" t="s">
        <v>77</v>
      </c>
      <c r="AE28" s="273" t="s">
        <v>77</v>
      </c>
      <c r="AF28" s="273" t="s">
        <v>77</v>
      </c>
      <c r="AG28" s="273" t="s">
        <v>77</v>
      </c>
      <c r="AH28" s="273" t="s">
        <v>77</v>
      </c>
      <c r="AI28" s="273" t="s">
        <v>77</v>
      </c>
      <c r="AJ28" s="273" t="s">
        <v>77</v>
      </c>
      <c r="AK28" s="273" t="s">
        <v>77</v>
      </c>
      <c r="AL28" s="273" t="s">
        <v>77</v>
      </c>
      <c r="AM28" s="273" t="s">
        <v>77</v>
      </c>
      <c r="AN28" s="273" t="s">
        <v>77</v>
      </c>
      <c r="AO28" s="273" t="s">
        <v>77</v>
      </c>
      <c r="AP28" s="273" t="s">
        <v>77</v>
      </c>
      <c r="AQ28" s="273" t="s">
        <v>77</v>
      </c>
      <c r="AR28" s="273" t="s">
        <v>77</v>
      </c>
      <c r="AS28" s="273" t="s">
        <v>77</v>
      </c>
      <c r="AT28" s="273" t="s">
        <v>77</v>
      </c>
      <c r="AU28" s="273" t="s">
        <v>77</v>
      </c>
      <c r="AV28" s="273" t="s">
        <v>77</v>
      </c>
      <c r="AW28" s="273" t="s">
        <v>77</v>
      </c>
      <c r="AX28" s="273" t="s">
        <v>77</v>
      </c>
      <c r="AY28" s="273" t="s">
        <v>77</v>
      </c>
      <c r="AZ28" s="273" t="s">
        <v>77</v>
      </c>
      <c r="BA28" s="273" t="s">
        <v>77</v>
      </c>
      <c r="BB28" s="273" t="s">
        <v>77</v>
      </c>
      <c r="BC28" s="273" t="s">
        <v>77</v>
      </c>
      <c r="BD28" s="273" t="s">
        <v>77</v>
      </c>
      <c r="BE28" s="273" t="s">
        <v>77</v>
      </c>
      <c r="BF28" s="273" t="s">
        <v>77</v>
      </c>
      <c r="BG28" s="273" t="s">
        <v>77</v>
      </c>
      <c r="BH28" s="273" t="s">
        <v>77</v>
      </c>
      <c r="BI28" s="273" t="s">
        <v>77</v>
      </c>
      <c r="BJ28" s="273" t="s">
        <v>77</v>
      </c>
      <c r="BK28" s="273" t="s">
        <v>77</v>
      </c>
      <c r="BL28" s="273" t="s">
        <v>77</v>
      </c>
      <c r="BM28" s="273" t="s">
        <v>77</v>
      </c>
      <c r="BN28" s="273" t="s">
        <v>77</v>
      </c>
      <c r="BO28" s="273" t="s">
        <v>77</v>
      </c>
      <c r="BP28" s="273" t="s">
        <v>77</v>
      </c>
      <c r="BQ28" s="273" t="s">
        <v>77</v>
      </c>
      <c r="BR28" s="273" t="s">
        <v>77</v>
      </c>
      <c r="BS28" s="273" t="s">
        <v>77</v>
      </c>
      <c r="BT28" s="273" t="s">
        <v>77</v>
      </c>
      <c r="BU28" s="273" t="s">
        <v>77</v>
      </c>
      <c r="BV28" s="273" t="s">
        <v>77</v>
      </c>
      <c r="BW28" s="273" t="s">
        <v>77</v>
      </c>
      <c r="BX28" s="273" t="s">
        <v>77</v>
      </c>
      <c r="BY28" s="273" t="s">
        <v>77</v>
      </c>
      <c r="BZ28" s="273" t="s">
        <v>77</v>
      </c>
      <c r="CA28" s="273" t="s">
        <v>77</v>
      </c>
      <c r="CB28" s="273" t="s">
        <v>77</v>
      </c>
      <c r="CC28" s="273" t="s">
        <v>77</v>
      </c>
      <c r="CD28" s="273" t="s">
        <v>77</v>
      </c>
      <c r="CE28" s="273" t="s">
        <v>77</v>
      </c>
      <c r="CF28" s="273" t="s">
        <v>77</v>
      </c>
      <c r="CG28" s="268">
        <v>-1290</v>
      </c>
      <c r="CH28" s="269">
        <f t="shared" si="201"/>
        <v>-4.5048191088140802E-2</v>
      </c>
      <c r="CI28" s="272" t="s">
        <v>112</v>
      </c>
      <c r="CJ28" s="268">
        <v>-1540</v>
      </c>
      <c r="CK28" s="269">
        <f t="shared" si="202"/>
        <v>-4.1613748750236441E-2</v>
      </c>
      <c r="CL28" s="272" t="s">
        <v>112</v>
      </c>
      <c r="CM28" s="268">
        <v>-2522</v>
      </c>
      <c r="CN28" s="269">
        <f t="shared" si="204"/>
        <v>-4.0291401731795379E-2</v>
      </c>
      <c r="CO28" s="272" t="s">
        <v>112</v>
      </c>
      <c r="CP28" s="268">
        <v>-3544</v>
      </c>
      <c r="CQ28" s="269">
        <f t="shared" si="206"/>
        <v>-4.407247584345815E-2</v>
      </c>
      <c r="CR28" s="272" t="s">
        <v>112</v>
      </c>
      <c r="CS28" s="268">
        <v>-5242</v>
      </c>
      <c r="CT28" s="269">
        <f t="shared" si="208"/>
        <v>-5.7786645794979774E-2</v>
      </c>
      <c r="CU28" s="272">
        <f>CS28/CG28-1</f>
        <v>3.0635658914728685</v>
      </c>
      <c r="CV28" s="268">
        <v>-5191</v>
      </c>
      <c r="CW28" s="269">
        <f t="shared" si="210"/>
        <v>-6.1683797754144142E-2</v>
      </c>
      <c r="CX28" s="272">
        <f>CV28/CJ28-1</f>
        <v>2.3707792207792209</v>
      </c>
      <c r="CY28" s="268">
        <v>-4993</v>
      </c>
      <c r="CZ28" s="269">
        <f t="shared" si="212"/>
        <v>-5.3208154392097105E-2</v>
      </c>
      <c r="DA28" s="272">
        <f>CY28/CM28-1</f>
        <v>0.9797779540047582</v>
      </c>
      <c r="DB28" s="268">
        <v>-4587</v>
      </c>
      <c r="DC28" s="269">
        <f t="shared" si="214"/>
        <v>-3.5650166709412671E-2</v>
      </c>
      <c r="DD28" s="272">
        <f>DB28/CP28-1</f>
        <v>0.29430022573363424</v>
      </c>
      <c r="DE28" s="268">
        <v>-6170</v>
      </c>
      <c r="DF28" s="269">
        <f t="shared" si="216"/>
        <v>-3.5195400069592202E-2</v>
      </c>
      <c r="DG28" s="272">
        <f>DE28/CS28-1</f>
        <v>0.17703166730255626</v>
      </c>
      <c r="DH28" s="268">
        <v>-7362</v>
      </c>
      <c r="DI28" s="269">
        <f t="shared" si="218"/>
        <v>-3.5404103067201431E-2</v>
      </c>
      <c r="DJ28" s="272">
        <f>DH28/CV28-1</f>
        <v>0.41822384896937015</v>
      </c>
      <c r="DK28" s="268">
        <v>-11499</v>
      </c>
      <c r="DL28" s="269">
        <f t="shared" si="220"/>
        <v>-4.6424404403838625E-2</v>
      </c>
      <c r="DM28" s="272">
        <f>DK28/CY28-1</f>
        <v>1.3030242339274984</v>
      </c>
      <c r="DN28" s="268">
        <v>-12685</v>
      </c>
      <c r="DO28" s="269">
        <f t="shared" si="222"/>
        <v>-4.4516581856466043E-2</v>
      </c>
      <c r="DP28" s="272">
        <f>DN28/DB28-1</f>
        <v>1.7654240244168302</v>
      </c>
      <c r="DQ28" s="268">
        <v>-11926</v>
      </c>
      <c r="DR28" s="269">
        <f t="shared" si="224"/>
        <v>-3.5283501723347287E-2</v>
      </c>
      <c r="DS28" s="272">
        <f>DQ28/DE28-1</f>
        <v>0.93290113452188006</v>
      </c>
      <c r="DT28" s="268">
        <v>-12697</v>
      </c>
      <c r="DU28" s="269">
        <f t="shared" si="226"/>
        <v>-3.6465303824879232E-2</v>
      </c>
      <c r="DV28" s="272">
        <f>DT28/DH28-1</f>
        <v>0.72466720999728329</v>
      </c>
      <c r="DW28" s="268">
        <v>-18619</v>
      </c>
      <c r="DX28" s="269">
        <f t="shared" si="228"/>
        <v>-4.7789632598879479E-2</v>
      </c>
      <c r="DY28" s="272">
        <f>DW28/DK28-1</f>
        <v>0.61918427689364286</v>
      </c>
      <c r="DZ28" s="268">
        <v>-18861</v>
      </c>
      <c r="EA28" s="269">
        <f t="shared" si="230"/>
        <v>-4.6196803625007651E-2</v>
      </c>
      <c r="EB28" s="272">
        <f>DZ28/DN28-1</f>
        <v>0.48687426093811581</v>
      </c>
      <c r="EC28" s="268">
        <v>-20151</v>
      </c>
      <c r="ED28" s="269">
        <f t="shared" si="232"/>
        <v>-4.4266022296666485E-2</v>
      </c>
      <c r="EE28" s="272">
        <f>EC28/DQ28-1</f>
        <v>0.68966962938118392</v>
      </c>
      <c r="EF28" s="268">
        <v>-20458</v>
      </c>
      <c r="EG28" s="269">
        <f t="shared" si="234"/>
        <v>-4.5716916242265239E-2</v>
      </c>
      <c r="EH28" s="272">
        <f>EF28/DT28-1</f>
        <v>0.61124675120107108</v>
      </c>
      <c r="EI28" s="268">
        <v>-25053</v>
      </c>
      <c r="EJ28" s="269">
        <f>EI28/EI$20</f>
        <v>-5.2333414800749503E-2</v>
      </c>
      <c r="EK28" s="272">
        <f>EI28/DW28-1</f>
        <v>0.34556098608947838</v>
      </c>
      <c r="EL28" s="268">
        <v>-23836</v>
      </c>
      <c r="EM28" s="269">
        <f>EL28/EL$20</f>
        <v>-4.8438884418107481E-2</v>
      </c>
      <c r="EN28" s="272">
        <f>EL28/DZ28-1</f>
        <v>0.26377180425216062</v>
      </c>
      <c r="EO28" s="268">
        <v>-24090</v>
      </c>
      <c r="EP28" s="269">
        <f>EO28/EO$20</f>
        <v>-4.5498844114047414E-2</v>
      </c>
      <c r="EQ28" s="272">
        <f>EO28/EC28-1</f>
        <v>0.19547417001637646</v>
      </c>
      <c r="ER28" s="268">
        <v>-21029</v>
      </c>
      <c r="ES28" s="269">
        <f t="shared" si="235"/>
        <v>-3.6772407666790824E-2</v>
      </c>
      <c r="ET28" s="272">
        <f>ER28/EF28-1</f>
        <v>2.7910841724508639E-2</v>
      </c>
      <c r="EU28" s="268">
        <v>-27390</v>
      </c>
      <c r="EV28" s="269">
        <f>EU28/EU$20</f>
        <v>-3.3105979019584383E-2</v>
      </c>
      <c r="EW28" s="272">
        <f>EU28/EI28-1</f>
        <v>9.3282241647706821E-2</v>
      </c>
      <c r="EX28" s="268">
        <v>-85723</v>
      </c>
      <c r="EY28" s="269">
        <f t="shared" si="236"/>
        <v>-9.7122887784206913E-2</v>
      </c>
      <c r="EZ28" s="272">
        <f>EX28/EL28-1</f>
        <v>2.5963668400738378</v>
      </c>
      <c r="FA28" s="268">
        <v>-145545.5</v>
      </c>
      <c r="FB28" s="269">
        <f t="shared" si="237"/>
        <v>-0.13687411424052034</v>
      </c>
      <c r="FC28" s="272">
        <f>FA28/EO28-1</f>
        <v>5.0417393109173929</v>
      </c>
      <c r="FD28" s="268">
        <v>-178442.7575598947</v>
      </c>
      <c r="FE28" s="269">
        <f t="shared" ref="FE28" si="268">FD28/FD$20</f>
        <v>-0.16731732656463258</v>
      </c>
      <c r="FF28" s="272">
        <f>FD28/ER28-1</f>
        <v>7.4855560207282661</v>
      </c>
      <c r="FG28" s="268">
        <v>-193231</v>
      </c>
      <c r="FH28" s="269">
        <f t="shared" ref="FH28" si="269">FG28/FG$20</f>
        <v>-0.16774875872448583</v>
      </c>
      <c r="FI28" s="272">
        <f>FG28/EU28-1</f>
        <v>6.0548010222709019</v>
      </c>
      <c r="FJ28" s="268">
        <v>-210462</v>
      </c>
      <c r="FK28" s="269">
        <f t="shared" si="55"/>
        <v>-0.21942390830111533</v>
      </c>
      <c r="FL28" s="272">
        <f t="shared" si="56"/>
        <v>1.4551403940599372</v>
      </c>
      <c r="FM28" s="268">
        <v>-232007</v>
      </c>
      <c r="FN28" s="269">
        <f t="shared" si="240"/>
        <v>-0.18085983785469287</v>
      </c>
      <c r="FO28" s="272">
        <f t="shared" si="241"/>
        <v>0.59405134476847454</v>
      </c>
      <c r="FP28" s="268">
        <v>-236753</v>
      </c>
      <c r="FQ28" s="269">
        <f t="shared" si="59"/>
        <v>-0.21751123734481781</v>
      </c>
      <c r="FR28" s="272">
        <f t="shared" si="60"/>
        <v>0.32677281632197008</v>
      </c>
      <c r="FS28" s="268">
        <v>-255188</v>
      </c>
      <c r="FT28" s="269">
        <f t="shared" si="242"/>
        <v>-0.24077298345339684</v>
      </c>
      <c r="FU28" s="272">
        <f t="shared" si="243"/>
        <v>0.32063695783802815</v>
      </c>
      <c r="FV28" s="268">
        <v>-276112.37050000002</v>
      </c>
      <c r="FW28" s="269">
        <f t="shared" si="244"/>
        <v>-0.27449142458539583</v>
      </c>
      <c r="FX28" s="272">
        <f t="shared" si="245"/>
        <v>0.31193455588182206</v>
      </c>
      <c r="FY28" s="268">
        <v>-287892.05350000004</v>
      </c>
      <c r="FZ28" s="269">
        <f t="shared" si="246"/>
        <v>-0.20964640984906097</v>
      </c>
      <c r="GA28" s="272">
        <f t="shared" si="247"/>
        <v>0.24087658346515428</v>
      </c>
      <c r="GB28" s="268">
        <v>-362312.85366000008</v>
      </c>
      <c r="GC28" s="269">
        <f t="shared" si="248"/>
        <v>-0.31354506875811644</v>
      </c>
      <c r="GD28" s="272">
        <f t="shared" si="249"/>
        <v>0.53034113046086029</v>
      </c>
      <c r="GE28" s="268">
        <v>-376352.9448</v>
      </c>
      <c r="GF28" s="269">
        <f t="shared" si="250"/>
        <v>-0.48030746629660437</v>
      </c>
      <c r="GG28" s="272">
        <f t="shared" si="251"/>
        <v>0.47480659278649462</v>
      </c>
      <c r="GH28" s="268">
        <v>-387973</v>
      </c>
      <c r="GI28" s="269">
        <f t="shared" si="252"/>
        <v>-0.45582694289195319</v>
      </c>
      <c r="GJ28" s="272">
        <f t="shared" si="253"/>
        <v>0.4051271925898734</v>
      </c>
      <c r="GK28" s="268">
        <v>-341384.72759999998</v>
      </c>
      <c r="GL28" s="269">
        <f t="shared" si="254"/>
        <v>-0.29236780350360336</v>
      </c>
      <c r="GM28" s="272">
        <f t="shared" si="255"/>
        <v>0.18580809525539732</v>
      </c>
    </row>
    <row r="29" spans="2:195" ht="6" customHeight="1">
      <c r="B29" s="9"/>
      <c r="C29" s="9"/>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35"/>
      <c r="AD29" s="35"/>
      <c r="AE29" s="20"/>
      <c r="AF29" s="204"/>
      <c r="AG29" s="35"/>
      <c r="AH29" s="20"/>
      <c r="AI29" s="35"/>
      <c r="AJ29" s="35"/>
      <c r="AK29" s="20"/>
      <c r="AL29" s="35"/>
      <c r="AM29" s="35"/>
      <c r="AN29" s="20"/>
      <c r="AO29" s="35"/>
      <c r="AP29" s="35"/>
      <c r="AQ29" s="20"/>
      <c r="AR29" s="204"/>
      <c r="AS29" s="35"/>
      <c r="AT29" s="20"/>
      <c r="AU29" s="35"/>
      <c r="AV29" s="35"/>
      <c r="AW29" s="20"/>
      <c r="AX29" s="35"/>
      <c r="AY29" s="35"/>
      <c r="AZ29" s="20"/>
      <c r="BA29" s="35"/>
      <c r="BB29" s="35"/>
      <c r="BC29" s="20"/>
      <c r="BD29" s="204"/>
      <c r="BE29" s="35"/>
      <c r="BF29" s="20"/>
      <c r="BG29" s="35"/>
      <c r="BH29" s="35"/>
      <c r="BI29" s="20"/>
      <c r="BJ29" s="35"/>
      <c r="BK29" s="35"/>
      <c r="BL29" s="20"/>
      <c r="BM29" s="35"/>
      <c r="BN29" s="35"/>
      <c r="BO29" s="20"/>
      <c r="BP29" s="204"/>
      <c r="BQ29" s="35"/>
      <c r="BR29" s="20"/>
      <c r="BS29" s="35"/>
      <c r="BT29" s="35"/>
      <c r="BU29" s="20"/>
      <c r="BV29" s="35"/>
      <c r="BW29" s="35"/>
      <c r="BX29" s="20"/>
      <c r="BY29" s="35"/>
      <c r="BZ29" s="35"/>
      <c r="EG29" s="360"/>
      <c r="ES29" s="360"/>
      <c r="FE29" s="396"/>
      <c r="FH29" s="396"/>
      <c r="FK29" s="396"/>
      <c r="FN29" s="396"/>
      <c r="FQ29" s="396"/>
      <c r="FT29" s="396"/>
      <c r="FW29" s="396"/>
      <c r="FZ29" s="396"/>
      <c r="GC29" s="396"/>
      <c r="GF29" s="396"/>
      <c r="GI29" s="396"/>
      <c r="GL29" s="396"/>
    </row>
    <row r="30" spans="2:195" ht="13.5" customHeight="1">
      <c r="B30" s="9"/>
      <c r="C30" s="9"/>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35"/>
      <c r="AD30" s="35"/>
      <c r="AE30" s="20"/>
      <c r="AF30" s="204"/>
      <c r="AG30" s="35"/>
      <c r="AH30" s="20"/>
      <c r="AI30" s="35"/>
      <c r="AJ30" s="35"/>
      <c r="AK30" s="20"/>
      <c r="AL30" s="35"/>
      <c r="AM30" s="35"/>
      <c r="AN30" s="20"/>
      <c r="AO30" s="35"/>
      <c r="AP30" s="35"/>
      <c r="AQ30" s="20"/>
      <c r="AR30" s="204"/>
      <c r="AS30" s="35"/>
      <c r="AT30" s="20"/>
      <c r="AU30" s="35"/>
      <c r="AV30" s="35"/>
      <c r="AW30" s="20"/>
      <c r="AX30" s="35"/>
      <c r="AY30" s="35"/>
      <c r="AZ30" s="20"/>
      <c r="BA30" s="35"/>
      <c r="BB30" s="35"/>
      <c r="BC30" s="20"/>
      <c r="BD30" s="204"/>
      <c r="BE30" s="35"/>
      <c r="BF30" s="20"/>
      <c r="BG30" s="35"/>
      <c r="BH30" s="35"/>
      <c r="BI30" s="20"/>
      <c r="BJ30" s="35"/>
      <c r="BK30" s="35"/>
      <c r="BL30" s="20"/>
      <c r="BM30" s="35"/>
      <c r="BN30" s="35"/>
      <c r="BO30" s="20"/>
      <c r="BP30" s="204"/>
      <c r="BQ30" s="35"/>
      <c r="BR30" s="20"/>
      <c r="BS30" s="35"/>
      <c r="BT30" s="35"/>
      <c r="BU30" s="20"/>
      <c r="BV30" s="35"/>
      <c r="BW30" s="35"/>
      <c r="BX30" s="20"/>
      <c r="BY30" s="35"/>
      <c r="BZ30" s="35"/>
      <c r="EC30" s="362"/>
      <c r="EG30" s="360"/>
      <c r="ES30" s="360"/>
      <c r="FE30" s="396"/>
      <c r="FH30" s="396"/>
      <c r="FK30" s="396"/>
      <c r="FN30" s="396"/>
      <c r="FQ30" s="396"/>
      <c r="FT30" s="396"/>
      <c r="FW30" s="396"/>
      <c r="FZ30" s="396"/>
      <c r="GC30" s="396"/>
      <c r="GF30" s="396"/>
      <c r="GI30" s="396"/>
      <c r="GL30" s="396"/>
    </row>
    <row r="31" spans="2:195" s="200" customFormat="1" ht="16.5" customHeight="1">
      <c r="B31" s="47" t="s">
        <v>1052</v>
      </c>
      <c r="C31" s="47" t="s">
        <v>1288</v>
      </c>
      <c r="D31" s="349" t="s">
        <v>77</v>
      </c>
      <c r="E31" s="98" t="s">
        <v>77</v>
      </c>
      <c r="F31" s="98" t="s">
        <v>77</v>
      </c>
      <c r="G31" s="349" t="s">
        <v>77</v>
      </c>
      <c r="H31" s="98" t="s">
        <v>77</v>
      </c>
      <c r="I31" s="98" t="s">
        <v>77</v>
      </c>
      <c r="J31" s="349" t="s">
        <v>77</v>
      </c>
      <c r="K31" s="98" t="s">
        <v>77</v>
      </c>
      <c r="L31" s="98" t="s">
        <v>77</v>
      </c>
      <c r="M31" s="349" t="s">
        <v>77</v>
      </c>
      <c r="N31" s="98" t="s">
        <v>77</v>
      </c>
      <c r="O31" s="98" t="s">
        <v>77</v>
      </c>
      <c r="P31" s="349" t="s">
        <v>77</v>
      </c>
      <c r="Q31" s="98" t="s">
        <v>77</v>
      </c>
      <c r="R31" s="97" t="s">
        <v>77</v>
      </c>
      <c r="S31" s="349" t="s">
        <v>77</v>
      </c>
      <c r="T31" s="98" t="s">
        <v>77</v>
      </c>
      <c r="U31" s="97" t="s">
        <v>77</v>
      </c>
      <c r="V31" s="95">
        <v>51300</v>
      </c>
      <c r="W31" s="96">
        <f t="shared" ref="W31" si="270">V31/V$31</f>
        <v>1</v>
      </c>
      <c r="X31" s="97" t="e">
        <f>(V31/J31)-1</f>
        <v>#VALUE!</v>
      </c>
      <c r="Y31" s="95">
        <v>69400</v>
      </c>
      <c r="Z31" s="96">
        <f t="shared" ref="Z31" si="271">Y31/Y$31</f>
        <v>1</v>
      </c>
      <c r="AA31" s="97" t="e">
        <f>(Y31/M31)-1</f>
        <v>#VALUE!</v>
      </c>
      <c r="AB31" s="95">
        <v>85070</v>
      </c>
      <c r="AC31" s="96">
        <f t="shared" ref="AC31" si="272">AB31/AB$31</f>
        <v>1</v>
      </c>
      <c r="AD31" s="99" t="e">
        <f>(AB31/P31)-1</f>
        <v>#VALUE!</v>
      </c>
      <c r="AE31" s="95">
        <v>92228</v>
      </c>
      <c r="AF31" s="96">
        <f t="shared" ref="AF31" si="273">AE31/AE$31</f>
        <v>1</v>
      </c>
      <c r="AG31" s="99" t="e">
        <f>(AE31/S31)-1</f>
        <v>#VALUE!</v>
      </c>
      <c r="AH31" s="95">
        <v>97937</v>
      </c>
      <c r="AI31" s="96">
        <f t="shared" ref="AI31" si="274">AH31/AH$31</f>
        <v>1</v>
      </c>
      <c r="AJ31" s="99">
        <f>(AH31/V31)-1</f>
        <v>0.90910331384015586</v>
      </c>
      <c r="AK31" s="95">
        <v>90929</v>
      </c>
      <c r="AL31" s="96">
        <f t="shared" ref="AL31" si="275">AK31/AK$31</f>
        <v>1</v>
      </c>
      <c r="AM31" s="99">
        <f>(AK31/Y31)-1</f>
        <v>0.31021613832853023</v>
      </c>
      <c r="AN31" s="95">
        <v>93601.721029999986</v>
      </c>
      <c r="AO31" s="96">
        <f t="shared" ref="AO31" si="276">AN31/AN$31</f>
        <v>1</v>
      </c>
      <c r="AP31" s="99">
        <f>(AN31/AB31)-1</f>
        <v>0.10029059633243187</v>
      </c>
      <c r="AQ31" s="95">
        <v>94386.611390000005</v>
      </c>
      <c r="AR31" s="96">
        <f t="shared" ref="AR31" si="277">AQ31/AQ$31</f>
        <v>1</v>
      </c>
      <c r="AS31" s="99">
        <f>(AQ31/AE31)-1</f>
        <v>2.3405163182547595E-2</v>
      </c>
      <c r="AT31" s="95">
        <v>89378.932960000006</v>
      </c>
      <c r="AU31" s="96">
        <f t="shared" ref="AU31" si="278">AT31/AT$31</f>
        <v>1</v>
      </c>
      <c r="AV31" s="99">
        <f>(AT31/AH31)-1</f>
        <v>-8.7383389730132599E-2</v>
      </c>
      <c r="AW31" s="95">
        <v>86906.114619999993</v>
      </c>
      <c r="AX31" s="96">
        <f t="shared" ref="AX31" si="279">AW31/AW$31</f>
        <v>1</v>
      </c>
      <c r="AY31" s="99">
        <f>(AW31/AK31)-1</f>
        <v>-4.424205017101257E-2</v>
      </c>
      <c r="AZ31" s="95">
        <v>91795.712390000001</v>
      </c>
      <c r="BA31" s="96">
        <f t="shared" ref="BA31" si="280">AZ31/AZ$31</f>
        <v>1</v>
      </c>
      <c r="BB31" s="99">
        <f>(AZ31/AN31)-1</f>
        <v>-1.9294609331180435E-2</v>
      </c>
      <c r="BC31" s="95">
        <v>91155.250557143896</v>
      </c>
      <c r="BD31" s="96">
        <f t="shared" ref="BD31" si="281">BC31/BC$31</f>
        <v>1</v>
      </c>
      <c r="BE31" s="99">
        <f>(BC31/AQ31)-1</f>
        <v>-3.4235372848637535E-2</v>
      </c>
      <c r="BF31" s="95">
        <v>92878.92475229541</v>
      </c>
      <c r="BG31" s="96">
        <f t="shared" ref="BG31" si="282">BF31/BF$31</f>
        <v>1</v>
      </c>
      <c r="BH31" s="99">
        <f>(BF31/AT31)-1</f>
        <v>3.9159024127774833E-2</v>
      </c>
      <c r="BI31" s="95">
        <v>94036.402908085191</v>
      </c>
      <c r="BJ31" s="96">
        <f t="shared" ref="BJ31" si="283">BI31/BI$31</f>
        <v>1</v>
      </c>
      <c r="BK31" s="99">
        <f>(BI31/AW31)-1</f>
        <v>8.2045875819700687E-2</v>
      </c>
      <c r="BL31" s="95">
        <v>98544.998140000011</v>
      </c>
      <c r="BM31" s="96">
        <f t="shared" ref="BM31" si="284">BL31/BL$31</f>
        <v>1</v>
      </c>
      <c r="BN31" s="99">
        <f>(BL31/AZ31)-1</f>
        <v>7.3525065324677064E-2</v>
      </c>
      <c r="BO31" s="95">
        <v>102746.54474</v>
      </c>
      <c r="BP31" s="96">
        <f t="shared" ref="BP31" si="285">BO31/BO$31</f>
        <v>1</v>
      </c>
      <c r="BQ31" s="99">
        <f>(BO31/BC31)-1</f>
        <v>0.12715991796423931</v>
      </c>
      <c r="BR31" s="95">
        <v>107314.308176536</v>
      </c>
      <c r="BS31" s="96">
        <f t="shared" ref="BS31" si="286">BR31/BR$31</f>
        <v>1</v>
      </c>
      <c r="BT31" s="99">
        <f>(BR31/BF31)-1</f>
        <v>0.15542151745123234</v>
      </c>
      <c r="BU31" s="95">
        <v>104848.67298</v>
      </c>
      <c r="BV31" s="96">
        <f t="shared" ref="BV31" si="287">BU31/BU$31</f>
        <v>1</v>
      </c>
      <c r="BW31" s="99">
        <f>(BU31/BI31)-1</f>
        <v>0.1149796221202033</v>
      </c>
      <c r="BX31" s="95">
        <v>110645.78666</v>
      </c>
      <c r="BY31" s="96">
        <f t="shared" ref="BY31" si="288">BX31/BX$31</f>
        <v>1</v>
      </c>
      <c r="BZ31" s="99">
        <f>(BX31/BL31)-1</f>
        <v>0.12279454815970214</v>
      </c>
      <c r="CA31" s="95">
        <v>116323.668065224</v>
      </c>
      <c r="CB31" s="96">
        <f t="shared" ref="CB31" si="289">CA31/CA$31</f>
        <v>1</v>
      </c>
      <c r="CC31" s="99">
        <f>(CA31/BO31)-1</f>
        <v>0.13214189693269884</v>
      </c>
      <c r="CD31" s="95">
        <v>112368.30553</v>
      </c>
      <c r="CE31" s="96">
        <f t="shared" ref="CE31" si="290">CD31/CD$31</f>
        <v>1</v>
      </c>
      <c r="CF31" s="99">
        <f>(CD31/BR31)-1</f>
        <v>4.7095279644816745E-2</v>
      </c>
      <c r="CG31" s="95">
        <f>+CG33</f>
        <v>108016</v>
      </c>
      <c r="CH31" s="96">
        <f t="shared" ref="CH31:CH34" si="291">CG31/CG$31</f>
        <v>1</v>
      </c>
      <c r="CI31" s="99">
        <f>(CG31/BU31)-1</f>
        <v>3.0208556102604867E-2</v>
      </c>
      <c r="CJ31" s="95">
        <f>+CJ33</f>
        <v>112339</v>
      </c>
      <c r="CK31" s="96">
        <f t="shared" ref="CK31:CK34" si="292">CJ31/CJ$31</f>
        <v>1</v>
      </c>
      <c r="CL31" s="99">
        <f>(CJ31/BX31)-1</f>
        <v>1.530300783348415E-2</v>
      </c>
      <c r="CM31" s="95">
        <f>+CM33</f>
        <v>117291</v>
      </c>
      <c r="CN31" s="96">
        <f t="shared" ref="CN31:CN34" si="293">CM31/CM$31</f>
        <v>1</v>
      </c>
      <c r="CO31" s="99">
        <f>(CM31/CA31)-1</f>
        <v>8.3158651275818674E-3</v>
      </c>
      <c r="CP31" s="95">
        <f>+CP33</f>
        <v>122143</v>
      </c>
      <c r="CQ31" s="96">
        <f t="shared" ref="CQ31:CQ34" si="294">CP31/CP$31</f>
        <v>1</v>
      </c>
      <c r="CR31" s="99">
        <f>(CP31/CD31)-1</f>
        <v>8.6988002745937765E-2</v>
      </c>
      <c r="CS31" s="95">
        <f>+CS33</f>
        <v>120726</v>
      </c>
      <c r="CT31" s="96">
        <f t="shared" ref="CT31:CT34" si="295">CS31/CS$31</f>
        <v>1</v>
      </c>
      <c r="CU31" s="99">
        <f>(CS31/CG31)-1</f>
        <v>0.11766775292549259</v>
      </c>
      <c r="CV31" s="95">
        <f>+CV33</f>
        <v>130849</v>
      </c>
      <c r="CW31" s="96">
        <f t="shared" ref="CW31:CW34" si="296">CV31/CV$31</f>
        <v>1</v>
      </c>
      <c r="CX31" s="99">
        <f>(CV31/CJ31)-1</f>
        <v>0.16476913627502476</v>
      </c>
      <c r="CY31" s="95">
        <f>+CY33</f>
        <v>131623</v>
      </c>
      <c r="CZ31" s="96">
        <f t="shared" ref="CZ31:CZ34" si="297">CY31/CY$31</f>
        <v>1</v>
      </c>
      <c r="DA31" s="99">
        <f>(CY31/CM31)-1</f>
        <v>0.12219181352362929</v>
      </c>
      <c r="DB31" s="95">
        <f>+DB33</f>
        <v>141295</v>
      </c>
      <c r="DC31" s="96">
        <f t="shared" ref="DC31:DC34" si="298">DB31/DB$31</f>
        <v>1</v>
      </c>
      <c r="DD31" s="99">
        <f>(DB31/CP31)-1</f>
        <v>0.1567998166084017</v>
      </c>
      <c r="DE31" s="95">
        <f>+DE33</f>
        <v>142448</v>
      </c>
      <c r="DF31" s="96">
        <f t="shared" ref="DF31:DF34" si="299">DE31/DE$31</f>
        <v>1</v>
      </c>
      <c r="DG31" s="99">
        <f>(DE31/CS31)-1</f>
        <v>0.17992810165167406</v>
      </c>
      <c r="DH31" s="95">
        <f>+DH33</f>
        <v>155752</v>
      </c>
      <c r="DI31" s="96">
        <f t="shared" ref="DI31:DI34" si="300">DH31/DH$31</f>
        <v>1</v>
      </c>
      <c r="DJ31" s="99">
        <f>(DH31/CV31)-1</f>
        <v>0.19031861152932006</v>
      </c>
      <c r="DK31" s="95">
        <f>+DK33</f>
        <v>160876</v>
      </c>
      <c r="DL31" s="96">
        <f t="shared" ref="DL31:DL34" si="301">DK31/DK$31</f>
        <v>1</v>
      </c>
      <c r="DM31" s="99">
        <f>(DK31/CY31)-1</f>
        <v>0.22224839123861329</v>
      </c>
      <c r="DN31" s="95">
        <f>+DN33</f>
        <v>180568</v>
      </c>
      <c r="DO31" s="96">
        <f t="shared" ref="DO31:DO34" si="302">DN31/DN$31</f>
        <v>1</v>
      </c>
      <c r="DP31" s="99">
        <f>(DN31/DB31)-1</f>
        <v>0.27795038748717227</v>
      </c>
      <c r="DQ31" s="95">
        <f>+DQ33</f>
        <v>168885</v>
      </c>
      <c r="DR31" s="96">
        <f t="shared" ref="DR31:DR34" si="303">DQ31/DQ$31</f>
        <v>1</v>
      </c>
      <c r="DS31" s="99">
        <f>(DQ31/DE31)-1</f>
        <v>0.18559053128159042</v>
      </c>
      <c r="DT31" s="95">
        <f>+DT33</f>
        <v>181879</v>
      </c>
      <c r="DU31" s="96">
        <f t="shared" ref="DU31:DU34" si="304">DT31/DT$31</f>
        <v>1</v>
      </c>
      <c r="DV31" s="99">
        <f>(DT31/DH31)-1</f>
        <v>0.16774744465560643</v>
      </c>
      <c r="DW31" s="95">
        <f>+DW33</f>
        <v>196806</v>
      </c>
      <c r="DX31" s="96">
        <f t="shared" ref="DX31:DX34" si="305">DW31/DW$31</f>
        <v>1</v>
      </c>
      <c r="DY31" s="99">
        <f>(DW31/DK31)-1</f>
        <v>0.22333971506004624</v>
      </c>
      <c r="DZ31" s="95">
        <f>+DZ33</f>
        <v>194293</v>
      </c>
      <c r="EA31" s="96">
        <f t="shared" ref="EA31:EA34" si="306">DZ31/DZ$31</f>
        <v>1</v>
      </c>
      <c r="EB31" s="99">
        <f>(DZ31/DN31)-1</f>
        <v>7.6010145762261283E-2</v>
      </c>
      <c r="EC31" s="95">
        <f>+EC33</f>
        <v>179383</v>
      </c>
      <c r="ED31" s="96">
        <f t="shared" ref="ED31:ED34" si="307">EC31/EC$31</f>
        <v>1</v>
      </c>
      <c r="EE31" s="99">
        <f>(EC31/DQ31)-1</f>
        <v>6.2160641856884968E-2</v>
      </c>
      <c r="EF31" s="95">
        <f>+EF33</f>
        <v>179812</v>
      </c>
      <c r="EG31" s="96">
        <f t="shared" ref="EG31:EG34" si="308">EF31/EF$31</f>
        <v>1</v>
      </c>
      <c r="EH31" s="99">
        <f>(EF31/DT31)-1</f>
        <v>-1.136469850834898E-2</v>
      </c>
      <c r="EI31" s="95">
        <f>+EI33</f>
        <v>179789</v>
      </c>
      <c r="EJ31" s="96">
        <f t="shared" ref="EJ31" si="309">EI31/EI$31</f>
        <v>1</v>
      </c>
      <c r="EK31" s="99">
        <f>(EI31/DW31)-1</f>
        <v>-8.6465859780697762E-2</v>
      </c>
      <c r="EL31" s="95">
        <f>+EL33</f>
        <v>167140</v>
      </c>
      <c r="EM31" s="96">
        <f t="shared" ref="EM31" si="310">EL31/EL$31</f>
        <v>1</v>
      </c>
      <c r="EN31" s="99">
        <f>(EL31/DZ31)-1</f>
        <v>-0.13975284750351269</v>
      </c>
      <c r="EO31" s="95">
        <f>+EO33</f>
        <v>144639</v>
      </c>
      <c r="EP31" s="96">
        <f t="shared" ref="EP31" si="311">EO31/EO$31</f>
        <v>1</v>
      </c>
      <c r="EQ31" s="99">
        <f>(EO31/EC31)-1</f>
        <v>-0.19368613525250444</v>
      </c>
      <c r="ER31" s="95">
        <f>+ER33</f>
        <v>140840</v>
      </c>
      <c r="ES31" s="96">
        <f t="shared" ref="ES31:ES34" si="312">ER31/ER$31</f>
        <v>1</v>
      </c>
      <c r="ET31" s="99">
        <f>(ER31/EF31)-1</f>
        <v>-0.21673748136943027</v>
      </c>
      <c r="EU31" s="95">
        <f>+EU33</f>
        <v>115517</v>
      </c>
      <c r="EV31" s="96">
        <f t="shared" ref="EV31" si="313">EU31/EU$31</f>
        <v>1</v>
      </c>
      <c r="EW31" s="99">
        <f>(EU31/EI31)-1</f>
        <v>-0.35748571937104046</v>
      </c>
      <c r="EX31" s="95">
        <f>+EX33</f>
        <v>89020</v>
      </c>
      <c r="EY31" s="96">
        <f t="shared" ref="EY31" si="314">EX31/EX$31</f>
        <v>1</v>
      </c>
      <c r="EZ31" s="99">
        <f>(EX31/EL31)-1</f>
        <v>-0.46739260500179491</v>
      </c>
      <c r="FA31" s="95">
        <f>+FA33</f>
        <v>71889.2</v>
      </c>
      <c r="FB31" s="96">
        <f t="shared" ref="FB31" si="315">FA31/FA$31</f>
        <v>1</v>
      </c>
      <c r="FC31" s="99">
        <f>(FA31/EO31)-1</f>
        <v>-0.50297499291339132</v>
      </c>
      <c r="FD31" s="95">
        <f>+FD33</f>
        <v>63058</v>
      </c>
      <c r="FE31" s="96">
        <f t="shared" ref="FE31:FE34" si="316">FD31/FD$31</f>
        <v>1</v>
      </c>
      <c r="FF31" s="99">
        <f>(FD31/ER31)-1</f>
        <v>-0.55227208179494469</v>
      </c>
      <c r="FG31" s="95">
        <f>+FG33</f>
        <v>58273</v>
      </c>
      <c r="FH31" s="96">
        <f t="shared" ref="FH31:FH34" si="317">FG31/FG$31</f>
        <v>1</v>
      </c>
      <c r="FI31" s="99">
        <f>(FG31/EU31)-1</f>
        <v>-0.49554611009634941</v>
      </c>
      <c r="FJ31" s="95">
        <f>+FJ33</f>
        <v>55364</v>
      </c>
      <c r="FK31" s="96">
        <f t="shared" ref="FK31" si="318">FJ31/FJ$31</f>
        <v>1</v>
      </c>
      <c r="FL31" s="99">
        <f>(FJ31/EX31)-1</f>
        <v>-0.37807234329364192</v>
      </c>
      <c r="FM31" s="95">
        <f>+FM33</f>
        <v>50849</v>
      </c>
      <c r="FN31" s="96">
        <f t="shared" ref="FN31:FN34" si="319">FM31/FM$31</f>
        <v>1</v>
      </c>
      <c r="FO31" s="99">
        <f>(FM31/FA31)-1</f>
        <v>-0.2926753949132832</v>
      </c>
      <c r="FP31" s="95">
        <f>+FP33</f>
        <v>53099.677779999998</v>
      </c>
      <c r="FQ31" s="96">
        <f t="shared" ref="FQ31:FQ34" si="320">FP31/FP$31</f>
        <v>1</v>
      </c>
      <c r="FR31" s="99">
        <f>(FP31/FD31)-1</f>
        <v>-0.15792321703828227</v>
      </c>
      <c r="FS31" s="95">
        <f>+FS33</f>
        <v>54755</v>
      </c>
      <c r="FT31" s="96">
        <f t="shared" ref="FT31:FT34" si="321">FS31/FS$31</f>
        <v>1</v>
      </c>
      <c r="FU31" s="99">
        <f>(FS31/FG31)-1</f>
        <v>-6.0371012304154537E-2</v>
      </c>
      <c r="FV31" s="95">
        <f>+FV33</f>
        <v>53700.822370000002</v>
      </c>
      <c r="FW31" s="96">
        <f t="shared" ref="FW31:FW34" si="322">FV31/FV$31</f>
        <v>1</v>
      </c>
      <c r="FX31" s="99">
        <f>(FV31/FJ31)-1</f>
        <v>-3.0040777942345165E-2</v>
      </c>
      <c r="FY31" s="95">
        <f>+FY33</f>
        <v>0</v>
      </c>
      <c r="FZ31" s="96" t="e">
        <f t="shared" ref="FZ31:FZ34" si="323">FY31/FY$31</f>
        <v>#DIV/0!</v>
      </c>
      <c r="GA31" s="99">
        <f>(FY31/FM31)-1</f>
        <v>-1</v>
      </c>
      <c r="GB31" s="95">
        <f>+GB33</f>
        <v>0</v>
      </c>
      <c r="GC31" s="96" t="e">
        <f t="shared" ref="GC31:GC34" si="324">GB31/GB$31</f>
        <v>#DIV/0!</v>
      </c>
      <c r="GD31" s="99">
        <f>(GB31/FP31)-1</f>
        <v>-1</v>
      </c>
      <c r="GE31" s="95">
        <f>+GE33</f>
        <v>0</v>
      </c>
      <c r="GF31" s="96" t="e">
        <f t="shared" ref="GF31:GF34" si="325">GE31/GE$31</f>
        <v>#DIV/0!</v>
      </c>
      <c r="GG31" s="99">
        <f>(GE31/FS31)-1</f>
        <v>-1</v>
      </c>
      <c r="GH31" s="95">
        <f>+GH33</f>
        <v>0</v>
      </c>
      <c r="GI31" s="96" t="e">
        <f t="shared" ref="GI31:GI34" si="326">GH31/GH$31</f>
        <v>#DIV/0!</v>
      </c>
      <c r="GJ31" s="99">
        <f>(GH31/FV31)-1</f>
        <v>-1</v>
      </c>
      <c r="GK31" s="95">
        <f>+GK33</f>
        <v>0</v>
      </c>
      <c r="GL31" s="96" t="e">
        <f t="shared" ref="GL31:GL34" si="327">GK31/GK$31</f>
        <v>#DIV/0!</v>
      </c>
      <c r="GM31" s="99" t="e">
        <f>(GK31/FY31)-1</f>
        <v>#DIV/0!</v>
      </c>
    </row>
    <row r="32" spans="2:195" s="200" customFormat="1" ht="16.5" customHeight="1">
      <c r="B32" s="47" t="s">
        <v>1053</v>
      </c>
      <c r="C32" s="47" t="s">
        <v>1289</v>
      </c>
      <c r="D32" s="349" t="s">
        <v>77</v>
      </c>
      <c r="E32" s="98" t="s">
        <v>77</v>
      </c>
      <c r="F32" s="98" t="s">
        <v>77</v>
      </c>
      <c r="G32" s="349" t="s">
        <v>77</v>
      </c>
      <c r="H32" s="98" t="s">
        <v>77</v>
      </c>
      <c r="I32" s="98" t="s">
        <v>77</v>
      </c>
      <c r="J32" s="349" t="s">
        <v>77</v>
      </c>
      <c r="K32" s="98" t="s">
        <v>77</v>
      </c>
      <c r="L32" s="98" t="s">
        <v>77</v>
      </c>
      <c r="M32" s="349" t="s">
        <v>77</v>
      </c>
      <c r="N32" s="98" t="s">
        <v>77</v>
      </c>
      <c r="O32" s="98" t="s">
        <v>77</v>
      </c>
      <c r="P32" s="349" t="s">
        <v>77</v>
      </c>
      <c r="Q32" s="98" t="s">
        <v>77</v>
      </c>
      <c r="R32" s="97" t="s">
        <v>77</v>
      </c>
      <c r="S32" s="349" t="s">
        <v>77</v>
      </c>
      <c r="T32" s="98" t="s">
        <v>77</v>
      </c>
      <c r="U32" s="97" t="s">
        <v>77</v>
      </c>
      <c r="V32" s="349" t="s">
        <v>77</v>
      </c>
      <c r="W32" s="98" t="s">
        <v>77</v>
      </c>
      <c r="X32" s="97" t="s">
        <v>77</v>
      </c>
      <c r="Y32" s="349" t="s">
        <v>77</v>
      </c>
      <c r="Z32" s="98" t="s">
        <v>77</v>
      </c>
      <c r="AA32" s="97" t="s">
        <v>77</v>
      </c>
      <c r="AB32" s="349" t="s">
        <v>77</v>
      </c>
      <c r="AC32" s="98" t="s">
        <v>77</v>
      </c>
      <c r="AD32" s="99" t="s">
        <v>77</v>
      </c>
      <c r="AE32" s="349" t="s">
        <v>77</v>
      </c>
      <c r="AF32" s="98" t="s">
        <v>77</v>
      </c>
      <c r="AG32" s="99" t="s">
        <v>77</v>
      </c>
      <c r="AH32" s="349" t="s">
        <v>77</v>
      </c>
      <c r="AI32" s="98" t="s">
        <v>77</v>
      </c>
      <c r="AJ32" s="99" t="s">
        <v>77</v>
      </c>
      <c r="AK32" s="349" t="s">
        <v>77</v>
      </c>
      <c r="AL32" s="98" t="s">
        <v>77</v>
      </c>
      <c r="AM32" s="99" t="s">
        <v>77</v>
      </c>
      <c r="AN32" s="349" t="s">
        <v>77</v>
      </c>
      <c r="AO32" s="98" t="s">
        <v>77</v>
      </c>
      <c r="AP32" s="99" t="s">
        <v>77</v>
      </c>
      <c r="AQ32" s="349" t="s">
        <v>77</v>
      </c>
      <c r="AR32" s="98" t="s">
        <v>77</v>
      </c>
      <c r="AS32" s="99" t="s">
        <v>77</v>
      </c>
      <c r="AT32" s="349" t="s">
        <v>77</v>
      </c>
      <c r="AU32" s="98" t="s">
        <v>77</v>
      </c>
      <c r="AV32" s="99" t="s">
        <v>77</v>
      </c>
      <c r="AW32" s="349" t="s">
        <v>77</v>
      </c>
      <c r="AX32" s="98" t="s">
        <v>77</v>
      </c>
      <c r="AY32" s="99" t="s">
        <v>77</v>
      </c>
      <c r="AZ32" s="349" t="s">
        <v>77</v>
      </c>
      <c r="BA32" s="98" t="s">
        <v>77</v>
      </c>
      <c r="BB32" s="99" t="s">
        <v>77</v>
      </c>
      <c r="BC32" s="349" t="s">
        <v>77</v>
      </c>
      <c r="BD32" s="98" t="s">
        <v>77</v>
      </c>
      <c r="BE32" s="99" t="s">
        <v>77</v>
      </c>
      <c r="BF32" s="349" t="s">
        <v>77</v>
      </c>
      <c r="BG32" s="98" t="s">
        <v>77</v>
      </c>
      <c r="BH32" s="99" t="s">
        <v>77</v>
      </c>
      <c r="BI32" s="349" t="s">
        <v>77</v>
      </c>
      <c r="BJ32" s="98" t="s">
        <v>77</v>
      </c>
      <c r="BK32" s="99" t="s">
        <v>77</v>
      </c>
      <c r="BL32" s="349" t="s">
        <v>77</v>
      </c>
      <c r="BM32" s="98" t="s">
        <v>77</v>
      </c>
      <c r="BN32" s="99" t="s">
        <v>77</v>
      </c>
      <c r="BO32" s="349" t="s">
        <v>77</v>
      </c>
      <c r="BP32" s="98" t="s">
        <v>77</v>
      </c>
      <c r="BQ32" s="99" t="s">
        <v>77</v>
      </c>
      <c r="BR32" s="349" t="s">
        <v>77</v>
      </c>
      <c r="BS32" s="98" t="s">
        <v>77</v>
      </c>
      <c r="BT32" s="99" t="s">
        <v>77</v>
      </c>
      <c r="BU32" s="349" t="s">
        <v>77</v>
      </c>
      <c r="BV32" s="98" t="s">
        <v>77</v>
      </c>
      <c r="BW32" s="99" t="s">
        <v>77</v>
      </c>
      <c r="BX32" s="349" t="s">
        <v>77</v>
      </c>
      <c r="BY32" s="98" t="s">
        <v>77</v>
      </c>
      <c r="BZ32" s="99" t="s">
        <v>77</v>
      </c>
      <c r="CA32" s="349" t="s">
        <v>77</v>
      </c>
      <c r="CB32" s="98" t="s">
        <v>77</v>
      </c>
      <c r="CC32" s="99" t="s">
        <v>77</v>
      </c>
      <c r="CD32" s="349" t="s">
        <v>77</v>
      </c>
      <c r="CE32" s="98" t="s">
        <v>77</v>
      </c>
      <c r="CF32" s="99" t="s">
        <v>77</v>
      </c>
      <c r="CG32" s="95">
        <f>+CG33+CG34</f>
        <v>90298</v>
      </c>
      <c r="CH32" s="96">
        <f t="shared" si="291"/>
        <v>0.83596874537105614</v>
      </c>
      <c r="CI32" s="99" t="s">
        <v>112</v>
      </c>
      <c r="CJ32" s="95">
        <f>+CJ33+CJ34</f>
        <v>94641</v>
      </c>
      <c r="CK32" s="96">
        <f t="shared" si="292"/>
        <v>0.84245898574849343</v>
      </c>
      <c r="CL32" s="99" t="s">
        <v>112</v>
      </c>
      <c r="CM32" s="95">
        <f>+CM33+CM34</f>
        <v>99611</v>
      </c>
      <c r="CN32" s="96">
        <f t="shared" si="293"/>
        <v>0.84926379688126119</v>
      </c>
      <c r="CO32" s="99" t="s">
        <v>112</v>
      </c>
      <c r="CP32" s="95">
        <f>+CP33+CP34</f>
        <v>103362</v>
      </c>
      <c r="CQ32" s="96">
        <f t="shared" si="294"/>
        <v>0.84623760673964121</v>
      </c>
      <c r="CR32" s="99" t="s">
        <v>112</v>
      </c>
      <c r="CS32" s="95">
        <f>+CS33+CS34</f>
        <v>102209</v>
      </c>
      <c r="CT32" s="96">
        <f t="shared" si="295"/>
        <v>0.84661961797790042</v>
      </c>
      <c r="CU32" s="99">
        <f>(CS32/CG32)-1</f>
        <v>0.1319076834481383</v>
      </c>
      <c r="CV32" s="95">
        <f>+CV33+CV34</f>
        <v>111393</v>
      </c>
      <c r="CW32" s="96">
        <f t="shared" si="296"/>
        <v>0.85130952471933297</v>
      </c>
      <c r="CX32" s="99">
        <f>(CV32/CJ32)-1</f>
        <v>0.17700573747107495</v>
      </c>
      <c r="CY32" s="95">
        <f>+CY33+CY34</f>
        <v>111414</v>
      </c>
      <c r="CZ32" s="96">
        <f t="shared" si="297"/>
        <v>0.84646300418619846</v>
      </c>
      <c r="DA32" s="99">
        <f>(CY32/CM32)-1</f>
        <v>0.11849092971659747</v>
      </c>
      <c r="DB32" s="95">
        <f>+DB33+DB34</f>
        <v>119519</v>
      </c>
      <c r="DC32" s="96">
        <f t="shared" si="298"/>
        <v>0.84588272762659689</v>
      </c>
      <c r="DD32" s="99">
        <f>(DB32/CP32)-1</f>
        <v>0.15631469979296075</v>
      </c>
      <c r="DE32" s="95">
        <f>+DE33+DE34</f>
        <v>119559</v>
      </c>
      <c r="DF32" s="96">
        <f t="shared" si="299"/>
        <v>0.83931680332472203</v>
      </c>
      <c r="DG32" s="99">
        <f>(DE32/CS32)-1</f>
        <v>0.16975021769120135</v>
      </c>
      <c r="DH32" s="95">
        <f>+DH33+DH34</f>
        <v>131860</v>
      </c>
      <c r="DI32" s="96">
        <f t="shared" si="300"/>
        <v>0.84660229082130567</v>
      </c>
      <c r="DJ32" s="99">
        <f>(DH32/CV32)-1</f>
        <v>0.1837368595872273</v>
      </c>
      <c r="DK32" s="95">
        <f>+DK33+DK34</f>
        <v>137515</v>
      </c>
      <c r="DL32" s="96">
        <f t="shared" si="301"/>
        <v>0.8547887814217161</v>
      </c>
      <c r="DM32" s="99">
        <f>(DK32/CY32)-1</f>
        <v>0.23427037894699043</v>
      </c>
      <c r="DN32" s="95">
        <f>+DN33+DN34</f>
        <v>154928</v>
      </c>
      <c r="DO32" s="96">
        <f t="shared" si="302"/>
        <v>0.85800363298037308</v>
      </c>
      <c r="DP32" s="99">
        <f>(DN32/DB32)-1</f>
        <v>0.29626251893004452</v>
      </c>
      <c r="DQ32" s="95">
        <f>+DQ33+DQ34</f>
        <v>141696</v>
      </c>
      <c r="DR32" s="96">
        <f t="shared" si="303"/>
        <v>0.83900879296562747</v>
      </c>
      <c r="DS32" s="99">
        <f>(DQ32/DE32)-1</f>
        <v>0.185155446265024</v>
      </c>
      <c r="DT32" s="95">
        <f>+DT33+DT34</f>
        <v>153639</v>
      </c>
      <c r="DU32" s="96">
        <f t="shared" si="304"/>
        <v>0.84473193716701767</v>
      </c>
      <c r="DV32" s="99">
        <f>(DT32/DH32)-1</f>
        <v>0.16516760200212355</v>
      </c>
      <c r="DW32" s="95">
        <f>+DW33+DW34</f>
        <v>165131</v>
      </c>
      <c r="DX32" s="96">
        <f t="shared" si="305"/>
        <v>0.8390547036167596</v>
      </c>
      <c r="DY32" s="99">
        <f>(DW32/DK32)-1</f>
        <v>0.20082172853870484</v>
      </c>
      <c r="DZ32" s="95">
        <f>+DZ33+DZ34</f>
        <v>159537</v>
      </c>
      <c r="EA32" s="96">
        <f t="shared" si="306"/>
        <v>0.82111553169697316</v>
      </c>
      <c r="EB32" s="99">
        <f>(DZ32/DN32)-1</f>
        <v>2.9749302901993291E-2</v>
      </c>
      <c r="EC32" s="95">
        <f>+EC33+EC34</f>
        <v>143261</v>
      </c>
      <c r="ED32" s="96">
        <f t="shared" si="307"/>
        <v>0.7986319773891617</v>
      </c>
      <c r="EE32" s="99">
        <f>(EC32/DQ32)-1</f>
        <v>1.1044771906052464E-2</v>
      </c>
      <c r="EF32" s="95">
        <f>+EF33+EF34</f>
        <v>143842</v>
      </c>
      <c r="EG32" s="96">
        <f t="shared" si="308"/>
        <v>0.79995773363290545</v>
      </c>
      <c r="EH32" s="99">
        <f>(EF32/DT32)-1</f>
        <v>-6.3766361405632632E-2</v>
      </c>
      <c r="EI32" s="95">
        <f>+EI33+EI34</f>
        <v>141803</v>
      </c>
      <c r="EJ32" s="96">
        <f>EI32/EI$31</f>
        <v>0.788718998381436</v>
      </c>
      <c r="EK32" s="99">
        <f>(EI32/DW32)-1</f>
        <v>-0.14126965863465979</v>
      </c>
      <c r="EL32" s="95">
        <f>+EL33+EL34</f>
        <v>130644</v>
      </c>
      <c r="EM32" s="96">
        <f>EL32/EL$31</f>
        <v>0.78164413066890037</v>
      </c>
      <c r="EN32" s="99">
        <f>(EL32/DZ32)-1</f>
        <v>-0.18110532352996489</v>
      </c>
      <c r="EO32" s="95">
        <f>+EO33+EO34</f>
        <v>109650</v>
      </c>
      <c r="EP32" s="96">
        <f>EO32/EO$31</f>
        <v>0.75809428992180528</v>
      </c>
      <c r="EQ32" s="99">
        <f>(EO32/EC32)-1</f>
        <v>-0.234613746937408</v>
      </c>
      <c r="ER32" s="95">
        <f>+ER33+ER34</f>
        <v>107236</v>
      </c>
      <c r="ES32" s="96">
        <f t="shared" si="312"/>
        <v>0.76140301050837833</v>
      </c>
      <c r="ET32" s="99">
        <f>(ER32/EF32)-1</f>
        <v>-0.25448756274245354</v>
      </c>
      <c r="EU32" s="95">
        <f>+EU33+EU34</f>
        <v>82245</v>
      </c>
      <c r="EV32" s="96">
        <f>EU32/EU$31</f>
        <v>0.71197312949609148</v>
      </c>
      <c r="EW32" s="99">
        <f>(EU32/EI32)-1</f>
        <v>-0.42000521850736583</v>
      </c>
      <c r="EX32" s="95">
        <f>+EX33+EX34</f>
        <v>74052</v>
      </c>
      <c r="EY32" s="96">
        <f>EX32/EX$31</f>
        <v>0.83185800943608179</v>
      </c>
      <c r="EZ32" s="99">
        <f>(EX32/EL32)-1</f>
        <v>-0.43317718379718928</v>
      </c>
      <c r="FA32" s="95">
        <f>+FA33+FA34</f>
        <v>60318.6</v>
      </c>
      <c r="FB32" s="96">
        <f>FA32/FA$31</f>
        <v>0.83904953734357879</v>
      </c>
      <c r="FC32" s="99">
        <f>(FA32/EO32)-1</f>
        <v>-0.44989876880984958</v>
      </c>
      <c r="FD32" s="95">
        <f>+FD33+FD34</f>
        <v>52751</v>
      </c>
      <c r="FE32" s="96">
        <f t="shared" si="316"/>
        <v>0.83654730565511115</v>
      </c>
      <c r="FF32" s="99">
        <f>(FD32/ER32)-1</f>
        <v>-0.50808497146480658</v>
      </c>
      <c r="FG32" s="95">
        <f>+FG33+FG34</f>
        <v>48592</v>
      </c>
      <c r="FH32" s="96">
        <f t="shared" si="317"/>
        <v>0.83386817222384291</v>
      </c>
      <c r="FI32" s="99">
        <f>(FG32/EU32)-1</f>
        <v>-0.40917988935497596</v>
      </c>
      <c r="FJ32" s="95">
        <f>+FJ33+FJ34</f>
        <v>45733</v>
      </c>
      <c r="FK32" s="96">
        <f t="shared" ref="FK32:FK34" si="328">FJ32/FJ$31</f>
        <v>0.82604219348312979</v>
      </c>
      <c r="FL32" s="99">
        <f t="shared" ref="FL32:FL34" si="329">(FJ32/EX32)-1</f>
        <v>-0.38242046129746665</v>
      </c>
      <c r="FM32" s="95">
        <f>+FM33+FM34</f>
        <v>41083</v>
      </c>
      <c r="FN32" s="96">
        <f t="shared" si="319"/>
        <v>0.80794115911817344</v>
      </c>
      <c r="FO32" s="99">
        <f t="shared" ref="FO32:FO34" si="330">(FM32/FA32)-1</f>
        <v>-0.31889997446890339</v>
      </c>
      <c r="FP32" s="95">
        <f>+FP33+FP34</f>
        <v>43926.677779999998</v>
      </c>
      <c r="FQ32" s="96">
        <f t="shared" si="320"/>
        <v>0.82724942252935829</v>
      </c>
      <c r="FR32" s="99">
        <f t="shared" ref="FR32:FR34" si="331">(FP32/FD32)-1</f>
        <v>-0.16728255805577152</v>
      </c>
      <c r="FS32" s="95">
        <f>+FS33+FS34</f>
        <v>45111</v>
      </c>
      <c r="FT32" s="96">
        <f t="shared" si="321"/>
        <v>0.82386996621313124</v>
      </c>
      <c r="FU32" s="99">
        <f t="shared" ref="FU32:FU34" si="332">(FS32/FG32)-1</f>
        <v>-7.1637306552518987E-2</v>
      </c>
      <c r="FV32" s="95">
        <f>+FV33+FV34</f>
        <v>43504.774350000007</v>
      </c>
      <c r="FW32" s="96">
        <f t="shared" si="322"/>
        <v>0.81013236725223736</v>
      </c>
      <c r="FX32" s="99">
        <f t="shared" ref="FX32:FX34" si="333">(FV32/FJ32)-1</f>
        <v>-4.8722490324273338E-2</v>
      </c>
      <c r="FY32" s="95">
        <f>+FY33+FY34</f>
        <v>0</v>
      </c>
      <c r="FZ32" s="96" t="e">
        <f t="shared" si="323"/>
        <v>#DIV/0!</v>
      </c>
      <c r="GA32" s="99">
        <f t="shared" ref="GA32:GA34" si="334">(FY32/FM32)-1</f>
        <v>-1</v>
      </c>
      <c r="GB32" s="95">
        <f>+GB33+GB34</f>
        <v>0</v>
      </c>
      <c r="GC32" s="96" t="e">
        <f t="shared" si="324"/>
        <v>#DIV/0!</v>
      </c>
      <c r="GD32" s="99">
        <f t="shared" ref="GD32:GD34" si="335">(GB32/FP32)-1</f>
        <v>-1</v>
      </c>
      <c r="GE32" s="95">
        <f>+GE33+GE34</f>
        <v>0</v>
      </c>
      <c r="GF32" s="96" t="e">
        <f t="shared" si="325"/>
        <v>#DIV/0!</v>
      </c>
      <c r="GG32" s="99">
        <f t="shared" ref="GG32:GG34" si="336">(GE32/FS32)-1</f>
        <v>-1</v>
      </c>
      <c r="GH32" s="95">
        <f>+GH33+GH34</f>
        <v>0</v>
      </c>
      <c r="GI32" s="96" t="e">
        <f t="shared" si="326"/>
        <v>#DIV/0!</v>
      </c>
      <c r="GJ32" s="99">
        <f t="shared" ref="GJ32:GJ34" si="337">(GH32/FV32)-1</f>
        <v>-1</v>
      </c>
      <c r="GK32" s="95">
        <f>+GK33+GK34</f>
        <v>0</v>
      </c>
      <c r="GL32" s="96" t="e">
        <f t="shared" si="327"/>
        <v>#DIV/0!</v>
      </c>
      <c r="GM32" s="99" t="e">
        <f t="shared" ref="GM32:GM34" si="338">(GK32/FY32)-1</f>
        <v>#DIV/0!</v>
      </c>
    </row>
    <row r="33" spans="2:195" s="23" customFormat="1" ht="16.5" customHeight="1">
      <c r="B33" s="267" t="s">
        <v>1051</v>
      </c>
      <c r="C33" s="267" t="s">
        <v>1049</v>
      </c>
      <c r="D33" s="273" t="s">
        <v>77</v>
      </c>
      <c r="E33" s="270" t="s">
        <v>77</v>
      </c>
      <c r="F33" s="270" t="s">
        <v>77</v>
      </c>
      <c r="G33" s="273" t="s">
        <v>77</v>
      </c>
      <c r="H33" s="270" t="s">
        <v>77</v>
      </c>
      <c r="I33" s="270" t="s">
        <v>77</v>
      </c>
      <c r="J33" s="273" t="s">
        <v>77</v>
      </c>
      <c r="K33" s="270" t="s">
        <v>77</v>
      </c>
      <c r="L33" s="270" t="s">
        <v>77</v>
      </c>
      <c r="M33" s="273" t="s">
        <v>77</v>
      </c>
      <c r="N33" s="270" t="s">
        <v>77</v>
      </c>
      <c r="O33" s="270" t="s">
        <v>77</v>
      </c>
      <c r="P33" s="273" t="s">
        <v>77</v>
      </c>
      <c r="Q33" s="270" t="s">
        <v>77</v>
      </c>
      <c r="R33" s="271" t="s">
        <v>77</v>
      </c>
      <c r="S33" s="273" t="s">
        <v>77</v>
      </c>
      <c r="T33" s="270" t="s">
        <v>77</v>
      </c>
      <c r="U33" s="271" t="s">
        <v>77</v>
      </c>
      <c r="V33" s="273" t="s">
        <v>77</v>
      </c>
      <c r="W33" s="270" t="s">
        <v>77</v>
      </c>
      <c r="X33" s="271" t="s">
        <v>77</v>
      </c>
      <c r="Y33" s="273" t="s">
        <v>77</v>
      </c>
      <c r="Z33" s="270" t="s">
        <v>77</v>
      </c>
      <c r="AA33" s="271" t="s">
        <v>77</v>
      </c>
      <c r="AB33" s="273" t="s">
        <v>77</v>
      </c>
      <c r="AC33" s="270" t="s">
        <v>77</v>
      </c>
      <c r="AD33" s="272" t="s">
        <v>77</v>
      </c>
      <c r="AE33" s="273" t="s">
        <v>77</v>
      </c>
      <c r="AF33" s="270" t="s">
        <v>77</v>
      </c>
      <c r="AG33" s="272" t="s">
        <v>77</v>
      </c>
      <c r="AH33" s="273" t="s">
        <v>77</v>
      </c>
      <c r="AI33" s="270" t="s">
        <v>77</v>
      </c>
      <c r="AJ33" s="272" t="s">
        <v>77</v>
      </c>
      <c r="AK33" s="273" t="s">
        <v>77</v>
      </c>
      <c r="AL33" s="270" t="s">
        <v>77</v>
      </c>
      <c r="AM33" s="272" t="s">
        <v>77</v>
      </c>
      <c r="AN33" s="273" t="s">
        <v>77</v>
      </c>
      <c r="AO33" s="270" t="s">
        <v>77</v>
      </c>
      <c r="AP33" s="272" t="s">
        <v>77</v>
      </c>
      <c r="AQ33" s="273" t="s">
        <v>77</v>
      </c>
      <c r="AR33" s="270" t="s">
        <v>77</v>
      </c>
      <c r="AS33" s="272" t="s">
        <v>77</v>
      </c>
      <c r="AT33" s="273" t="s">
        <v>77</v>
      </c>
      <c r="AU33" s="270" t="s">
        <v>77</v>
      </c>
      <c r="AV33" s="272" t="s">
        <v>77</v>
      </c>
      <c r="AW33" s="273" t="s">
        <v>77</v>
      </c>
      <c r="AX33" s="270" t="s">
        <v>77</v>
      </c>
      <c r="AY33" s="272" t="s">
        <v>77</v>
      </c>
      <c r="AZ33" s="273" t="s">
        <v>77</v>
      </c>
      <c r="BA33" s="270" t="s">
        <v>77</v>
      </c>
      <c r="BB33" s="272" t="s">
        <v>77</v>
      </c>
      <c r="BC33" s="273" t="s">
        <v>77</v>
      </c>
      <c r="BD33" s="270" t="s">
        <v>77</v>
      </c>
      <c r="BE33" s="272" t="s">
        <v>77</v>
      </c>
      <c r="BF33" s="273" t="s">
        <v>77</v>
      </c>
      <c r="BG33" s="270" t="s">
        <v>77</v>
      </c>
      <c r="BH33" s="272" t="s">
        <v>77</v>
      </c>
      <c r="BI33" s="273" t="s">
        <v>77</v>
      </c>
      <c r="BJ33" s="270" t="s">
        <v>77</v>
      </c>
      <c r="BK33" s="272" t="s">
        <v>77</v>
      </c>
      <c r="BL33" s="273" t="s">
        <v>77</v>
      </c>
      <c r="BM33" s="270" t="s">
        <v>77</v>
      </c>
      <c r="BN33" s="272" t="s">
        <v>77</v>
      </c>
      <c r="BO33" s="273" t="s">
        <v>77</v>
      </c>
      <c r="BP33" s="270" t="s">
        <v>77</v>
      </c>
      <c r="BQ33" s="272" t="s">
        <v>77</v>
      </c>
      <c r="BR33" s="273" t="s">
        <v>77</v>
      </c>
      <c r="BS33" s="270" t="s">
        <v>77</v>
      </c>
      <c r="BT33" s="272" t="s">
        <v>77</v>
      </c>
      <c r="BU33" s="273" t="s">
        <v>77</v>
      </c>
      <c r="BV33" s="270" t="s">
        <v>77</v>
      </c>
      <c r="BW33" s="272" t="s">
        <v>77</v>
      </c>
      <c r="BX33" s="273" t="s">
        <v>77</v>
      </c>
      <c r="BY33" s="270" t="s">
        <v>77</v>
      </c>
      <c r="BZ33" s="272" t="s">
        <v>77</v>
      </c>
      <c r="CA33" s="273" t="s">
        <v>77</v>
      </c>
      <c r="CB33" s="270" t="s">
        <v>77</v>
      </c>
      <c r="CC33" s="272" t="s">
        <v>77</v>
      </c>
      <c r="CD33" s="273" t="s">
        <v>77</v>
      </c>
      <c r="CE33" s="270" t="s">
        <v>77</v>
      </c>
      <c r="CF33" s="272" t="s">
        <v>77</v>
      </c>
      <c r="CG33" s="268">
        <v>108016</v>
      </c>
      <c r="CH33" s="269">
        <f t="shared" si="291"/>
        <v>1</v>
      </c>
      <c r="CI33" s="272" t="s">
        <v>112</v>
      </c>
      <c r="CJ33" s="268">
        <v>112339</v>
      </c>
      <c r="CK33" s="269">
        <f t="shared" si="292"/>
        <v>1</v>
      </c>
      <c r="CL33" s="272" t="s">
        <v>112</v>
      </c>
      <c r="CM33" s="268">
        <v>117291</v>
      </c>
      <c r="CN33" s="269">
        <f t="shared" si="293"/>
        <v>1</v>
      </c>
      <c r="CO33" s="272" t="s">
        <v>112</v>
      </c>
      <c r="CP33" s="268">
        <v>122143</v>
      </c>
      <c r="CQ33" s="269">
        <f t="shared" si="294"/>
        <v>1</v>
      </c>
      <c r="CR33" s="272" t="s">
        <v>112</v>
      </c>
      <c r="CS33" s="268">
        <v>120726</v>
      </c>
      <c r="CT33" s="269">
        <f t="shared" si="295"/>
        <v>1</v>
      </c>
      <c r="CU33" s="272">
        <f t="shared" ref="CU33" si="339">(CS33/CG33)-1</f>
        <v>0.11766775292549259</v>
      </c>
      <c r="CV33" s="268">
        <v>130849</v>
      </c>
      <c r="CW33" s="269">
        <f t="shared" si="296"/>
        <v>1</v>
      </c>
      <c r="CX33" s="272">
        <f t="shared" ref="CX33" si="340">(CV33/CJ33)-1</f>
        <v>0.16476913627502476</v>
      </c>
      <c r="CY33" s="268">
        <v>131623</v>
      </c>
      <c r="CZ33" s="269">
        <f t="shared" si="297"/>
        <v>1</v>
      </c>
      <c r="DA33" s="272">
        <f t="shared" ref="DA33" si="341">(CY33/CM33)-1</f>
        <v>0.12219181352362929</v>
      </c>
      <c r="DB33" s="268">
        <v>141295</v>
      </c>
      <c r="DC33" s="269">
        <f t="shared" si="298"/>
        <v>1</v>
      </c>
      <c r="DD33" s="272">
        <f t="shared" ref="DD33" si="342">(DB33/CP33)-1</f>
        <v>0.1567998166084017</v>
      </c>
      <c r="DE33" s="268">
        <v>142448</v>
      </c>
      <c r="DF33" s="269">
        <f t="shared" si="299"/>
        <v>1</v>
      </c>
      <c r="DG33" s="272">
        <f t="shared" ref="DG33" si="343">(DE33/CS33)-1</f>
        <v>0.17992810165167406</v>
      </c>
      <c r="DH33" s="268">
        <v>155752</v>
      </c>
      <c r="DI33" s="269">
        <f t="shared" si="300"/>
        <v>1</v>
      </c>
      <c r="DJ33" s="272">
        <f t="shared" ref="DJ33" si="344">(DH33/CV33)-1</f>
        <v>0.19031861152932006</v>
      </c>
      <c r="DK33" s="268">
        <v>160876</v>
      </c>
      <c r="DL33" s="269">
        <f t="shared" si="301"/>
        <v>1</v>
      </c>
      <c r="DM33" s="272">
        <f t="shared" ref="DM33" si="345">(DK33/CY33)-1</f>
        <v>0.22224839123861329</v>
      </c>
      <c r="DN33" s="268">
        <v>180568</v>
      </c>
      <c r="DO33" s="269">
        <f t="shared" si="302"/>
        <v>1</v>
      </c>
      <c r="DP33" s="272">
        <f t="shared" ref="DP33" si="346">(DN33/DB33)-1</f>
        <v>0.27795038748717227</v>
      </c>
      <c r="DQ33" s="268">
        <v>168885</v>
      </c>
      <c r="DR33" s="269">
        <f t="shared" si="303"/>
        <v>1</v>
      </c>
      <c r="DS33" s="272">
        <f t="shared" ref="DS33" si="347">(DQ33/DE33)-1</f>
        <v>0.18559053128159042</v>
      </c>
      <c r="DT33" s="268">
        <v>181879</v>
      </c>
      <c r="DU33" s="269">
        <f t="shared" si="304"/>
        <v>1</v>
      </c>
      <c r="DV33" s="272">
        <f t="shared" ref="DV33" si="348">(DT33/DH33)-1</f>
        <v>0.16774744465560643</v>
      </c>
      <c r="DW33" s="268">
        <v>196806</v>
      </c>
      <c r="DX33" s="269">
        <f t="shared" si="305"/>
        <v>1</v>
      </c>
      <c r="DY33" s="272">
        <f t="shared" ref="DY33" si="349">(DW33/DK33)-1</f>
        <v>0.22333971506004624</v>
      </c>
      <c r="DZ33" s="268">
        <v>194293</v>
      </c>
      <c r="EA33" s="269">
        <f t="shared" si="306"/>
        <v>1</v>
      </c>
      <c r="EB33" s="272">
        <f t="shared" ref="EB33" si="350">(DZ33/DN33)-1</f>
        <v>7.6010145762261283E-2</v>
      </c>
      <c r="EC33" s="268">
        <v>179383</v>
      </c>
      <c r="ED33" s="269">
        <f t="shared" si="307"/>
        <v>1</v>
      </c>
      <c r="EE33" s="272">
        <f t="shared" ref="EE33" si="351">(EC33/DQ33)-1</f>
        <v>6.2160641856884968E-2</v>
      </c>
      <c r="EF33" s="268">
        <v>179812</v>
      </c>
      <c r="EG33" s="269">
        <f t="shared" si="308"/>
        <v>1</v>
      </c>
      <c r="EH33" s="272">
        <f t="shared" ref="EH33" si="352">(EF33/DT33)-1</f>
        <v>-1.136469850834898E-2</v>
      </c>
      <c r="EI33" s="268">
        <v>179789</v>
      </c>
      <c r="EJ33" s="269">
        <f>EI33/EI$31</f>
        <v>1</v>
      </c>
      <c r="EK33" s="272">
        <f>(EI33/DW33)-1</f>
        <v>-8.6465859780697762E-2</v>
      </c>
      <c r="EL33" s="268">
        <v>167140</v>
      </c>
      <c r="EM33" s="269">
        <f>EL33/EL$31</f>
        <v>1</v>
      </c>
      <c r="EN33" s="272">
        <f>(EL33/DZ33)-1</f>
        <v>-0.13975284750351269</v>
      </c>
      <c r="EO33" s="268">
        <v>144639</v>
      </c>
      <c r="EP33" s="269">
        <f>EO33/EO$31</f>
        <v>1</v>
      </c>
      <c r="EQ33" s="272">
        <f>(EO33/EC33)-1</f>
        <v>-0.19368613525250444</v>
      </c>
      <c r="ER33" s="268">
        <v>140840</v>
      </c>
      <c r="ES33" s="269">
        <f t="shared" si="312"/>
        <v>1</v>
      </c>
      <c r="ET33" s="272">
        <f t="shared" ref="ET33" si="353">(ER33/EF33)-1</f>
        <v>-0.21673748136943027</v>
      </c>
      <c r="EU33" s="268">
        <v>115517</v>
      </c>
      <c r="EV33" s="269">
        <f>EU33/EU$31</f>
        <v>1</v>
      </c>
      <c r="EW33" s="272">
        <f>(EU33/EI33)-1</f>
        <v>-0.35748571937104046</v>
      </c>
      <c r="EX33" s="268">
        <v>89020</v>
      </c>
      <c r="EY33" s="269">
        <f>EX33/EX$31</f>
        <v>1</v>
      </c>
      <c r="EZ33" s="272">
        <f>(EX33/EL33)-1</f>
        <v>-0.46739260500179491</v>
      </c>
      <c r="FA33" s="268">
        <v>71889.2</v>
      </c>
      <c r="FB33" s="269">
        <f>FA33/FA$31</f>
        <v>1</v>
      </c>
      <c r="FC33" s="272">
        <f>(FA33/EO33)-1</f>
        <v>-0.50297499291339132</v>
      </c>
      <c r="FD33" s="268">
        <v>63058</v>
      </c>
      <c r="FE33" s="269">
        <f t="shared" si="316"/>
        <v>1</v>
      </c>
      <c r="FF33" s="272">
        <f t="shared" ref="FF33" si="354">(FD33/ER33)-1</f>
        <v>-0.55227208179494469</v>
      </c>
      <c r="FG33" s="268">
        <v>58273</v>
      </c>
      <c r="FH33" s="269">
        <f t="shared" si="317"/>
        <v>1</v>
      </c>
      <c r="FI33" s="272">
        <f t="shared" ref="FI33" si="355">(FG33/EU33)-1</f>
        <v>-0.49554611009634941</v>
      </c>
      <c r="FJ33" s="268">
        <v>55364</v>
      </c>
      <c r="FK33" s="269">
        <f t="shared" si="328"/>
        <v>1</v>
      </c>
      <c r="FL33" s="272">
        <f t="shared" si="329"/>
        <v>-0.37807234329364192</v>
      </c>
      <c r="FM33" s="268">
        <v>50849</v>
      </c>
      <c r="FN33" s="269">
        <f t="shared" si="319"/>
        <v>1</v>
      </c>
      <c r="FO33" s="272">
        <f t="shared" si="330"/>
        <v>-0.2926753949132832</v>
      </c>
      <c r="FP33" s="268">
        <v>53099.677779999998</v>
      </c>
      <c r="FQ33" s="269">
        <f t="shared" si="320"/>
        <v>1</v>
      </c>
      <c r="FR33" s="272">
        <f t="shared" si="331"/>
        <v>-0.15792321703828227</v>
      </c>
      <c r="FS33" s="268">
        <v>54755</v>
      </c>
      <c r="FT33" s="269">
        <f t="shared" si="321"/>
        <v>1</v>
      </c>
      <c r="FU33" s="272">
        <f t="shared" si="332"/>
        <v>-6.0371012304154537E-2</v>
      </c>
      <c r="FV33" s="268">
        <v>53700.822370000002</v>
      </c>
      <c r="FW33" s="269">
        <f t="shared" si="322"/>
        <v>1</v>
      </c>
      <c r="FX33" s="272">
        <f t="shared" si="333"/>
        <v>-3.0040777942345165E-2</v>
      </c>
      <c r="FY33" s="268">
        <v>0</v>
      </c>
      <c r="FZ33" s="269" t="e">
        <f t="shared" si="323"/>
        <v>#DIV/0!</v>
      </c>
      <c r="GA33" s="272">
        <f t="shared" si="334"/>
        <v>-1</v>
      </c>
      <c r="GB33" s="268">
        <v>0</v>
      </c>
      <c r="GC33" s="269" t="e">
        <f t="shared" si="324"/>
        <v>#DIV/0!</v>
      </c>
      <c r="GD33" s="272">
        <f t="shared" si="335"/>
        <v>-1</v>
      </c>
      <c r="GE33" s="268">
        <v>0</v>
      </c>
      <c r="GF33" s="269" t="e">
        <f t="shared" si="325"/>
        <v>#DIV/0!</v>
      </c>
      <c r="GG33" s="272">
        <f t="shared" si="336"/>
        <v>-1</v>
      </c>
      <c r="GH33" s="268">
        <v>0</v>
      </c>
      <c r="GI33" s="269" t="e">
        <f t="shared" si="326"/>
        <v>#DIV/0!</v>
      </c>
      <c r="GJ33" s="272">
        <f t="shared" si="337"/>
        <v>-1</v>
      </c>
      <c r="GK33" s="268">
        <v>0</v>
      </c>
      <c r="GL33" s="269" t="e">
        <f t="shared" si="327"/>
        <v>#DIV/0!</v>
      </c>
      <c r="GM33" s="272" t="e">
        <f t="shared" si="338"/>
        <v>#DIV/0!</v>
      </c>
    </row>
    <row r="34" spans="2:195" s="23" customFormat="1" ht="16.5" customHeight="1">
      <c r="B34" s="267" t="s">
        <v>1290</v>
      </c>
      <c r="C34" s="267" t="s">
        <v>1050</v>
      </c>
      <c r="D34" s="273" t="s">
        <v>77</v>
      </c>
      <c r="E34" s="270" t="s">
        <v>77</v>
      </c>
      <c r="F34" s="270" t="s">
        <v>77</v>
      </c>
      <c r="G34" s="273" t="s">
        <v>77</v>
      </c>
      <c r="H34" s="270" t="s">
        <v>77</v>
      </c>
      <c r="I34" s="270" t="s">
        <v>77</v>
      </c>
      <c r="J34" s="273" t="s">
        <v>77</v>
      </c>
      <c r="K34" s="270" t="s">
        <v>77</v>
      </c>
      <c r="L34" s="270" t="s">
        <v>77</v>
      </c>
      <c r="M34" s="273" t="s">
        <v>77</v>
      </c>
      <c r="N34" s="270" t="s">
        <v>77</v>
      </c>
      <c r="O34" s="270" t="s">
        <v>77</v>
      </c>
      <c r="P34" s="273" t="s">
        <v>77</v>
      </c>
      <c r="Q34" s="270" t="s">
        <v>77</v>
      </c>
      <c r="R34" s="271" t="s">
        <v>77</v>
      </c>
      <c r="S34" s="273" t="s">
        <v>77</v>
      </c>
      <c r="T34" s="270" t="s">
        <v>77</v>
      </c>
      <c r="U34" s="271" t="s">
        <v>77</v>
      </c>
      <c r="V34" s="273" t="s">
        <v>77</v>
      </c>
      <c r="W34" s="270" t="s">
        <v>77</v>
      </c>
      <c r="X34" s="271" t="s">
        <v>77</v>
      </c>
      <c r="Y34" s="273" t="s">
        <v>77</v>
      </c>
      <c r="Z34" s="270" t="s">
        <v>77</v>
      </c>
      <c r="AA34" s="271" t="s">
        <v>77</v>
      </c>
      <c r="AB34" s="273" t="s">
        <v>77</v>
      </c>
      <c r="AC34" s="270" t="s">
        <v>77</v>
      </c>
      <c r="AD34" s="272" t="s">
        <v>77</v>
      </c>
      <c r="AE34" s="273" t="s">
        <v>77</v>
      </c>
      <c r="AF34" s="270" t="s">
        <v>77</v>
      </c>
      <c r="AG34" s="272" t="s">
        <v>77</v>
      </c>
      <c r="AH34" s="273" t="s">
        <v>77</v>
      </c>
      <c r="AI34" s="270" t="s">
        <v>77</v>
      </c>
      <c r="AJ34" s="272" t="s">
        <v>77</v>
      </c>
      <c r="AK34" s="273" t="s">
        <v>77</v>
      </c>
      <c r="AL34" s="270" t="s">
        <v>77</v>
      </c>
      <c r="AM34" s="272" t="s">
        <v>77</v>
      </c>
      <c r="AN34" s="273" t="s">
        <v>77</v>
      </c>
      <c r="AO34" s="270" t="s">
        <v>77</v>
      </c>
      <c r="AP34" s="272" t="s">
        <v>77</v>
      </c>
      <c r="AQ34" s="273" t="s">
        <v>77</v>
      </c>
      <c r="AR34" s="270" t="s">
        <v>77</v>
      </c>
      <c r="AS34" s="272" t="s">
        <v>77</v>
      </c>
      <c r="AT34" s="273" t="s">
        <v>77</v>
      </c>
      <c r="AU34" s="270" t="s">
        <v>77</v>
      </c>
      <c r="AV34" s="272" t="s">
        <v>77</v>
      </c>
      <c r="AW34" s="273" t="s">
        <v>77</v>
      </c>
      <c r="AX34" s="270" t="s">
        <v>77</v>
      </c>
      <c r="AY34" s="272" t="s">
        <v>77</v>
      </c>
      <c r="AZ34" s="273" t="s">
        <v>77</v>
      </c>
      <c r="BA34" s="270" t="s">
        <v>77</v>
      </c>
      <c r="BB34" s="272" t="s">
        <v>77</v>
      </c>
      <c r="BC34" s="273" t="s">
        <v>77</v>
      </c>
      <c r="BD34" s="270" t="s">
        <v>77</v>
      </c>
      <c r="BE34" s="272" t="s">
        <v>77</v>
      </c>
      <c r="BF34" s="273" t="s">
        <v>77</v>
      </c>
      <c r="BG34" s="270" t="s">
        <v>77</v>
      </c>
      <c r="BH34" s="272" t="s">
        <v>77</v>
      </c>
      <c r="BI34" s="273" t="s">
        <v>77</v>
      </c>
      <c r="BJ34" s="270" t="s">
        <v>77</v>
      </c>
      <c r="BK34" s="272" t="s">
        <v>77</v>
      </c>
      <c r="BL34" s="273" t="s">
        <v>77</v>
      </c>
      <c r="BM34" s="270" t="s">
        <v>77</v>
      </c>
      <c r="BN34" s="272" t="s">
        <v>77</v>
      </c>
      <c r="BO34" s="273" t="s">
        <v>77</v>
      </c>
      <c r="BP34" s="270" t="s">
        <v>77</v>
      </c>
      <c r="BQ34" s="272" t="s">
        <v>77</v>
      </c>
      <c r="BR34" s="273" t="s">
        <v>77</v>
      </c>
      <c r="BS34" s="270" t="s">
        <v>77</v>
      </c>
      <c r="BT34" s="272" t="s">
        <v>77</v>
      </c>
      <c r="BU34" s="273" t="s">
        <v>77</v>
      </c>
      <c r="BV34" s="270" t="s">
        <v>77</v>
      </c>
      <c r="BW34" s="272" t="s">
        <v>77</v>
      </c>
      <c r="BX34" s="273" t="s">
        <v>77</v>
      </c>
      <c r="BY34" s="270" t="s">
        <v>77</v>
      </c>
      <c r="BZ34" s="272" t="s">
        <v>77</v>
      </c>
      <c r="CA34" s="273" t="s">
        <v>77</v>
      </c>
      <c r="CB34" s="270" t="s">
        <v>77</v>
      </c>
      <c r="CC34" s="272" t="s">
        <v>77</v>
      </c>
      <c r="CD34" s="273" t="s">
        <v>77</v>
      </c>
      <c r="CE34" s="270" t="s">
        <v>77</v>
      </c>
      <c r="CF34" s="272" t="s">
        <v>77</v>
      </c>
      <c r="CG34" s="268">
        <v>-17718</v>
      </c>
      <c r="CH34" s="269">
        <f t="shared" si="291"/>
        <v>-0.16403125462894386</v>
      </c>
      <c r="CI34" s="272" t="s">
        <v>112</v>
      </c>
      <c r="CJ34" s="268">
        <v>-17698</v>
      </c>
      <c r="CK34" s="269">
        <f t="shared" si="292"/>
        <v>-0.1575410142515066</v>
      </c>
      <c r="CL34" s="272" t="s">
        <v>112</v>
      </c>
      <c r="CM34" s="268">
        <v>-17680</v>
      </c>
      <c r="CN34" s="269">
        <f t="shared" si="293"/>
        <v>-0.15073620311873887</v>
      </c>
      <c r="CO34" s="272" t="s">
        <v>112</v>
      </c>
      <c r="CP34" s="268">
        <v>-18781</v>
      </c>
      <c r="CQ34" s="269">
        <f t="shared" si="294"/>
        <v>-0.15376239326035876</v>
      </c>
      <c r="CR34" s="272" t="s">
        <v>112</v>
      </c>
      <c r="CS34" s="268">
        <v>-18517</v>
      </c>
      <c r="CT34" s="269">
        <f t="shared" si="295"/>
        <v>-0.15338038202209964</v>
      </c>
      <c r="CU34" s="272">
        <f>CS34/CG34-1</f>
        <v>4.5095383226097852E-2</v>
      </c>
      <c r="CV34" s="268">
        <v>-19456</v>
      </c>
      <c r="CW34" s="269">
        <f t="shared" si="296"/>
        <v>-0.14869047528066703</v>
      </c>
      <c r="CX34" s="272">
        <f>CV34/CJ34-1</f>
        <v>9.9333257995253721E-2</v>
      </c>
      <c r="CY34" s="268">
        <v>-20209</v>
      </c>
      <c r="CZ34" s="269">
        <f t="shared" si="297"/>
        <v>-0.15353699581380154</v>
      </c>
      <c r="DA34" s="272">
        <f>CY34/CM34-1</f>
        <v>0.1430429864253393</v>
      </c>
      <c r="DB34" s="268">
        <v>-21776</v>
      </c>
      <c r="DC34" s="269">
        <f t="shared" si="298"/>
        <v>-0.15411727237340317</v>
      </c>
      <c r="DD34" s="272">
        <f>DB34/CP34-1</f>
        <v>0.15946967680102242</v>
      </c>
      <c r="DE34" s="268">
        <v>-22889</v>
      </c>
      <c r="DF34" s="269">
        <f t="shared" si="299"/>
        <v>-0.160683196675278</v>
      </c>
      <c r="DG34" s="272">
        <f>DE34/CS34-1</f>
        <v>0.23610736080358596</v>
      </c>
      <c r="DH34" s="268">
        <v>-23892</v>
      </c>
      <c r="DI34" s="269">
        <f t="shared" si="300"/>
        <v>-0.15339770917869433</v>
      </c>
      <c r="DJ34" s="272">
        <f>DH34/CV34-1</f>
        <v>0.22800164473684204</v>
      </c>
      <c r="DK34" s="268">
        <v>-23361</v>
      </c>
      <c r="DL34" s="269">
        <f t="shared" si="301"/>
        <v>-0.1452112185782839</v>
      </c>
      <c r="DM34" s="272">
        <f>DK34/CY34-1</f>
        <v>0.1559701123261914</v>
      </c>
      <c r="DN34" s="268">
        <v>-25640</v>
      </c>
      <c r="DO34" s="269">
        <f t="shared" si="302"/>
        <v>-0.14199636701962695</v>
      </c>
      <c r="DP34" s="272">
        <f>DN34/DB34-1</f>
        <v>0.17744305657604698</v>
      </c>
      <c r="DQ34" s="268">
        <v>-27189</v>
      </c>
      <c r="DR34" s="269">
        <f t="shared" si="303"/>
        <v>-0.1609912070343725</v>
      </c>
      <c r="DS34" s="272">
        <f>DQ34/DE34-1</f>
        <v>0.18786316571278783</v>
      </c>
      <c r="DT34" s="268">
        <v>-28240</v>
      </c>
      <c r="DU34" s="269">
        <f t="shared" si="304"/>
        <v>-0.15526806283298236</v>
      </c>
      <c r="DV34" s="272">
        <f>DT34/DH34-1</f>
        <v>0.18198560187510471</v>
      </c>
      <c r="DW34" s="268">
        <v>-31675</v>
      </c>
      <c r="DX34" s="269">
        <f t="shared" si="305"/>
        <v>-0.16094529638324034</v>
      </c>
      <c r="DY34" s="272">
        <f>DW34/DK34-1</f>
        <v>0.35589229913103027</v>
      </c>
      <c r="DZ34" s="268">
        <v>-34756</v>
      </c>
      <c r="EA34" s="269">
        <f t="shared" si="306"/>
        <v>-0.17888446830302687</v>
      </c>
      <c r="EB34" s="272">
        <f>DZ34/DN34-1</f>
        <v>0.35553822152886116</v>
      </c>
      <c r="EC34" s="268">
        <v>-36122</v>
      </c>
      <c r="ED34" s="269">
        <f t="shared" si="307"/>
        <v>-0.20136802261083825</v>
      </c>
      <c r="EE34" s="272">
        <f>EC34/DQ34-1</f>
        <v>0.3285519879362977</v>
      </c>
      <c r="EF34" s="268">
        <v>-35970</v>
      </c>
      <c r="EG34" s="269">
        <f t="shared" si="308"/>
        <v>-0.20004226636709452</v>
      </c>
      <c r="EH34" s="272">
        <f>EF34/DT34-1</f>
        <v>0.27372521246458925</v>
      </c>
      <c r="EI34" s="268">
        <v>-37986</v>
      </c>
      <c r="EJ34" s="269">
        <f>EI34/EI$31</f>
        <v>-0.21128100161856397</v>
      </c>
      <c r="EK34" s="272">
        <f>EI34/DW34-1</f>
        <v>0.19924230465666937</v>
      </c>
      <c r="EL34" s="268">
        <v>-36496</v>
      </c>
      <c r="EM34" s="269">
        <f>EL34/EL$31</f>
        <v>-0.21835586933109968</v>
      </c>
      <c r="EN34" s="272">
        <f>EL34/DZ34-1</f>
        <v>5.0063298423293823E-2</v>
      </c>
      <c r="EO34" s="268">
        <v>-34989</v>
      </c>
      <c r="EP34" s="269">
        <f>EO34/EO$31</f>
        <v>-0.24190571007819467</v>
      </c>
      <c r="EQ34" s="272">
        <f>EO34/EC34-1</f>
        <v>-3.1365926582138326E-2</v>
      </c>
      <c r="ER34" s="268">
        <v>-33604</v>
      </c>
      <c r="ES34" s="269">
        <f t="shared" si="312"/>
        <v>-0.2385969894916217</v>
      </c>
      <c r="ET34" s="272">
        <f>ER34/EF34-1</f>
        <v>-6.5777036419238266E-2</v>
      </c>
      <c r="EU34" s="268">
        <v>-33272</v>
      </c>
      <c r="EV34" s="269">
        <f>EU34/EU$31</f>
        <v>-0.28802687050390852</v>
      </c>
      <c r="EW34" s="272">
        <f>EU34/EI34-1</f>
        <v>-0.12409835202443009</v>
      </c>
      <c r="EX34" s="268">
        <v>-14968</v>
      </c>
      <c r="EY34" s="269">
        <f>EX34/EX$31</f>
        <v>-0.16814199056391821</v>
      </c>
      <c r="EZ34" s="272">
        <f>EX34/EL34-1</f>
        <v>-0.5898728627794827</v>
      </c>
      <c r="FA34" s="268">
        <v>-11570.6</v>
      </c>
      <c r="FB34" s="269">
        <f>FA34/FA$31</f>
        <v>-0.16095046265642129</v>
      </c>
      <c r="FC34" s="272">
        <f>FA34/EO34-1</f>
        <v>-0.66930749664180178</v>
      </c>
      <c r="FD34" s="268">
        <v>-10307</v>
      </c>
      <c r="FE34" s="269">
        <f t="shared" si="316"/>
        <v>-0.16345269434488882</v>
      </c>
      <c r="FF34" s="272">
        <f>FD34/ER34-1</f>
        <v>-0.69328056183787645</v>
      </c>
      <c r="FG34" s="268">
        <v>-9681</v>
      </c>
      <c r="FH34" s="269">
        <f t="shared" si="317"/>
        <v>-0.16613182777615706</v>
      </c>
      <c r="FI34" s="272">
        <f>FG34/EU34-1</f>
        <v>-0.70903462370762205</v>
      </c>
      <c r="FJ34" s="268">
        <v>-9631</v>
      </c>
      <c r="FK34" s="269">
        <f t="shared" si="328"/>
        <v>-0.17395780651687018</v>
      </c>
      <c r="FL34" s="272">
        <f t="shared" si="329"/>
        <v>-0.356560662747194</v>
      </c>
      <c r="FM34" s="268">
        <v>-9766</v>
      </c>
      <c r="FN34" s="269">
        <f t="shared" si="319"/>
        <v>-0.19205884088182659</v>
      </c>
      <c r="FO34" s="272">
        <f t="shared" si="330"/>
        <v>-0.15596425423054983</v>
      </c>
      <c r="FP34" s="268">
        <v>-9173</v>
      </c>
      <c r="FQ34" s="269">
        <f t="shared" si="320"/>
        <v>-0.17275057747064168</v>
      </c>
      <c r="FR34" s="272">
        <f t="shared" si="331"/>
        <v>-0.11002231493159986</v>
      </c>
      <c r="FS34" s="268">
        <v>-9644</v>
      </c>
      <c r="FT34" s="269">
        <f t="shared" si="321"/>
        <v>-0.17613003378686878</v>
      </c>
      <c r="FU34" s="272">
        <f t="shared" si="332"/>
        <v>-3.8219192232207266E-3</v>
      </c>
      <c r="FV34" s="268">
        <v>-10196.048019999998</v>
      </c>
      <c r="FW34" s="269">
        <f t="shared" si="322"/>
        <v>-0.18986763274776267</v>
      </c>
      <c r="FX34" s="272">
        <f t="shared" si="333"/>
        <v>5.866971446371072E-2</v>
      </c>
      <c r="FY34" s="268">
        <v>0</v>
      </c>
      <c r="FZ34" s="269" t="e">
        <f t="shared" si="323"/>
        <v>#DIV/0!</v>
      </c>
      <c r="GA34" s="272">
        <f t="shared" si="334"/>
        <v>-1</v>
      </c>
      <c r="GB34" s="268">
        <v>0</v>
      </c>
      <c r="GC34" s="269" t="e">
        <f t="shared" si="324"/>
        <v>#DIV/0!</v>
      </c>
      <c r="GD34" s="272">
        <f t="shared" si="335"/>
        <v>-1</v>
      </c>
      <c r="GE34" s="268">
        <v>0</v>
      </c>
      <c r="GF34" s="269" t="e">
        <f t="shared" si="325"/>
        <v>#DIV/0!</v>
      </c>
      <c r="GG34" s="272">
        <f t="shared" si="336"/>
        <v>-1</v>
      </c>
      <c r="GH34" s="268">
        <v>0</v>
      </c>
      <c r="GI34" s="269" t="e">
        <f t="shared" si="326"/>
        <v>#DIV/0!</v>
      </c>
      <c r="GJ34" s="272">
        <f t="shared" si="337"/>
        <v>-1</v>
      </c>
      <c r="GK34" s="268">
        <v>0</v>
      </c>
      <c r="GL34" s="269" t="e">
        <f t="shared" si="327"/>
        <v>#DIV/0!</v>
      </c>
      <c r="GM34" s="272" t="e">
        <f t="shared" si="338"/>
        <v>#DIV/0!</v>
      </c>
    </row>
    <row r="35" spans="2:195" ht="13.5" customHeight="1">
      <c r="B35" s="340"/>
      <c r="C35" s="34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35"/>
      <c r="AD35" s="35"/>
      <c r="AE35" s="20"/>
      <c r="AF35" s="204"/>
      <c r="AG35" s="35"/>
      <c r="AH35" s="20"/>
      <c r="AI35" s="35"/>
      <c r="AJ35" s="35"/>
      <c r="AK35" s="20"/>
      <c r="AL35" s="35"/>
      <c r="AM35" s="35"/>
      <c r="AN35" s="20"/>
      <c r="AO35" s="35"/>
      <c r="AP35" s="35"/>
      <c r="AQ35" s="20"/>
      <c r="AR35" s="204"/>
      <c r="AS35" s="35"/>
      <c r="AT35" s="20"/>
      <c r="AU35" s="35"/>
      <c r="AV35" s="35"/>
      <c r="AW35" s="20"/>
      <c r="AX35" s="35"/>
      <c r="AY35" s="35"/>
      <c r="AZ35" s="20"/>
      <c r="BA35" s="35"/>
      <c r="BB35" s="35"/>
      <c r="BC35" s="20"/>
      <c r="BD35" s="204"/>
      <c r="BE35" s="35"/>
      <c r="BF35" s="20"/>
      <c r="BG35" s="35"/>
      <c r="BH35" s="35"/>
      <c r="BI35" s="20"/>
      <c r="BJ35" s="35"/>
      <c r="BK35" s="35"/>
      <c r="BL35" s="20"/>
      <c r="BM35" s="35"/>
      <c r="BN35" s="35"/>
      <c r="BO35" s="20"/>
      <c r="BP35" s="204"/>
      <c r="BQ35" s="35"/>
      <c r="BR35" s="20"/>
      <c r="BS35" s="35"/>
      <c r="BT35" s="35"/>
      <c r="BU35" s="20"/>
      <c r="BV35" s="35"/>
      <c r="BW35" s="35"/>
      <c r="BX35" s="20"/>
      <c r="BY35" s="35"/>
      <c r="BZ35" s="35"/>
    </row>
    <row r="36" spans="2:195" s="200" customFormat="1" ht="16.5" customHeight="1">
      <c r="B36" s="47" t="s">
        <v>1054</v>
      </c>
      <c r="C36" s="47" t="s">
        <v>1055</v>
      </c>
      <c r="D36" s="349" t="s">
        <v>77</v>
      </c>
      <c r="E36" s="98" t="s">
        <v>77</v>
      </c>
      <c r="F36" s="98" t="s">
        <v>77</v>
      </c>
      <c r="G36" s="349" t="s">
        <v>77</v>
      </c>
      <c r="H36" s="98" t="s">
        <v>77</v>
      </c>
      <c r="I36" s="98" t="s">
        <v>77</v>
      </c>
      <c r="J36" s="349" t="s">
        <v>77</v>
      </c>
      <c r="K36" s="98" t="s">
        <v>77</v>
      </c>
      <c r="L36" s="98" t="s">
        <v>77</v>
      </c>
      <c r="M36" s="349" t="s">
        <v>77</v>
      </c>
      <c r="N36" s="98" t="s">
        <v>77</v>
      </c>
      <c r="O36" s="98" t="s">
        <v>77</v>
      </c>
      <c r="P36" s="349" t="s">
        <v>77</v>
      </c>
      <c r="Q36" s="98" t="s">
        <v>77</v>
      </c>
      <c r="R36" s="97" t="s">
        <v>77</v>
      </c>
      <c r="S36" s="349" t="s">
        <v>77</v>
      </c>
      <c r="T36" s="98" t="s">
        <v>77</v>
      </c>
      <c r="U36" s="97" t="s">
        <v>77</v>
      </c>
      <c r="V36" s="349" t="s">
        <v>77</v>
      </c>
      <c r="W36" s="98" t="s">
        <v>77</v>
      </c>
      <c r="X36" s="97" t="s">
        <v>77</v>
      </c>
      <c r="Y36" s="349" t="s">
        <v>77</v>
      </c>
      <c r="Z36" s="98" t="s">
        <v>77</v>
      </c>
      <c r="AA36" s="97" t="s">
        <v>77</v>
      </c>
      <c r="AB36" s="349" t="s">
        <v>77</v>
      </c>
      <c r="AC36" s="98" t="s">
        <v>77</v>
      </c>
      <c r="AD36" s="99" t="s">
        <v>77</v>
      </c>
      <c r="AE36" s="349" t="s">
        <v>77</v>
      </c>
      <c r="AF36" s="98" t="s">
        <v>77</v>
      </c>
      <c r="AG36" s="99" t="s">
        <v>77</v>
      </c>
      <c r="AH36" s="349" t="s">
        <v>77</v>
      </c>
      <c r="AI36" s="98" t="s">
        <v>77</v>
      </c>
      <c r="AJ36" s="99" t="s">
        <v>77</v>
      </c>
      <c r="AK36" s="349" t="s">
        <v>77</v>
      </c>
      <c r="AL36" s="98" t="s">
        <v>77</v>
      </c>
      <c r="AM36" s="99" t="s">
        <v>77</v>
      </c>
      <c r="AN36" s="349" t="s">
        <v>77</v>
      </c>
      <c r="AO36" s="98" t="s">
        <v>77</v>
      </c>
      <c r="AP36" s="99" t="s">
        <v>77</v>
      </c>
      <c r="AQ36" s="349" t="s">
        <v>77</v>
      </c>
      <c r="AR36" s="98" t="s">
        <v>77</v>
      </c>
      <c r="AS36" s="99" t="s">
        <v>77</v>
      </c>
      <c r="AT36" s="349" t="s">
        <v>77</v>
      </c>
      <c r="AU36" s="98" t="s">
        <v>77</v>
      </c>
      <c r="AV36" s="99" t="s">
        <v>77</v>
      </c>
      <c r="AW36" s="349" t="s">
        <v>77</v>
      </c>
      <c r="AX36" s="98" t="s">
        <v>77</v>
      </c>
      <c r="AY36" s="99" t="s">
        <v>77</v>
      </c>
      <c r="AZ36" s="349" t="s">
        <v>77</v>
      </c>
      <c r="BA36" s="98" t="s">
        <v>77</v>
      </c>
      <c r="BB36" s="99" t="s">
        <v>77</v>
      </c>
      <c r="BC36" s="349" t="s">
        <v>77</v>
      </c>
      <c r="BD36" s="98" t="s">
        <v>77</v>
      </c>
      <c r="BE36" s="99" t="s">
        <v>77</v>
      </c>
      <c r="BF36" s="349" t="s">
        <v>77</v>
      </c>
      <c r="BG36" s="98" t="s">
        <v>77</v>
      </c>
      <c r="BH36" s="99" t="s">
        <v>77</v>
      </c>
      <c r="BI36" s="349" t="s">
        <v>77</v>
      </c>
      <c r="BJ36" s="98" t="s">
        <v>77</v>
      </c>
      <c r="BK36" s="99" t="s">
        <v>77</v>
      </c>
      <c r="BL36" s="349" t="s">
        <v>77</v>
      </c>
      <c r="BM36" s="98" t="s">
        <v>77</v>
      </c>
      <c r="BN36" s="99" t="s">
        <v>77</v>
      </c>
      <c r="BO36" s="349" t="s">
        <v>77</v>
      </c>
      <c r="BP36" s="98" t="s">
        <v>77</v>
      </c>
      <c r="BQ36" s="99" t="s">
        <v>77</v>
      </c>
      <c r="BR36" s="349" t="s">
        <v>77</v>
      </c>
      <c r="BS36" s="98" t="s">
        <v>77</v>
      </c>
      <c r="BT36" s="99" t="s">
        <v>77</v>
      </c>
      <c r="BU36" s="349" t="s">
        <v>77</v>
      </c>
      <c r="BV36" s="98" t="s">
        <v>77</v>
      </c>
      <c r="BW36" s="99" t="s">
        <v>77</v>
      </c>
      <c r="BX36" s="349" t="s">
        <v>77</v>
      </c>
      <c r="BY36" s="98" t="s">
        <v>77</v>
      </c>
      <c r="BZ36" s="99" t="s">
        <v>77</v>
      </c>
      <c r="CA36" s="349" t="s">
        <v>77</v>
      </c>
      <c r="CB36" s="98" t="s">
        <v>77</v>
      </c>
      <c r="CC36" s="99" t="s">
        <v>77</v>
      </c>
      <c r="CD36" s="349" t="s">
        <v>77</v>
      </c>
      <c r="CE36" s="98" t="s">
        <v>77</v>
      </c>
      <c r="CF36" s="99" t="s">
        <v>77</v>
      </c>
      <c r="CG36" s="95">
        <f>+CG37+CG42</f>
        <v>180251</v>
      </c>
      <c r="CH36" s="96">
        <f t="shared" ref="CH36:CH45" si="356">CG36/CG$36</f>
        <v>1</v>
      </c>
      <c r="CI36" s="99" t="e">
        <f>(CG36/BU36)-1</f>
        <v>#VALUE!</v>
      </c>
      <c r="CJ36" s="95">
        <f>+CJ37+CJ42</f>
        <v>108970</v>
      </c>
      <c r="CK36" s="96">
        <f t="shared" ref="CK36:CK45" si="357">CJ36/CJ$36</f>
        <v>1</v>
      </c>
      <c r="CL36" s="99" t="e">
        <f>(CJ36/BX36)-1</f>
        <v>#VALUE!</v>
      </c>
      <c r="CM36" s="95">
        <f>+CM37+CM42</f>
        <v>160405</v>
      </c>
      <c r="CN36" s="96">
        <f t="shared" ref="CN36:CN45" si="358">CM36/CM$36</f>
        <v>1</v>
      </c>
      <c r="CO36" s="99" t="e">
        <f>(CM36/CA36)-1</f>
        <v>#VALUE!</v>
      </c>
      <c r="CP36" s="95">
        <f>+CP37+CP42</f>
        <v>143860</v>
      </c>
      <c r="CQ36" s="96">
        <f t="shared" ref="CQ36:CQ45" si="359">CP36/CP$36</f>
        <v>1</v>
      </c>
      <c r="CR36" s="99" t="e">
        <f>(CP36/CD36)-1</f>
        <v>#VALUE!</v>
      </c>
      <c r="CS36" s="95">
        <f>+CS37+CS42</f>
        <v>247825</v>
      </c>
      <c r="CT36" s="96">
        <f t="shared" ref="CT36:CT45" si="360">CS36/CS$36</f>
        <v>1</v>
      </c>
      <c r="CU36" s="99">
        <f>(CS36/CG36)-1</f>
        <v>0.37488835013397992</v>
      </c>
      <c r="CV36" s="95">
        <f>+CV37+CV42</f>
        <v>149898</v>
      </c>
      <c r="CW36" s="96">
        <f t="shared" ref="CW36:CW45" si="361">CV36/CV$36</f>
        <v>1</v>
      </c>
      <c r="CX36" s="99">
        <f>(CV36/CJ36)-1</f>
        <v>0.3755896118197668</v>
      </c>
      <c r="CY36" s="95">
        <f>+CY37+CY42</f>
        <v>188594</v>
      </c>
      <c r="CZ36" s="96">
        <f t="shared" ref="CZ36:CZ45" si="362">CY36/CY$36</f>
        <v>1</v>
      </c>
      <c r="DA36" s="99">
        <f>(CY36/CM36)-1</f>
        <v>0.1757364171939777</v>
      </c>
      <c r="DB36" s="95">
        <f>+DB37+DB42</f>
        <v>164710</v>
      </c>
      <c r="DC36" s="96">
        <f t="shared" ref="DC36:DC45" si="363">DB36/DB$36</f>
        <v>1</v>
      </c>
      <c r="DD36" s="99">
        <f>(DB36/CP36)-1</f>
        <v>0.14493257333518694</v>
      </c>
      <c r="DE36" s="95">
        <f>+DE37+DE42</f>
        <v>276901</v>
      </c>
      <c r="DF36" s="96">
        <f t="shared" ref="DF36:DF45" si="364">DE36/DE$36</f>
        <v>1</v>
      </c>
      <c r="DG36" s="99">
        <f>(DE36/CS36)-1</f>
        <v>0.1173247251084435</v>
      </c>
      <c r="DH36" s="95">
        <f>+DH37+DH42</f>
        <v>158203</v>
      </c>
      <c r="DI36" s="96">
        <f t="shared" ref="DI36:DI45" si="365">DH36/DH$36</f>
        <v>1</v>
      </c>
      <c r="DJ36" s="99">
        <f>(DH36/CV36)-1</f>
        <v>5.5404341618967567E-2</v>
      </c>
      <c r="DK36" s="95">
        <f>+DK37+DK42</f>
        <v>212210</v>
      </c>
      <c r="DL36" s="96">
        <f t="shared" ref="DL36:DL45" si="366">DK36/DK$36</f>
        <v>1</v>
      </c>
      <c r="DM36" s="99">
        <f>(DK36/CY36)-1</f>
        <v>0.12522137501723285</v>
      </c>
      <c r="DN36" s="95">
        <f>+DN37+DN42</f>
        <v>186924</v>
      </c>
      <c r="DO36" s="96">
        <f t="shared" ref="DO36:DO45" si="367">DN36/DN$36</f>
        <v>1</v>
      </c>
      <c r="DP36" s="99">
        <f>(DN36/DB36)-1</f>
        <v>0.13486734260214917</v>
      </c>
      <c r="DQ36" s="95">
        <f>+DQ37+DQ42</f>
        <v>352023</v>
      </c>
      <c r="DR36" s="96">
        <f t="shared" ref="DR36:DR45" si="368">DQ36/DQ$36</f>
        <v>1</v>
      </c>
      <c r="DS36" s="99">
        <f>(DQ36/DE36)-1</f>
        <v>0.27129551717039657</v>
      </c>
      <c r="DT36" s="95">
        <f>+DT37+DT42</f>
        <v>192037</v>
      </c>
      <c r="DU36" s="96">
        <f t="shared" ref="DU36:DU45" si="369">DT36/DT$36</f>
        <v>1</v>
      </c>
      <c r="DV36" s="99">
        <f>(DT36/DH36)-1</f>
        <v>0.21386446527562697</v>
      </c>
      <c r="DW36" s="95">
        <f>+DW37+DW42</f>
        <v>259777</v>
      </c>
      <c r="DX36" s="96">
        <f t="shared" ref="DX36:DX45" si="370">DW36/DW$36</f>
        <v>1</v>
      </c>
      <c r="DY36" s="99">
        <f>(DW36/DK36)-1</f>
        <v>0.22415060553225574</v>
      </c>
      <c r="DZ36" s="95">
        <f>+DZ37+DZ42</f>
        <v>232630</v>
      </c>
      <c r="EA36" s="96">
        <f t="shared" ref="EA36:EA45" si="371">DZ36/DZ$36</f>
        <v>1</v>
      </c>
      <c r="EB36" s="99">
        <f>(DZ36/DN36)-1</f>
        <v>0.24451648798442149</v>
      </c>
      <c r="EC36" s="95">
        <f>+EC37+EC42</f>
        <v>404990</v>
      </c>
      <c r="ED36" s="96">
        <f t="shared" ref="ED36:ED45" si="372">EC36/EC$36</f>
        <v>1</v>
      </c>
      <c r="EE36" s="99">
        <f>(EC36/DQ36)-1</f>
        <v>0.15046460032441056</v>
      </c>
      <c r="EF36" s="95">
        <f>+EF37+EF42</f>
        <v>208765</v>
      </c>
      <c r="EG36" s="96">
        <f t="shared" ref="EG36:EG45" si="373">EF36/EF$36</f>
        <v>1</v>
      </c>
      <c r="EH36" s="99">
        <f>(EF36/DT36)-1</f>
        <v>8.7108213521352562E-2</v>
      </c>
      <c r="EI36" s="95">
        <f>+EI37+EI42</f>
        <v>314263</v>
      </c>
      <c r="EJ36" s="96">
        <f t="shared" ref="EJ36:EJ45" si="374">EI36/EI$36</f>
        <v>1</v>
      </c>
      <c r="EK36" s="99">
        <f>(EI36/DW36)-1</f>
        <v>0.20974143207443308</v>
      </c>
      <c r="EL36" s="95">
        <f>+EL37+EL42</f>
        <v>247785</v>
      </c>
      <c r="EM36" s="96">
        <f t="shared" ref="EM36" si="375">EL36/EL$36</f>
        <v>1</v>
      </c>
      <c r="EN36" s="99">
        <f>(EL36/DZ36)-1</f>
        <v>6.5146369771740487E-2</v>
      </c>
      <c r="EO36" s="95">
        <f>+EO37+EO42</f>
        <v>454874</v>
      </c>
      <c r="EP36" s="96">
        <f t="shared" ref="EP36:EP45" si="376">EO36/EO$36</f>
        <v>1</v>
      </c>
      <c r="EQ36" s="99">
        <f>(EO36/EC36)-1</f>
        <v>0.12317341168917761</v>
      </c>
      <c r="ER36" s="95">
        <f>+ER37+ER42</f>
        <v>265105</v>
      </c>
      <c r="ES36" s="96">
        <f t="shared" ref="ES36:ES45" si="377">ER36/ER$36</f>
        <v>1</v>
      </c>
      <c r="ET36" s="99">
        <f>(ER36/EF36)-1</f>
        <v>0.26987282350968789</v>
      </c>
      <c r="EU36" s="95">
        <f>+EU37+EU42</f>
        <v>364461</v>
      </c>
      <c r="EV36" s="96">
        <f t="shared" ref="EV36" si="378">EU36/EU$36</f>
        <v>1</v>
      </c>
      <c r="EW36" s="99">
        <f>(EU36/EI36)-1</f>
        <v>0.15973245339094966</v>
      </c>
      <c r="EX36" s="95">
        <f>+EX37+EX42</f>
        <v>331489</v>
      </c>
      <c r="EY36" s="96">
        <f t="shared" ref="EY36" si="379">EX36/EX$36</f>
        <v>1</v>
      </c>
      <c r="EZ36" s="99">
        <f>(EX36/EL36)-1</f>
        <v>0.33780898763040534</v>
      </c>
      <c r="FA36" s="95">
        <v>583471.69999999995</v>
      </c>
      <c r="FB36" s="96">
        <f t="shared" ref="FB36" si="380">FA36/FA$36</f>
        <v>1</v>
      </c>
      <c r="FC36" s="99">
        <f>(FA36/EO36)-1</f>
        <v>0.28271059678064692</v>
      </c>
      <c r="FD36" s="95">
        <v>333953</v>
      </c>
      <c r="FE36" s="96">
        <f t="shared" ref="FE36:FE45" si="381">FD36/FD$36</f>
        <v>1</v>
      </c>
      <c r="FF36" s="99">
        <f>(FD36/ER36)-1</f>
        <v>0.25970087323890545</v>
      </c>
      <c r="FG36" s="95">
        <v>451352</v>
      </c>
      <c r="FH36" s="96">
        <f t="shared" ref="FH36:FH45" si="382">FG36/FG$36</f>
        <v>1</v>
      </c>
      <c r="FI36" s="99">
        <f>(FG36/EU36)-1</f>
        <v>0.23840959663722594</v>
      </c>
      <c r="FJ36" s="95">
        <v>376011</v>
      </c>
      <c r="FK36" s="96">
        <f t="shared" ref="FK36" si="383">FJ36/FJ$36</f>
        <v>1</v>
      </c>
      <c r="FL36" s="99">
        <f>(FJ36/EX36)-1</f>
        <v>0.13430913242973364</v>
      </c>
      <c r="FM36" s="95">
        <v>701593</v>
      </c>
      <c r="FN36" s="96">
        <f t="shared" ref="FN36" si="384">FM36/FM$36</f>
        <v>1</v>
      </c>
      <c r="FO36" s="99">
        <f>(FM36/FA36)-1</f>
        <v>0.20244563703775187</v>
      </c>
      <c r="FP36" s="95">
        <v>425173</v>
      </c>
      <c r="FQ36" s="96">
        <f t="shared" ref="FQ36" si="385">FP36/FP$36</f>
        <v>1</v>
      </c>
      <c r="FR36" s="99">
        <f>(FP36/FD36)-1</f>
        <v>0.27315221004153289</v>
      </c>
      <c r="FS36" s="95">
        <v>540314</v>
      </c>
      <c r="FT36" s="96">
        <f t="shared" ref="FT36" si="386">FS36/FS$36</f>
        <v>1</v>
      </c>
      <c r="FU36" s="99">
        <f>(FS36/FG36)-1</f>
        <v>0.19710115386660521</v>
      </c>
      <c r="FV36" s="95">
        <v>437417.24385999999</v>
      </c>
      <c r="FW36" s="96">
        <f t="shared" ref="FW36" si="387">FV36/FV$36</f>
        <v>1</v>
      </c>
      <c r="FX36" s="99">
        <f>(FV36/FJ36)-1</f>
        <v>0.16330970067365058</v>
      </c>
      <c r="FY36" s="95">
        <v>797075.22594000015</v>
      </c>
      <c r="FZ36" s="96">
        <f t="shared" ref="FZ36" si="388">FY36/FY$36</f>
        <v>1</v>
      </c>
      <c r="GA36" s="99">
        <f>(FY36/FM36)-1</f>
        <v>0.13609347006027739</v>
      </c>
      <c r="GB36" s="95">
        <v>334682.21003000002</v>
      </c>
      <c r="GC36" s="96">
        <f t="shared" ref="GC36" si="389">GB36/GB$36</f>
        <v>1</v>
      </c>
      <c r="GD36" s="99">
        <f>(GB36/FP36)-1</f>
        <v>-0.21283287031396625</v>
      </c>
      <c r="GE36" s="95">
        <v>200561.33981</v>
      </c>
      <c r="GF36" s="96">
        <f t="shared" ref="GF36" si="390">GE36/GE$36</f>
        <v>1</v>
      </c>
      <c r="GG36" s="99">
        <f>(GE36/FS36)-1</f>
        <v>-0.62880595392679073</v>
      </c>
      <c r="GH36" s="95">
        <v>454795</v>
      </c>
      <c r="GI36" s="96">
        <f t="shared" ref="GI36" si="391">GH36/GH$36</f>
        <v>1</v>
      </c>
      <c r="GJ36" s="99">
        <f>(GH36/FV36)-1</f>
        <v>3.9728100306813507E-2</v>
      </c>
      <c r="GK36" s="95">
        <v>833255</v>
      </c>
      <c r="GL36" s="96">
        <f t="shared" ref="GL36" si="392">GK36/GK$36</f>
        <v>1</v>
      </c>
      <c r="GM36" s="99">
        <f>(GK36/FY36)-1</f>
        <v>4.5390664372152001E-2</v>
      </c>
    </row>
    <row r="37" spans="2:195" s="23" customFormat="1" ht="16.5" hidden="1" customHeight="1" collapsed="1">
      <c r="B37" s="267" t="s">
        <v>1061</v>
      </c>
      <c r="C37" s="267" t="s">
        <v>1055</v>
      </c>
      <c r="D37" s="273" t="s">
        <v>77</v>
      </c>
      <c r="E37" s="270" t="s">
        <v>77</v>
      </c>
      <c r="F37" s="270" t="s">
        <v>77</v>
      </c>
      <c r="G37" s="273" t="s">
        <v>77</v>
      </c>
      <c r="H37" s="270" t="s">
        <v>77</v>
      </c>
      <c r="I37" s="270" t="s">
        <v>77</v>
      </c>
      <c r="J37" s="273" t="s">
        <v>77</v>
      </c>
      <c r="K37" s="270" t="s">
        <v>77</v>
      </c>
      <c r="L37" s="270" t="s">
        <v>77</v>
      </c>
      <c r="M37" s="273" t="s">
        <v>77</v>
      </c>
      <c r="N37" s="270" t="s">
        <v>77</v>
      </c>
      <c r="O37" s="270" t="s">
        <v>77</v>
      </c>
      <c r="P37" s="273" t="s">
        <v>77</v>
      </c>
      <c r="Q37" s="270" t="s">
        <v>77</v>
      </c>
      <c r="R37" s="271" t="s">
        <v>77</v>
      </c>
      <c r="S37" s="273" t="s">
        <v>77</v>
      </c>
      <c r="T37" s="270" t="s">
        <v>77</v>
      </c>
      <c r="U37" s="271" t="s">
        <v>77</v>
      </c>
      <c r="V37" s="273" t="s">
        <v>77</v>
      </c>
      <c r="W37" s="270" t="s">
        <v>77</v>
      </c>
      <c r="X37" s="271" t="s">
        <v>77</v>
      </c>
      <c r="Y37" s="273" t="s">
        <v>77</v>
      </c>
      <c r="Z37" s="270" t="s">
        <v>77</v>
      </c>
      <c r="AA37" s="271" t="s">
        <v>77</v>
      </c>
      <c r="AB37" s="273" t="s">
        <v>77</v>
      </c>
      <c r="AC37" s="270" t="s">
        <v>77</v>
      </c>
      <c r="AD37" s="272" t="s">
        <v>77</v>
      </c>
      <c r="AE37" s="273" t="s">
        <v>77</v>
      </c>
      <c r="AF37" s="270" t="s">
        <v>77</v>
      </c>
      <c r="AG37" s="272" t="s">
        <v>77</v>
      </c>
      <c r="AH37" s="273" t="s">
        <v>77</v>
      </c>
      <c r="AI37" s="270" t="s">
        <v>77</v>
      </c>
      <c r="AJ37" s="272" t="s">
        <v>77</v>
      </c>
      <c r="AK37" s="273" t="s">
        <v>77</v>
      </c>
      <c r="AL37" s="270" t="s">
        <v>77</v>
      </c>
      <c r="AM37" s="272" t="s">
        <v>77</v>
      </c>
      <c r="AN37" s="273" t="s">
        <v>77</v>
      </c>
      <c r="AO37" s="270" t="s">
        <v>77</v>
      </c>
      <c r="AP37" s="272" t="s">
        <v>77</v>
      </c>
      <c r="AQ37" s="273" t="s">
        <v>77</v>
      </c>
      <c r="AR37" s="270" t="s">
        <v>77</v>
      </c>
      <c r="AS37" s="272" t="s">
        <v>77</v>
      </c>
      <c r="AT37" s="273" t="s">
        <v>77</v>
      </c>
      <c r="AU37" s="270" t="s">
        <v>77</v>
      </c>
      <c r="AV37" s="272" t="s">
        <v>77</v>
      </c>
      <c r="AW37" s="273" t="s">
        <v>77</v>
      </c>
      <c r="AX37" s="270" t="s">
        <v>77</v>
      </c>
      <c r="AY37" s="272" t="s">
        <v>77</v>
      </c>
      <c r="AZ37" s="273" t="s">
        <v>77</v>
      </c>
      <c r="BA37" s="270" t="s">
        <v>77</v>
      </c>
      <c r="BB37" s="272" t="s">
        <v>77</v>
      </c>
      <c r="BC37" s="273" t="s">
        <v>77</v>
      </c>
      <c r="BD37" s="270" t="s">
        <v>77</v>
      </c>
      <c r="BE37" s="272" t="s">
        <v>77</v>
      </c>
      <c r="BF37" s="273" t="s">
        <v>77</v>
      </c>
      <c r="BG37" s="270" t="s">
        <v>77</v>
      </c>
      <c r="BH37" s="272" t="s">
        <v>77</v>
      </c>
      <c r="BI37" s="273" t="s">
        <v>77</v>
      </c>
      <c r="BJ37" s="270" t="s">
        <v>77</v>
      </c>
      <c r="BK37" s="272" t="s">
        <v>77</v>
      </c>
      <c r="BL37" s="273" t="s">
        <v>77</v>
      </c>
      <c r="BM37" s="270" t="s">
        <v>77</v>
      </c>
      <c r="BN37" s="272" t="s">
        <v>77</v>
      </c>
      <c r="BO37" s="273" t="s">
        <v>77</v>
      </c>
      <c r="BP37" s="270" t="s">
        <v>77</v>
      </c>
      <c r="BQ37" s="272" t="s">
        <v>77</v>
      </c>
      <c r="BR37" s="273" t="s">
        <v>77</v>
      </c>
      <c r="BS37" s="270" t="s">
        <v>77</v>
      </c>
      <c r="BT37" s="272" t="s">
        <v>77</v>
      </c>
      <c r="BU37" s="273" t="s">
        <v>77</v>
      </c>
      <c r="BV37" s="270" t="s">
        <v>77</v>
      </c>
      <c r="BW37" s="272" t="s">
        <v>77</v>
      </c>
      <c r="BX37" s="273" t="s">
        <v>77</v>
      </c>
      <c r="BY37" s="270" t="s">
        <v>77</v>
      </c>
      <c r="BZ37" s="272" t="s">
        <v>77</v>
      </c>
      <c r="CA37" s="273" t="s">
        <v>77</v>
      </c>
      <c r="CB37" s="270" t="s">
        <v>77</v>
      </c>
      <c r="CC37" s="272" t="s">
        <v>77</v>
      </c>
      <c r="CD37" s="273" t="s">
        <v>77</v>
      </c>
      <c r="CE37" s="270" t="s">
        <v>77</v>
      </c>
      <c r="CF37" s="272" t="s">
        <v>77</v>
      </c>
      <c r="CG37" s="268">
        <f>SUM(CG38:CG41)</f>
        <v>159287</v>
      </c>
      <c r="CH37" s="269">
        <f t="shared" si="356"/>
        <v>0.88369551347842734</v>
      </c>
      <c r="CI37" s="272" t="e">
        <f>CG37/BU37-1</f>
        <v>#VALUE!</v>
      </c>
      <c r="CJ37" s="268">
        <f>SUM(CJ38:CJ41)</f>
        <v>94210</v>
      </c>
      <c r="CK37" s="269">
        <f t="shared" si="357"/>
        <v>0.86454987611269152</v>
      </c>
      <c r="CL37" s="272" t="e">
        <f>CJ37/BX37-1</f>
        <v>#VALUE!</v>
      </c>
      <c r="CM37" s="268">
        <f>SUM(CM38:CM41)</f>
        <v>143092</v>
      </c>
      <c r="CN37" s="269">
        <f t="shared" si="358"/>
        <v>0.89206695551884296</v>
      </c>
      <c r="CO37" s="272" t="e">
        <f>CM37/CA37-1</f>
        <v>#VALUE!</v>
      </c>
      <c r="CP37" s="268">
        <f>SUM(CP38:CP41)</f>
        <v>121705</v>
      </c>
      <c r="CQ37" s="269">
        <f t="shared" si="359"/>
        <v>0.84599610732656749</v>
      </c>
      <c r="CR37" s="272" t="e">
        <f>CP37/CD37-1</f>
        <v>#VALUE!</v>
      </c>
      <c r="CS37" s="268">
        <f>SUM(CS38:CS41)</f>
        <v>220333</v>
      </c>
      <c r="CT37" s="269">
        <f t="shared" si="360"/>
        <v>0.88906688187228888</v>
      </c>
      <c r="CU37" s="272">
        <f>CS37/CG37-1</f>
        <v>0.38324533703315389</v>
      </c>
      <c r="CV37" s="268">
        <f>SUM(CV38:CV41)</f>
        <v>125315</v>
      </c>
      <c r="CW37" s="269">
        <f t="shared" si="361"/>
        <v>0.8360018145672391</v>
      </c>
      <c r="CX37" s="272">
        <f>CV37/CJ37-1</f>
        <v>0.3301666489756927</v>
      </c>
      <c r="CY37" s="268">
        <f>SUM(CY38:CY41)</f>
        <v>164479</v>
      </c>
      <c r="CZ37" s="269">
        <f t="shared" si="362"/>
        <v>0.87213272956721843</v>
      </c>
      <c r="DA37" s="272">
        <f>CY37/CM37-1</f>
        <v>0.14946328236379403</v>
      </c>
      <c r="DB37" s="268">
        <f>SUM(DB38:DB41)</f>
        <v>137998</v>
      </c>
      <c r="DC37" s="269">
        <f t="shared" si="363"/>
        <v>0.83782405439864005</v>
      </c>
      <c r="DD37" s="272">
        <f>DB37/CP37-1</f>
        <v>0.13387288936362518</v>
      </c>
      <c r="DE37" s="268">
        <f>SUM(DE38:DE41)</f>
        <v>243775</v>
      </c>
      <c r="DF37" s="269">
        <f t="shared" si="364"/>
        <v>0.88036879606790874</v>
      </c>
      <c r="DG37" s="272">
        <f>DE37/CS37-1</f>
        <v>0.10639350437746509</v>
      </c>
      <c r="DH37" s="268">
        <f>SUM(DH38:DH41)</f>
        <v>131824</v>
      </c>
      <c r="DI37" s="269">
        <f t="shared" si="365"/>
        <v>0.83325853492032387</v>
      </c>
      <c r="DJ37" s="272">
        <f>DH37/CV37-1</f>
        <v>5.1941108406814873E-2</v>
      </c>
      <c r="DK37" s="268">
        <f>SUM(DK38:DK41)</f>
        <v>189166</v>
      </c>
      <c r="DL37" s="269">
        <f t="shared" si="366"/>
        <v>0.89140945290042883</v>
      </c>
      <c r="DM37" s="272">
        <f>DK37/CY37-1</f>
        <v>0.15009210902303627</v>
      </c>
      <c r="DN37" s="268">
        <f>SUM(DN38:DN41)</f>
        <v>158920</v>
      </c>
      <c r="DO37" s="269">
        <f t="shared" si="367"/>
        <v>0.8501851019665746</v>
      </c>
      <c r="DP37" s="272">
        <f>DN37/DB37-1</f>
        <v>0.15161089291149143</v>
      </c>
      <c r="DQ37" s="268">
        <f>SUM(DQ38:DQ41)</f>
        <v>309636</v>
      </c>
      <c r="DR37" s="269">
        <f t="shared" si="368"/>
        <v>0.87959025404590041</v>
      </c>
      <c r="DS37" s="272">
        <f>DQ37/DE37-1</f>
        <v>0.27017126448569373</v>
      </c>
      <c r="DT37" s="268">
        <f>SUM(DT38:DT41)</f>
        <v>162811</v>
      </c>
      <c r="DU37" s="269">
        <f t="shared" si="369"/>
        <v>0.84781057816983185</v>
      </c>
      <c r="DV37" s="272">
        <f>DT37/DH37-1</f>
        <v>0.23506341789052065</v>
      </c>
      <c r="DW37" s="268">
        <f>SUM(DW38:DW41)</f>
        <v>229667</v>
      </c>
      <c r="DX37" s="269">
        <f t="shared" si="370"/>
        <v>0.88409289505999378</v>
      </c>
      <c r="DY37" s="272">
        <f>DW37/DK37-1</f>
        <v>0.21410295719103867</v>
      </c>
      <c r="DZ37" s="268">
        <f>SUM(DZ38:DZ41)</f>
        <v>195332</v>
      </c>
      <c r="EA37" s="269">
        <f t="shared" si="371"/>
        <v>0.83966814254395394</v>
      </c>
      <c r="EB37" s="272">
        <f>DZ37/DN37-1</f>
        <v>0.22912157060156058</v>
      </c>
      <c r="EC37" s="268">
        <f>SUM(EC38:EC41)</f>
        <v>344125</v>
      </c>
      <c r="ED37" s="269">
        <f t="shared" si="372"/>
        <v>0.84971233857626116</v>
      </c>
      <c r="EE37" s="272">
        <f>EC37/DQ37-1</f>
        <v>0.11138562699427723</v>
      </c>
      <c r="EF37" s="268">
        <f>SUM(EF38:EF41)</f>
        <v>164932</v>
      </c>
      <c r="EG37" s="269">
        <f t="shared" si="373"/>
        <v>0.79003664407347973</v>
      </c>
      <c r="EH37" s="272">
        <f>EF37/DT37-1</f>
        <v>1.3027375300194599E-2</v>
      </c>
      <c r="EI37" s="268">
        <f>SUM(EI38:EI41)</f>
        <v>259455</v>
      </c>
      <c r="EJ37" s="269">
        <f>EI37/EI$36</f>
        <v>0.82559830460474193</v>
      </c>
      <c r="EK37" s="272">
        <f>EI37/DW37-1</f>
        <v>0.12970082772013392</v>
      </c>
      <c r="EL37" s="268">
        <f>SUM(EL38:EL41)</f>
        <v>191274</v>
      </c>
      <c r="EM37" s="269">
        <f>EL37/EL$36</f>
        <v>0.77193534717597923</v>
      </c>
      <c r="EN37" s="272">
        <f>EL37/DZ37-1</f>
        <v>-2.0774885835398216E-2</v>
      </c>
      <c r="EO37" s="268">
        <f>SUM(EO38:EO41)</f>
        <v>371593</v>
      </c>
      <c r="EP37" s="269">
        <f t="shared" si="376"/>
        <v>0.81691413446360972</v>
      </c>
      <c r="EQ37" s="272">
        <f t="shared" ref="EQ37:EQ45" si="393">EO37/EC37-1</f>
        <v>7.981983290955319E-2</v>
      </c>
      <c r="ER37" s="268">
        <f>SUM(ER38:ER41)</f>
        <v>206731</v>
      </c>
      <c r="ES37" s="269">
        <f t="shared" si="377"/>
        <v>0.7798080006035345</v>
      </c>
      <c r="ET37" s="272">
        <f>ER37/EF37-1</f>
        <v>0.2534317173138021</v>
      </c>
      <c r="EU37" s="268">
        <f>SUM(EU38:EU41)</f>
        <v>293409</v>
      </c>
      <c r="EV37" s="269">
        <f>EU37/EU$36</f>
        <v>0.80504909990369344</v>
      </c>
      <c r="EW37" s="272">
        <f>EU37/EI37-1</f>
        <v>0.13086662427010465</v>
      </c>
      <c r="EX37" s="268">
        <f>SUM(EX38:EX41)</f>
        <v>254810</v>
      </c>
      <c r="EY37" s="269">
        <f>EX37/EX$36</f>
        <v>0.76868312372356251</v>
      </c>
      <c r="EZ37" s="272">
        <f>EX37/EL37-1</f>
        <v>0.3321726946683814</v>
      </c>
      <c r="FA37" s="268">
        <f>SUM(FA38:FA41)</f>
        <v>0</v>
      </c>
      <c r="FB37" s="269">
        <f>FA37/FA$36</f>
        <v>0</v>
      </c>
      <c r="FC37" s="272">
        <f>FA37/EO37-1</f>
        <v>-1</v>
      </c>
      <c r="FD37" s="268">
        <f>SUM(FD38:FD41)</f>
        <v>206731</v>
      </c>
      <c r="FE37" s="269">
        <f t="shared" si="381"/>
        <v>0.61904220054917902</v>
      </c>
      <c r="FF37" s="272">
        <f>FD37/ER37-1</f>
        <v>0</v>
      </c>
      <c r="FG37" s="268"/>
      <c r="FH37" s="269">
        <f t="shared" si="382"/>
        <v>0</v>
      </c>
      <c r="FI37" s="272">
        <f>FG37/EU37-1</f>
        <v>-1</v>
      </c>
      <c r="FJ37" s="268"/>
      <c r="FK37" s="269"/>
      <c r="FL37" s="272"/>
      <c r="FM37" s="268"/>
      <c r="FN37" s="269"/>
      <c r="FO37" s="272"/>
      <c r="FP37" s="268"/>
      <c r="FQ37" s="269"/>
      <c r="FR37" s="272"/>
      <c r="FS37" s="268"/>
      <c r="FT37" s="269"/>
      <c r="FU37" s="272"/>
      <c r="FV37" s="268"/>
      <c r="FW37" s="269"/>
      <c r="FX37" s="272"/>
      <c r="FY37" s="268"/>
      <c r="FZ37" s="269"/>
      <c r="GA37" s="272"/>
      <c r="GB37" s="268"/>
      <c r="GC37" s="269"/>
      <c r="GD37" s="272"/>
      <c r="GE37" s="268"/>
      <c r="GF37" s="269"/>
      <c r="GG37" s="272"/>
      <c r="GH37" s="268"/>
      <c r="GI37" s="269"/>
      <c r="GJ37" s="272"/>
      <c r="GK37" s="268"/>
      <c r="GL37" s="269"/>
      <c r="GM37" s="272"/>
    </row>
    <row r="38" spans="2:195" ht="16.5" hidden="1" customHeight="1">
      <c r="B38" s="222" t="s">
        <v>251</v>
      </c>
      <c r="C38" s="222" t="s">
        <v>1056</v>
      </c>
      <c r="D38" s="27" t="s">
        <v>77</v>
      </c>
      <c r="E38" s="27" t="s">
        <v>77</v>
      </c>
      <c r="F38" s="27" t="s">
        <v>77</v>
      </c>
      <c r="G38" s="27" t="s">
        <v>77</v>
      </c>
      <c r="H38" s="27" t="s">
        <v>77</v>
      </c>
      <c r="I38" s="27" t="s">
        <v>77</v>
      </c>
      <c r="J38" s="27" t="s">
        <v>77</v>
      </c>
      <c r="K38" s="27" t="s">
        <v>77</v>
      </c>
      <c r="L38" s="27" t="s">
        <v>77</v>
      </c>
      <c r="M38" s="27" t="s">
        <v>77</v>
      </c>
      <c r="N38" s="27" t="s">
        <v>77</v>
      </c>
      <c r="O38" s="27" t="s">
        <v>77</v>
      </c>
      <c r="P38" s="27" t="s">
        <v>77</v>
      </c>
      <c r="Q38" s="27" t="s">
        <v>77</v>
      </c>
      <c r="R38" s="27" t="s">
        <v>77</v>
      </c>
      <c r="S38" s="27" t="s">
        <v>77</v>
      </c>
      <c r="T38" s="27" t="s">
        <v>77</v>
      </c>
      <c r="U38" s="27" t="s">
        <v>77</v>
      </c>
      <c r="V38" s="27" t="s">
        <v>77</v>
      </c>
      <c r="W38" s="27" t="s">
        <v>77</v>
      </c>
      <c r="X38" s="27" t="s">
        <v>77</v>
      </c>
      <c r="Y38" s="27" t="s">
        <v>77</v>
      </c>
      <c r="Z38" s="27" t="s">
        <v>77</v>
      </c>
      <c r="AA38" s="27" t="s">
        <v>77</v>
      </c>
      <c r="AB38" s="27" t="s">
        <v>77</v>
      </c>
      <c r="AC38" s="27" t="s">
        <v>77</v>
      </c>
      <c r="AD38" s="27" t="s">
        <v>77</v>
      </c>
      <c r="AE38" s="33" t="s">
        <v>77</v>
      </c>
      <c r="AF38" s="27" t="s">
        <v>77</v>
      </c>
      <c r="AG38" s="27" t="s">
        <v>77</v>
      </c>
      <c r="AH38" s="33" t="s">
        <v>77</v>
      </c>
      <c r="AI38" s="27" t="s">
        <v>77</v>
      </c>
      <c r="AJ38" s="27" t="s">
        <v>77</v>
      </c>
      <c r="AK38" s="33" t="s">
        <v>77</v>
      </c>
      <c r="AL38" s="27" t="s">
        <v>77</v>
      </c>
      <c r="AM38" s="27" t="s">
        <v>77</v>
      </c>
      <c r="AN38" s="33" t="s">
        <v>77</v>
      </c>
      <c r="AO38" s="27" t="s">
        <v>77</v>
      </c>
      <c r="AP38" s="27" t="s">
        <v>77</v>
      </c>
      <c r="AQ38" s="33" t="s">
        <v>77</v>
      </c>
      <c r="AR38" s="27" t="s">
        <v>77</v>
      </c>
      <c r="AS38" s="27" t="s">
        <v>77</v>
      </c>
      <c r="AT38" s="33" t="s">
        <v>77</v>
      </c>
      <c r="AU38" s="27" t="s">
        <v>77</v>
      </c>
      <c r="AV38" s="27" t="s">
        <v>77</v>
      </c>
      <c r="AW38" s="33" t="s">
        <v>77</v>
      </c>
      <c r="AX38" s="27" t="s">
        <v>77</v>
      </c>
      <c r="AY38" s="27" t="s">
        <v>77</v>
      </c>
      <c r="AZ38" s="33" t="s">
        <v>77</v>
      </c>
      <c r="BA38" s="27" t="s">
        <v>77</v>
      </c>
      <c r="BB38" s="27" t="s">
        <v>77</v>
      </c>
      <c r="BC38" s="33" t="s">
        <v>77</v>
      </c>
      <c r="BD38" s="27" t="s">
        <v>77</v>
      </c>
      <c r="BE38" s="27" t="s">
        <v>77</v>
      </c>
      <c r="BF38" s="33" t="s">
        <v>77</v>
      </c>
      <c r="BG38" s="27" t="s">
        <v>77</v>
      </c>
      <c r="BH38" s="27" t="s">
        <v>77</v>
      </c>
      <c r="BI38" s="33" t="s">
        <v>77</v>
      </c>
      <c r="BJ38" s="27" t="s">
        <v>77</v>
      </c>
      <c r="BK38" s="27" t="s">
        <v>77</v>
      </c>
      <c r="BL38" s="33" t="s">
        <v>77</v>
      </c>
      <c r="BM38" s="27" t="s">
        <v>77</v>
      </c>
      <c r="BN38" s="27" t="s">
        <v>77</v>
      </c>
      <c r="BO38" s="33" t="s">
        <v>77</v>
      </c>
      <c r="BP38" s="27" t="s">
        <v>77</v>
      </c>
      <c r="BQ38" s="27" t="s">
        <v>77</v>
      </c>
      <c r="BR38" s="33" t="s">
        <v>77</v>
      </c>
      <c r="BS38" s="27" t="s">
        <v>77</v>
      </c>
      <c r="BT38" s="27" t="s">
        <v>77</v>
      </c>
      <c r="BU38" s="33" t="s">
        <v>77</v>
      </c>
      <c r="BV38" s="27" t="s">
        <v>77</v>
      </c>
      <c r="BW38" s="27" t="s">
        <v>77</v>
      </c>
      <c r="BX38" s="33" t="s">
        <v>77</v>
      </c>
      <c r="BY38" s="27" t="s">
        <v>77</v>
      </c>
      <c r="BZ38" s="11" t="s">
        <v>77</v>
      </c>
      <c r="CA38" s="33" t="s">
        <v>77</v>
      </c>
      <c r="CB38" s="27" t="s">
        <v>77</v>
      </c>
      <c r="CC38" s="27" t="s">
        <v>77</v>
      </c>
      <c r="CD38" s="33" t="s">
        <v>77</v>
      </c>
      <c r="CE38" s="27" t="s">
        <v>77</v>
      </c>
      <c r="CF38" s="27" t="s">
        <v>77</v>
      </c>
      <c r="CG38" s="33">
        <v>91198</v>
      </c>
      <c r="CH38" s="27">
        <f t="shared" si="356"/>
        <v>0.50595003633821722</v>
      </c>
      <c r="CI38" s="27" t="e">
        <f t="shared" ref="CI38:CI41" si="394">CG38/BU38-1</f>
        <v>#VALUE!</v>
      </c>
      <c r="CJ38" s="33">
        <v>54059</v>
      </c>
      <c r="CK38" s="27">
        <f t="shared" si="357"/>
        <v>0.49609066715609801</v>
      </c>
      <c r="CL38" s="27" t="e">
        <f t="shared" ref="CL38:CL41" si="395">CJ38/BX38-1</f>
        <v>#VALUE!</v>
      </c>
      <c r="CM38" s="33">
        <v>81958</v>
      </c>
      <c r="CN38" s="27">
        <f t="shared" si="358"/>
        <v>0.51094417256319935</v>
      </c>
      <c r="CO38" s="27" t="e">
        <f t="shared" ref="CO38:CO41" si="396">CM38/CA38-1</f>
        <v>#VALUE!</v>
      </c>
      <c r="CP38" s="33">
        <v>73813</v>
      </c>
      <c r="CQ38" s="27">
        <f t="shared" si="359"/>
        <v>0.51308911441679406</v>
      </c>
      <c r="CR38" s="27" t="e">
        <f t="shared" ref="CR38:CR41" si="397">CP38/CD38-1</f>
        <v>#VALUE!</v>
      </c>
      <c r="CS38" s="33">
        <v>137075</v>
      </c>
      <c r="CT38" s="27">
        <f t="shared" si="360"/>
        <v>0.55311207505296078</v>
      </c>
      <c r="CU38" s="27">
        <f t="shared" ref="CU38:CU41" si="398">CS38/CG38-1</f>
        <v>0.50304831246299253</v>
      </c>
      <c r="CV38" s="33">
        <v>79714</v>
      </c>
      <c r="CW38" s="27">
        <f t="shared" si="361"/>
        <v>0.53178828269890188</v>
      </c>
      <c r="CX38" s="27">
        <f t="shared" ref="CX38:CX41" si="399">CV38/CJ38-1</f>
        <v>0.47457407647200278</v>
      </c>
      <c r="CY38" s="33">
        <v>102702</v>
      </c>
      <c r="CZ38" s="27">
        <f t="shared" si="362"/>
        <v>0.54456663520578596</v>
      </c>
      <c r="DA38" s="27">
        <f t="shared" ref="DA38:DA41" si="400">CY38/CM38-1</f>
        <v>0.25310524902999099</v>
      </c>
      <c r="DB38" s="33">
        <v>85115</v>
      </c>
      <c r="DC38" s="27">
        <f t="shared" si="363"/>
        <v>0.51675672393904437</v>
      </c>
      <c r="DD38" s="27">
        <f t="shared" ref="DD38:DD41" si="401">DB38/CP38-1</f>
        <v>0.15311665966699639</v>
      </c>
      <c r="DE38" s="33">
        <v>139185</v>
      </c>
      <c r="DF38" s="27">
        <f t="shared" si="364"/>
        <v>0.50265257258009177</v>
      </c>
      <c r="DG38" s="27">
        <f t="shared" ref="DG38:DG41" si="402">DE38/CS38-1</f>
        <v>1.5393033011125379E-2</v>
      </c>
      <c r="DH38" s="33">
        <v>80568</v>
      </c>
      <c r="DI38" s="27">
        <f t="shared" si="365"/>
        <v>0.50926973571929735</v>
      </c>
      <c r="DJ38" s="27">
        <f t="shared" ref="DJ38:DJ41" si="403">DH38/CV38-1</f>
        <v>1.071330004767046E-2</v>
      </c>
      <c r="DK38" s="33">
        <v>119228</v>
      </c>
      <c r="DL38" s="27">
        <f t="shared" si="366"/>
        <v>0.56183968710239862</v>
      </c>
      <c r="DM38" s="27">
        <f t="shared" ref="DM38:DM41" si="404">DK38/CY38-1</f>
        <v>0.16091215360947198</v>
      </c>
      <c r="DN38" s="33">
        <v>102575</v>
      </c>
      <c r="DO38" s="27">
        <f t="shared" si="367"/>
        <v>0.54875243414435815</v>
      </c>
      <c r="DP38" s="27">
        <f t="shared" ref="DP38:DP41" si="405">DN38/DB38-1</f>
        <v>0.2051342301591963</v>
      </c>
      <c r="DQ38" s="33">
        <v>194541</v>
      </c>
      <c r="DR38" s="27">
        <f t="shared" si="368"/>
        <v>0.55263718563843844</v>
      </c>
      <c r="DS38" s="27">
        <f t="shared" ref="DS38:DS41" si="406">DQ38/DE38-1</f>
        <v>0.39771527104213811</v>
      </c>
      <c r="DT38" s="33">
        <v>103387</v>
      </c>
      <c r="DU38" s="27">
        <f t="shared" si="369"/>
        <v>0.53837020990746576</v>
      </c>
      <c r="DV38" s="27">
        <f t="shared" ref="DV38:DV41" si="407">DT38/DH38-1</f>
        <v>0.28322659120246252</v>
      </c>
      <c r="DW38" s="33">
        <v>145343</v>
      </c>
      <c r="DX38" s="27">
        <f t="shared" si="370"/>
        <v>0.55949140994006397</v>
      </c>
      <c r="DY38" s="27">
        <f t="shared" ref="DY38:DY41" si="408">DW38/DK38-1</f>
        <v>0.21903411950213036</v>
      </c>
      <c r="DZ38" s="33">
        <v>126242</v>
      </c>
      <c r="EA38" s="27">
        <f t="shared" si="371"/>
        <v>0.54267291406955254</v>
      </c>
      <c r="EB38" s="27">
        <f t="shared" ref="EB38:EB41" si="409">DZ38/DN38-1</f>
        <v>0.23072873507189851</v>
      </c>
      <c r="EC38" s="33">
        <v>207781</v>
      </c>
      <c r="ED38" s="27">
        <f t="shared" si="372"/>
        <v>0.51305217412775628</v>
      </c>
      <c r="EE38" s="27">
        <f t="shared" ref="EE38:EE41" si="410">EC38/DQ38-1</f>
        <v>6.80576330953373E-2</v>
      </c>
      <c r="EF38" s="33">
        <v>102801</v>
      </c>
      <c r="EG38" s="27">
        <f t="shared" si="373"/>
        <v>0.49242449644336933</v>
      </c>
      <c r="EH38" s="27">
        <f t="shared" ref="EH38:EH41" si="411">EF38/DT38-1</f>
        <v>-5.6680240262315662E-3</v>
      </c>
      <c r="EI38" s="33">
        <v>156653</v>
      </c>
      <c r="EJ38" s="27">
        <f t="shared" si="374"/>
        <v>0.49847738995681962</v>
      </c>
      <c r="EK38" s="27">
        <f t="shared" ref="EK38:EK41" si="412">EI38/DW38-1</f>
        <v>7.7815925087551419E-2</v>
      </c>
      <c r="EL38" s="33">
        <v>115903</v>
      </c>
      <c r="EM38" s="27">
        <f t="shared" ref="EM38:EM41" si="413">EL38/EL$36</f>
        <v>0.46775632100409631</v>
      </c>
      <c r="EN38" s="27">
        <f t="shared" ref="EN38:EN41" si="414">EL38/DZ38-1</f>
        <v>-8.1898258899573806E-2</v>
      </c>
      <c r="EO38" s="33">
        <v>230337</v>
      </c>
      <c r="EP38" s="27">
        <f t="shared" si="376"/>
        <v>0.50637539186675873</v>
      </c>
      <c r="EQ38" s="27">
        <f t="shared" si="393"/>
        <v>0.10855660527189692</v>
      </c>
      <c r="ER38" s="33">
        <v>122541</v>
      </c>
      <c r="ES38" s="27">
        <f t="shared" si="377"/>
        <v>0.4622357179230871</v>
      </c>
      <c r="ET38" s="27">
        <f t="shared" ref="ET38:ET41" si="415">ER38/EF38-1</f>
        <v>0.19202147839028805</v>
      </c>
      <c r="EU38" s="33">
        <v>170670</v>
      </c>
      <c r="EV38" s="27">
        <f t="shared" ref="EV38:EV41" si="416">EU38/EU$36</f>
        <v>0.46828055676739078</v>
      </c>
      <c r="EW38" s="27">
        <f t="shared" ref="EW38:EW41" si="417">EU38/EI38-1</f>
        <v>8.9478018295213069E-2</v>
      </c>
      <c r="EX38" s="33">
        <v>164032</v>
      </c>
      <c r="EY38" s="27">
        <f t="shared" ref="EY38:EY41" si="418">EX38/EX$36</f>
        <v>0.4948339160575464</v>
      </c>
      <c r="EZ38" s="27">
        <f t="shared" ref="EZ38:EZ41" si="419">EX38/EL38-1</f>
        <v>0.4152524093422949</v>
      </c>
      <c r="FA38" s="33"/>
      <c r="FB38" s="27">
        <f t="shared" ref="FB38:FB41" si="420">FA38/FA$36</f>
        <v>0</v>
      </c>
      <c r="FC38" s="27">
        <f t="shared" ref="FC38:FC41" si="421">FA38/EO38-1</f>
        <v>-1</v>
      </c>
      <c r="FD38" s="33">
        <v>122541</v>
      </c>
      <c r="FE38" s="27">
        <f t="shared" si="381"/>
        <v>0.36694085694693562</v>
      </c>
      <c r="FF38" s="27">
        <f t="shared" ref="FF38:FF41" si="422">FD38/ER38-1</f>
        <v>0</v>
      </c>
      <c r="FG38" s="33"/>
      <c r="FH38" s="27">
        <f t="shared" si="382"/>
        <v>0</v>
      </c>
      <c r="FI38" s="27">
        <f t="shared" ref="FI38:FI41" si="423">FG38/EU38-1</f>
        <v>-1</v>
      </c>
      <c r="FJ38" s="33"/>
      <c r="FK38" s="27"/>
      <c r="FL38" s="27"/>
      <c r="FM38" s="33"/>
      <c r="FN38" s="27"/>
      <c r="FO38" s="27"/>
      <c r="FP38" s="33"/>
      <c r="FQ38" s="27"/>
      <c r="FR38" s="27"/>
      <c r="FS38" s="33"/>
      <c r="FT38" s="27"/>
      <c r="FU38" s="27"/>
      <c r="FV38" s="33"/>
      <c r="FW38" s="27"/>
      <c r="FX38" s="27"/>
      <c r="FY38" s="33"/>
      <c r="FZ38" s="27"/>
      <c r="GA38" s="27"/>
      <c r="GB38" s="33"/>
      <c r="GC38" s="27"/>
      <c r="GD38" s="27"/>
      <c r="GE38" s="33"/>
      <c r="GF38" s="27"/>
      <c r="GG38" s="27"/>
      <c r="GH38" s="33"/>
      <c r="GI38" s="27"/>
      <c r="GJ38" s="27"/>
      <c r="GK38" s="33"/>
      <c r="GL38" s="27"/>
      <c r="GM38" s="27"/>
    </row>
    <row r="39" spans="2:195" ht="16.5" hidden="1" customHeight="1">
      <c r="B39" s="222" t="s">
        <v>252</v>
      </c>
      <c r="C39" s="222" t="s">
        <v>1057</v>
      </c>
      <c r="D39" s="27" t="s">
        <v>77</v>
      </c>
      <c r="E39" s="27" t="s">
        <v>77</v>
      </c>
      <c r="F39" s="27" t="s">
        <v>77</v>
      </c>
      <c r="G39" s="27" t="s">
        <v>77</v>
      </c>
      <c r="H39" s="27" t="s">
        <v>77</v>
      </c>
      <c r="I39" s="27" t="s">
        <v>77</v>
      </c>
      <c r="J39" s="27" t="s">
        <v>77</v>
      </c>
      <c r="K39" s="27" t="s">
        <v>77</v>
      </c>
      <c r="L39" s="27" t="s">
        <v>77</v>
      </c>
      <c r="M39" s="27" t="s">
        <v>77</v>
      </c>
      <c r="N39" s="27" t="s">
        <v>77</v>
      </c>
      <c r="O39" s="27" t="s">
        <v>77</v>
      </c>
      <c r="P39" s="27" t="s">
        <v>77</v>
      </c>
      <c r="Q39" s="27" t="s">
        <v>77</v>
      </c>
      <c r="R39" s="27" t="s">
        <v>77</v>
      </c>
      <c r="S39" s="27" t="s">
        <v>77</v>
      </c>
      <c r="T39" s="27" t="s">
        <v>77</v>
      </c>
      <c r="U39" s="27" t="s">
        <v>77</v>
      </c>
      <c r="V39" s="27" t="s">
        <v>77</v>
      </c>
      <c r="W39" s="27" t="s">
        <v>77</v>
      </c>
      <c r="X39" s="27" t="s">
        <v>77</v>
      </c>
      <c r="Y39" s="27" t="s">
        <v>77</v>
      </c>
      <c r="Z39" s="27" t="s">
        <v>77</v>
      </c>
      <c r="AA39" s="27" t="s">
        <v>77</v>
      </c>
      <c r="AB39" s="27" t="s">
        <v>77</v>
      </c>
      <c r="AC39" s="27" t="s">
        <v>77</v>
      </c>
      <c r="AD39" s="27" t="s">
        <v>77</v>
      </c>
      <c r="AE39" s="33" t="s">
        <v>77</v>
      </c>
      <c r="AF39" s="27" t="s">
        <v>77</v>
      </c>
      <c r="AG39" s="27" t="s">
        <v>77</v>
      </c>
      <c r="AH39" s="33" t="s">
        <v>77</v>
      </c>
      <c r="AI39" s="27" t="s">
        <v>77</v>
      </c>
      <c r="AJ39" s="27" t="s">
        <v>77</v>
      </c>
      <c r="AK39" s="33" t="s">
        <v>77</v>
      </c>
      <c r="AL39" s="27" t="s">
        <v>77</v>
      </c>
      <c r="AM39" s="27" t="s">
        <v>77</v>
      </c>
      <c r="AN39" s="33" t="s">
        <v>77</v>
      </c>
      <c r="AO39" s="27" t="s">
        <v>77</v>
      </c>
      <c r="AP39" s="27" t="s">
        <v>77</v>
      </c>
      <c r="AQ39" s="33" t="s">
        <v>77</v>
      </c>
      <c r="AR39" s="27" t="s">
        <v>77</v>
      </c>
      <c r="AS39" s="27" t="s">
        <v>77</v>
      </c>
      <c r="AT39" s="33" t="s">
        <v>77</v>
      </c>
      <c r="AU39" s="27" t="s">
        <v>77</v>
      </c>
      <c r="AV39" s="27" t="s">
        <v>77</v>
      </c>
      <c r="AW39" s="33" t="s">
        <v>77</v>
      </c>
      <c r="AX39" s="27" t="s">
        <v>77</v>
      </c>
      <c r="AY39" s="27" t="s">
        <v>77</v>
      </c>
      <c r="AZ39" s="33" t="s">
        <v>77</v>
      </c>
      <c r="BA39" s="27" t="s">
        <v>77</v>
      </c>
      <c r="BB39" s="27" t="s">
        <v>77</v>
      </c>
      <c r="BC39" s="33" t="s">
        <v>77</v>
      </c>
      <c r="BD39" s="27" t="s">
        <v>77</v>
      </c>
      <c r="BE39" s="27" t="s">
        <v>77</v>
      </c>
      <c r="BF39" s="33" t="s">
        <v>77</v>
      </c>
      <c r="BG39" s="27" t="s">
        <v>77</v>
      </c>
      <c r="BH39" s="27" t="s">
        <v>77</v>
      </c>
      <c r="BI39" s="33" t="s">
        <v>77</v>
      </c>
      <c r="BJ39" s="27" t="s">
        <v>77</v>
      </c>
      <c r="BK39" s="27" t="s">
        <v>77</v>
      </c>
      <c r="BL39" s="33" t="s">
        <v>77</v>
      </c>
      <c r="BM39" s="27" t="s">
        <v>77</v>
      </c>
      <c r="BN39" s="27" t="s">
        <v>77</v>
      </c>
      <c r="BO39" s="33" t="s">
        <v>77</v>
      </c>
      <c r="BP39" s="27" t="s">
        <v>77</v>
      </c>
      <c r="BQ39" s="27" t="s">
        <v>77</v>
      </c>
      <c r="BR39" s="33" t="s">
        <v>77</v>
      </c>
      <c r="BS39" s="27" t="s">
        <v>77</v>
      </c>
      <c r="BT39" s="27" t="s">
        <v>77</v>
      </c>
      <c r="BU39" s="33" t="s">
        <v>77</v>
      </c>
      <c r="BV39" s="27" t="s">
        <v>77</v>
      </c>
      <c r="BW39" s="27" t="s">
        <v>77</v>
      </c>
      <c r="BX39" s="33" t="s">
        <v>77</v>
      </c>
      <c r="BY39" s="27" t="s">
        <v>77</v>
      </c>
      <c r="BZ39" s="11" t="s">
        <v>77</v>
      </c>
      <c r="CA39" s="33" t="s">
        <v>77</v>
      </c>
      <c r="CB39" s="27" t="s">
        <v>77</v>
      </c>
      <c r="CC39" s="27" t="s">
        <v>77</v>
      </c>
      <c r="CD39" s="33" t="s">
        <v>77</v>
      </c>
      <c r="CE39" s="27" t="s">
        <v>77</v>
      </c>
      <c r="CF39" s="27" t="s">
        <v>77</v>
      </c>
      <c r="CG39" s="33">
        <v>56107</v>
      </c>
      <c r="CH39" s="27">
        <f t="shared" si="356"/>
        <v>0.31127150473506388</v>
      </c>
      <c r="CI39" s="27" t="e">
        <f t="shared" si="394"/>
        <v>#VALUE!</v>
      </c>
      <c r="CJ39" s="33">
        <v>34401</v>
      </c>
      <c r="CK39" s="27">
        <f t="shared" si="357"/>
        <v>0.31569239240157843</v>
      </c>
      <c r="CL39" s="27" t="e">
        <f t="shared" si="395"/>
        <v>#VALUE!</v>
      </c>
      <c r="CM39" s="33">
        <v>54426</v>
      </c>
      <c r="CN39" s="27">
        <f t="shared" si="358"/>
        <v>0.33930363766715499</v>
      </c>
      <c r="CO39" s="27" t="e">
        <f t="shared" si="396"/>
        <v>#VALUE!</v>
      </c>
      <c r="CP39" s="33">
        <v>39731</v>
      </c>
      <c r="CQ39" s="27">
        <f t="shared" si="359"/>
        <v>0.27617822883358822</v>
      </c>
      <c r="CR39" s="27" t="e">
        <f t="shared" si="397"/>
        <v>#VALUE!</v>
      </c>
      <c r="CS39" s="33">
        <v>62157</v>
      </c>
      <c r="CT39" s="27">
        <f t="shared" si="360"/>
        <v>0.25081004741248863</v>
      </c>
      <c r="CU39" s="27">
        <f t="shared" si="398"/>
        <v>0.10782968257080228</v>
      </c>
      <c r="CV39" s="33">
        <v>34035</v>
      </c>
      <c r="CW39" s="27">
        <f t="shared" si="361"/>
        <v>0.22705439698995317</v>
      </c>
      <c r="CX39" s="27">
        <f t="shared" si="399"/>
        <v>-1.0639225603906843E-2</v>
      </c>
      <c r="CY39" s="33">
        <v>50178</v>
      </c>
      <c r="CZ39" s="27">
        <f t="shared" si="362"/>
        <v>0.2660636075378856</v>
      </c>
      <c r="DA39" s="27">
        <f t="shared" si="400"/>
        <v>-7.805093154007281E-2</v>
      </c>
      <c r="DB39" s="33">
        <v>42419</v>
      </c>
      <c r="DC39" s="27">
        <f t="shared" si="363"/>
        <v>0.25753749013417521</v>
      </c>
      <c r="DD39" s="27">
        <f t="shared" si="401"/>
        <v>6.7654979738743126E-2</v>
      </c>
      <c r="DE39" s="33">
        <v>77337</v>
      </c>
      <c r="DF39" s="27">
        <f t="shared" si="364"/>
        <v>0.27929476599940051</v>
      </c>
      <c r="DG39" s="27">
        <f t="shared" si="402"/>
        <v>0.24422028090158787</v>
      </c>
      <c r="DH39" s="33">
        <v>41712</v>
      </c>
      <c r="DI39" s="27">
        <f t="shared" si="365"/>
        <v>0.26366124536197166</v>
      </c>
      <c r="DJ39" s="27">
        <f t="shared" si="403"/>
        <v>0.22556192155134425</v>
      </c>
      <c r="DK39" s="33">
        <v>57223</v>
      </c>
      <c r="DL39" s="27">
        <f t="shared" si="366"/>
        <v>0.26965270251166296</v>
      </c>
      <c r="DM39" s="27">
        <f t="shared" si="404"/>
        <v>0.14040017537566274</v>
      </c>
      <c r="DN39" s="33">
        <v>47005</v>
      </c>
      <c r="DO39" s="27">
        <f t="shared" si="367"/>
        <v>0.25146583638270098</v>
      </c>
      <c r="DP39" s="27">
        <f t="shared" si="405"/>
        <v>0.10811193097432747</v>
      </c>
      <c r="DQ39" s="33">
        <v>84601</v>
      </c>
      <c r="DR39" s="27">
        <f t="shared" si="368"/>
        <v>0.24032804674694552</v>
      </c>
      <c r="DS39" s="27">
        <f t="shared" si="406"/>
        <v>9.3926581067276915E-2</v>
      </c>
      <c r="DT39" s="33">
        <v>46947</v>
      </c>
      <c r="DU39" s="27">
        <f t="shared" si="369"/>
        <v>0.24446851388013768</v>
      </c>
      <c r="DV39" s="27">
        <f t="shared" si="407"/>
        <v>0.12550345224395865</v>
      </c>
      <c r="DW39" s="33">
        <v>70030</v>
      </c>
      <c r="DX39" s="27">
        <f t="shared" si="370"/>
        <v>0.26957736828125661</v>
      </c>
      <c r="DY39" s="27">
        <f t="shared" si="408"/>
        <v>0.22380860842668149</v>
      </c>
      <c r="DZ39" s="33">
        <v>52094</v>
      </c>
      <c r="EA39" s="27">
        <f t="shared" si="371"/>
        <v>0.22393500408373812</v>
      </c>
      <c r="EB39" s="27">
        <f t="shared" si="409"/>
        <v>0.10826507818317199</v>
      </c>
      <c r="EC39" s="33">
        <v>100818</v>
      </c>
      <c r="ED39" s="27">
        <f t="shared" si="372"/>
        <v>0.24893947998716018</v>
      </c>
      <c r="EE39" s="27">
        <f t="shared" si="410"/>
        <v>0.19168804151251173</v>
      </c>
      <c r="EF39" s="33">
        <v>48925</v>
      </c>
      <c r="EG39" s="27">
        <f t="shared" si="373"/>
        <v>0.23435441764663617</v>
      </c>
      <c r="EH39" s="27">
        <f t="shared" si="411"/>
        <v>4.2132617632649527E-2</v>
      </c>
      <c r="EI39" s="33">
        <v>82187</v>
      </c>
      <c r="EJ39" s="27">
        <f t="shared" si="374"/>
        <v>0.26152299188895922</v>
      </c>
      <c r="EK39" s="27">
        <f t="shared" si="412"/>
        <v>0.17359702984435232</v>
      </c>
      <c r="EL39" s="33">
        <v>60525</v>
      </c>
      <c r="EM39" s="27">
        <f t="shared" si="413"/>
        <v>0.24426418064047462</v>
      </c>
      <c r="EN39" s="27">
        <f t="shared" si="414"/>
        <v>0.16184205474718771</v>
      </c>
      <c r="EO39" s="33">
        <v>106143</v>
      </c>
      <c r="EP39" s="27">
        <f t="shared" si="376"/>
        <v>0.23334593755633429</v>
      </c>
      <c r="EQ39" s="27">
        <f t="shared" si="393"/>
        <v>5.281794917574234E-2</v>
      </c>
      <c r="ER39" s="33">
        <v>66509</v>
      </c>
      <c r="ES39" s="27">
        <f t="shared" si="377"/>
        <v>0.25087795401821922</v>
      </c>
      <c r="ET39" s="27">
        <f t="shared" si="415"/>
        <v>0.35940725600408796</v>
      </c>
      <c r="EU39" s="33">
        <v>98462</v>
      </c>
      <c r="EV39" s="27">
        <f t="shared" si="416"/>
        <v>0.27015784953671312</v>
      </c>
      <c r="EW39" s="27">
        <f t="shared" si="417"/>
        <v>0.19802401839707007</v>
      </c>
      <c r="EX39" s="33">
        <v>70841</v>
      </c>
      <c r="EY39" s="27">
        <f t="shared" si="418"/>
        <v>0.21370543215611981</v>
      </c>
      <c r="EZ39" s="27">
        <f t="shared" si="419"/>
        <v>0.17044196612969853</v>
      </c>
      <c r="FA39" s="33"/>
      <c r="FB39" s="27">
        <f t="shared" si="420"/>
        <v>0</v>
      </c>
      <c r="FC39" s="27">
        <f t="shared" si="421"/>
        <v>-1</v>
      </c>
      <c r="FD39" s="33">
        <v>66509</v>
      </c>
      <c r="FE39" s="27">
        <f t="shared" si="381"/>
        <v>0.19915676756908907</v>
      </c>
      <c r="FF39" s="27">
        <f t="shared" si="422"/>
        <v>0</v>
      </c>
      <c r="FG39" s="33"/>
      <c r="FH39" s="27">
        <f t="shared" si="382"/>
        <v>0</v>
      </c>
      <c r="FI39" s="27">
        <f t="shared" si="423"/>
        <v>-1</v>
      </c>
      <c r="FJ39" s="33"/>
      <c r="FK39" s="27"/>
      <c r="FL39" s="27"/>
      <c r="FM39" s="33"/>
      <c r="FN39" s="27"/>
      <c r="FO39" s="27"/>
      <c r="FP39" s="33"/>
      <c r="FQ39" s="27"/>
      <c r="FR39" s="27"/>
      <c r="FS39" s="33"/>
      <c r="FT39" s="27"/>
      <c r="FU39" s="27"/>
      <c r="FV39" s="33"/>
      <c r="FW39" s="27"/>
      <c r="FX39" s="27"/>
      <c r="FY39" s="33"/>
      <c r="FZ39" s="27"/>
      <c r="GA39" s="27"/>
      <c r="GB39" s="33"/>
      <c r="GC39" s="27"/>
      <c r="GD39" s="27"/>
      <c r="GE39" s="33"/>
      <c r="GF39" s="27"/>
      <c r="GG39" s="27"/>
      <c r="GH39" s="33"/>
      <c r="GI39" s="27"/>
      <c r="GJ39" s="27"/>
      <c r="GK39" s="33"/>
      <c r="GL39" s="27"/>
      <c r="GM39" s="27"/>
    </row>
    <row r="40" spans="2:195" ht="16.5" hidden="1" customHeight="1">
      <c r="B40" s="222" t="s">
        <v>1063</v>
      </c>
      <c r="C40" s="222" t="s">
        <v>1058</v>
      </c>
      <c r="D40" s="27" t="s">
        <v>77</v>
      </c>
      <c r="E40" s="27" t="s">
        <v>77</v>
      </c>
      <c r="F40" s="27" t="s">
        <v>77</v>
      </c>
      <c r="G40" s="27" t="s">
        <v>77</v>
      </c>
      <c r="H40" s="27" t="s">
        <v>77</v>
      </c>
      <c r="I40" s="27" t="s">
        <v>77</v>
      </c>
      <c r="J40" s="27" t="s">
        <v>77</v>
      </c>
      <c r="K40" s="27" t="s">
        <v>77</v>
      </c>
      <c r="L40" s="27" t="s">
        <v>77</v>
      </c>
      <c r="M40" s="27" t="s">
        <v>77</v>
      </c>
      <c r="N40" s="27" t="s">
        <v>77</v>
      </c>
      <c r="O40" s="27" t="s">
        <v>77</v>
      </c>
      <c r="P40" s="27" t="s">
        <v>77</v>
      </c>
      <c r="Q40" s="27" t="s">
        <v>77</v>
      </c>
      <c r="R40" s="27" t="s">
        <v>77</v>
      </c>
      <c r="S40" s="27" t="s">
        <v>77</v>
      </c>
      <c r="T40" s="27" t="s">
        <v>77</v>
      </c>
      <c r="U40" s="27" t="s">
        <v>77</v>
      </c>
      <c r="V40" s="27" t="s">
        <v>77</v>
      </c>
      <c r="W40" s="27" t="s">
        <v>77</v>
      </c>
      <c r="X40" s="27" t="s">
        <v>77</v>
      </c>
      <c r="Y40" s="27" t="s">
        <v>77</v>
      </c>
      <c r="Z40" s="27" t="s">
        <v>77</v>
      </c>
      <c r="AA40" s="27" t="s">
        <v>77</v>
      </c>
      <c r="AB40" s="27" t="s">
        <v>77</v>
      </c>
      <c r="AC40" s="27" t="s">
        <v>77</v>
      </c>
      <c r="AD40" s="27" t="s">
        <v>77</v>
      </c>
      <c r="AE40" s="33" t="s">
        <v>77</v>
      </c>
      <c r="AF40" s="27" t="s">
        <v>77</v>
      </c>
      <c r="AG40" s="27" t="s">
        <v>77</v>
      </c>
      <c r="AH40" s="33" t="s">
        <v>77</v>
      </c>
      <c r="AI40" s="27" t="s">
        <v>77</v>
      </c>
      <c r="AJ40" s="27" t="s">
        <v>77</v>
      </c>
      <c r="AK40" s="33" t="s">
        <v>77</v>
      </c>
      <c r="AL40" s="27" t="s">
        <v>77</v>
      </c>
      <c r="AM40" s="27" t="s">
        <v>77</v>
      </c>
      <c r="AN40" s="33" t="s">
        <v>77</v>
      </c>
      <c r="AO40" s="27" t="s">
        <v>77</v>
      </c>
      <c r="AP40" s="27" t="s">
        <v>77</v>
      </c>
      <c r="AQ40" s="33" t="s">
        <v>77</v>
      </c>
      <c r="AR40" s="27" t="s">
        <v>77</v>
      </c>
      <c r="AS40" s="27" t="s">
        <v>77</v>
      </c>
      <c r="AT40" s="33" t="s">
        <v>77</v>
      </c>
      <c r="AU40" s="27" t="s">
        <v>77</v>
      </c>
      <c r="AV40" s="27" t="s">
        <v>77</v>
      </c>
      <c r="AW40" s="33" t="s">
        <v>77</v>
      </c>
      <c r="AX40" s="27" t="s">
        <v>77</v>
      </c>
      <c r="AY40" s="27" t="s">
        <v>77</v>
      </c>
      <c r="AZ40" s="33" t="s">
        <v>77</v>
      </c>
      <c r="BA40" s="27" t="s">
        <v>77</v>
      </c>
      <c r="BB40" s="27" t="s">
        <v>77</v>
      </c>
      <c r="BC40" s="33" t="s">
        <v>77</v>
      </c>
      <c r="BD40" s="27" t="s">
        <v>77</v>
      </c>
      <c r="BE40" s="27" t="s">
        <v>77</v>
      </c>
      <c r="BF40" s="33" t="s">
        <v>77</v>
      </c>
      <c r="BG40" s="27" t="s">
        <v>77</v>
      </c>
      <c r="BH40" s="27" t="s">
        <v>77</v>
      </c>
      <c r="BI40" s="33" t="s">
        <v>77</v>
      </c>
      <c r="BJ40" s="27" t="s">
        <v>77</v>
      </c>
      <c r="BK40" s="27" t="s">
        <v>77</v>
      </c>
      <c r="BL40" s="33" t="s">
        <v>77</v>
      </c>
      <c r="BM40" s="27" t="s">
        <v>77</v>
      </c>
      <c r="BN40" s="27" t="s">
        <v>77</v>
      </c>
      <c r="BO40" s="33" t="s">
        <v>77</v>
      </c>
      <c r="BP40" s="27" t="s">
        <v>77</v>
      </c>
      <c r="BQ40" s="27" t="s">
        <v>77</v>
      </c>
      <c r="BR40" s="33" t="s">
        <v>77</v>
      </c>
      <c r="BS40" s="27" t="s">
        <v>77</v>
      </c>
      <c r="BT40" s="27" t="s">
        <v>77</v>
      </c>
      <c r="BU40" s="33" t="s">
        <v>77</v>
      </c>
      <c r="BV40" s="27" t="s">
        <v>77</v>
      </c>
      <c r="BW40" s="27" t="s">
        <v>77</v>
      </c>
      <c r="BX40" s="33" t="s">
        <v>77</v>
      </c>
      <c r="BY40" s="27" t="s">
        <v>77</v>
      </c>
      <c r="BZ40" s="11" t="s">
        <v>77</v>
      </c>
      <c r="CA40" s="33" t="s">
        <v>77</v>
      </c>
      <c r="CB40" s="27" t="s">
        <v>77</v>
      </c>
      <c r="CC40" s="27" t="s">
        <v>77</v>
      </c>
      <c r="CD40" s="33" t="s">
        <v>77</v>
      </c>
      <c r="CE40" s="27" t="s">
        <v>77</v>
      </c>
      <c r="CF40" s="27" t="s">
        <v>77</v>
      </c>
      <c r="CG40" s="33">
        <v>26806</v>
      </c>
      <c r="CH40" s="27">
        <f t="shared" si="356"/>
        <v>0.14871484762913936</v>
      </c>
      <c r="CI40" s="27" t="e">
        <f t="shared" si="394"/>
        <v>#VALUE!</v>
      </c>
      <c r="CJ40" s="33">
        <v>16199</v>
      </c>
      <c r="CK40" s="27">
        <f t="shared" si="357"/>
        <v>0.14865559328255484</v>
      </c>
      <c r="CL40" s="27" t="e">
        <f t="shared" si="395"/>
        <v>#VALUE!</v>
      </c>
      <c r="CM40" s="33">
        <v>20757</v>
      </c>
      <c r="CN40" s="27">
        <f t="shared" si="358"/>
        <v>0.12940369689224152</v>
      </c>
      <c r="CO40" s="27" t="e">
        <f t="shared" si="396"/>
        <v>#VALUE!</v>
      </c>
      <c r="CP40" s="33">
        <v>17276</v>
      </c>
      <c r="CQ40" s="27">
        <f t="shared" si="359"/>
        <v>0.12008897539274295</v>
      </c>
      <c r="CR40" s="27" t="e">
        <f t="shared" si="397"/>
        <v>#VALUE!</v>
      </c>
      <c r="CS40" s="33">
        <v>34489</v>
      </c>
      <c r="CT40" s="27">
        <f t="shared" si="360"/>
        <v>0.13916675073136286</v>
      </c>
      <c r="CU40" s="27">
        <f t="shared" si="398"/>
        <v>0.28661493695441309</v>
      </c>
      <c r="CV40" s="33">
        <v>20116</v>
      </c>
      <c r="CW40" s="27">
        <f t="shared" si="361"/>
        <v>0.13419792125311877</v>
      </c>
      <c r="CX40" s="27">
        <f t="shared" si="399"/>
        <v>0.24180504969442551</v>
      </c>
      <c r="CY40" s="33">
        <v>21792</v>
      </c>
      <c r="CZ40" s="27">
        <f t="shared" si="362"/>
        <v>0.11554980540208067</v>
      </c>
      <c r="DA40" s="27">
        <f t="shared" si="400"/>
        <v>4.9862696921520344E-2</v>
      </c>
      <c r="DB40" s="33">
        <v>19735</v>
      </c>
      <c r="DC40" s="27">
        <f t="shared" si="363"/>
        <v>0.11981664744095684</v>
      </c>
      <c r="DD40" s="27">
        <f t="shared" si="401"/>
        <v>0.14233618893262334</v>
      </c>
      <c r="DE40" s="33">
        <v>41697</v>
      </c>
      <c r="DF40" s="27">
        <f t="shared" si="364"/>
        <v>0.15058450493136535</v>
      </c>
      <c r="DG40" s="27">
        <f t="shared" si="402"/>
        <v>0.20899417205485804</v>
      </c>
      <c r="DH40" s="33">
        <v>18918</v>
      </c>
      <c r="DI40" s="27">
        <f t="shared" si="365"/>
        <v>0.11958053892783323</v>
      </c>
      <c r="DJ40" s="27">
        <f t="shared" si="403"/>
        <v>-5.9554583416186135E-2</v>
      </c>
      <c r="DK40" s="33">
        <v>25182</v>
      </c>
      <c r="DL40" s="27">
        <f t="shared" si="366"/>
        <v>0.1186654728806371</v>
      </c>
      <c r="DM40" s="27">
        <f t="shared" si="404"/>
        <v>0.1555616740088106</v>
      </c>
      <c r="DN40" s="33">
        <v>20746</v>
      </c>
      <c r="DO40" s="27">
        <f t="shared" si="367"/>
        <v>0.11098628319530933</v>
      </c>
      <c r="DP40" s="27">
        <f t="shared" si="405"/>
        <v>5.1228781352926189E-2</v>
      </c>
      <c r="DQ40" s="33">
        <v>49469</v>
      </c>
      <c r="DR40" s="27">
        <f t="shared" si="368"/>
        <v>0.14052774960726999</v>
      </c>
      <c r="DS40" s="27">
        <f t="shared" si="406"/>
        <v>0.18639230640094007</v>
      </c>
      <c r="DT40" s="33">
        <v>24241</v>
      </c>
      <c r="DU40" s="27">
        <f t="shared" si="369"/>
        <v>0.12623088259033416</v>
      </c>
      <c r="DV40" s="27">
        <f t="shared" si="407"/>
        <v>0.28137223808013534</v>
      </c>
      <c r="DW40" s="33">
        <v>29134</v>
      </c>
      <c r="DX40" s="27">
        <f t="shared" si="370"/>
        <v>0.11215003637735442</v>
      </c>
      <c r="DY40" s="27">
        <f t="shared" si="408"/>
        <v>0.15693749503613685</v>
      </c>
      <c r="DZ40" s="33">
        <v>27343</v>
      </c>
      <c r="EA40" s="27">
        <f t="shared" si="371"/>
        <v>0.11753858057860121</v>
      </c>
      <c r="EB40" s="27">
        <f t="shared" si="409"/>
        <v>0.31798900992962498</v>
      </c>
      <c r="EC40" s="33">
        <v>50985</v>
      </c>
      <c r="ED40" s="27">
        <f t="shared" si="372"/>
        <v>0.12589199733326747</v>
      </c>
      <c r="EE40" s="27">
        <f t="shared" si="410"/>
        <v>3.0645454729224308E-2</v>
      </c>
      <c r="EF40" s="33">
        <v>21499</v>
      </c>
      <c r="EG40" s="27">
        <f t="shared" si="373"/>
        <v>0.10298182166550907</v>
      </c>
      <c r="EH40" s="27">
        <f t="shared" si="411"/>
        <v>-0.11311414545604559</v>
      </c>
      <c r="EI40" s="33">
        <v>33737</v>
      </c>
      <c r="EJ40" s="27">
        <f t="shared" si="374"/>
        <v>0.10735275867664981</v>
      </c>
      <c r="EK40" s="27">
        <f t="shared" si="412"/>
        <v>0.1579940962449371</v>
      </c>
      <c r="EL40" s="33">
        <v>24647</v>
      </c>
      <c r="EM40" s="27">
        <f t="shared" si="413"/>
        <v>9.9469297980103719E-2</v>
      </c>
      <c r="EN40" s="27">
        <f t="shared" si="414"/>
        <v>-9.8599275865852265E-2</v>
      </c>
      <c r="EO40" s="33">
        <v>53685</v>
      </c>
      <c r="EP40" s="27">
        <f t="shared" si="376"/>
        <v>0.11802169391963489</v>
      </c>
      <c r="EQ40" s="27">
        <f t="shared" si="393"/>
        <v>5.2956751985878237E-2</v>
      </c>
      <c r="ER40" s="33">
        <v>28031</v>
      </c>
      <c r="ES40" s="27">
        <f t="shared" si="377"/>
        <v>0.10573546330699157</v>
      </c>
      <c r="ET40" s="27">
        <f t="shared" si="415"/>
        <v>0.30382808502721059</v>
      </c>
      <c r="EU40" s="33">
        <v>38766</v>
      </c>
      <c r="EV40" s="27">
        <f t="shared" si="416"/>
        <v>0.10636529011334546</v>
      </c>
      <c r="EW40" s="27">
        <f t="shared" si="417"/>
        <v>0.14906482496961804</v>
      </c>
      <c r="EX40" s="33">
        <v>31513</v>
      </c>
      <c r="EY40" s="27">
        <f t="shared" si="418"/>
        <v>9.5064994615205928E-2</v>
      </c>
      <c r="EZ40" s="27">
        <f t="shared" si="419"/>
        <v>0.27857345721588844</v>
      </c>
      <c r="FA40" s="33"/>
      <c r="FB40" s="27">
        <f t="shared" si="420"/>
        <v>0</v>
      </c>
      <c r="FC40" s="27">
        <f t="shared" si="421"/>
        <v>-1</v>
      </c>
      <c r="FD40" s="33">
        <v>28031</v>
      </c>
      <c r="FE40" s="27">
        <f t="shared" si="381"/>
        <v>8.3936961189149367E-2</v>
      </c>
      <c r="FF40" s="27">
        <f t="shared" si="422"/>
        <v>0</v>
      </c>
      <c r="FG40" s="33"/>
      <c r="FH40" s="27">
        <f t="shared" si="382"/>
        <v>0</v>
      </c>
      <c r="FI40" s="27">
        <f t="shared" si="423"/>
        <v>-1</v>
      </c>
      <c r="FJ40" s="33"/>
      <c r="FK40" s="27"/>
      <c r="FL40" s="27"/>
      <c r="FM40" s="33"/>
      <c r="FN40" s="27"/>
      <c r="FO40" s="27"/>
      <c r="FP40" s="33"/>
      <c r="FQ40" s="27"/>
      <c r="FR40" s="27"/>
      <c r="FS40" s="33"/>
      <c r="FT40" s="27"/>
      <c r="FU40" s="27"/>
      <c r="FV40" s="33"/>
      <c r="FW40" s="27"/>
      <c r="FX40" s="27"/>
      <c r="FY40" s="33"/>
      <c r="FZ40" s="27"/>
      <c r="GA40" s="27"/>
      <c r="GB40" s="33"/>
      <c r="GC40" s="27"/>
      <c r="GD40" s="27"/>
      <c r="GE40" s="33"/>
      <c r="GF40" s="27"/>
      <c r="GG40" s="27"/>
      <c r="GH40" s="33"/>
      <c r="GI40" s="27"/>
      <c r="GJ40" s="27"/>
      <c r="GK40" s="33"/>
      <c r="GL40" s="27"/>
      <c r="GM40" s="27"/>
    </row>
    <row r="41" spans="2:195" ht="16.5" hidden="1" customHeight="1">
      <c r="B41" s="222" t="s">
        <v>1040</v>
      </c>
      <c r="C41" s="222" t="s">
        <v>1059</v>
      </c>
      <c r="D41" s="27" t="s">
        <v>77</v>
      </c>
      <c r="E41" s="27" t="s">
        <v>77</v>
      </c>
      <c r="F41" s="27" t="s">
        <v>77</v>
      </c>
      <c r="G41" s="27" t="s">
        <v>77</v>
      </c>
      <c r="H41" s="27" t="s">
        <v>77</v>
      </c>
      <c r="I41" s="27" t="s">
        <v>77</v>
      </c>
      <c r="J41" s="27" t="s">
        <v>77</v>
      </c>
      <c r="K41" s="27" t="s">
        <v>77</v>
      </c>
      <c r="L41" s="27" t="s">
        <v>77</v>
      </c>
      <c r="M41" s="27" t="s">
        <v>77</v>
      </c>
      <c r="N41" s="27" t="s">
        <v>77</v>
      </c>
      <c r="O41" s="27" t="s">
        <v>77</v>
      </c>
      <c r="P41" s="27" t="s">
        <v>77</v>
      </c>
      <c r="Q41" s="27" t="s">
        <v>77</v>
      </c>
      <c r="R41" s="27" t="s">
        <v>77</v>
      </c>
      <c r="S41" s="27" t="s">
        <v>77</v>
      </c>
      <c r="T41" s="27" t="s">
        <v>77</v>
      </c>
      <c r="U41" s="27" t="s">
        <v>77</v>
      </c>
      <c r="V41" s="27" t="s">
        <v>77</v>
      </c>
      <c r="W41" s="27" t="s">
        <v>77</v>
      </c>
      <c r="X41" s="27" t="s">
        <v>77</v>
      </c>
      <c r="Y41" s="27" t="s">
        <v>77</v>
      </c>
      <c r="Z41" s="27" t="s">
        <v>77</v>
      </c>
      <c r="AA41" s="27" t="s">
        <v>77</v>
      </c>
      <c r="AB41" s="27" t="s">
        <v>77</v>
      </c>
      <c r="AC41" s="27" t="s">
        <v>77</v>
      </c>
      <c r="AD41" s="27" t="s">
        <v>77</v>
      </c>
      <c r="AE41" s="33" t="s">
        <v>77</v>
      </c>
      <c r="AF41" s="27" t="s">
        <v>77</v>
      </c>
      <c r="AG41" s="27" t="s">
        <v>77</v>
      </c>
      <c r="AH41" s="33" t="s">
        <v>77</v>
      </c>
      <c r="AI41" s="27" t="s">
        <v>77</v>
      </c>
      <c r="AJ41" s="27" t="s">
        <v>77</v>
      </c>
      <c r="AK41" s="33" t="s">
        <v>77</v>
      </c>
      <c r="AL41" s="27" t="s">
        <v>77</v>
      </c>
      <c r="AM41" s="27" t="s">
        <v>77</v>
      </c>
      <c r="AN41" s="33" t="s">
        <v>77</v>
      </c>
      <c r="AO41" s="27" t="s">
        <v>77</v>
      </c>
      <c r="AP41" s="27" t="s">
        <v>77</v>
      </c>
      <c r="AQ41" s="33" t="s">
        <v>77</v>
      </c>
      <c r="AR41" s="27" t="s">
        <v>77</v>
      </c>
      <c r="AS41" s="27" t="s">
        <v>77</v>
      </c>
      <c r="AT41" s="33" t="s">
        <v>77</v>
      </c>
      <c r="AU41" s="27" t="s">
        <v>77</v>
      </c>
      <c r="AV41" s="27" t="s">
        <v>77</v>
      </c>
      <c r="AW41" s="33" t="s">
        <v>77</v>
      </c>
      <c r="AX41" s="27" t="s">
        <v>77</v>
      </c>
      <c r="AY41" s="27" t="s">
        <v>77</v>
      </c>
      <c r="AZ41" s="33" t="s">
        <v>77</v>
      </c>
      <c r="BA41" s="27" t="s">
        <v>77</v>
      </c>
      <c r="BB41" s="27" t="s">
        <v>77</v>
      </c>
      <c r="BC41" s="33" t="s">
        <v>77</v>
      </c>
      <c r="BD41" s="27" t="s">
        <v>77</v>
      </c>
      <c r="BE41" s="27" t="s">
        <v>77</v>
      </c>
      <c r="BF41" s="33" t="s">
        <v>77</v>
      </c>
      <c r="BG41" s="27" t="s">
        <v>77</v>
      </c>
      <c r="BH41" s="27" t="s">
        <v>77</v>
      </c>
      <c r="BI41" s="33" t="s">
        <v>77</v>
      </c>
      <c r="BJ41" s="27" t="s">
        <v>77</v>
      </c>
      <c r="BK41" s="27" t="s">
        <v>77</v>
      </c>
      <c r="BL41" s="33" t="s">
        <v>77</v>
      </c>
      <c r="BM41" s="27" t="s">
        <v>77</v>
      </c>
      <c r="BN41" s="27" t="s">
        <v>77</v>
      </c>
      <c r="BO41" s="33" t="s">
        <v>77</v>
      </c>
      <c r="BP41" s="27" t="s">
        <v>77</v>
      </c>
      <c r="BQ41" s="27" t="s">
        <v>77</v>
      </c>
      <c r="BR41" s="33" t="s">
        <v>77</v>
      </c>
      <c r="BS41" s="27" t="s">
        <v>77</v>
      </c>
      <c r="BT41" s="27" t="s">
        <v>77</v>
      </c>
      <c r="BU41" s="33" t="s">
        <v>77</v>
      </c>
      <c r="BV41" s="27" t="s">
        <v>77</v>
      </c>
      <c r="BW41" s="27" t="s">
        <v>77</v>
      </c>
      <c r="BX41" s="33" t="s">
        <v>77</v>
      </c>
      <c r="BY41" s="27" t="s">
        <v>77</v>
      </c>
      <c r="BZ41" s="11" t="s">
        <v>77</v>
      </c>
      <c r="CA41" s="33" t="s">
        <v>77</v>
      </c>
      <c r="CB41" s="27" t="s">
        <v>77</v>
      </c>
      <c r="CC41" s="27" t="s">
        <v>77</v>
      </c>
      <c r="CD41" s="33" t="s">
        <v>77</v>
      </c>
      <c r="CE41" s="27" t="s">
        <v>77</v>
      </c>
      <c r="CF41" s="27" t="s">
        <v>77</v>
      </c>
      <c r="CG41" s="33">
        <v>-14824</v>
      </c>
      <c r="CH41" s="27">
        <f t="shared" si="356"/>
        <v>-8.2240875223993204E-2</v>
      </c>
      <c r="CI41" s="27" t="e">
        <f t="shared" si="394"/>
        <v>#VALUE!</v>
      </c>
      <c r="CJ41" s="33">
        <v>-10449</v>
      </c>
      <c r="CK41" s="27">
        <f t="shared" si="357"/>
        <v>-9.588877672753969E-2</v>
      </c>
      <c r="CL41" s="27" t="e">
        <f t="shared" si="395"/>
        <v>#VALUE!</v>
      </c>
      <c r="CM41" s="33">
        <v>-14049</v>
      </c>
      <c r="CN41" s="27">
        <f t="shared" si="358"/>
        <v>-8.7584551603753003E-2</v>
      </c>
      <c r="CO41" s="27" t="e">
        <f t="shared" si="396"/>
        <v>#VALUE!</v>
      </c>
      <c r="CP41" s="33">
        <v>-9115</v>
      </c>
      <c r="CQ41" s="27">
        <f t="shared" si="359"/>
        <v>-6.3360211316557766E-2</v>
      </c>
      <c r="CR41" s="27" t="e">
        <f t="shared" si="397"/>
        <v>#VALUE!</v>
      </c>
      <c r="CS41" s="33">
        <v>-13388</v>
      </c>
      <c r="CT41" s="27">
        <f t="shared" si="360"/>
        <v>-5.4021991324523351E-2</v>
      </c>
      <c r="CU41" s="27">
        <f t="shared" si="398"/>
        <v>-9.6869940636805207E-2</v>
      </c>
      <c r="CV41" s="33">
        <v>-8550</v>
      </c>
      <c r="CW41" s="27">
        <f t="shared" si="361"/>
        <v>-5.7038786374734821E-2</v>
      </c>
      <c r="CX41" s="27">
        <f t="shared" si="399"/>
        <v>-0.18173987941429803</v>
      </c>
      <c r="CY41" s="33">
        <v>-10193</v>
      </c>
      <c r="CZ41" s="27">
        <f t="shared" si="362"/>
        <v>-5.404731857853378E-2</v>
      </c>
      <c r="DA41" s="27">
        <f t="shared" si="400"/>
        <v>-0.27446793366075872</v>
      </c>
      <c r="DB41" s="33">
        <v>-9271</v>
      </c>
      <c r="DC41" s="27">
        <f t="shared" si="363"/>
        <v>-5.6286807115536394E-2</v>
      </c>
      <c r="DD41" s="27">
        <f t="shared" si="401"/>
        <v>1.7114646187602833E-2</v>
      </c>
      <c r="DE41" s="33">
        <v>-14444</v>
      </c>
      <c r="DF41" s="27">
        <f t="shared" si="364"/>
        <v>-5.2163047442948925E-2</v>
      </c>
      <c r="DG41" s="27">
        <f t="shared" si="402"/>
        <v>7.8876605915745523E-2</v>
      </c>
      <c r="DH41" s="33">
        <v>-9374</v>
      </c>
      <c r="DI41" s="27">
        <f t="shared" si="365"/>
        <v>-5.925298508877834E-2</v>
      </c>
      <c r="DJ41" s="27">
        <f t="shared" si="403"/>
        <v>9.6374269005848001E-2</v>
      </c>
      <c r="DK41" s="33">
        <v>-12467</v>
      </c>
      <c r="DL41" s="27">
        <f t="shared" si="366"/>
        <v>-5.8748409594269829E-2</v>
      </c>
      <c r="DM41" s="27">
        <f t="shared" si="404"/>
        <v>0.22309428038850188</v>
      </c>
      <c r="DN41" s="33">
        <v>-11406</v>
      </c>
      <c r="DO41" s="27">
        <f t="shared" si="367"/>
        <v>-6.1019451755793798E-2</v>
      </c>
      <c r="DP41" s="27">
        <f t="shared" si="405"/>
        <v>0.2302879948225649</v>
      </c>
      <c r="DQ41" s="33">
        <v>-18975</v>
      </c>
      <c r="DR41" s="27">
        <f t="shared" si="368"/>
        <v>-5.3902727946753479E-2</v>
      </c>
      <c r="DS41" s="27">
        <f t="shared" si="406"/>
        <v>0.31369426751592355</v>
      </c>
      <c r="DT41" s="33">
        <v>-11764</v>
      </c>
      <c r="DU41" s="27">
        <f t="shared" si="369"/>
        <v>-6.1259028208105727E-2</v>
      </c>
      <c r="DV41" s="27">
        <f t="shared" si="407"/>
        <v>0.25496052912310652</v>
      </c>
      <c r="DW41" s="33">
        <v>-14840</v>
      </c>
      <c r="DX41" s="27">
        <f t="shared" si="370"/>
        <v>-5.7125919538681257E-2</v>
      </c>
      <c r="DY41" s="27">
        <f t="shared" si="408"/>
        <v>0.19034250421111731</v>
      </c>
      <c r="DZ41" s="33">
        <v>-10347</v>
      </c>
      <c r="EA41" s="27">
        <f t="shared" si="371"/>
        <v>-4.4478356187937926E-2</v>
      </c>
      <c r="EB41" s="27">
        <f t="shared" si="409"/>
        <v>-9.2845870594423952E-2</v>
      </c>
      <c r="EC41" s="33">
        <v>-15459</v>
      </c>
      <c r="ED41" s="27">
        <f t="shared" si="372"/>
        <v>-3.8171312871922762E-2</v>
      </c>
      <c r="EE41" s="27">
        <f t="shared" si="410"/>
        <v>-0.18529644268774703</v>
      </c>
      <c r="EF41" s="33">
        <v>-8293</v>
      </c>
      <c r="EG41" s="27">
        <f t="shared" si="373"/>
        <v>-3.9724091682034821E-2</v>
      </c>
      <c r="EH41" s="27">
        <f t="shared" si="411"/>
        <v>-0.29505270316218968</v>
      </c>
      <c r="EI41" s="33">
        <v>-13122</v>
      </c>
      <c r="EJ41" s="27">
        <f t="shared" si="374"/>
        <v>-4.1754835917686778E-2</v>
      </c>
      <c r="EK41" s="27">
        <f t="shared" si="412"/>
        <v>-0.11576819407008088</v>
      </c>
      <c r="EL41" s="33">
        <v>-9801</v>
      </c>
      <c r="EM41" s="27">
        <f t="shared" si="413"/>
        <v>-3.9554452448695439E-2</v>
      </c>
      <c r="EN41" s="27">
        <f t="shared" si="414"/>
        <v>-5.2768918527109299E-2</v>
      </c>
      <c r="EO41" s="33">
        <v>-18572</v>
      </c>
      <c r="EP41" s="27">
        <f t="shared" si="376"/>
        <v>-4.0828888879118175E-2</v>
      </c>
      <c r="EQ41" s="27">
        <f t="shared" si="393"/>
        <v>0.20137136942881173</v>
      </c>
      <c r="ER41" s="33">
        <v>-10350</v>
      </c>
      <c r="ES41" s="27">
        <f t="shared" si="377"/>
        <v>-3.9041134644763394E-2</v>
      </c>
      <c r="ET41" s="27">
        <f t="shared" si="415"/>
        <v>0.248040516097914</v>
      </c>
      <c r="EU41" s="33">
        <v>-14489</v>
      </c>
      <c r="EV41" s="27">
        <f t="shared" si="416"/>
        <v>-3.975459651375593E-2</v>
      </c>
      <c r="EW41" s="27">
        <f t="shared" si="417"/>
        <v>0.10417619265355893</v>
      </c>
      <c r="EX41" s="33">
        <v>-11576</v>
      </c>
      <c r="EY41" s="27">
        <f t="shared" si="418"/>
        <v>-3.4921219105309681E-2</v>
      </c>
      <c r="EZ41" s="27">
        <f t="shared" si="419"/>
        <v>0.18110396898275694</v>
      </c>
      <c r="FA41" s="33"/>
      <c r="FB41" s="27">
        <f t="shared" si="420"/>
        <v>0</v>
      </c>
      <c r="FC41" s="27">
        <f t="shared" si="421"/>
        <v>-1</v>
      </c>
      <c r="FD41" s="33">
        <v>-10350</v>
      </c>
      <c r="FE41" s="27">
        <f t="shared" si="381"/>
        <v>-3.0992385155995006E-2</v>
      </c>
      <c r="FF41" s="27">
        <f t="shared" si="422"/>
        <v>0</v>
      </c>
      <c r="FG41" s="33"/>
      <c r="FH41" s="27">
        <f t="shared" si="382"/>
        <v>0</v>
      </c>
      <c r="FI41" s="27">
        <f t="shared" si="423"/>
        <v>-1</v>
      </c>
      <c r="FJ41" s="33"/>
      <c r="FK41" s="27"/>
      <c r="FL41" s="27"/>
      <c r="FM41" s="33"/>
      <c r="FN41" s="27"/>
      <c r="FO41" s="27"/>
      <c r="FP41" s="33"/>
      <c r="FQ41" s="27"/>
      <c r="FR41" s="27"/>
      <c r="FS41" s="33"/>
      <c r="FT41" s="27"/>
      <c r="FU41" s="27"/>
      <c r="FV41" s="33"/>
      <c r="FW41" s="27"/>
      <c r="FX41" s="27"/>
      <c r="FY41" s="33"/>
      <c r="FZ41" s="27"/>
      <c r="GA41" s="27"/>
      <c r="GB41" s="33"/>
      <c r="GC41" s="27"/>
      <c r="GD41" s="27"/>
      <c r="GE41" s="33"/>
      <c r="GF41" s="27"/>
      <c r="GG41" s="27"/>
      <c r="GH41" s="33"/>
      <c r="GI41" s="27"/>
      <c r="GJ41" s="27"/>
      <c r="GK41" s="33"/>
      <c r="GL41" s="27"/>
      <c r="GM41" s="27"/>
    </row>
    <row r="42" spans="2:195" s="23" customFormat="1" ht="16.5" hidden="1" customHeight="1">
      <c r="B42" s="267" t="s">
        <v>1062</v>
      </c>
      <c r="C42" s="267" t="s">
        <v>1060</v>
      </c>
      <c r="D42" s="273" t="s">
        <v>77</v>
      </c>
      <c r="E42" s="270" t="s">
        <v>77</v>
      </c>
      <c r="F42" s="270" t="s">
        <v>77</v>
      </c>
      <c r="G42" s="273" t="s">
        <v>77</v>
      </c>
      <c r="H42" s="270" t="s">
        <v>77</v>
      </c>
      <c r="I42" s="270" t="s">
        <v>77</v>
      </c>
      <c r="J42" s="273" t="s">
        <v>77</v>
      </c>
      <c r="K42" s="270" t="s">
        <v>77</v>
      </c>
      <c r="L42" s="270" t="s">
        <v>77</v>
      </c>
      <c r="M42" s="273" t="s">
        <v>77</v>
      </c>
      <c r="N42" s="270" t="s">
        <v>77</v>
      </c>
      <c r="O42" s="270" t="s">
        <v>77</v>
      </c>
      <c r="P42" s="273" t="s">
        <v>77</v>
      </c>
      <c r="Q42" s="270" t="s">
        <v>77</v>
      </c>
      <c r="R42" s="271" t="s">
        <v>77</v>
      </c>
      <c r="S42" s="273" t="s">
        <v>77</v>
      </c>
      <c r="T42" s="270" t="s">
        <v>77</v>
      </c>
      <c r="U42" s="271" t="s">
        <v>77</v>
      </c>
      <c r="V42" s="273" t="s">
        <v>77</v>
      </c>
      <c r="W42" s="270" t="s">
        <v>77</v>
      </c>
      <c r="X42" s="271" t="s">
        <v>77</v>
      </c>
      <c r="Y42" s="273" t="s">
        <v>77</v>
      </c>
      <c r="Z42" s="270" t="s">
        <v>77</v>
      </c>
      <c r="AA42" s="271" t="s">
        <v>77</v>
      </c>
      <c r="AB42" s="273" t="s">
        <v>77</v>
      </c>
      <c r="AC42" s="270" t="s">
        <v>77</v>
      </c>
      <c r="AD42" s="272" t="s">
        <v>77</v>
      </c>
      <c r="AE42" s="273" t="s">
        <v>77</v>
      </c>
      <c r="AF42" s="270" t="s">
        <v>77</v>
      </c>
      <c r="AG42" s="272" t="s">
        <v>77</v>
      </c>
      <c r="AH42" s="273" t="s">
        <v>77</v>
      </c>
      <c r="AI42" s="270" t="s">
        <v>77</v>
      </c>
      <c r="AJ42" s="272" t="s">
        <v>77</v>
      </c>
      <c r="AK42" s="273" t="s">
        <v>77</v>
      </c>
      <c r="AL42" s="270" t="s">
        <v>77</v>
      </c>
      <c r="AM42" s="272" t="s">
        <v>77</v>
      </c>
      <c r="AN42" s="273" t="s">
        <v>77</v>
      </c>
      <c r="AO42" s="270" t="s">
        <v>77</v>
      </c>
      <c r="AP42" s="272" t="s">
        <v>77</v>
      </c>
      <c r="AQ42" s="273" t="s">
        <v>77</v>
      </c>
      <c r="AR42" s="270" t="s">
        <v>77</v>
      </c>
      <c r="AS42" s="272" t="s">
        <v>77</v>
      </c>
      <c r="AT42" s="273" t="s">
        <v>77</v>
      </c>
      <c r="AU42" s="270" t="s">
        <v>77</v>
      </c>
      <c r="AV42" s="272" t="s">
        <v>77</v>
      </c>
      <c r="AW42" s="273" t="s">
        <v>77</v>
      </c>
      <c r="AX42" s="270" t="s">
        <v>77</v>
      </c>
      <c r="AY42" s="272" t="s">
        <v>77</v>
      </c>
      <c r="AZ42" s="273" t="s">
        <v>77</v>
      </c>
      <c r="BA42" s="270" t="s">
        <v>77</v>
      </c>
      <c r="BB42" s="272" t="s">
        <v>77</v>
      </c>
      <c r="BC42" s="273" t="s">
        <v>77</v>
      </c>
      <c r="BD42" s="270" t="s">
        <v>77</v>
      </c>
      <c r="BE42" s="272" t="s">
        <v>77</v>
      </c>
      <c r="BF42" s="273" t="s">
        <v>77</v>
      </c>
      <c r="BG42" s="270" t="s">
        <v>77</v>
      </c>
      <c r="BH42" s="272" t="s">
        <v>77</v>
      </c>
      <c r="BI42" s="273" t="s">
        <v>77</v>
      </c>
      <c r="BJ42" s="270" t="s">
        <v>77</v>
      </c>
      <c r="BK42" s="272" t="s">
        <v>77</v>
      </c>
      <c r="BL42" s="273" t="s">
        <v>77</v>
      </c>
      <c r="BM42" s="270" t="s">
        <v>77</v>
      </c>
      <c r="BN42" s="272" t="s">
        <v>77</v>
      </c>
      <c r="BO42" s="273" t="s">
        <v>77</v>
      </c>
      <c r="BP42" s="270" t="s">
        <v>77</v>
      </c>
      <c r="BQ42" s="272" t="s">
        <v>77</v>
      </c>
      <c r="BR42" s="273" t="s">
        <v>77</v>
      </c>
      <c r="BS42" s="270" t="s">
        <v>77</v>
      </c>
      <c r="BT42" s="272" t="s">
        <v>77</v>
      </c>
      <c r="BU42" s="273" t="s">
        <v>77</v>
      </c>
      <c r="BV42" s="270" t="s">
        <v>77</v>
      </c>
      <c r="BW42" s="272" t="s">
        <v>77</v>
      </c>
      <c r="BX42" s="273" t="s">
        <v>77</v>
      </c>
      <c r="BY42" s="270" t="s">
        <v>77</v>
      </c>
      <c r="BZ42" s="272" t="s">
        <v>77</v>
      </c>
      <c r="CA42" s="273" t="s">
        <v>77</v>
      </c>
      <c r="CB42" s="270" t="s">
        <v>77</v>
      </c>
      <c r="CC42" s="272" t="s">
        <v>77</v>
      </c>
      <c r="CD42" s="273" t="s">
        <v>77</v>
      </c>
      <c r="CE42" s="270" t="s">
        <v>77</v>
      </c>
      <c r="CF42" s="272" t="s">
        <v>77</v>
      </c>
      <c r="CG42" s="268">
        <f>SUM(CG43:CG45)</f>
        <v>20964</v>
      </c>
      <c r="CH42" s="269">
        <f t="shared" si="356"/>
        <v>0.1163044865215727</v>
      </c>
      <c r="CI42" s="272" t="e">
        <f>CG42/BU42-1</f>
        <v>#VALUE!</v>
      </c>
      <c r="CJ42" s="268">
        <f>SUM(CJ43:CJ45)</f>
        <v>14760</v>
      </c>
      <c r="CK42" s="269">
        <f t="shared" si="357"/>
        <v>0.13545012388730843</v>
      </c>
      <c r="CL42" s="272" t="e">
        <f>CJ42/BX42-1</f>
        <v>#VALUE!</v>
      </c>
      <c r="CM42" s="268">
        <f>SUM(CM43:CM45)</f>
        <v>17313</v>
      </c>
      <c r="CN42" s="269">
        <f t="shared" si="358"/>
        <v>0.10793304448115706</v>
      </c>
      <c r="CO42" s="272" t="e">
        <f>CM42/CA42-1</f>
        <v>#VALUE!</v>
      </c>
      <c r="CP42" s="268">
        <f>SUM(CP43:CP45)</f>
        <v>22155</v>
      </c>
      <c r="CQ42" s="269">
        <f t="shared" si="359"/>
        <v>0.15400389267343251</v>
      </c>
      <c r="CR42" s="272" t="e">
        <f>CP42/CD42-1</f>
        <v>#VALUE!</v>
      </c>
      <c r="CS42" s="268">
        <f>SUM(CS43:CS45)</f>
        <v>27492</v>
      </c>
      <c r="CT42" s="269">
        <f t="shared" si="360"/>
        <v>0.11093311812771109</v>
      </c>
      <c r="CU42" s="272">
        <f>CS42/CG42-1</f>
        <v>0.31139095592444188</v>
      </c>
      <c r="CV42" s="268">
        <f>SUM(CV43:CV45)</f>
        <v>24583</v>
      </c>
      <c r="CW42" s="269">
        <f t="shared" si="361"/>
        <v>0.16399818543276096</v>
      </c>
      <c r="CX42" s="272">
        <f>CV42/CJ42-1</f>
        <v>0.66551490514905143</v>
      </c>
      <c r="CY42" s="268">
        <f>SUM(CY43:CY45)</f>
        <v>24115</v>
      </c>
      <c r="CZ42" s="269">
        <f t="shared" si="362"/>
        <v>0.12786727043278154</v>
      </c>
      <c r="DA42" s="272">
        <f>CY42/CM42-1</f>
        <v>0.39288396003003534</v>
      </c>
      <c r="DB42" s="268">
        <f>SUM(DB43:DB45)</f>
        <v>26712</v>
      </c>
      <c r="DC42" s="269">
        <f t="shared" si="363"/>
        <v>0.16217594560135998</v>
      </c>
      <c r="DD42" s="272">
        <f>DB42/CP42-1</f>
        <v>0.20568720379146921</v>
      </c>
      <c r="DE42" s="268">
        <f>SUM(DE43:DE45)</f>
        <v>33126</v>
      </c>
      <c r="DF42" s="269">
        <f t="shared" si="364"/>
        <v>0.11963120393209126</v>
      </c>
      <c r="DG42" s="272">
        <f>DE42/CS42-1</f>
        <v>0.20493234395460491</v>
      </c>
      <c r="DH42" s="268">
        <f>SUM(DH43:DH45)</f>
        <v>26379</v>
      </c>
      <c r="DI42" s="269">
        <f t="shared" si="365"/>
        <v>0.1667414650796761</v>
      </c>
      <c r="DJ42" s="272">
        <f>DH42/CV42-1</f>
        <v>7.3058617743969378E-2</v>
      </c>
      <c r="DK42" s="268">
        <f>SUM(DK43:DK45)</f>
        <v>23044</v>
      </c>
      <c r="DL42" s="269">
        <f t="shared" si="366"/>
        <v>0.10859054709957118</v>
      </c>
      <c r="DM42" s="272">
        <f>DK42/CY42-1</f>
        <v>-4.4412191582002936E-2</v>
      </c>
      <c r="DN42" s="268">
        <f>SUM(DN43:DN45)</f>
        <v>28004</v>
      </c>
      <c r="DO42" s="269">
        <f t="shared" si="367"/>
        <v>0.14981489803342535</v>
      </c>
      <c r="DP42" s="272">
        <f>DN42/DB42-1</f>
        <v>4.8367774782869022E-2</v>
      </c>
      <c r="DQ42" s="268">
        <f>SUM(DQ43:DQ45)</f>
        <v>42387</v>
      </c>
      <c r="DR42" s="269">
        <f t="shared" si="368"/>
        <v>0.12040974595409959</v>
      </c>
      <c r="DS42" s="272">
        <f>DQ42/DE42-1</f>
        <v>0.27956891867415323</v>
      </c>
      <c r="DT42" s="268">
        <f>SUM(DT43:DT45)</f>
        <v>29226</v>
      </c>
      <c r="DU42" s="269">
        <f t="shared" si="369"/>
        <v>0.15218942183016815</v>
      </c>
      <c r="DV42" s="272">
        <f>DT42/DH42-1</f>
        <v>0.10792675992266565</v>
      </c>
      <c r="DW42" s="268">
        <f>SUM(DW43:DW45)</f>
        <v>30110</v>
      </c>
      <c r="DX42" s="269">
        <f t="shared" si="370"/>
        <v>0.11590710494000624</v>
      </c>
      <c r="DY42" s="272">
        <f>DW42/DK42-1</f>
        <v>0.30663079326505804</v>
      </c>
      <c r="DZ42" s="268">
        <f>SUM(DZ43:DZ45)</f>
        <v>37298</v>
      </c>
      <c r="EA42" s="269">
        <f t="shared" si="371"/>
        <v>0.16033185745604608</v>
      </c>
      <c r="EB42" s="272">
        <f>DZ42/DN42-1</f>
        <v>0.33188115983430944</v>
      </c>
      <c r="EC42" s="268">
        <f>SUM(EC43:EC45)</f>
        <v>60865</v>
      </c>
      <c r="ED42" s="269">
        <f t="shared" si="372"/>
        <v>0.15028766142373887</v>
      </c>
      <c r="EE42" s="272">
        <f>EC42/DQ42-1</f>
        <v>0.43593554627598086</v>
      </c>
      <c r="EF42" s="268">
        <f>SUM(EF43:EF45)</f>
        <v>43833</v>
      </c>
      <c r="EG42" s="269">
        <f t="shared" si="373"/>
        <v>0.20996335592652024</v>
      </c>
      <c r="EH42" s="272">
        <f>EF42/DT42-1</f>
        <v>0.49979470334633547</v>
      </c>
      <c r="EI42" s="268">
        <f>SUM(EI43:EI45)</f>
        <v>54808</v>
      </c>
      <c r="EJ42" s="269">
        <f>EI42/EI$36</f>
        <v>0.1744016953952581</v>
      </c>
      <c r="EK42" s="272">
        <f>EI42/DW42-1</f>
        <v>0.820259050149452</v>
      </c>
      <c r="EL42" s="268">
        <f>SUM(EL43:EL45)</f>
        <v>56511</v>
      </c>
      <c r="EM42" s="269">
        <f>EL42/EL$36</f>
        <v>0.22806465282402083</v>
      </c>
      <c r="EN42" s="272">
        <f>EL42/DZ42-1</f>
        <v>0.515121454233471</v>
      </c>
      <c r="EO42" s="268">
        <f>SUM(EO43:EO45)</f>
        <v>83281</v>
      </c>
      <c r="EP42" s="269">
        <f t="shared" si="376"/>
        <v>0.18308586553639031</v>
      </c>
      <c r="EQ42" s="272">
        <f t="shared" si="393"/>
        <v>0.36829047892877687</v>
      </c>
      <c r="ER42" s="268">
        <f>SUM(ER43:ER45)</f>
        <v>58374</v>
      </c>
      <c r="ES42" s="269">
        <f t="shared" si="377"/>
        <v>0.22019199939646555</v>
      </c>
      <c r="ET42" s="272">
        <f>ER42/EF42-1</f>
        <v>0.33173636301416742</v>
      </c>
      <c r="EU42" s="268">
        <f>SUM(EU43:EU45)</f>
        <v>71052</v>
      </c>
      <c r="EV42" s="269">
        <f>EU42/EU$36</f>
        <v>0.19495090009630661</v>
      </c>
      <c r="EW42" s="272">
        <f>EU42/EI42-1</f>
        <v>0.29638009049773761</v>
      </c>
      <c r="EX42" s="268">
        <f>SUM(EX43:EX45)</f>
        <v>76679</v>
      </c>
      <c r="EY42" s="269">
        <f>EX42/EX$36</f>
        <v>0.23131687627643752</v>
      </c>
      <c r="EZ42" s="272">
        <f>EX42/EL42-1</f>
        <v>0.35688626992974815</v>
      </c>
      <c r="FA42" s="268">
        <f>SUM(FA43:FA45)</f>
        <v>0</v>
      </c>
      <c r="FB42" s="269">
        <f>FA42/FA$36</f>
        <v>0</v>
      </c>
      <c r="FC42" s="272">
        <f>FA42/EO42-1</f>
        <v>-1</v>
      </c>
      <c r="FD42" s="268">
        <f>SUM(FD43:FD45)</f>
        <v>58374</v>
      </c>
      <c r="FE42" s="269">
        <f t="shared" si="381"/>
        <v>0.17479705227981182</v>
      </c>
      <c r="FF42" s="272">
        <f>FD42/ER42-1</f>
        <v>0</v>
      </c>
      <c r="FG42" s="268"/>
      <c r="FH42" s="269">
        <f t="shared" si="382"/>
        <v>0</v>
      </c>
      <c r="FI42" s="272">
        <f>FG42/EU42-1</f>
        <v>-1</v>
      </c>
      <c r="FJ42" s="268"/>
      <c r="FK42" s="269"/>
      <c r="FL42" s="272"/>
      <c r="FM42" s="268"/>
      <c r="FN42" s="269"/>
      <c r="FO42" s="272"/>
      <c r="FP42" s="268"/>
      <c r="FQ42" s="269"/>
      <c r="FR42" s="272"/>
      <c r="FS42" s="268"/>
      <c r="FT42" s="269"/>
      <c r="FU42" s="272"/>
      <c r="FV42" s="268"/>
      <c r="FW42" s="269"/>
      <c r="FX42" s="272"/>
      <c r="FY42" s="268"/>
      <c r="FZ42" s="269"/>
      <c r="GA42" s="272"/>
      <c r="GB42" s="268"/>
      <c r="GC42" s="269"/>
      <c r="GD42" s="272"/>
      <c r="GE42" s="268"/>
      <c r="GF42" s="269"/>
      <c r="GG42" s="272"/>
      <c r="GH42" s="268"/>
      <c r="GI42" s="269"/>
      <c r="GJ42" s="272"/>
      <c r="GK42" s="268"/>
      <c r="GL42" s="269"/>
      <c r="GM42" s="272"/>
    </row>
    <row r="43" spans="2:195" ht="16.5" hidden="1" customHeight="1">
      <c r="B43" s="222" t="s">
        <v>251</v>
      </c>
      <c r="C43" s="222" t="s">
        <v>1056</v>
      </c>
      <c r="D43" s="27" t="s">
        <v>77</v>
      </c>
      <c r="E43" s="27" t="s">
        <v>77</v>
      </c>
      <c r="F43" s="27" t="s">
        <v>77</v>
      </c>
      <c r="G43" s="27" t="s">
        <v>77</v>
      </c>
      <c r="H43" s="27" t="s">
        <v>77</v>
      </c>
      <c r="I43" s="27" t="s">
        <v>77</v>
      </c>
      <c r="J43" s="27" t="s">
        <v>77</v>
      </c>
      <c r="K43" s="27" t="s">
        <v>77</v>
      </c>
      <c r="L43" s="27" t="s">
        <v>77</v>
      </c>
      <c r="M43" s="27" t="s">
        <v>77</v>
      </c>
      <c r="N43" s="27" t="s">
        <v>77</v>
      </c>
      <c r="O43" s="27" t="s">
        <v>77</v>
      </c>
      <c r="P43" s="27" t="s">
        <v>77</v>
      </c>
      <c r="Q43" s="27" t="s">
        <v>77</v>
      </c>
      <c r="R43" s="27" t="s">
        <v>77</v>
      </c>
      <c r="S43" s="27" t="s">
        <v>77</v>
      </c>
      <c r="T43" s="27" t="s">
        <v>77</v>
      </c>
      <c r="U43" s="27" t="s">
        <v>77</v>
      </c>
      <c r="V43" s="27" t="s">
        <v>77</v>
      </c>
      <c r="W43" s="27" t="s">
        <v>77</v>
      </c>
      <c r="X43" s="27" t="s">
        <v>77</v>
      </c>
      <c r="Y43" s="27" t="s">
        <v>77</v>
      </c>
      <c r="Z43" s="27" t="s">
        <v>77</v>
      </c>
      <c r="AA43" s="27" t="s">
        <v>77</v>
      </c>
      <c r="AB43" s="27" t="s">
        <v>77</v>
      </c>
      <c r="AC43" s="27" t="s">
        <v>77</v>
      </c>
      <c r="AD43" s="27" t="s">
        <v>77</v>
      </c>
      <c r="AE43" s="33" t="s">
        <v>77</v>
      </c>
      <c r="AF43" s="27" t="s">
        <v>77</v>
      </c>
      <c r="AG43" s="27" t="s">
        <v>77</v>
      </c>
      <c r="AH43" s="33" t="s">
        <v>77</v>
      </c>
      <c r="AI43" s="27" t="s">
        <v>77</v>
      </c>
      <c r="AJ43" s="27" t="s">
        <v>77</v>
      </c>
      <c r="AK43" s="33" t="s">
        <v>77</v>
      </c>
      <c r="AL43" s="27" t="s">
        <v>77</v>
      </c>
      <c r="AM43" s="27" t="s">
        <v>77</v>
      </c>
      <c r="AN43" s="33" t="s">
        <v>77</v>
      </c>
      <c r="AO43" s="27" t="s">
        <v>77</v>
      </c>
      <c r="AP43" s="27" t="s">
        <v>77</v>
      </c>
      <c r="AQ43" s="33" t="s">
        <v>77</v>
      </c>
      <c r="AR43" s="27" t="s">
        <v>77</v>
      </c>
      <c r="AS43" s="27" t="s">
        <v>77</v>
      </c>
      <c r="AT43" s="33" t="s">
        <v>77</v>
      </c>
      <c r="AU43" s="27" t="s">
        <v>77</v>
      </c>
      <c r="AV43" s="27" t="s">
        <v>77</v>
      </c>
      <c r="AW43" s="33" t="s">
        <v>77</v>
      </c>
      <c r="AX43" s="27" t="s">
        <v>77</v>
      </c>
      <c r="AY43" s="27" t="s">
        <v>77</v>
      </c>
      <c r="AZ43" s="33" t="s">
        <v>77</v>
      </c>
      <c r="BA43" s="27" t="s">
        <v>77</v>
      </c>
      <c r="BB43" s="27" t="s">
        <v>77</v>
      </c>
      <c r="BC43" s="33" t="s">
        <v>77</v>
      </c>
      <c r="BD43" s="27" t="s">
        <v>77</v>
      </c>
      <c r="BE43" s="27" t="s">
        <v>77</v>
      </c>
      <c r="BF43" s="33" t="s">
        <v>77</v>
      </c>
      <c r="BG43" s="27" t="s">
        <v>77</v>
      </c>
      <c r="BH43" s="27" t="s">
        <v>77</v>
      </c>
      <c r="BI43" s="33" t="s">
        <v>77</v>
      </c>
      <c r="BJ43" s="27" t="s">
        <v>77</v>
      </c>
      <c r="BK43" s="27" t="s">
        <v>77</v>
      </c>
      <c r="BL43" s="33" t="s">
        <v>77</v>
      </c>
      <c r="BM43" s="27" t="s">
        <v>77</v>
      </c>
      <c r="BN43" s="27" t="s">
        <v>77</v>
      </c>
      <c r="BO43" s="33" t="s">
        <v>77</v>
      </c>
      <c r="BP43" s="27" t="s">
        <v>77</v>
      </c>
      <c r="BQ43" s="27" t="s">
        <v>77</v>
      </c>
      <c r="BR43" s="33" t="s">
        <v>77</v>
      </c>
      <c r="BS43" s="27" t="s">
        <v>77</v>
      </c>
      <c r="BT43" s="27" t="s">
        <v>77</v>
      </c>
      <c r="BU43" s="33" t="s">
        <v>77</v>
      </c>
      <c r="BV43" s="27" t="s">
        <v>77</v>
      </c>
      <c r="BW43" s="27" t="s">
        <v>77</v>
      </c>
      <c r="BX43" s="33" t="s">
        <v>77</v>
      </c>
      <c r="BY43" s="27" t="s">
        <v>77</v>
      </c>
      <c r="BZ43" s="11" t="s">
        <v>77</v>
      </c>
      <c r="CA43" s="33" t="s">
        <v>77</v>
      </c>
      <c r="CB43" s="27" t="s">
        <v>77</v>
      </c>
      <c r="CC43" s="27" t="s">
        <v>77</v>
      </c>
      <c r="CD43" s="33" t="s">
        <v>77</v>
      </c>
      <c r="CE43" s="27" t="s">
        <v>77</v>
      </c>
      <c r="CF43" s="27" t="s">
        <v>77</v>
      </c>
      <c r="CG43" s="33">
        <v>10156</v>
      </c>
      <c r="CH43" s="27">
        <f t="shared" si="356"/>
        <v>5.6343654126745482E-2</v>
      </c>
      <c r="CI43" s="27" t="e">
        <f t="shared" ref="CI43:CI45" si="424">CG43/BU43-1</f>
        <v>#VALUE!</v>
      </c>
      <c r="CJ43" s="33">
        <v>7265</v>
      </c>
      <c r="CK43" s="27">
        <f t="shared" si="357"/>
        <v>6.6669725612553909E-2</v>
      </c>
      <c r="CL43" s="27" t="e">
        <f t="shared" ref="CL43:CL45" si="425">CJ43/BX43-1</f>
        <v>#VALUE!</v>
      </c>
      <c r="CM43" s="33">
        <v>7168</v>
      </c>
      <c r="CN43" s="27">
        <f t="shared" si="358"/>
        <v>4.4686886319005019E-2</v>
      </c>
      <c r="CO43" s="27" t="e">
        <f t="shared" ref="CO43:CO45" si="426">CM43/CA43-1</f>
        <v>#VALUE!</v>
      </c>
      <c r="CP43" s="33">
        <v>10409</v>
      </c>
      <c r="CQ43" s="27">
        <f t="shared" si="359"/>
        <v>7.235506742666481E-2</v>
      </c>
      <c r="CR43" s="27" t="e">
        <f t="shared" ref="CR43:CR45" si="427">CP43/CD43-1</f>
        <v>#VALUE!</v>
      </c>
      <c r="CS43" s="33">
        <v>13207</v>
      </c>
      <c r="CT43" s="27">
        <f t="shared" si="360"/>
        <v>5.3291637244022999E-2</v>
      </c>
      <c r="CU43" s="27">
        <f t="shared" ref="CU43:CU45" si="428">CS43/CG43-1</f>
        <v>0.3004135486411974</v>
      </c>
      <c r="CV43" s="33">
        <v>11509</v>
      </c>
      <c r="CW43" s="27">
        <f t="shared" si="361"/>
        <v>7.6778876302552396E-2</v>
      </c>
      <c r="CX43" s="27">
        <f t="shared" ref="CX43:CX45" si="429">CV43/CJ43-1</f>
        <v>0.58417068134893335</v>
      </c>
      <c r="CY43" s="33">
        <v>10430</v>
      </c>
      <c r="CZ43" s="27">
        <f t="shared" si="362"/>
        <v>5.5303986341028878E-2</v>
      </c>
      <c r="DA43" s="27">
        <f t="shared" ref="DA43:DA45" si="430">CY43/CM43-1</f>
        <v>0.455078125</v>
      </c>
      <c r="DB43" s="33">
        <v>11786</v>
      </c>
      <c r="DC43" s="27">
        <f t="shared" si="363"/>
        <v>7.1556068241151113E-2</v>
      </c>
      <c r="DD43" s="27">
        <f t="shared" ref="DD43:DD45" si="431">DB43/CP43-1</f>
        <v>0.13228936497261978</v>
      </c>
      <c r="DE43" s="33">
        <v>14616</v>
      </c>
      <c r="DF43" s="27">
        <f t="shared" si="364"/>
        <v>5.2784208074365929E-2</v>
      </c>
      <c r="DG43" s="27">
        <f t="shared" ref="DG43:DG45" si="432">DE43/CS43-1</f>
        <v>0.10668584841372009</v>
      </c>
      <c r="DH43" s="33">
        <v>11668</v>
      </c>
      <c r="DI43" s="27">
        <f t="shared" si="365"/>
        <v>7.3753342224862989E-2</v>
      </c>
      <c r="DJ43" s="27">
        <f t="shared" ref="DJ43:DJ45" si="433">DH43/CV43-1</f>
        <v>1.3815275002172278E-2</v>
      </c>
      <c r="DK43" s="33">
        <v>10192</v>
      </c>
      <c r="DL43" s="27">
        <f t="shared" si="366"/>
        <v>4.8027896894585552E-2</v>
      </c>
      <c r="DM43" s="27">
        <f t="shared" ref="DM43:DM45" si="434">DK43/CY43-1</f>
        <v>-2.2818791946308759E-2</v>
      </c>
      <c r="DN43" s="33">
        <v>13904</v>
      </c>
      <c r="DO43" s="27">
        <f t="shared" si="367"/>
        <v>7.4383171770345161E-2</v>
      </c>
      <c r="DP43" s="27">
        <f t="shared" ref="DP43:DP45" si="435">DN43/DB43-1</f>
        <v>0.17970473443068036</v>
      </c>
      <c r="DQ43" s="33">
        <v>20244</v>
      </c>
      <c r="DR43" s="27">
        <f t="shared" si="368"/>
        <v>5.750760603710553E-2</v>
      </c>
      <c r="DS43" s="27">
        <f t="shared" ref="DS43:DS45" si="436">DQ43/DE43-1</f>
        <v>0.38505747126436773</v>
      </c>
      <c r="DT43" s="33">
        <v>14117</v>
      </c>
      <c r="DU43" s="27">
        <f t="shared" si="369"/>
        <v>7.3511875315694378E-2</v>
      </c>
      <c r="DV43" s="27">
        <f t="shared" ref="DV43:DV45" si="437">DT43/DH43-1</f>
        <v>0.20989029825162842</v>
      </c>
      <c r="DW43" s="33">
        <v>14050</v>
      </c>
      <c r="DX43" s="27">
        <f t="shared" si="370"/>
        <v>5.4084849698010216E-2</v>
      </c>
      <c r="DY43" s="27">
        <f t="shared" ref="DY43:DY45" si="438">DW43/DK43-1</f>
        <v>0.37853218210361073</v>
      </c>
      <c r="DZ43" s="33">
        <v>17303</v>
      </c>
      <c r="EA43" s="27">
        <f t="shared" si="371"/>
        <v>7.4379916605768814E-2</v>
      </c>
      <c r="EB43" s="27">
        <f t="shared" ref="EB43:EB45" si="439">DZ43/DN43-1</f>
        <v>0.24446202531645578</v>
      </c>
      <c r="EC43" s="33">
        <v>28265</v>
      </c>
      <c r="ED43" s="27">
        <f t="shared" si="372"/>
        <v>6.9791846712264502E-2</v>
      </c>
      <c r="EE43" s="27">
        <f t="shared" ref="EE43:EE45" si="440">EC43/DQ43-1</f>
        <v>0.39621616281367311</v>
      </c>
      <c r="EF43" s="33">
        <v>20378</v>
      </c>
      <c r="EG43" s="27">
        <f t="shared" si="373"/>
        <v>9.7612147630110405E-2</v>
      </c>
      <c r="EH43" s="27">
        <f t="shared" ref="EH43:EH45" si="441">EF43/DT43-1</f>
        <v>0.44350782744209116</v>
      </c>
      <c r="EI43" s="33">
        <v>23911</v>
      </c>
      <c r="EJ43" s="27">
        <f t="shared" si="374"/>
        <v>7.6085953484820043E-2</v>
      </c>
      <c r="EK43" s="27">
        <f t="shared" ref="EK43:EK45" si="442">EI43/DW43-1</f>
        <v>0.70185053380782914</v>
      </c>
      <c r="EL43" s="33">
        <v>27259</v>
      </c>
      <c r="EM43" s="27">
        <f t="shared" ref="EM43:EM45" si="443">EL43/EL$36</f>
        <v>0.11001069475553403</v>
      </c>
      <c r="EN43" s="27">
        <f t="shared" ref="EN43:EN45" si="444">EL43/DZ43-1</f>
        <v>0.57539155059816216</v>
      </c>
      <c r="EO43" s="33">
        <v>37629</v>
      </c>
      <c r="EP43" s="27">
        <f t="shared" si="376"/>
        <v>8.2724007087677021E-2</v>
      </c>
      <c r="EQ43" s="27">
        <f t="shared" si="393"/>
        <v>0.33129311869803635</v>
      </c>
      <c r="ER43" s="33">
        <v>27177</v>
      </c>
      <c r="ES43" s="27">
        <f t="shared" si="377"/>
        <v>0.1025140981875106</v>
      </c>
      <c r="ET43" s="27">
        <f t="shared" ref="ET43:ET45" si="445">ER43/EF43-1</f>
        <v>0.33364412601825499</v>
      </c>
      <c r="EU43" s="33">
        <v>31033</v>
      </c>
      <c r="EV43" s="27">
        <f t="shared" ref="EV43:EV45" si="446">EU43/EU$36</f>
        <v>8.5147656402193919E-2</v>
      </c>
      <c r="EW43" s="27">
        <f t="shared" ref="EW43:EW45" si="447">EU43/EI43-1</f>
        <v>0.29785454393375432</v>
      </c>
      <c r="EX43" s="33">
        <v>28383</v>
      </c>
      <c r="EY43" s="27">
        <f t="shared" ref="EY43:EY45" si="448">EX43/EX$36</f>
        <v>8.5622750679509724E-2</v>
      </c>
      <c r="EZ43" s="27">
        <f t="shared" ref="EZ43:EZ45" si="449">EX43/EL43-1</f>
        <v>4.123408782420479E-2</v>
      </c>
      <c r="FA43" s="33"/>
      <c r="FB43" s="27">
        <f t="shared" ref="FB43:FB45" si="450">FA43/FA$36</f>
        <v>0</v>
      </c>
      <c r="FC43" s="27">
        <f t="shared" ref="FC43:FC45" si="451">FA43/EO43-1</f>
        <v>-1</v>
      </c>
      <c r="FD43" s="33">
        <v>27177</v>
      </c>
      <c r="FE43" s="27">
        <f t="shared" si="381"/>
        <v>8.1379715109611228E-2</v>
      </c>
      <c r="FF43" s="27">
        <f t="shared" ref="FF43:FF45" si="452">FD43/ER43-1</f>
        <v>0</v>
      </c>
      <c r="FG43" s="33"/>
      <c r="FH43" s="27">
        <f t="shared" si="382"/>
        <v>0</v>
      </c>
      <c r="FI43" s="27">
        <f t="shared" ref="FI43:FI45" si="453">FG43/EU43-1</f>
        <v>-1</v>
      </c>
      <c r="FJ43" s="33"/>
      <c r="FK43" s="27"/>
      <c r="FL43" s="27"/>
      <c r="FM43" s="33"/>
      <c r="FN43" s="27"/>
      <c r="FO43" s="27"/>
      <c r="FP43" s="33"/>
      <c r="FQ43" s="27"/>
      <c r="FR43" s="27"/>
      <c r="FS43" s="33"/>
      <c r="FT43" s="27"/>
      <c r="FU43" s="27"/>
      <c r="FV43" s="33"/>
      <c r="FW43" s="27"/>
      <c r="FX43" s="27"/>
      <c r="FY43" s="33"/>
      <c r="FZ43" s="27"/>
      <c r="GA43" s="27"/>
      <c r="GB43" s="33"/>
      <c r="GC43" s="27"/>
      <c r="GD43" s="27"/>
      <c r="GE43" s="33"/>
      <c r="GF43" s="27"/>
      <c r="GG43" s="27"/>
      <c r="GH43" s="33"/>
      <c r="GI43" s="27"/>
      <c r="GJ43" s="27"/>
      <c r="GK43" s="33"/>
      <c r="GL43" s="27"/>
      <c r="GM43" s="27"/>
    </row>
    <row r="44" spans="2:195" ht="16.5" hidden="1" customHeight="1">
      <c r="B44" s="222" t="s">
        <v>252</v>
      </c>
      <c r="C44" s="222" t="s">
        <v>1057</v>
      </c>
      <c r="D44" s="27" t="s">
        <v>77</v>
      </c>
      <c r="E44" s="27" t="s">
        <v>77</v>
      </c>
      <c r="F44" s="27" t="s">
        <v>77</v>
      </c>
      <c r="G44" s="27" t="s">
        <v>77</v>
      </c>
      <c r="H44" s="27" t="s">
        <v>77</v>
      </c>
      <c r="I44" s="27" t="s">
        <v>77</v>
      </c>
      <c r="J44" s="27" t="s">
        <v>77</v>
      </c>
      <c r="K44" s="27" t="s">
        <v>77</v>
      </c>
      <c r="L44" s="27" t="s">
        <v>77</v>
      </c>
      <c r="M44" s="27" t="s">
        <v>77</v>
      </c>
      <c r="N44" s="27" t="s">
        <v>77</v>
      </c>
      <c r="O44" s="27" t="s">
        <v>77</v>
      </c>
      <c r="P44" s="27" t="s">
        <v>77</v>
      </c>
      <c r="Q44" s="27" t="s">
        <v>77</v>
      </c>
      <c r="R44" s="27" t="s">
        <v>77</v>
      </c>
      <c r="S44" s="27" t="s">
        <v>77</v>
      </c>
      <c r="T44" s="27" t="s">
        <v>77</v>
      </c>
      <c r="U44" s="27" t="s">
        <v>77</v>
      </c>
      <c r="V44" s="27" t="s">
        <v>77</v>
      </c>
      <c r="W44" s="27" t="s">
        <v>77</v>
      </c>
      <c r="X44" s="27" t="s">
        <v>77</v>
      </c>
      <c r="Y44" s="27" t="s">
        <v>77</v>
      </c>
      <c r="Z44" s="27" t="s">
        <v>77</v>
      </c>
      <c r="AA44" s="27" t="s">
        <v>77</v>
      </c>
      <c r="AB44" s="27" t="s">
        <v>77</v>
      </c>
      <c r="AC44" s="27" t="s">
        <v>77</v>
      </c>
      <c r="AD44" s="27" t="s">
        <v>77</v>
      </c>
      <c r="AE44" s="33" t="s">
        <v>77</v>
      </c>
      <c r="AF44" s="27" t="s">
        <v>77</v>
      </c>
      <c r="AG44" s="27" t="s">
        <v>77</v>
      </c>
      <c r="AH44" s="33" t="s">
        <v>77</v>
      </c>
      <c r="AI44" s="27" t="s">
        <v>77</v>
      </c>
      <c r="AJ44" s="27" t="s">
        <v>77</v>
      </c>
      <c r="AK44" s="33" t="s">
        <v>77</v>
      </c>
      <c r="AL44" s="27" t="s">
        <v>77</v>
      </c>
      <c r="AM44" s="27" t="s">
        <v>77</v>
      </c>
      <c r="AN44" s="33" t="s">
        <v>77</v>
      </c>
      <c r="AO44" s="27" t="s">
        <v>77</v>
      </c>
      <c r="AP44" s="27" t="s">
        <v>77</v>
      </c>
      <c r="AQ44" s="33" t="s">
        <v>77</v>
      </c>
      <c r="AR44" s="27" t="s">
        <v>77</v>
      </c>
      <c r="AS44" s="27" t="s">
        <v>77</v>
      </c>
      <c r="AT44" s="33" t="s">
        <v>77</v>
      </c>
      <c r="AU44" s="27" t="s">
        <v>77</v>
      </c>
      <c r="AV44" s="27" t="s">
        <v>77</v>
      </c>
      <c r="AW44" s="33" t="s">
        <v>77</v>
      </c>
      <c r="AX44" s="27" t="s">
        <v>77</v>
      </c>
      <c r="AY44" s="27" t="s">
        <v>77</v>
      </c>
      <c r="AZ44" s="33" t="s">
        <v>77</v>
      </c>
      <c r="BA44" s="27" t="s">
        <v>77</v>
      </c>
      <c r="BB44" s="27" t="s">
        <v>77</v>
      </c>
      <c r="BC44" s="33" t="s">
        <v>77</v>
      </c>
      <c r="BD44" s="27" t="s">
        <v>77</v>
      </c>
      <c r="BE44" s="27" t="s">
        <v>77</v>
      </c>
      <c r="BF44" s="33" t="s">
        <v>77</v>
      </c>
      <c r="BG44" s="27" t="s">
        <v>77</v>
      </c>
      <c r="BH44" s="27" t="s">
        <v>77</v>
      </c>
      <c r="BI44" s="33" t="s">
        <v>77</v>
      </c>
      <c r="BJ44" s="27" t="s">
        <v>77</v>
      </c>
      <c r="BK44" s="27" t="s">
        <v>77</v>
      </c>
      <c r="BL44" s="33" t="s">
        <v>77</v>
      </c>
      <c r="BM44" s="27" t="s">
        <v>77</v>
      </c>
      <c r="BN44" s="27" t="s">
        <v>77</v>
      </c>
      <c r="BO44" s="33" t="s">
        <v>77</v>
      </c>
      <c r="BP44" s="27" t="s">
        <v>77</v>
      </c>
      <c r="BQ44" s="27" t="s">
        <v>77</v>
      </c>
      <c r="BR44" s="33" t="s">
        <v>77</v>
      </c>
      <c r="BS44" s="27" t="s">
        <v>77</v>
      </c>
      <c r="BT44" s="27" t="s">
        <v>77</v>
      </c>
      <c r="BU44" s="33" t="s">
        <v>77</v>
      </c>
      <c r="BV44" s="27" t="s">
        <v>77</v>
      </c>
      <c r="BW44" s="27" t="s">
        <v>77</v>
      </c>
      <c r="BX44" s="33" t="s">
        <v>77</v>
      </c>
      <c r="BY44" s="27" t="s">
        <v>77</v>
      </c>
      <c r="BZ44" s="11" t="s">
        <v>77</v>
      </c>
      <c r="CA44" s="33" t="s">
        <v>77</v>
      </c>
      <c r="CB44" s="27" t="s">
        <v>77</v>
      </c>
      <c r="CC44" s="27" t="s">
        <v>77</v>
      </c>
      <c r="CD44" s="33" t="s">
        <v>77</v>
      </c>
      <c r="CE44" s="27" t="s">
        <v>77</v>
      </c>
      <c r="CF44" s="27" t="s">
        <v>77</v>
      </c>
      <c r="CG44" s="33">
        <v>6029</v>
      </c>
      <c r="CH44" s="27">
        <f t="shared" si="356"/>
        <v>3.3447803340896858E-2</v>
      </c>
      <c r="CI44" s="27" t="e">
        <f t="shared" si="424"/>
        <v>#VALUE!</v>
      </c>
      <c r="CJ44" s="33">
        <v>3809</v>
      </c>
      <c r="CK44" s="27">
        <f t="shared" si="357"/>
        <v>3.4954574653574377E-2</v>
      </c>
      <c r="CL44" s="27" t="e">
        <f t="shared" si="425"/>
        <v>#VALUE!</v>
      </c>
      <c r="CM44" s="33">
        <v>4727</v>
      </c>
      <c r="CN44" s="27">
        <f t="shared" si="358"/>
        <v>2.946915619837287E-2</v>
      </c>
      <c r="CO44" s="27" t="e">
        <f t="shared" si="426"/>
        <v>#VALUE!</v>
      </c>
      <c r="CP44" s="33">
        <v>5460</v>
      </c>
      <c r="CQ44" s="27">
        <f t="shared" si="359"/>
        <v>3.7953565966912274E-2</v>
      </c>
      <c r="CR44" s="27" t="e">
        <f t="shared" si="427"/>
        <v>#VALUE!</v>
      </c>
      <c r="CS44" s="33">
        <v>5756</v>
      </c>
      <c r="CT44" s="27">
        <f t="shared" si="360"/>
        <v>2.3226066780994654E-2</v>
      </c>
      <c r="CU44" s="27">
        <f t="shared" si="428"/>
        <v>-4.5281141151103044E-2</v>
      </c>
      <c r="CV44" s="33">
        <v>5526</v>
      </c>
      <c r="CW44" s="27">
        <f t="shared" si="361"/>
        <v>3.6865068246407555E-2</v>
      </c>
      <c r="CX44" s="27">
        <f t="shared" si="429"/>
        <v>0.45077448149120514</v>
      </c>
      <c r="CY44" s="33">
        <v>5719</v>
      </c>
      <c r="CZ44" s="27">
        <f t="shared" si="362"/>
        <v>3.0324400564174896E-2</v>
      </c>
      <c r="DA44" s="27">
        <f t="shared" si="430"/>
        <v>0.20985826105352223</v>
      </c>
      <c r="DB44" s="33">
        <v>6156</v>
      </c>
      <c r="DC44" s="27">
        <f t="shared" si="363"/>
        <v>3.7374779916216377E-2</v>
      </c>
      <c r="DD44" s="27">
        <f t="shared" si="431"/>
        <v>0.12747252747252746</v>
      </c>
      <c r="DE44" s="33">
        <v>7635</v>
      </c>
      <c r="DF44" s="27">
        <f t="shared" si="364"/>
        <v>2.7573031516679246E-2</v>
      </c>
      <c r="DG44" s="27">
        <f t="shared" si="432"/>
        <v>0.32644197359277283</v>
      </c>
      <c r="DH44" s="33">
        <v>6378</v>
      </c>
      <c r="DI44" s="27">
        <f t="shared" si="365"/>
        <v>4.0315291113316436E-2</v>
      </c>
      <c r="DJ44" s="27">
        <f t="shared" si="433"/>
        <v>0.15418023887079269</v>
      </c>
      <c r="DK44" s="33">
        <v>5966</v>
      </c>
      <c r="DL44" s="27">
        <f t="shared" si="366"/>
        <v>2.8113660996183027E-2</v>
      </c>
      <c r="DM44" s="27">
        <f t="shared" si="434"/>
        <v>4.3189368770764069E-2</v>
      </c>
      <c r="DN44" s="33">
        <v>6396</v>
      </c>
      <c r="DO44" s="27">
        <f t="shared" si="367"/>
        <v>3.4217114977209986E-2</v>
      </c>
      <c r="DP44" s="27">
        <f t="shared" si="435"/>
        <v>3.8986354775828458E-2</v>
      </c>
      <c r="DQ44" s="33">
        <v>9377</v>
      </c>
      <c r="DR44" s="27">
        <f t="shared" si="368"/>
        <v>2.6637464029338993E-2</v>
      </c>
      <c r="DS44" s="27">
        <f t="shared" si="436"/>
        <v>0.22815979043876888</v>
      </c>
      <c r="DT44" s="33">
        <v>7243</v>
      </c>
      <c r="DU44" s="27">
        <f t="shared" si="369"/>
        <v>3.7716690012862104E-2</v>
      </c>
      <c r="DV44" s="27">
        <f t="shared" si="437"/>
        <v>0.13562245217936653</v>
      </c>
      <c r="DW44" s="33">
        <v>7320</v>
      </c>
      <c r="DX44" s="27">
        <f t="shared" si="370"/>
        <v>2.8178014219888598E-2</v>
      </c>
      <c r="DY44" s="27">
        <f t="shared" si="438"/>
        <v>0.22695273214884337</v>
      </c>
      <c r="DZ44" s="33">
        <v>8762</v>
      </c>
      <c r="EA44" s="27">
        <f t="shared" si="371"/>
        <v>3.766496152688819E-2</v>
      </c>
      <c r="EB44" s="27">
        <f t="shared" si="439"/>
        <v>0.36991869918699183</v>
      </c>
      <c r="EC44" s="33">
        <v>15060</v>
      </c>
      <c r="ED44" s="27">
        <f t="shared" si="372"/>
        <v>3.7186103360576803E-2</v>
      </c>
      <c r="EE44" s="27">
        <f t="shared" si="440"/>
        <v>0.60605737442678898</v>
      </c>
      <c r="EF44" s="33">
        <v>11084</v>
      </c>
      <c r="EG44" s="27">
        <f t="shared" si="373"/>
        <v>5.3093190908437719E-2</v>
      </c>
      <c r="EH44" s="27">
        <f t="shared" si="441"/>
        <v>0.53030512218693904</v>
      </c>
      <c r="EI44" s="33">
        <v>14474</v>
      </c>
      <c r="EJ44" s="27">
        <f t="shared" si="374"/>
        <v>4.6056965026108704E-2</v>
      </c>
      <c r="EK44" s="27">
        <f t="shared" si="442"/>
        <v>0.97732240437158469</v>
      </c>
      <c r="EL44" s="33">
        <v>14178</v>
      </c>
      <c r="EM44" s="27">
        <f t="shared" si="443"/>
        <v>5.7218959985471274E-2</v>
      </c>
      <c r="EN44" s="27">
        <f t="shared" si="444"/>
        <v>0.61812371604656469</v>
      </c>
      <c r="EO44" s="33">
        <v>21151</v>
      </c>
      <c r="EP44" s="27">
        <f t="shared" si="376"/>
        <v>4.6498590818556347E-2</v>
      </c>
      <c r="EQ44" s="27">
        <f t="shared" si="393"/>
        <v>0.40444887118193895</v>
      </c>
      <c r="ER44" s="33">
        <v>16531</v>
      </c>
      <c r="ES44" s="27">
        <f t="shared" si="377"/>
        <v>6.2356424812810021E-2</v>
      </c>
      <c r="ET44" s="27">
        <f t="shared" si="445"/>
        <v>0.49142908697221221</v>
      </c>
      <c r="EU44" s="33">
        <v>20050</v>
      </c>
      <c r="EV44" s="27">
        <f t="shared" si="446"/>
        <v>5.5012744847871241E-2</v>
      </c>
      <c r="EW44" s="27">
        <f t="shared" si="447"/>
        <v>0.3852425037999172</v>
      </c>
      <c r="EX44" s="33">
        <v>23645</v>
      </c>
      <c r="EY44" s="27">
        <f t="shared" si="448"/>
        <v>7.1329667047775339E-2</v>
      </c>
      <c r="EZ44" s="27">
        <f t="shared" si="449"/>
        <v>0.66772464381436025</v>
      </c>
      <c r="FA44" s="33"/>
      <c r="FB44" s="27">
        <f t="shared" si="450"/>
        <v>0</v>
      </c>
      <c r="FC44" s="27">
        <f t="shared" si="451"/>
        <v>-1</v>
      </c>
      <c r="FD44" s="33">
        <v>16531</v>
      </c>
      <c r="FE44" s="27">
        <f t="shared" si="381"/>
        <v>4.9500977682488255E-2</v>
      </c>
      <c r="FF44" s="27">
        <f t="shared" si="452"/>
        <v>0</v>
      </c>
      <c r="FG44" s="33"/>
      <c r="FH44" s="27">
        <f t="shared" si="382"/>
        <v>0</v>
      </c>
      <c r="FI44" s="27">
        <f t="shared" si="453"/>
        <v>-1</v>
      </c>
      <c r="FJ44" s="33"/>
      <c r="FK44" s="27"/>
      <c r="FL44" s="27"/>
      <c r="FM44" s="33"/>
      <c r="FN44" s="27"/>
      <c r="FO44" s="27"/>
      <c r="FP44" s="33"/>
      <c r="FQ44" s="27"/>
      <c r="FR44" s="27"/>
      <c r="FS44" s="33"/>
      <c r="FT44" s="27"/>
      <c r="FU44" s="27"/>
      <c r="FV44" s="33"/>
      <c r="FW44" s="27"/>
      <c r="FX44" s="27"/>
      <c r="FY44" s="33"/>
      <c r="FZ44" s="27"/>
      <c r="GA44" s="27"/>
      <c r="GB44" s="33"/>
      <c r="GC44" s="27"/>
      <c r="GD44" s="27"/>
      <c r="GE44" s="33"/>
      <c r="GF44" s="27"/>
      <c r="GG44" s="27"/>
      <c r="GH44" s="33"/>
      <c r="GI44" s="27"/>
      <c r="GJ44" s="27"/>
      <c r="GK44" s="33"/>
      <c r="GL44" s="27"/>
      <c r="GM44" s="27"/>
    </row>
    <row r="45" spans="2:195" ht="16.5" hidden="1" customHeight="1">
      <c r="B45" s="222" t="s">
        <v>1063</v>
      </c>
      <c r="C45" s="222" t="s">
        <v>1058</v>
      </c>
      <c r="D45" s="27" t="s">
        <v>77</v>
      </c>
      <c r="E45" s="27" t="s">
        <v>77</v>
      </c>
      <c r="F45" s="27" t="s">
        <v>77</v>
      </c>
      <c r="G45" s="27" t="s">
        <v>77</v>
      </c>
      <c r="H45" s="27" t="s">
        <v>77</v>
      </c>
      <c r="I45" s="27" t="s">
        <v>77</v>
      </c>
      <c r="J45" s="27" t="s">
        <v>77</v>
      </c>
      <c r="K45" s="27" t="s">
        <v>77</v>
      </c>
      <c r="L45" s="27" t="s">
        <v>77</v>
      </c>
      <c r="M45" s="27" t="s">
        <v>77</v>
      </c>
      <c r="N45" s="27" t="s">
        <v>77</v>
      </c>
      <c r="O45" s="27" t="s">
        <v>77</v>
      </c>
      <c r="P45" s="27" t="s">
        <v>77</v>
      </c>
      <c r="Q45" s="27" t="s">
        <v>77</v>
      </c>
      <c r="R45" s="27" t="s">
        <v>77</v>
      </c>
      <c r="S45" s="27" t="s">
        <v>77</v>
      </c>
      <c r="T45" s="27" t="s">
        <v>77</v>
      </c>
      <c r="U45" s="27" t="s">
        <v>77</v>
      </c>
      <c r="V45" s="27" t="s">
        <v>77</v>
      </c>
      <c r="W45" s="27" t="s">
        <v>77</v>
      </c>
      <c r="X45" s="27" t="s">
        <v>77</v>
      </c>
      <c r="Y45" s="27" t="s">
        <v>77</v>
      </c>
      <c r="Z45" s="27" t="s">
        <v>77</v>
      </c>
      <c r="AA45" s="27" t="s">
        <v>77</v>
      </c>
      <c r="AB45" s="27" t="s">
        <v>77</v>
      </c>
      <c r="AC45" s="27" t="s">
        <v>77</v>
      </c>
      <c r="AD45" s="27" t="s">
        <v>77</v>
      </c>
      <c r="AE45" s="33" t="s">
        <v>77</v>
      </c>
      <c r="AF45" s="27" t="s">
        <v>77</v>
      </c>
      <c r="AG45" s="27" t="s">
        <v>77</v>
      </c>
      <c r="AH45" s="33" t="s">
        <v>77</v>
      </c>
      <c r="AI45" s="27" t="s">
        <v>77</v>
      </c>
      <c r="AJ45" s="27" t="s">
        <v>77</v>
      </c>
      <c r="AK45" s="33" t="s">
        <v>77</v>
      </c>
      <c r="AL45" s="27" t="s">
        <v>77</v>
      </c>
      <c r="AM45" s="27" t="s">
        <v>77</v>
      </c>
      <c r="AN45" s="33" t="s">
        <v>77</v>
      </c>
      <c r="AO45" s="27" t="s">
        <v>77</v>
      </c>
      <c r="AP45" s="27" t="s">
        <v>77</v>
      </c>
      <c r="AQ45" s="33" t="s">
        <v>77</v>
      </c>
      <c r="AR45" s="27" t="s">
        <v>77</v>
      </c>
      <c r="AS45" s="27" t="s">
        <v>77</v>
      </c>
      <c r="AT45" s="33" t="s">
        <v>77</v>
      </c>
      <c r="AU45" s="27" t="s">
        <v>77</v>
      </c>
      <c r="AV45" s="27" t="s">
        <v>77</v>
      </c>
      <c r="AW45" s="33" t="s">
        <v>77</v>
      </c>
      <c r="AX45" s="27" t="s">
        <v>77</v>
      </c>
      <c r="AY45" s="27" t="s">
        <v>77</v>
      </c>
      <c r="AZ45" s="33" t="s">
        <v>77</v>
      </c>
      <c r="BA45" s="27" t="s">
        <v>77</v>
      </c>
      <c r="BB45" s="27" t="s">
        <v>77</v>
      </c>
      <c r="BC45" s="33" t="s">
        <v>77</v>
      </c>
      <c r="BD45" s="27" t="s">
        <v>77</v>
      </c>
      <c r="BE45" s="27" t="s">
        <v>77</v>
      </c>
      <c r="BF45" s="33" t="s">
        <v>77</v>
      </c>
      <c r="BG45" s="27" t="s">
        <v>77</v>
      </c>
      <c r="BH45" s="27" t="s">
        <v>77</v>
      </c>
      <c r="BI45" s="33" t="s">
        <v>77</v>
      </c>
      <c r="BJ45" s="27" t="s">
        <v>77</v>
      </c>
      <c r="BK45" s="27" t="s">
        <v>77</v>
      </c>
      <c r="BL45" s="33" t="s">
        <v>77</v>
      </c>
      <c r="BM45" s="27" t="s">
        <v>77</v>
      </c>
      <c r="BN45" s="27" t="s">
        <v>77</v>
      </c>
      <c r="BO45" s="33" t="s">
        <v>77</v>
      </c>
      <c r="BP45" s="27" t="s">
        <v>77</v>
      </c>
      <c r="BQ45" s="27" t="s">
        <v>77</v>
      </c>
      <c r="BR45" s="33" t="s">
        <v>77</v>
      </c>
      <c r="BS45" s="27" t="s">
        <v>77</v>
      </c>
      <c r="BT45" s="27" t="s">
        <v>77</v>
      </c>
      <c r="BU45" s="33" t="s">
        <v>77</v>
      </c>
      <c r="BV45" s="27" t="s">
        <v>77</v>
      </c>
      <c r="BW45" s="27" t="s">
        <v>77</v>
      </c>
      <c r="BX45" s="33" t="s">
        <v>77</v>
      </c>
      <c r="BY45" s="27" t="s">
        <v>77</v>
      </c>
      <c r="BZ45" s="11" t="s">
        <v>77</v>
      </c>
      <c r="CA45" s="33" t="s">
        <v>77</v>
      </c>
      <c r="CB45" s="27" t="s">
        <v>77</v>
      </c>
      <c r="CC45" s="27" t="s">
        <v>77</v>
      </c>
      <c r="CD45" s="33" t="s">
        <v>77</v>
      </c>
      <c r="CE45" s="27" t="s">
        <v>77</v>
      </c>
      <c r="CF45" s="27" t="s">
        <v>77</v>
      </c>
      <c r="CG45" s="33">
        <v>4779</v>
      </c>
      <c r="CH45" s="27">
        <f t="shared" si="356"/>
        <v>2.6513029053930354E-2</v>
      </c>
      <c r="CI45" s="27" t="e">
        <f t="shared" si="424"/>
        <v>#VALUE!</v>
      </c>
      <c r="CJ45" s="33">
        <v>3686</v>
      </c>
      <c r="CK45" s="27">
        <f t="shared" si="357"/>
        <v>3.382582362118014E-2</v>
      </c>
      <c r="CL45" s="27" t="e">
        <f t="shared" si="425"/>
        <v>#VALUE!</v>
      </c>
      <c r="CM45" s="33">
        <v>5418</v>
      </c>
      <c r="CN45" s="27">
        <f t="shared" si="358"/>
        <v>3.3777001963779182E-2</v>
      </c>
      <c r="CO45" s="27" t="e">
        <f t="shared" si="426"/>
        <v>#VALUE!</v>
      </c>
      <c r="CP45" s="33">
        <v>6286</v>
      </c>
      <c r="CQ45" s="27">
        <f t="shared" si="359"/>
        <v>4.3695259279855417E-2</v>
      </c>
      <c r="CR45" s="27" t="e">
        <f t="shared" si="427"/>
        <v>#VALUE!</v>
      </c>
      <c r="CS45" s="33">
        <v>8529</v>
      </c>
      <c r="CT45" s="27">
        <f t="shared" si="360"/>
        <v>3.4415414102693435E-2</v>
      </c>
      <c r="CU45" s="27">
        <f t="shared" si="428"/>
        <v>0.78468298807281855</v>
      </c>
      <c r="CV45" s="33">
        <v>7548</v>
      </c>
      <c r="CW45" s="27">
        <f t="shared" si="361"/>
        <v>5.0354240883800985E-2</v>
      </c>
      <c r="CX45" s="27">
        <f t="shared" si="429"/>
        <v>1.0477482365708086</v>
      </c>
      <c r="CY45" s="33">
        <v>7966</v>
      </c>
      <c r="CZ45" s="27">
        <f t="shared" si="362"/>
        <v>4.2238883527577757E-2</v>
      </c>
      <c r="DA45" s="27">
        <f t="shared" si="430"/>
        <v>0.47028423772609829</v>
      </c>
      <c r="DB45" s="33">
        <v>8770</v>
      </c>
      <c r="DC45" s="27">
        <f t="shared" si="363"/>
        <v>5.3245097443992473E-2</v>
      </c>
      <c r="DD45" s="27">
        <f t="shared" si="431"/>
        <v>0.39516385618835503</v>
      </c>
      <c r="DE45" s="33">
        <v>10875</v>
      </c>
      <c r="DF45" s="27">
        <f t="shared" si="364"/>
        <v>3.9273964341046075E-2</v>
      </c>
      <c r="DG45" s="27">
        <f t="shared" si="432"/>
        <v>0.275061554695744</v>
      </c>
      <c r="DH45" s="33">
        <v>8333</v>
      </c>
      <c r="DI45" s="27">
        <f t="shared" si="365"/>
        <v>5.2672831741496687E-2</v>
      </c>
      <c r="DJ45" s="27">
        <f t="shared" si="433"/>
        <v>0.10400105988341291</v>
      </c>
      <c r="DK45" s="33">
        <v>6886</v>
      </c>
      <c r="DL45" s="27">
        <f t="shared" si="366"/>
        <v>3.2448989208802598E-2</v>
      </c>
      <c r="DM45" s="27">
        <f t="shared" si="434"/>
        <v>-0.13557619884509164</v>
      </c>
      <c r="DN45" s="33">
        <v>7704</v>
      </c>
      <c r="DO45" s="27">
        <f t="shared" si="367"/>
        <v>4.1214611285870194E-2</v>
      </c>
      <c r="DP45" s="27">
        <f t="shared" si="435"/>
        <v>-0.12155074116305586</v>
      </c>
      <c r="DQ45" s="33">
        <v>12766</v>
      </c>
      <c r="DR45" s="27">
        <f t="shared" si="368"/>
        <v>3.6264675887655071E-2</v>
      </c>
      <c r="DS45" s="27">
        <f t="shared" si="436"/>
        <v>0.17388505747126426</v>
      </c>
      <c r="DT45" s="33">
        <v>7866</v>
      </c>
      <c r="DU45" s="27">
        <f t="shared" si="369"/>
        <v>4.0960856501611666E-2</v>
      </c>
      <c r="DV45" s="27">
        <f t="shared" si="437"/>
        <v>-5.6042241689667538E-2</v>
      </c>
      <c r="DW45" s="33">
        <v>8740</v>
      </c>
      <c r="DX45" s="27">
        <f t="shared" si="370"/>
        <v>3.3644241022107425E-2</v>
      </c>
      <c r="DY45" s="27">
        <f t="shared" si="438"/>
        <v>0.26924194016845782</v>
      </c>
      <c r="DZ45" s="33">
        <v>11233</v>
      </c>
      <c r="EA45" s="27">
        <f t="shared" si="371"/>
        <v>4.8286979323389073E-2</v>
      </c>
      <c r="EB45" s="27">
        <f t="shared" si="439"/>
        <v>0.45807372793354095</v>
      </c>
      <c r="EC45" s="33">
        <v>17540</v>
      </c>
      <c r="ED45" s="27">
        <f t="shared" si="372"/>
        <v>4.3309711350897555E-2</v>
      </c>
      <c r="EE45" s="27">
        <f t="shared" si="440"/>
        <v>0.37396208679304399</v>
      </c>
      <c r="EF45" s="33">
        <v>12371</v>
      </c>
      <c r="EG45" s="27">
        <f t="shared" si="373"/>
        <v>5.9258017387972123E-2</v>
      </c>
      <c r="EH45" s="27">
        <f t="shared" si="441"/>
        <v>0.57271802695143648</v>
      </c>
      <c r="EI45" s="33">
        <v>16423</v>
      </c>
      <c r="EJ45" s="27">
        <f t="shared" si="374"/>
        <v>5.2258776884329367E-2</v>
      </c>
      <c r="EK45" s="27">
        <f t="shared" si="442"/>
        <v>0.87906178489702524</v>
      </c>
      <c r="EL45" s="33">
        <v>15074</v>
      </c>
      <c r="EM45" s="27">
        <f t="shared" si="443"/>
        <v>6.0834998083015519E-2</v>
      </c>
      <c r="EN45" s="27">
        <f t="shared" si="444"/>
        <v>0.34193892993857378</v>
      </c>
      <c r="EO45" s="33">
        <v>24501</v>
      </c>
      <c r="EP45" s="27">
        <f t="shared" si="376"/>
        <v>5.3863267630156926E-2</v>
      </c>
      <c r="EQ45" s="27">
        <f t="shared" si="393"/>
        <v>0.39686431014823254</v>
      </c>
      <c r="ER45" s="33">
        <v>14666</v>
      </c>
      <c r="ES45" s="27">
        <f t="shared" si="377"/>
        <v>5.5321476396144924E-2</v>
      </c>
      <c r="ET45" s="27">
        <f t="shared" si="445"/>
        <v>0.18551450974052219</v>
      </c>
      <c r="EU45" s="33">
        <v>19969</v>
      </c>
      <c r="EV45" s="27">
        <f t="shared" si="446"/>
        <v>5.4790498846241438E-2</v>
      </c>
      <c r="EW45" s="27">
        <f t="shared" si="447"/>
        <v>0.21591670218595871</v>
      </c>
      <c r="EX45" s="33">
        <v>24651</v>
      </c>
      <c r="EY45" s="27">
        <f t="shared" si="448"/>
        <v>7.4364458549152454E-2</v>
      </c>
      <c r="EZ45" s="27">
        <f t="shared" si="449"/>
        <v>0.63533236035557916</v>
      </c>
      <c r="FA45" s="33"/>
      <c r="FB45" s="27">
        <f t="shared" si="450"/>
        <v>0</v>
      </c>
      <c r="FC45" s="27">
        <f t="shared" si="451"/>
        <v>-1</v>
      </c>
      <c r="FD45" s="33">
        <v>14666</v>
      </c>
      <c r="FE45" s="27">
        <f t="shared" si="381"/>
        <v>4.3916359487712345E-2</v>
      </c>
      <c r="FF45" s="27">
        <f t="shared" si="452"/>
        <v>0</v>
      </c>
      <c r="FG45" s="33"/>
      <c r="FH45" s="27">
        <f t="shared" si="382"/>
        <v>0</v>
      </c>
      <c r="FI45" s="27">
        <f t="shared" si="453"/>
        <v>-1</v>
      </c>
      <c r="FJ45" s="33"/>
      <c r="FK45" s="27"/>
      <c r="FL45" s="27"/>
      <c r="FM45" s="33"/>
      <c r="FN45" s="27"/>
      <c r="FO45" s="27"/>
      <c r="FP45" s="33"/>
      <c r="FQ45" s="27"/>
      <c r="FR45" s="27"/>
      <c r="FS45" s="33"/>
      <c r="FT45" s="27"/>
      <c r="FU45" s="27"/>
      <c r="FV45" s="33"/>
      <c r="FW45" s="27"/>
      <c r="FX45" s="27"/>
      <c r="FY45" s="33"/>
      <c r="FZ45" s="27"/>
      <c r="GA45" s="27"/>
      <c r="GB45" s="33"/>
      <c r="GC45" s="27"/>
      <c r="GD45" s="27"/>
      <c r="GE45" s="33"/>
      <c r="GF45" s="27"/>
      <c r="GG45" s="27"/>
      <c r="GH45" s="33"/>
      <c r="GI45" s="27"/>
      <c r="GJ45" s="27"/>
      <c r="GK45" s="33"/>
      <c r="GL45" s="27"/>
      <c r="GM45" s="27"/>
    </row>
    <row r="47" spans="2:195" s="200" customFormat="1" ht="16.5" customHeight="1">
      <c r="B47" s="47" t="s">
        <v>28</v>
      </c>
      <c r="C47" s="47" t="s">
        <v>29</v>
      </c>
      <c r="D47" s="349" t="s">
        <v>77</v>
      </c>
      <c r="E47" s="98" t="s">
        <v>77</v>
      </c>
      <c r="F47" s="98" t="s">
        <v>77</v>
      </c>
      <c r="G47" s="349" t="s">
        <v>77</v>
      </c>
      <c r="H47" s="98" t="s">
        <v>77</v>
      </c>
      <c r="I47" s="98" t="s">
        <v>77</v>
      </c>
      <c r="J47" s="349" t="s">
        <v>77</v>
      </c>
      <c r="K47" s="98" t="s">
        <v>77</v>
      </c>
      <c r="L47" s="98" t="s">
        <v>77</v>
      </c>
      <c r="M47" s="349" t="s">
        <v>77</v>
      </c>
      <c r="N47" s="98" t="s">
        <v>77</v>
      </c>
      <c r="O47" s="98" t="s">
        <v>77</v>
      </c>
      <c r="P47" s="349" t="s">
        <v>77</v>
      </c>
      <c r="Q47" s="98" t="s">
        <v>77</v>
      </c>
      <c r="R47" s="97" t="s">
        <v>77</v>
      </c>
      <c r="S47" s="349" t="s">
        <v>77</v>
      </c>
      <c r="T47" s="98" t="s">
        <v>77</v>
      </c>
      <c r="U47" s="97" t="s">
        <v>77</v>
      </c>
      <c r="V47" s="349" t="s">
        <v>77</v>
      </c>
      <c r="W47" s="98" t="s">
        <v>77</v>
      </c>
      <c r="X47" s="97" t="s">
        <v>77</v>
      </c>
      <c r="Y47" s="349" t="s">
        <v>77</v>
      </c>
      <c r="Z47" s="98" t="s">
        <v>77</v>
      </c>
      <c r="AA47" s="97" t="s">
        <v>77</v>
      </c>
      <c r="AB47" s="349" t="s">
        <v>77</v>
      </c>
      <c r="AC47" s="98" t="s">
        <v>77</v>
      </c>
      <c r="AD47" s="99" t="s">
        <v>77</v>
      </c>
      <c r="AE47" s="349" t="s">
        <v>77</v>
      </c>
      <c r="AF47" s="98" t="s">
        <v>77</v>
      </c>
      <c r="AG47" s="99" t="s">
        <v>77</v>
      </c>
      <c r="AH47" s="349" t="s">
        <v>77</v>
      </c>
      <c r="AI47" s="98" t="s">
        <v>77</v>
      </c>
      <c r="AJ47" s="99" t="s">
        <v>77</v>
      </c>
      <c r="AK47" s="349" t="s">
        <v>77</v>
      </c>
      <c r="AL47" s="98" t="s">
        <v>77</v>
      </c>
      <c r="AM47" s="99" t="s">
        <v>77</v>
      </c>
      <c r="AN47" s="349" t="s">
        <v>77</v>
      </c>
      <c r="AO47" s="98" t="s">
        <v>77</v>
      </c>
      <c r="AP47" s="99" t="s">
        <v>77</v>
      </c>
      <c r="AQ47" s="349" t="s">
        <v>77</v>
      </c>
      <c r="AR47" s="98" t="s">
        <v>77</v>
      </c>
      <c r="AS47" s="99" t="s">
        <v>77</v>
      </c>
      <c r="AT47" s="349" t="s">
        <v>77</v>
      </c>
      <c r="AU47" s="98" t="s">
        <v>77</v>
      </c>
      <c r="AV47" s="99" t="s">
        <v>77</v>
      </c>
      <c r="AW47" s="349" t="s">
        <v>77</v>
      </c>
      <c r="AX47" s="98" t="s">
        <v>77</v>
      </c>
      <c r="AY47" s="99" t="s">
        <v>77</v>
      </c>
      <c r="AZ47" s="349" t="s">
        <v>77</v>
      </c>
      <c r="BA47" s="98" t="s">
        <v>77</v>
      </c>
      <c r="BB47" s="99" t="s">
        <v>77</v>
      </c>
      <c r="BC47" s="349" t="s">
        <v>77</v>
      </c>
      <c r="BD47" s="98" t="s">
        <v>77</v>
      </c>
      <c r="BE47" s="99" t="s">
        <v>77</v>
      </c>
      <c r="BF47" s="349" t="s">
        <v>77</v>
      </c>
      <c r="BG47" s="98" t="s">
        <v>77</v>
      </c>
      <c r="BH47" s="99" t="s">
        <v>77</v>
      </c>
      <c r="BI47" s="349" t="s">
        <v>77</v>
      </c>
      <c r="BJ47" s="98" t="s">
        <v>77</v>
      </c>
      <c r="BK47" s="99" t="s">
        <v>77</v>
      </c>
      <c r="BL47" s="349" t="s">
        <v>77</v>
      </c>
      <c r="BM47" s="98" t="s">
        <v>77</v>
      </c>
      <c r="BN47" s="99" t="s">
        <v>77</v>
      </c>
      <c r="BO47" s="349" t="s">
        <v>77</v>
      </c>
      <c r="BP47" s="98" t="s">
        <v>77</v>
      </c>
      <c r="BQ47" s="99" t="s">
        <v>77</v>
      </c>
      <c r="BR47" s="349" t="s">
        <v>77</v>
      </c>
      <c r="BS47" s="98" t="s">
        <v>77</v>
      </c>
      <c r="BT47" s="99" t="s">
        <v>77</v>
      </c>
      <c r="BU47" s="349" t="s">
        <v>77</v>
      </c>
      <c r="BV47" s="98" t="s">
        <v>77</v>
      </c>
      <c r="BW47" s="99" t="s">
        <v>77</v>
      </c>
      <c r="BX47" s="349" t="s">
        <v>77</v>
      </c>
      <c r="BY47" s="98" t="s">
        <v>77</v>
      </c>
      <c r="BZ47" s="99" t="s">
        <v>77</v>
      </c>
      <c r="CA47" s="349" t="s">
        <v>77</v>
      </c>
      <c r="CB47" s="98" t="s">
        <v>77</v>
      </c>
      <c r="CC47" s="99" t="s">
        <v>77</v>
      </c>
      <c r="CD47" s="349" t="s">
        <v>77</v>
      </c>
      <c r="CE47" s="98" t="s">
        <v>77</v>
      </c>
      <c r="CF47" s="99" t="s">
        <v>77</v>
      </c>
      <c r="CG47" s="95">
        <f>1635+809-1000</f>
        <v>1444</v>
      </c>
      <c r="CH47" s="96">
        <f>CG47/CG$50</f>
        <v>1.4281162975289653E-3</v>
      </c>
      <c r="CI47" s="99" t="e">
        <f>(CG47/BU47)-1</f>
        <v>#VALUE!</v>
      </c>
      <c r="CJ47" s="95">
        <f>2016+1268</f>
        <v>3284</v>
      </c>
      <c r="CK47" s="96">
        <f>CJ47/CJ$50</f>
        <v>3.8679570849925854E-3</v>
      </c>
      <c r="CL47" s="99" t="e">
        <f>(CJ47/BX47)-1</f>
        <v>#VALUE!</v>
      </c>
      <c r="CM47" s="95">
        <f>2144+1618-1581</f>
        <v>2181</v>
      </c>
      <c r="CN47" s="96">
        <f>CM47/CM$50</f>
        <v>2.240922240820141E-3</v>
      </c>
      <c r="CO47" s="99" t="e">
        <f>(CM47/CA47)-1</f>
        <v>#VALUE!</v>
      </c>
      <c r="CP47" s="95">
        <f>1816+651-1456</f>
        <v>1011</v>
      </c>
      <c r="CQ47" s="96">
        <f>CP47/CP$50</f>
        <v>1.0410259229493262E-3</v>
      </c>
      <c r="CR47" s="99" t="e">
        <f>(CP47/CD47)-1</f>
        <v>#VALUE!</v>
      </c>
      <c r="CS47" s="95">
        <f>3442+399-3060</f>
        <v>781</v>
      </c>
      <c r="CT47" s="96">
        <f>CS47/CS$50</f>
        <v>6.1030024271351523E-4</v>
      </c>
      <c r="CU47" s="99">
        <f>(CS47/CG47)-1</f>
        <v>-0.45914127423822715</v>
      </c>
      <c r="CV47" s="95">
        <f>3442+744-2456</f>
        <v>1730</v>
      </c>
      <c r="CW47" s="96">
        <f>CV47/CV$50</f>
        <v>1.6194923956582741E-3</v>
      </c>
      <c r="CX47" s="99">
        <f>(CV47/CJ47)-1</f>
        <v>-0.47320341047503045</v>
      </c>
      <c r="CY47" s="95">
        <f>2840+195-2393</f>
        <v>642</v>
      </c>
      <c r="CZ47" s="96">
        <f>CY47/CY$50</f>
        <v>5.6720999178371965E-4</v>
      </c>
      <c r="DA47" s="99">
        <f>(CY47/CM47)-1</f>
        <v>-0.70563961485557081</v>
      </c>
      <c r="DB47" s="51">
        <f>3461+509-3305</f>
        <v>665</v>
      </c>
      <c r="DC47" s="96">
        <f>DB47/DB$50</f>
        <v>5.8025983237736697E-4</v>
      </c>
      <c r="DD47" s="99">
        <f>(DB47/CP47)-1</f>
        <v>-0.34223541048466866</v>
      </c>
      <c r="DE47" s="95">
        <v>1831</v>
      </c>
      <c r="DF47" s="96">
        <f>DE47/DE$50</f>
        <v>1.1644298781915174E-3</v>
      </c>
      <c r="DG47" s="99">
        <f>(DE47/CS47)-1</f>
        <v>1.3444302176696543</v>
      </c>
      <c r="DH47" s="95">
        <v>1307</v>
      </c>
      <c r="DI47" s="96">
        <f>DH47/DH$50</f>
        <v>9.6962526138888417E-4</v>
      </c>
      <c r="DJ47" s="99">
        <f>(DH47/CV47)-1</f>
        <v>-0.24450867052023117</v>
      </c>
      <c r="DK47" s="95">
        <f>1936+1</f>
        <v>1937</v>
      </c>
      <c r="DL47" s="96">
        <f>DK47/DK$50</f>
        <v>1.3695259616023667E-3</v>
      </c>
      <c r="DM47" s="99">
        <f>(DK47/CY47)-1</f>
        <v>2.0171339563862927</v>
      </c>
      <c r="DN47" s="95">
        <f>2034.99999999999+2</f>
        <v>2036.99999999999</v>
      </c>
      <c r="DO47" s="96">
        <f>DN47/DN$50</f>
        <v>1.4600392210830451E-3</v>
      </c>
      <c r="DP47" s="99">
        <f>(DN47/DB47)-1</f>
        <v>2.0631578947368272</v>
      </c>
      <c r="DQ47" s="95">
        <v>492</v>
      </c>
      <c r="DR47" s="96">
        <f>DQ47/DQ$50</f>
        <v>2.5779164776019927E-4</v>
      </c>
      <c r="DS47" s="99">
        <f>(DQ47/DE47)-1</f>
        <v>-0.73129437465865643</v>
      </c>
      <c r="DT47" s="95">
        <v>4367</v>
      </c>
      <c r="DU47" s="96">
        <f>DT47/DT$50</f>
        <v>2.5827098195102321E-3</v>
      </c>
      <c r="DV47" s="99">
        <f>(DT47/DH47)-1</f>
        <v>2.3412394797245599</v>
      </c>
      <c r="DW47" s="95">
        <v>5947</v>
      </c>
      <c r="DX47" s="96">
        <f>DW47/DW$50</f>
        <v>3.2341705437206802E-3</v>
      </c>
      <c r="DY47" s="99">
        <f>(DW47/DK47)-1</f>
        <v>2.0702116675271038</v>
      </c>
      <c r="DZ47" s="95">
        <v>6133</v>
      </c>
      <c r="EA47" s="96">
        <f>DZ47/DZ$50</f>
        <v>3.4777658315873752E-3</v>
      </c>
      <c r="EB47" s="99">
        <f>(DZ47/DN47)-1</f>
        <v>2.0108001963672213</v>
      </c>
      <c r="EC47" s="95">
        <v>1367</v>
      </c>
      <c r="ED47" s="96">
        <f>EC47/EC$50</f>
        <v>6.2118188652531805E-4</v>
      </c>
      <c r="EE47" s="99">
        <f>(EC47/DQ47)-1</f>
        <v>1.7784552845528454</v>
      </c>
      <c r="EF47" s="95">
        <v>819</v>
      </c>
      <c r="EG47" s="96">
        <f>EF47/EF$50</f>
        <v>4.5380141715031422E-4</v>
      </c>
      <c r="EH47" s="99">
        <f>(EF47/DT47)-1</f>
        <v>-0.8124570643462331</v>
      </c>
      <c r="EI47" s="95">
        <v>1431</v>
      </c>
      <c r="EJ47" s="96">
        <f>EI47/EI$50</f>
        <v>7.7048612774993825E-4</v>
      </c>
      <c r="EK47" s="99">
        <f>(EI47/DW47)-1</f>
        <v>-0.75937447452497053</v>
      </c>
      <c r="EL47" s="95">
        <v>1703</v>
      </c>
      <c r="EM47" s="96">
        <f>EL47/EL$50</f>
        <v>1.0003882892890312E-3</v>
      </c>
      <c r="EN47" s="99">
        <f>(EL47/DZ47)-1</f>
        <v>-0.7223218653187673</v>
      </c>
      <c r="EO47" s="95">
        <v>715</v>
      </c>
      <c r="EP47" s="96">
        <f>EO47/EO$50</f>
        <v>3.2363616776755769E-4</v>
      </c>
      <c r="EQ47" s="99">
        <f>(EO47/EC47)-1</f>
        <v>-0.47695683979517189</v>
      </c>
      <c r="ER47" s="95">
        <v>531</v>
      </c>
      <c r="ES47" s="96">
        <f>ER47/ER$50</f>
        <v>2.8529444159388793E-4</v>
      </c>
      <c r="ET47" s="99">
        <f>(ER47/EF47)-1</f>
        <v>-0.35164835164835162</v>
      </c>
      <c r="EU47" s="95">
        <v>520</v>
      </c>
      <c r="EV47" s="96">
        <f>EU47/EU$50</f>
        <v>2.4279743736643221E-4</v>
      </c>
      <c r="EW47" s="99">
        <f>(EU47/EI47)-1</f>
        <v>-0.63661774982529695</v>
      </c>
      <c r="EX47" s="95">
        <v>2034.2422299999739</v>
      </c>
      <c r="EY47" s="96">
        <f>EX47/EX$50</f>
        <v>1.0046051982509812E-3</v>
      </c>
      <c r="EZ47" s="99">
        <f>(EX47/EL47)-1</f>
        <v>0.1945051262477826</v>
      </c>
      <c r="FA47" s="95">
        <v>3751.8999999999996</v>
      </c>
      <c r="FB47" s="96">
        <f>FA47/FA$50</f>
        <v>1.4188860605227186E-3</v>
      </c>
      <c r="FC47" s="99">
        <f>(FA47/EO47)-1</f>
        <v>4.2474125874125868</v>
      </c>
      <c r="FD47" s="95">
        <v>5929</v>
      </c>
      <c r="FE47" s="96">
        <f>FD47/FD$50</f>
        <v>2.7344012892041455E-3</v>
      </c>
      <c r="FF47" s="99">
        <f>(FD47/ER47)-1</f>
        <v>10.165725047080979</v>
      </c>
      <c r="FG47" s="95">
        <v>5023</v>
      </c>
      <c r="FH47" s="96">
        <f>FG47/FG$50</f>
        <v>2.1289427421792191E-3</v>
      </c>
      <c r="FI47" s="99">
        <f>(FG47/EU47)-1</f>
        <v>8.6596153846153854</v>
      </c>
      <c r="FJ47" s="95">
        <v>3243</v>
      </c>
      <c r="FK47" s="96">
        <f>FJ47/FJ$50</f>
        <v>1.421554048173073E-3</v>
      </c>
      <c r="FL47" s="99">
        <f>(FJ47/EX47)-1</f>
        <v>0.59420542557512523</v>
      </c>
      <c r="FM47" s="95">
        <v>3659</v>
      </c>
      <c r="FN47" s="96">
        <f>FM47/FM$50</f>
        <v>1.156934312329412E-3</v>
      </c>
      <c r="FO47" s="99">
        <f>(FM47/FA47)-1</f>
        <v>-2.4760787867480372E-2</v>
      </c>
      <c r="FP47" s="95">
        <v>2334</v>
      </c>
      <c r="FQ47" s="96">
        <f>FP47/FP$50</f>
        <v>8.6337421414657285E-4</v>
      </c>
      <c r="FR47" s="99">
        <f>(FP47/FD47)-1</f>
        <v>-0.60634171023781414</v>
      </c>
      <c r="FS47" s="95">
        <v>3077.7077599999998</v>
      </c>
      <c r="FT47" s="96">
        <f>FS47/FS$50</f>
        <v>1.0624567836512856E-3</v>
      </c>
      <c r="FU47" s="99">
        <f>(FS47/FG47)-1</f>
        <v>-0.38727697391996818</v>
      </c>
      <c r="FV47" s="95">
        <v>4376</v>
      </c>
      <c r="FW47" s="96">
        <f>FV47/FV$50</f>
        <v>1.5132723736988396E-3</v>
      </c>
      <c r="FX47" s="99">
        <f>(FV47/FJ47)-1</f>
        <v>0.34936786925686092</v>
      </c>
      <c r="FY47" s="95">
        <v>5818.0272599999998</v>
      </c>
      <c r="FZ47" s="96">
        <f>FY47/FY$50</f>
        <v>1.5206689923676633E-3</v>
      </c>
      <c r="GA47" s="99">
        <f>(FY47/FM47)-1</f>
        <v>0.59005937687892862</v>
      </c>
      <c r="GB47" s="95">
        <v>6764.8859999999995</v>
      </c>
      <c r="GC47" s="96">
        <f>GB47/GB$50</f>
        <v>2.2454662179563403E-3</v>
      </c>
      <c r="GD47" s="99">
        <f>(GB47/FP47)-1</f>
        <v>1.8984087403598968</v>
      </c>
      <c r="GE47" s="95">
        <v>11154.774930000001</v>
      </c>
      <c r="GF47" s="96">
        <f>GE47/GE$50</f>
        <v>4.9982043450583118E-3</v>
      </c>
      <c r="GG47" s="99">
        <f>(GE47/FS47)-1</f>
        <v>2.6243775562368539</v>
      </c>
      <c r="GH47" s="95">
        <v>6134</v>
      </c>
      <c r="GI47" s="96">
        <f>GH47/GH$50</f>
        <v>2.2898074176284106E-3</v>
      </c>
      <c r="GJ47" s="99">
        <f>(GH47/FV47)-1</f>
        <v>0.40173674588665453</v>
      </c>
      <c r="GK47" s="95">
        <v>9218</v>
      </c>
      <c r="GL47" s="96">
        <f>GK47/GK$50</f>
        <v>2.4183633895364194E-3</v>
      </c>
      <c r="GM47" s="99">
        <f>(GK47/FY47)-1</f>
        <v>0.58438583871468497</v>
      </c>
    </row>
    <row r="48" spans="2:195" ht="16.5" customHeight="1" collapsed="1">
      <c r="B48" s="339"/>
      <c r="C48" s="339"/>
    </row>
    <row r="49" spans="2:195" s="200" customFormat="1" ht="16.5" customHeight="1">
      <c r="B49" s="274" t="s">
        <v>1066</v>
      </c>
      <c r="C49" s="274" t="s">
        <v>1067</v>
      </c>
      <c r="D49" s="350" t="s">
        <v>77</v>
      </c>
      <c r="E49" s="277" t="s">
        <v>77</v>
      </c>
      <c r="F49" s="277" t="s">
        <v>77</v>
      </c>
      <c r="G49" s="350" t="s">
        <v>77</v>
      </c>
      <c r="H49" s="277" t="s">
        <v>77</v>
      </c>
      <c r="I49" s="277" t="s">
        <v>77</v>
      </c>
      <c r="J49" s="350" t="s">
        <v>77</v>
      </c>
      <c r="K49" s="277" t="s">
        <v>77</v>
      </c>
      <c r="L49" s="277" t="s">
        <v>77</v>
      </c>
      <c r="M49" s="350" t="s">
        <v>77</v>
      </c>
      <c r="N49" s="277" t="s">
        <v>77</v>
      </c>
      <c r="O49" s="277" t="s">
        <v>77</v>
      </c>
      <c r="P49" s="350" t="s">
        <v>77</v>
      </c>
      <c r="Q49" s="277" t="s">
        <v>77</v>
      </c>
      <c r="R49" s="277" t="s">
        <v>77</v>
      </c>
      <c r="S49" s="350" t="s">
        <v>77</v>
      </c>
      <c r="T49" s="277" t="s">
        <v>77</v>
      </c>
      <c r="U49" s="277" t="s">
        <v>77</v>
      </c>
      <c r="V49" s="275">
        <f>+V5+V31</f>
        <v>450822</v>
      </c>
      <c r="W49" s="276">
        <f>V49/V$49</f>
        <v>1</v>
      </c>
      <c r="X49" s="278" t="e">
        <f>(V49/J49)-1</f>
        <v>#VALUE!</v>
      </c>
      <c r="Y49" s="275">
        <f>+Y5+Y31</f>
        <v>652793</v>
      </c>
      <c r="Z49" s="276">
        <f>Y49/Y$49</f>
        <v>1</v>
      </c>
      <c r="AA49" s="278" t="e">
        <f>(Y49/M49)-1</f>
        <v>#VALUE!</v>
      </c>
      <c r="AB49" s="275">
        <f>+AB5+AB31</f>
        <v>534414</v>
      </c>
      <c r="AC49" s="276">
        <f>AB49/AB$49</f>
        <v>1</v>
      </c>
      <c r="AD49" s="279" t="e">
        <f>(AB49/P49)-1</f>
        <v>#VALUE!</v>
      </c>
      <c r="AE49" s="275">
        <f>+AE5+AE31</f>
        <v>573653</v>
      </c>
      <c r="AF49" s="276">
        <f>AE49/AE$49</f>
        <v>1</v>
      </c>
      <c r="AG49" s="279" t="e">
        <f>(AE49/S49)-1</f>
        <v>#VALUE!</v>
      </c>
      <c r="AH49" s="275">
        <f>+AH5+AH31</f>
        <v>543109</v>
      </c>
      <c r="AI49" s="276">
        <f>AH49/AH$49</f>
        <v>1</v>
      </c>
      <c r="AJ49" s="279">
        <f>(AH49/V49)-1</f>
        <v>0.20470828841538347</v>
      </c>
      <c r="AK49" s="275">
        <f>+AK5+AK31</f>
        <v>688312</v>
      </c>
      <c r="AL49" s="276">
        <f>AK49/AK$49</f>
        <v>1</v>
      </c>
      <c r="AM49" s="279">
        <f>(AK49/Y49)-1</f>
        <v>5.4410816292454145E-2</v>
      </c>
      <c r="AN49" s="275">
        <f>+AN5+AN31</f>
        <v>611084.24988999998</v>
      </c>
      <c r="AO49" s="276">
        <f>AN49/AN$49</f>
        <v>1</v>
      </c>
      <c r="AP49" s="279">
        <f>(AN49/AB49)-1</f>
        <v>0.14346602051967206</v>
      </c>
      <c r="AQ49" s="275">
        <f>+AQ5+AQ31</f>
        <v>626136.59823999996</v>
      </c>
      <c r="AR49" s="276">
        <f>AQ49/AQ$49</f>
        <v>1</v>
      </c>
      <c r="AS49" s="279">
        <f>(AQ49/AE49)-1</f>
        <v>9.149014864386662E-2</v>
      </c>
      <c r="AT49" s="275">
        <f>+AT5+AT31</f>
        <v>579320.74526</v>
      </c>
      <c r="AU49" s="276">
        <f>AT49/AT$49</f>
        <v>1</v>
      </c>
      <c r="AV49" s="279">
        <f>(AT49/AH49)-1</f>
        <v>6.6674912881208082E-2</v>
      </c>
      <c r="AW49" s="275">
        <f>+AW5+AW31</f>
        <v>679771.24373999995</v>
      </c>
      <c r="AX49" s="276">
        <f>AW49/AW$49</f>
        <v>1</v>
      </c>
      <c r="AY49" s="279">
        <f>(AW49/AK49)-1</f>
        <v>-1.2408262909843315E-2</v>
      </c>
      <c r="AZ49" s="275">
        <f>+AZ5+AZ31</f>
        <v>569841.94373257761</v>
      </c>
      <c r="BA49" s="276">
        <f>AZ49/AZ$49</f>
        <v>1</v>
      </c>
      <c r="BB49" s="279">
        <f>(AZ49/AN49)-1</f>
        <v>-6.7490376596756163E-2</v>
      </c>
      <c r="BC49" s="275">
        <f>+BC5+BC31</f>
        <v>606731.12999987986</v>
      </c>
      <c r="BD49" s="276">
        <f>BC49/BC$49</f>
        <v>1</v>
      </c>
      <c r="BE49" s="279">
        <f>(BC49/AQ49)-1</f>
        <v>-3.0992387754791406E-2</v>
      </c>
      <c r="BF49" s="275">
        <f>+BF5+BF31</f>
        <v>566336.3518775868</v>
      </c>
      <c r="BG49" s="276">
        <f>BF49/BF$49</f>
        <v>1</v>
      </c>
      <c r="BH49" s="279">
        <f>(BF49/AT49)-1</f>
        <v>-2.2413133809985997E-2</v>
      </c>
      <c r="BI49" s="275">
        <f>+BI5+BI31</f>
        <v>718952.20116078923</v>
      </c>
      <c r="BJ49" s="276">
        <f>BI49/BI$49</f>
        <v>1</v>
      </c>
      <c r="BK49" s="279">
        <f>(BI49/AW49)-1</f>
        <v>5.7638444964546398E-2</v>
      </c>
      <c r="BL49" s="275">
        <f>+BL5+BL20+BL31</f>
        <v>622377.33008255193</v>
      </c>
      <c r="BM49" s="276">
        <f>BL49/BL$49</f>
        <v>1</v>
      </c>
      <c r="BN49" s="279">
        <f>(BL49/AZ49)-1</f>
        <v>9.2192908801793649E-2</v>
      </c>
      <c r="BO49" s="275">
        <f>+BO5+BO20+BO31</f>
        <v>662139.52269449399</v>
      </c>
      <c r="BP49" s="276">
        <f>BO49/BO$49</f>
        <v>1</v>
      </c>
      <c r="BQ49" s="279">
        <f>(BO49/BC49)-1</f>
        <v>9.1322811629304557E-2</v>
      </c>
      <c r="BR49" s="275">
        <f>+BR5+BR20+BR31</f>
        <v>628273.17128585093</v>
      </c>
      <c r="BS49" s="276">
        <f>BR49/BR$49</f>
        <v>1</v>
      </c>
      <c r="BT49" s="279">
        <f>(BR49/BF49)-1</f>
        <v>0.10936401875479773</v>
      </c>
      <c r="BU49" s="275">
        <f>+BU5+BU20+BU31</f>
        <v>797153.00389157701</v>
      </c>
      <c r="BV49" s="276">
        <f>BU49/BU$49</f>
        <v>1</v>
      </c>
      <c r="BW49" s="279">
        <f>(BU49/BI49)-1</f>
        <v>0.10877051715611707</v>
      </c>
      <c r="BX49" s="275">
        <f>+BX5+BX20+BX31</f>
        <v>720391.90022856952</v>
      </c>
      <c r="BY49" s="276">
        <f>BX49/BX$49</f>
        <v>1</v>
      </c>
      <c r="BZ49" s="279">
        <f>(BX49/BL49)-1</f>
        <v>0.1574841585779112</v>
      </c>
      <c r="CA49" s="275">
        <f>+CA5+CA20+CA31</f>
        <v>776288.51294379251</v>
      </c>
      <c r="CB49" s="276">
        <f>CA49/CA$49</f>
        <v>1</v>
      </c>
      <c r="CC49" s="279">
        <f>(CA49/BO49)-1</f>
        <v>0.17239416518256379</v>
      </c>
      <c r="CD49" s="275">
        <f>+CD5+CD20+CD31</f>
        <v>719163.80475019163</v>
      </c>
      <c r="CE49" s="276">
        <f>CD49/CD$49</f>
        <v>1</v>
      </c>
      <c r="CF49" s="279">
        <f>(CD49/BR49)-1</f>
        <v>0.14466737976144994</v>
      </c>
      <c r="CG49" s="275">
        <f>+CG5+CG20+CG31</f>
        <v>933019</v>
      </c>
      <c r="CH49" s="276">
        <f>CG49/CG$49</f>
        <v>1</v>
      </c>
      <c r="CI49" s="279">
        <f>(CG49/BU49)-1</f>
        <v>0.17043904425517598</v>
      </c>
      <c r="CJ49" s="275">
        <f>+CJ5+CJ20+CJ31</f>
        <v>826025</v>
      </c>
      <c r="CK49" s="276">
        <f>CJ49/CJ$49</f>
        <v>1</v>
      </c>
      <c r="CL49" s="279">
        <f>(CJ49/BX49)-1</f>
        <v>0.1466328254633551</v>
      </c>
      <c r="CM49" s="275">
        <f>+CM5+CM20+CM31</f>
        <v>900441</v>
      </c>
      <c r="CN49" s="276">
        <f>CM49/CM$49</f>
        <v>1</v>
      </c>
      <c r="CO49" s="279">
        <f>(CM49/CA49)-1</f>
        <v>0.15993085687356645</v>
      </c>
      <c r="CP49" s="275">
        <f>+CP5+CP20+CP31</f>
        <v>900582.24</v>
      </c>
      <c r="CQ49" s="276">
        <f>CP49/CP$49</f>
        <v>1</v>
      </c>
      <c r="CR49" s="279">
        <f>(CP49/CD49)-1</f>
        <v>0.25226302276548207</v>
      </c>
      <c r="CS49" s="275">
        <f>+CS5+CS20+CS31</f>
        <v>1144019</v>
      </c>
      <c r="CT49" s="276">
        <f>CS49/CS$49</f>
        <v>1</v>
      </c>
      <c r="CU49" s="279">
        <f>(CS49/CG49)-1</f>
        <v>0.22614759184968358</v>
      </c>
      <c r="CV49" s="275">
        <f>+CV5+CV20+CV31</f>
        <v>1026398.9513622833</v>
      </c>
      <c r="CW49" s="276">
        <f>CV49/CV$49</f>
        <v>1</v>
      </c>
      <c r="CX49" s="279">
        <f>(CV49/CJ49)-1</f>
        <v>0.24257613433283898</v>
      </c>
      <c r="CY49" s="275">
        <f>+CY5+CY20+CY31</f>
        <v>1049597.9427718935</v>
      </c>
      <c r="CZ49" s="276">
        <f>CY49/CY$49</f>
        <v>1</v>
      </c>
      <c r="DA49" s="279">
        <f>(CY49/CM49)-1</f>
        <v>0.1656487685166419</v>
      </c>
      <c r="DB49" s="275">
        <f>+DB5+DB20+DB31</f>
        <v>1063134.3140350184</v>
      </c>
      <c r="DC49" s="276">
        <f>DB49/DB$49</f>
        <v>1</v>
      </c>
      <c r="DD49" s="279">
        <f>(DB49/CP49)-1</f>
        <v>0.18049664629742024</v>
      </c>
      <c r="DE49" s="275">
        <f>+DE5+DE20+DE31</f>
        <v>1379535.334109338</v>
      </c>
      <c r="DF49" s="276">
        <f>DE49/DE$49</f>
        <v>1</v>
      </c>
      <c r="DG49" s="279">
        <f>(DE49/CS49)-1</f>
        <v>0.20586750229614892</v>
      </c>
      <c r="DH49" s="275">
        <f>+DH5+DH20+DH31</f>
        <v>1264938.4293284218</v>
      </c>
      <c r="DI49" s="276">
        <f>DH49/DH$49</f>
        <v>1</v>
      </c>
      <c r="DJ49" s="279">
        <f>(DH49/CV49)-1</f>
        <v>0.23240424948752936</v>
      </c>
      <c r="DK49" s="275">
        <f>+DK5+DK20+DK31</f>
        <v>1337809</v>
      </c>
      <c r="DL49" s="276">
        <f>DK49/DK$49</f>
        <v>1</v>
      </c>
      <c r="DM49" s="279">
        <f>(DK49/CY49)-1</f>
        <v>0.27459186559280702</v>
      </c>
      <c r="DN49" s="275">
        <f>+DN5+DN20+DN31</f>
        <v>1343655</v>
      </c>
      <c r="DO49" s="276">
        <f>DN49/DN$49</f>
        <v>1</v>
      </c>
      <c r="DP49" s="279">
        <f>(DN49/DB49)-1</f>
        <v>0.26386194318222489</v>
      </c>
      <c r="DQ49" s="275">
        <f>+DQ5+DQ20+DQ31</f>
        <v>1712202</v>
      </c>
      <c r="DR49" s="276">
        <f>DQ49/DQ$49</f>
        <v>1</v>
      </c>
      <c r="DS49" s="279">
        <f>(DQ49/DE49)-1</f>
        <v>0.24114399802991615</v>
      </c>
      <c r="DT49" s="275">
        <f>+DT5+DT20+DT31</f>
        <v>1549781</v>
      </c>
      <c r="DU49" s="276">
        <f>DT49/DT$49</f>
        <v>1</v>
      </c>
      <c r="DV49" s="279">
        <f>(DT49/DH49)-1</f>
        <v>0.22518295283574097</v>
      </c>
      <c r="DW49" s="275">
        <f>+DW5+DW20+DW31</f>
        <v>1643838.75828</v>
      </c>
      <c r="DX49" s="276">
        <f>DW49/DW$49</f>
        <v>1</v>
      </c>
      <c r="DY49" s="279">
        <f>(DW49/DK49)-1</f>
        <v>0.22875444721929661</v>
      </c>
      <c r="DZ49" s="275">
        <f>+DZ5+DZ20+DZ31</f>
        <v>1593270</v>
      </c>
      <c r="EA49" s="276">
        <f>DZ49/DZ$49</f>
        <v>1</v>
      </c>
      <c r="EB49" s="279">
        <f>(DZ49/DN49)-1</f>
        <v>0.185773133728524</v>
      </c>
      <c r="EC49" s="275">
        <f>+EC5+EC20+EC31</f>
        <v>1905124</v>
      </c>
      <c r="ED49" s="276">
        <f>EC49/EC$49</f>
        <v>1</v>
      </c>
      <c r="EE49" s="279">
        <f>(EC49/DQ49)-1</f>
        <v>0.1126747895400193</v>
      </c>
      <c r="EF49" s="275">
        <f>+EF5+EF20+EF31</f>
        <v>1644431</v>
      </c>
      <c r="EG49" s="276">
        <f>EF49/EF$49</f>
        <v>1</v>
      </c>
      <c r="EH49" s="279">
        <f>(EF49/DT49)-1</f>
        <v>6.1073145173414778E-2</v>
      </c>
      <c r="EI49" s="275">
        <f>+EI5+EI20+EI31</f>
        <v>1720840</v>
      </c>
      <c r="EJ49" s="276">
        <f>EI49/EI$49</f>
        <v>1</v>
      </c>
      <c r="EK49" s="279">
        <f>(EI49/DW49)-1</f>
        <v>4.6842332517192276E-2</v>
      </c>
      <c r="EL49" s="275">
        <f>+EL5+EL20+EL31</f>
        <v>1620677</v>
      </c>
      <c r="EM49" s="276">
        <f>EL49/EL$49</f>
        <v>1</v>
      </c>
      <c r="EN49" s="279">
        <f>(EL49/DZ49)-1</f>
        <v>1.7201729775869756E-2</v>
      </c>
      <c r="EO49" s="275">
        <f>+EO5+EO20+EO31</f>
        <v>1930867</v>
      </c>
      <c r="EP49" s="276">
        <f>EO49/EO$49</f>
        <v>1</v>
      </c>
      <c r="EQ49" s="279">
        <f>(EO49/EC49)-1</f>
        <v>1.3512506272557623E-2</v>
      </c>
      <c r="ER49" s="275">
        <f>+ER5+ER20+ER31</f>
        <v>1746152</v>
      </c>
      <c r="ES49" s="276">
        <f>ER49/ER$49</f>
        <v>1</v>
      </c>
      <c r="ET49" s="279">
        <f>(ER49/EF49)-1</f>
        <v>6.1857870594752784E-2</v>
      </c>
      <c r="EU49" s="275">
        <f>+EU5+EU20+EU31</f>
        <v>1936230</v>
      </c>
      <c r="EV49" s="276">
        <f>EU49/EU$49</f>
        <v>1</v>
      </c>
      <c r="EW49" s="279">
        <f>(EU49/EI49)-1</f>
        <v>0.12516561679179938</v>
      </c>
      <c r="EX49" s="275">
        <f>+EX5+EX20+EX31</f>
        <v>1880003.8431500001</v>
      </c>
      <c r="EY49" s="276">
        <f>EX49/EX$49</f>
        <v>1</v>
      </c>
      <c r="EZ49" s="279">
        <f>(EX49/EL49)-1</f>
        <v>0.16001142926690526</v>
      </c>
      <c r="FA49" s="275">
        <f>+FA5+FA20+FA31</f>
        <v>2316480.2244600002</v>
      </c>
      <c r="FB49" s="276">
        <f>FA49/FA$49</f>
        <v>1</v>
      </c>
      <c r="FC49" s="279">
        <f>(FA49/EO49)-1</f>
        <v>0.19970988393296896</v>
      </c>
      <c r="FD49" s="275">
        <f>+FD5+FD20+FD31</f>
        <v>2121966.9107999997</v>
      </c>
      <c r="FE49" s="276">
        <f>FD49/FD$49</f>
        <v>1</v>
      </c>
      <c r="FF49" s="279">
        <f>(FD49/ER49)-1</f>
        <v>0.21522462580577151</v>
      </c>
      <c r="FG49" s="275">
        <f>+FG5+FG20+FG31</f>
        <v>2226120.0800200002</v>
      </c>
      <c r="FH49" s="276">
        <f>FG49/FG$49</f>
        <v>1</v>
      </c>
      <c r="FI49" s="279">
        <f>(FG49/EU49)-1</f>
        <v>0.1497188247367307</v>
      </c>
      <c r="FJ49" s="275">
        <f>+FJ5+FJ20+FJ31</f>
        <v>2220853.7163399998</v>
      </c>
      <c r="FK49" s="276">
        <f>FJ49/FJ$49</f>
        <v>1</v>
      </c>
      <c r="FL49" s="279">
        <f>(FJ49/EX49)-1</f>
        <v>0.18130275341293767</v>
      </c>
      <c r="FM49" s="275">
        <f>+FM5+FM20+FM31</f>
        <v>2785724.75397</v>
      </c>
      <c r="FN49" s="276">
        <f>FM49/FM$49</f>
        <v>1</v>
      </c>
      <c r="FO49" s="279">
        <f>(FM49/FA49)-1</f>
        <v>0.20256789786296858</v>
      </c>
      <c r="FP49" s="275">
        <f>+FP5+FP20+FP31</f>
        <v>2593730.8937998218</v>
      </c>
      <c r="FQ49" s="276">
        <f>FP49/FP$49</f>
        <v>1</v>
      </c>
      <c r="FR49" s="279">
        <f>(FP49/FD49)-1</f>
        <v>0.22232391117822048</v>
      </c>
      <c r="FS49" s="275">
        <f>+FS5+FS20+FS31</f>
        <v>2707247.2436991963</v>
      </c>
      <c r="FT49" s="276">
        <f>FS49/FS$49</f>
        <v>1</v>
      </c>
      <c r="FU49" s="279">
        <f>(FS49/FG49)-1</f>
        <v>0.21612812713808016</v>
      </c>
      <c r="FV49" s="275">
        <f>+FV5+FV20+FV31</f>
        <v>2832443.9034404769</v>
      </c>
      <c r="FW49" s="276">
        <f>FV49/FV$49</f>
        <v>1</v>
      </c>
      <c r="FX49" s="279">
        <f>(FV49/FJ49)-1</f>
        <v>0.27538517399893725</v>
      </c>
      <c r="FY49" s="275">
        <f>+FY5+FY20+FY31</f>
        <v>3443777.6467367914</v>
      </c>
      <c r="FZ49" s="276">
        <f>FY49/FY$49</f>
        <v>1</v>
      </c>
      <c r="GA49" s="279">
        <f>(FY49/FM49)-1</f>
        <v>0.23622322766417803</v>
      </c>
      <c r="GB49" s="275">
        <f>+GB5+GB20+GB31</f>
        <v>3231022.3383399993</v>
      </c>
      <c r="GC49" s="276">
        <f>GB49/GB$49</f>
        <v>1</v>
      </c>
      <c r="GD49" s="279">
        <f>(GB49/FP49)-1</f>
        <v>0.24570453552586713</v>
      </c>
      <c r="GE49" s="275">
        <f>+GE5+GE20+GE31</f>
        <v>2647260.3725300003</v>
      </c>
      <c r="GF49" s="276">
        <f>GE49/GE$49</f>
        <v>1</v>
      </c>
      <c r="GG49" s="279">
        <f>(GE49/FS49)-1</f>
        <v>-2.2157884289589203E-2</v>
      </c>
      <c r="GH49" s="275">
        <f>+GH5+GH20+GH31</f>
        <v>2856314.9017600003</v>
      </c>
      <c r="GI49" s="276">
        <f>GH49/GH$49</f>
        <v>1</v>
      </c>
      <c r="GJ49" s="279">
        <f>(GH49/FV49)-1</f>
        <v>8.4277038251412417E-3</v>
      </c>
      <c r="GK49" s="275">
        <f>+GK5+GK20+GK31</f>
        <v>3517304.4253900005</v>
      </c>
      <c r="GL49" s="276">
        <f>GK49/GK$49</f>
        <v>1</v>
      </c>
      <c r="GM49" s="279">
        <f>(GK49/FY49)-1</f>
        <v>2.135061731493626E-2</v>
      </c>
    </row>
    <row r="50" spans="2:195" s="200" customFormat="1" ht="16.5" customHeight="1">
      <c r="B50" s="47" t="s">
        <v>1065</v>
      </c>
      <c r="C50" s="47" t="s">
        <v>1064</v>
      </c>
      <c r="D50" s="349" t="s">
        <v>77</v>
      </c>
      <c r="E50" s="98" t="s">
        <v>77</v>
      </c>
      <c r="F50" s="98" t="s">
        <v>77</v>
      </c>
      <c r="G50" s="349" t="s">
        <v>77</v>
      </c>
      <c r="H50" s="98" t="s">
        <v>77</v>
      </c>
      <c r="I50" s="98" t="s">
        <v>77</v>
      </c>
      <c r="J50" s="349" t="s">
        <v>77</v>
      </c>
      <c r="K50" s="98" t="s">
        <v>77</v>
      </c>
      <c r="L50" s="98" t="s">
        <v>77</v>
      </c>
      <c r="M50" s="349" t="s">
        <v>77</v>
      </c>
      <c r="N50" s="98" t="s">
        <v>77</v>
      </c>
      <c r="O50" s="98" t="s">
        <v>77</v>
      </c>
      <c r="P50" s="349" t="s">
        <v>77</v>
      </c>
      <c r="Q50" s="98" t="s">
        <v>77</v>
      </c>
      <c r="R50" s="97" t="s">
        <v>77</v>
      </c>
      <c r="S50" s="349" t="s">
        <v>77</v>
      </c>
      <c r="T50" s="98" t="s">
        <v>77</v>
      </c>
      <c r="U50" s="97" t="s">
        <v>77</v>
      </c>
      <c r="V50" s="349" t="s">
        <v>77</v>
      </c>
      <c r="W50" s="98" t="s">
        <v>77</v>
      </c>
      <c r="X50" s="97" t="s">
        <v>77</v>
      </c>
      <c r="Y50" s="349" t="s">
        <v>77</v>
      </c>
      <c r="Z50" s="98" t="s">
        <v>77</v>
      </c>
      <c r="AA50" s="97" t="s">
        <v>77</v>
      </c>
      <c r="AB50" s="349" t="s">
        <v>77</v>
      </c>
      <c r="AC50" s="98" t="s">
        <v>77</v>
      </c>
      <c r="AD50" s="99" t="s">
        <v>77</v>
      </c>
      <c r="AE50" s="349" t="s">
        <v>77</v>
      </c>
      <c r="AF50" s="98" t="s">
        <v>77</v>
      </c>
      <c r="AG50" s="99" t="s">
        <v>77</v>
      </c>
      <c r="AH50" s="349" t="s">
        <v>77</v>
      </c>
      <c r="AI50" s="98" t="s">
        <v>77</v>
      </c>
      <c r="AJ50" s="99" t="s">
        <v>77</v>
      </c>
      <c r="AK50" s="349" t="s">
        <v>77</v>
      </c>
      <c r="AL50" s="98" t="s">
        <v>77</v>
      </c>
      <c r="AM50" s="99" t="s">
        <v>77</v>
      </c>
      <c r="AN50" s="349" t="s">
        <v>77</v>
      </c>
      <c r="AO50" s="98" t="s">
        <v>77</v>
      </c>
      <c r="AP50" s="99" t="s">
        <v>77</v>
      </c>
      <c r="AQ50" s="349" t="s">
        <v>77</v>
      </c>
      <c r="AR50" s="98" t="s">
        <v>77</v>
      </c>
      <c r="AS50" s="99" t="s">
        <v>77</v>
      </c>
      <c r="AT50" s="349" t="s">
        <v>77</v>
      </c>
      <c r="AU50" s="98" t="s">
        <v>77</v>
      </c>
      <c r="AV50" s="99" t="s">
        <v>77</v>
      </c>
      <c r="AW50" s="349" t="s">
        <v>77</v>
      </c>
      <c r="AX50" s="98" t="s">
        <v>77</v>
      </c>
      <c r="AY50" s="99" t="s">
        <v>77</v>
      </c>
      <c r="AZ50" s="349" t="s">
        <v>77</v>
      </c>
      <c r="BA50" s="98" t="s">
        <v>77</v>
      </c>
      <c r="BB50" s="99" t="s">
        <v>77</v>
      </c>
      <c r="BC50" s="349" t="s">
        <v>77</v>
      </c>
      <c r="BD50" s="98" t="s">
        <v>77</v>
      </c>
      <c r="BE50" s="99" t="s">
        <v>77</v>
      </c>
      <c r="BF50" s="349" t="s">
        <v>77</v>
      </c>
      <c r="BG50" s="98" t="s">
        <v>77</v>
      </c>
      <c r="BH50" s="99" t="s">
        <v>77</v>
      </c>
      <c r="BI50" s="349" t="s">
        <v>77</v>
      </c>
      <c r="BJ50" s="98" t="s">
        <v>77</v>
      </c>
      <c r="BK50" s="99" t="s">
        <v>77</v>
      </c>
      <c r="BL50" s="349" t="s">
        <v>77</v>
      </c>
      <c r="BM50" s="98" t="s">
        <v>77</v>
      </c>
      <c r="BN50" s="99" t="s">
        <v>77</v>
      </c>
      <c r="BO50" s="349" t="s">
        <v>77</v>
      </c>
      <c r="BP50" s="98" t="s">
        <v>77</v>
      </c>
      <c r="BQ50" s="99" t="s">
        <v>77</v>
      </c>
      <c r="BR50" s="349" t="s">
        <v>77</v>
      </c>
      <c r="BS50" s="98" t="s">
        <v>77</v>
      </c>
      <c r="BT50" s="99" t="s">
        <v>77</v>
      </c>
      <c r="BU50" s="349" t="s">
        <v>77</v>
      </c>
      <c r="BV50" s="98" t="s">
        <v>77</v>
      </c>
      <c r="BW50" s="99" t="s">
        <v>77</v>
      </c>
      <c r="BX50" s="349" t="s">
        <v>77</v>
      </c>
      <c r="BY50" s="98" t="s">
        <v>77</v>
      </c>
      <c r="BZ50" s="99" t="s">
        <v>77</v>
      </c>
      <c r="CA50" s="349" t="s">
        <v>77</v>
      </c>
      <c r="CB50" s="98" t="s">
        <v>77</v>
      </c>
      <c r="CC50" s="99" t="s">
        <v>77</v>
      </c>
      <c r="CD50" s="349" t="s">
        <v>77</v>
      </c>
      <c r="CE50" s="98" t="s">
        <v>77</v>
      </c>
      <c r="CF50" s="99" t="s">
        <v>77</v>
      </c>
      <c r="CG50" s="95">
        <f>+CG6+CG21+CG32+CG36+CG47</f>
        <v>1011122.13515</v>
      </c>
      <c r="CH50" s="96">
        <f>CG50/CG$50</f>
        <v>1</v>
      </c>
      <c r="CI50" s="99" t="e">
        <f>(CG50/BU50)-1</f>
        <v>#VALUE!</v>
      </c>
      <c r="CJ50" s="95">
        <f>+CJ6+CJ21+CJ32+CJ36+CJ47</f>
        <v>849027</v>
      </c>
      <c r="CK50" s="96">
        <f>CJ50/CJ$50</f>
        <v>1</v>
      </c>
      <c r="CL50" s="99" t="e">
        <f>(CJ50/BX50)-1</f>
        <v>#VALUE!</v>
      </c>
      <c r="CM50" s="95">
        <f>+CM6+CM21+CM32+CM36+CM47</f>
        <v>973260.00887999998</v>
      </c>
      <c r="CN50" s="96">
        <f>CM50/CM$50</f>
        <v>1</v>
      </c>
      <c r="CO50" s="99" t="e">
        <f>(CM50/CA50)-1</f>
        <v>#VALUE!</v>
      </c>
      <c r="CP50" s="95">
        <f>+CP6+CP21+CP32+CP36+CP47</f>
        <v>971157.372465558</v>
      </c>
      <c r="CQ50" s="96">
        <f>CP50/CP$50</f>
        <v>1</v>
      </c>
      <c r="CR50" s="99" t="e">
        <f>(CP50/CD50)-1</f>
        <v>#VALUE!</v>
      </c>
      <c r="CS50" s="95">
        <f>+CS6+CS21+CS32+CS36+CS47</f>
        <v>1279698</v>
      </c>
      <c r="CT50" s="96">
        <f>CS50/CS$50</f>
        <v>1</v>
      </c>
      <c r="CU50" s="99">
        <f>(CS50/CG50)-1</f>
        <v>0.26562158567536143</v>
      </c>
      <c r="CV50" s="95">
        <f>+CV6+CV21+CV32+CV36+CV47</f>
        <v>1068235.9513622834</v>
      </c>
      <c r="CW50" s="96">
        <f>CV50/CV$50</f>
        <v>1</v>
      </c>
      <c r="CX50" s="99">
        <f>(CV50/CJ50)-1</f>
        <v>0.25818843377452483</v>
      </c>
      <c r="CY50" s="95">
        <f>+CY6+CY21+CY32+CY36+CY47</f>
        <v>1131855.9427718935</v>
      </c>
      <c r="CZ50" s="96">
        <f>CY50/CY$50</f>
        <v>1</v>
      </c>
      <c r="DA50" s="99">
        <f>(CY50/CM50)-1</f>
        <v>0.16295330378816364</v>
      </c>
      <c r="DB50" s="95">
        <f>+DB6+DB21+DB32+DB36+DB47</f>
        <v>1146038.3140350184</v>
      </c>
      <c r="DC50" s="96">
        <f>DB50/DB$50</f>
        <v>1</v>
      </c>
      <c r="DD50" s="99">
        <f>(DB50/CP50)-1</f>
        <v>0.18007477112126091</v>
      </c>
      <c r="DE50" s="95">
        <f>+DE6+DE21+DE32+DE36+DE47</f>
        <v>1572443.334109338</v>
      </c>
      <c r="DF50" s="96">
        <f>DE50/DE$50</f>
        <v>1</v>
      </c>
      <c r="DG50" s="99">
        <f>(DE50/CS50)-1</f>
        <v>0.22876126563403076</v>
      </c>
      <c r="DH50" s="95">
        <f>+DH6+DH21+DH32+DH36+DH47</f>
        <v>1347943.4293284218</v>
      </c>
      <c r="DI50" s="96">
        <f>DH50/DH$50</f>
        <v>1</v>
      </c>
      <c r="DJ50" s="99">
        <f>(DH50/CV50)-1</f>
        <v>0.26184053963867937</v>
      </c>
      <c r="DK50" s="95">
        <f>+DK6+DK21+DK32+DK36+DK47</f>
        <v>1414358</v>
      </c>
      <c r="DL50" s="96">
        <f>DK50/DK$50</f>
        <v>1</v>
      </c>
      <c r="DM50" s="99">
        <f>(DK50/CY50)-1</f>
        <v>0.24959188404865773</v>
      </c>
      <c r="DN50" s="95">
        <f>+DN6+DN21+DN32+DN36+DN47</f>
        <v>1395168</v>
      </c>
      <c r="DO50" s="96">
        <f>DN50/DN$50</f>
        <v>1</v>
      </c>
      <c r="DP50" s="99">
        <f>(DN50/DB50)-1</f>
        <v>0.21738338318536288</v>
      </c>
      <c r="DQ50" s="95">
        <f>+DQ6+DQ21+DQ32+DQ36+DQ47</f>
        <v>1908518</v>
      </c>
      <c r="DR50" s="96">
        <f>DQ50/DQ$50</f>
        <v>1</v>
      </c>
      <c r="DS50" s="99">
        <f>(DQ50/DE50)-1</f>
        <v>0.2137276801017578</v>
      </c>
      <c r="DT50" s="95">
        <f>+DT6+DT21+DT32+DT36+DT47</f>
        <v>1690859.7191256001</v>
      </c>
      <c r="DU50" s="96">
        <f>DT50/DT$50</f>
        <v>1</v>
      </c>
      <c r="DV50" s="99">
        <f>(DT50/DH50)-1</f>
        <v>0.25439961524796884</v>
      </c>
      <c r="DW50" s="95">
        <f>+DW6+DW21+DW32+DW36+DW47</f>
        <v>1838802.2275282999</v>
      </c>
      <c r="DX50" s="96">
        <f>DW50/DW$50</f>
        <v>1</v>
      </c>
      <c r="DY50" s="99">
        <f>(DW50/DK50)-1</f>
        <v>0.30009674179260126</v>
      </c>
      <c r="DZ50" s="95">
        <f>+DZ6+DZ21+DZ32+DZ36+DZ47</f>
        <v>1763488.4857100002</v>
      </c>
      <c r="EA50" s="96">
        <f>DZ50/DZ$50</f>
        <v>1</v>
      </c>
      <c r="EB50" s="99">
        <f>(DZ50/DN50)-1</f>
        <v>0.2639972287996859</v>
      </c>
      <c r="EC50" s="95">
        <f>+EC6+EC21+EC32+EC36+EC47</f>
        <v>2200643.6917317999</v>
      </c>
      <c r="ED50" s="96">
        <f>EC50/EC$50</f>
        <v>1</v>
      </c>
      <c r="EE50" s="99">
        <f>(EC50/DQ50)-1</f>
        <v>0.15306415330209089</v>
      </c>
      <c r="EF50" s="95">
        <f>+EF6+EF21+EF32+EF36+EF47</f>
        <v>1804754.1701015001</v>
      </c>
      <c r="EG50" s="96">
        <f>EF50/EF$50</f>
        <v>1</v>
      </c>
      <c r="EH50" s="99">
        <f>(EF50/DT50)-1</f>
        <v>6.7358900142702849E-2</v>
      </c>
      <c r="EI50" s="95">
        <f>+EI6+EI21+EI32+EI36+EI47</f>
        <v>1857269</v>
      </c>
      <c r="EJ50" s="96">
        <f>EI50/EI$50</f>
        <v>1</v>
      </c>
      <c r="EK50" s="99">
        <f>(EI50/DW50)-1</f>
        <v>1.0042826898531088E-2</v>
      </c>
      <c r="EL50" s="95">
        <f>+EL6+EL21+EL32+EL36+EL47</f>
        <v>1702339</v>
      </c>
      <c r="EM50" s="96">
        <f>EL50/EL$50</f>
        <v>1</v>
      </c>
      <c r="EN50" s="99">
        <f>(EL50/DZ50)-1</f>
        <v>-3.4675296269587319E-2</v>
      </c>
      <c r="EO50" s="95">
        <f>+EO6+EO21+EO32+EO36+EO47</f>
        <v>2209271</v>
      </c>
      <c r="EP50" s="96">
        <f>EO50/EO$50</f>
        <v>1</v>
      </c>
      <c r="EQ50" s="99">
        <f>(EO50/EC50)-1</f>
        <v>3.9203567122720884E-3</v>
      </c>
      <c r="ER50" s="95">
        <f>+ER6+ER21+ER32+ER36+ER47</f>
        <v>1861235</v>
      </c>
      <c r="ES50" s="96">
        <f>ER50/ER$50</f>
        <v>1</v>
      </c>
      <c r="ET50" s="99">
        <f>(ER50/EF50)-1</f>
        <v>3.1295580768943898E-2</v>
      </c>
      <c r="EU50" s="95">
        <f>+EU6+EU21+EU32+EU36+EU47</f>
        <v>2141703</v>
      </c>
      <c r="EV50" s="96">
        <f>EU50/EU$50</f>
        <v>1</v>
      </c>
      <c r="EW50" s="99">
        <f>(EU50/EI50)-1</f>
        <v>0.15314636705829909</v>
      </c>
      <c r="EX50" s="95">
        <f>+EX6+EX21+EX32+EX36+EX47</f>
        <v>2024917.0853800001</v>
      </c>
      <c r="EY50" s="96">
        <f>EX50/EX$50</f>
        <v>1</v>
      </c>
      <c r="EZ50" s="99">
        <f>(EX50/EL50)-1</f>
        <v>0.18949109747236004</v>
      </c>
      <c r="FA50" s="95">
        <f>+FA6+FA21+FA32+FA36+FA47</f>
        <v>2644257.4244599999</v>
      </c>
      <c r="FB50" s="96">
        <f>FA50/FA$50</f>
        <v>1</v>
      </c>
      <c r="FC50" s="99">
        <f>(FA50/EO50)-1</f>
        <v>0.19689138383656868</v>
      </c>
      <c r="FD50" s="95">
        <f>+FD6+FD21+FD32+FD36+FD47</f>
        <v>2168299.1532401051</v>
      </c>
      <c r="FE50" s="96">
        <f>FD50/FD$50</f>
        <v>1</v>
      </c>
      <c r="FF50" s="99">
        <f>(FD50/ER50)-1</f>
        <v>0.16497871211325021</v>
      </c>
      <c r="FG50" s="95">
        <f>+FG6+FG21+FG32+FG36+FG47</f>
        <v>2359387.0800200002</v>
      </c>
      <c r="FH50" s="96">
        <f>FG50/FG$50</f>
        <v>1</v>
      </c>
      <c r="FI50" s="99">
        <f>(FG50/EU50)-1</f>
        <v>0.1016406476621643</v>
      </c>
      <c r="FJ50" s="95">
        <f>+FJ6+FJ21+FJ32+FJ36+FJ47</f>
        <v>2281306.1551671424</v>
      </c>
      <c r="FK50" s="96">
        <f>FJ50/FJ$50</f>
        <v>1</v>
      </c>
      <c r="FL50" s="99">
        <f>(FJ50/EX50)-1</f>
        <v>0.12661707071281292</v>
      </c>
      <c r="FM50" s="95">
        <f>+FM6+FM21+FM32+FM36+FM47</f>
        <v>3162668.75397</v>
      </c>
      <c r="FN50" s="96">
        <f>FM50/FM$50</f>
        <v>1</v>
      </c>
      <c r="FO50" s="99">
        <f>(FM50/FA50)-1</f>
        <v>0.19605176285583004</v>
      </c>
      <c r="FP50" s="95">
        <f>+FP6+FP21+FP32+FP36+FP47</f>
        <v>2703346.8937998218</v>
      </c>
      <c r="FQ50" s="96">
        <f>FP50/FP$50</f>
        <v>1</v>
      </c>
      <c r="FR50" s="99">
        <f>(FP50/FD50)-1</f>
        <v>0.246759188998525</v>
      </c>
      <c r="FS50" s="95">
        <f>+FS6+FS21+FS32+FS36+FS47</f>
        <v>2896783.9514591964</v>
      </c>
      <c r="FT50" s="96">
        <f>FS50/FS$50</f>
        <v>1</v>
      </c>
      <c r="FU50" s="99">
        <f>(FS50/FG50)-1</f>
        <v>0.22776969323517737</v>
      </c>
      <c r="FV50" s="95">
        <f>+FV6+FV21+FV32+FV36+FV47</f>
        <v>2891746.440400477</v>
      </c>
      <c r="FW50" s="96">
        <f>FV50/FV$50</f>
        <v>1</v>
      </c>
      <c r="FX50" s="99">
        <f>(FV50/FJ50)-1</f>
        <v>0.26758367519006243</v>
      </c>
      <c r="FY50" s="95">
        <f>+FY6+FY21+FY32+FY36+FY47</f>
        <v>3825965.6040867916</v>
      </c>
      <c r="FZ50" s="96">
        <f>FY50/FY$50</f>
        <v>1</v>
      </c>
      <c r="GA50" s="99">
        <f>(FY50/FM50)-1</f>
        <v>0.20972694319763208</v>
      </c>
      <c r="GB50" s="95">
        <f>+GB6+GB21+GB32+GB36+GB47</f>
        <v>3012686.6064174888</v>
      </c>
      <c r="GC50" s="96">
        <f>GB50/GB$50</f>
        <v>1</v>
      </c>
      <c r="GD50" s="99">
        <f>(GB50/FP50)-1</f>
        <v>0.11442841957395244</v>
      </c>
      <c r="GE50" s="95">
        <f>+GE6+GE21+GE32+GE36+GE47</f>
        <v>2231756.4789100001</v>
      </c>
      <c r="GF50" s="96">
        <f>GE50/GE$50</f>
        <v>1</v>
      </c>
      <c r="GG50" s="99">
        <f>(GE50/FS50)-1</f>
        <v>-0.22957441206970308</v>
      </c>
      <c r="GH50" s="95">
        <f>+GH6+GH21+GH32+GH36+GH47</f>
        <v>2678827.9017600003</v>
      </c>
      <c r="GI50" s="96">
        <f>GH50/GH$50</f>
        <v>1</v>
      </c>
      <c r="GJ50" s="99">
        <f>(GH50/FV50)-1</f>
        <v>-7.3629740030384472E-2</v>
      </c>
      <c r="GK50" s="95">
        <f>+GK6+GK21+GK32+GK36+GK47</f>
        <v>3811668.6846500007</v>
      </c>
      <c r="GL50" s="96">
        <f>GK50/GK$50</f>
        <v>1</v>
      </c>
      <c r="GM50" s="99">
        <f>(GK50/FY50)-1</f>
        <v>-3.7368133737322173E-3</v>
      </c>
    </row>
    <row r="51" spans="2:195" ht="16.5" customHeight="1">
      <c r="D51" s="202"/>
      <c r="E51" s="202"/>
      <c r="F51" s="202"/>
      <c r="G51" s="202"/>
      <c r="H51" s="202"/>
      <c r="I51" s="202"/>
      <c r="J51" s="202"/>
      <c r="K51" s="202"/>
      <c r="L51" s="202"/>
      <c r="M51" s="202"/>
      <c r="N51" s="202"/>
      <c r="O51" s="202"/>
      <c r="P51" s="202"/>
      <c r="Q51" s="202"/>
      <c r="R51" s="202"/>
      <c r="S51" s="202"/>
      <c r="T51" s="202"/>
      <c r="U51" s="202"/>
      <c r="V51" s="202"/>
      <c r="W51" s="202"/>
      <c r="X51" s="202"/>
      <c r="Y51" s="202"/>
      <c r="Z51" s="202"/>
      <c r="AA51" s="202"/>
      <c r="AB51" s="202"/>
      <c r="AC51" s="202"/>
      <c r="AD51" s="202"/>
      <c r="AE51" s="202"/>
      <c r="AF51" s="202"/>
      <c r="AG51" s="202"/>
      <c r="AH51" s="202"/>
      <c r="AI51" s="202"/>
      <c r="AJ51" s="202"/>
      <c r="AK51" s="202"/>
      <c r="AL51" s="202"/>
      <c r="AM51" s="202"/>
      <c r="AN51" s="202"/>
      <c r="AO51" s="202"/>
      <c r="AP51" s="202"/>
      <c r="AQ51" s="202"/>
      <c r="AR51" s="202"/>
      <c r="AS51" s="202"/>
      <c r="AT51" s="202"/>
      <c r="AU51" s="202"/>
      <c r="AV51" s="202"/>
      <c r="AW51" s="202"/>
      <c r="AX51" s="202"/>
      <c r="AY51" s="202"/>
      <c r="AZ51" s="202"/>
      <c r="BA51" s="202"/>
      <c r="BB51" s="202"/>
      <c r="BC51" s="202"/>
      <c r="BD51" s="202"/>
      <c r="BE51" s="202"/>
      <c r="BF51" s="202"/>
      <c r="BG51" s="202"/>
      <c r="BH51" s="202"/>
      <c r="BI51" s="202"/>
      <c r="BJ51" s="202"/>
      <c r="BK51" s="202"/>
      <c r="BL51" s="202"/>
      <c r="BM51" s="202"/>
      <c r="BN51" s="202"/>
      <c r="BO51" s="202"/>
      <c r="BP51" s="202"/>
      <c r="BQ51" s="202"/>
      <c r="BR51" s="202"/>
      <c r="BS51" s="202"/>
      <c r="BT51" s="202"/>
      <c r="BU51" s="202"/>
      <c r="BV51" s="202"/>
      <c r="BW51" s="202"/>
      <c r="BX51" s="202"/>
      <c r="BY51" s="202"/>
      <c r="BZ51" s="202"/>
      <c r="CA51" s="202"/>
      <c r="CB51" s="202"/>
      <c r="CC51" s="202"/>
      <c r="CD51" s="202"/>
      <c r="CE51" s="202"/>
      <c r="CF51" s="202"/>
      <c r="CG51" s="202"/>
      <c r="CH51" s="202"/>
      <c r="CI51" s="202"/>
      <c r="CJ51" s="202"/>
      <c r="CK51" s="202"/>
      <c r="CL51" s="202"/>
      <c r="CM51" s="202"/>
      <c r="CN51" s="202"/>
      <c r="CO51" s="202"/>
      <c r="CP51" s="202"/>
      <c r="CQ51" s="202"/>
      <c r="CR51" s="202"/>
      <c r="CS51" s="202"/>
      <c r="CT51" s="202"/>
      <c r="CU51" s="202"/>
      <c r="CV51" s="202"/>
      <c r="CW51" s="202"/>
      <c r="CX51" s="202"/>
      <c r="CY51" s="202"/>
      <c r="CZ51" s="202"/>
      <c r="DA51" s="202"/>
      <c r="DB51" s="202"/>
      <c r="DC51" s="202"/>
      <c r="DD51" s="202"/>
      <c r="DE51" s="202"/>
      <c r="DF51" s="202"/>
      <c r="DG51" s="202"/>
      <c r="DH51" s="202"/>
      <c r="DI51" s="202"/>
      <c r="DJ51" s="202"/>
      <c r="DK51" s="202"/>
      <c r="DL51" s="202"/>
      <c r="DM51" s="202"/>
      <c r="DN51" s="202"/>
      <c r="DO51" s="202"/>
      <c r="DP51" s="202"/>
      <c r="DQ51" s="202"/>
      <c r="DR51" s="202"/>
      <c r="DS51" s="202"/>
      <c r="DT51" s="202"/>
      <c r="DU51" s="202"/>
      <c r="DV51" s="202"/>
      <c r="DW51" s="202"/>
      <c r="DX51" s="202"/>
      <c r="DY51" s="202"/>
      <c r="DZ51" s="202"/>
      <c r="EA51" s="202"/>
      <c r="EB51" s="202"/>
      <c r="EC51" s="202"/>
      <c r="ED51" s="202"/>
      <c r="EE51" s="202"/>
      <c r="EF51" s="202"/>
      <c r="ER51" s="202"/>
      <c r="FD51" s="202"/>
      <c r="FG51" s="202"/>
      <c r="FJ51" s="202"/>
      <c r="FM51" s="202"/>
      <c r="FP51" s="202"/>
      <c r="FS51" s="202"/>
      <c r="FV51" s="202"/>
      <c r="FY51" s="202"/>
      <c r="GB51" s="202"/>
      <c r="GE51" s="202"/>
      <c r="GH51" s="202"/>
      <c r="GK51" s="202"/>
    </row>
    <row r="52" spans="2:195" ht="16.5" customHeight="1">
      <c r="B52" s="359"/>
      <c r="C52" s="358" t="s">
        <v>1082</v>
      </c>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c r="BR52" s="38"/>
      <c r="BS52" s="38"/>
      <c r="BT52" s="38"/>
      <c r="BU52" s="38"/>
      <c r="BV52" s="38"/>
      <c r="BW52" s="38"/>
      <c r="BX52" s="38"/>
      <c r="BY52" s="38"/>
      <c r="BZ52" s="38"/>
      <c r="CA52" s="38"/>
      <c r="CB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H52" s="38"/>
      <c r="DK52" s="38"/>
      <c r="DN52" s="38"/>
      <c r="DQ52" s="38"/>
      <c r="DT52" s="38"/>
      <c r="DW52" s="38"/>
      <c r="DZ52" s="38"/>
      <c r="EC52" s="38"/>
      <c r="EF52" s="38"/>
      <c r="EI52" s="38"/>
      <c r="EL52" s="38"/>
      <c r="EO52" s="38"/>
      <c r="ER52" s="38"/>
      <c r="EU52" s="38"/>
      <c r="EX52" s="38"/>
      <c r="FD52" s="38"/>
      <c r="FG52" s="38"/>
      <c r="FJ52" s="38"/>
      <c r="FM52" s="38"/>
      <c r="FP52" s="38"/>
      <c r="FS52" s="38"/>
      <c r="FV52" s="38"/>
      <c r="FY52" s="38"/>
      <c r="GB52" s="38"/>
      <c r="GE52" s="38"/>
      <c r="GH52" s="38"/>
      <c r="GK52" s="38"/>
    </row>
    <row r="54" spans="2:195" ht="16.5" customHeight="1">
      <c r="EC54" s="357"/>
      <c r="EF54" s="357"/>
      <c r="ER54" s="357"/>
      <c r="FD54" s="395"/>
      <c r="FG54" s="395"/>
      <c r="FJ54" s="395"/>
      <c r="FM54" s="395"/>
      <c r="FP54" s="395"/>
      <c r="FS54" s="395"/>
      <c r="FV54" s="395"/>
      <c r="FY54" s="395"/>
      <c r="GB54" s="395"/>
      <c r="GE54" s="395"/>
      <c r="GH54" s="395"/>
      <c r="GK54" s="395"/>
    </row>
  </sheetData>
  <mergeCells count="5">
    <mergeCell ref="D1:E1"/>
    <mergeCell ref="N1:O1"/>
    <mergeCell ref="Q1:R1"/>
    <mergeCell ref="T1:U1"/>
    <mergeCell ref="B1:C1"/>
  </mergeCells>
  <phoneticPr fontId="28" type="noConversion"/>
  <hyperlinks>
    <hyperlink ref="B1:C1" location="'Capa | Cover'!A1" display="CAPA/COVER" xr:uid="{00000000-0004-0000-0400-000000000000}"/>
  </hyperlinks>
  <printOptions horizontalCentered="1"/>
  <pageMargins left="0.25" right="0.25" top="0.75" bottom="0.75" header="0.3" footer="0.3"/>
  <pageSetup paperSize="9" scale="63" orientation="landscape" horizontalDpi="300" verticalDpi="300" r:id="rId1"/>
  <headerFooter alignWithMargins="0">
    <oddHeader>&amp;L&amp;G</oddHeader>
    <oddFooter>&amp;L&amp;"Calibri"&amp;11&amp;K000000&amp;"Calibri"&amp;11&amp;K000000&amp;"Calibri"&amp;11 Investor Relations Lojas Renner  S.A._x000D_&amp;1#&amp;"Calibri"&amp;10&amp;K317100Classificação: Público</oddFooter>
  </headerFooter>
  <colBreaks count="5" manualBreakCount="5">
    <brk id="15" max="1048575" man="1"/>
    <brk id="27" max="1048575" man="1"/>
    <brk id="39" max="1048575" man="1"/>
    <brk id="51" max="1048575" man="1"/>
    <brk id="63" max="1048575" man="1"/>
  </colBreaks>
  <ignoredErrors>
    <ignoredError sqref="EN7:ER7 EN10:ER14 EN8 ET14 FI14" formula="1"/>
    <ignoredError sqref="EO8:ER8 EU14:FF14 BW14:BW15" formula="1" formulaRange="1"/>
    <ignoredError sqref="EU10:FF13 EU15:FF15 BL10:BW13 BL19:BW20 BL14:BV18 BL8:BW8 EU8:FF8 CY8:DM14 FJ8 EC8" formulaRange="1"/>
    <ignoredError sqref="BK16:BK18" evalError="1"/>
    <ignoredError sqref="BW16:BW18" evalError="1" formula="1" formulaRange="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tabColor rgb="FFC00000"/>
    <pageSetUpPr fitToPage="1"/>
  </sheetPr>
  <dimension ref="B1:DK1070"/>
  <sheetViews>
    <sheetView showGridLines="0" zoomScale="110" zoomScaleNormal="110" workbookViewId="0">
      <pane xSplit="3" ySplit="3" topLeftCell="CY17" activePane="bottomRight" state="frozen"/>
      <selection activeCell="JZ13" sqref="JZ13"/>
      <selection pane="topRight" activeCell="JZ13" sqref="JZ13"/>
      <selection pane="bottomLeft" activeCell="JZ13" sqref="JZ13"/>
      <selection pane="bottomRight" activeCell="DK8" sqref="DK8"/>
    </sheetView>
  </sheetViews>
  <sheetFormatPr defaultRowHeight="14.25"/>
  <cols>
    <col min="1" max="1" width="1.5703125" style="6" customWidth="1"/>
    <col min="2" max="2" width="42.42578125" style="5" customWidth="1"/>
    <col min="3" max="3" width="40.7109375" style="6" hidden="1" customWidth="1"/>
    <col min="4" max="5" width="6.28515625" style="6" customWidth="1"/>
    <col min="6" max="6" width="6" style="6" customWidth="1"/>
    <col min="7" max="7" width="6.28515625" style="6" customWidth="1"/>
    <col min="8" max="8" width="6" style="6" customWidth="1"/>
    <col min="9" max="9" width="6.85546875" style="6" customWidth="1"/>
    <col min="10" max="10" width="7.28515625" style="6" customWidth="1"/>
    <col min="11" max="11" width="6.28515625" style="6" customWidth="1"/>
    <col min="12" max="13" width="6.85546875" style="6" customWidth="1"/>
    <col min="14" max="14" width="6.28515625" style="6" customWidth="1"/>
    <col min="15" max="15" width="7.28515625" style="6" customWidth="1"/>
    <col min="16" max="16" width="6.85546875" style="6" customWidth="1"/>
    <col min="17" max="17" width="7.28515625" style="6" customWidth="1"/>
    <col min="18" max="18" width="6.28515625" style="5" customWidth="1"/>
    <col min="19" max="21" width="6.85546875" style="5" customWidth="1"/>
    <col min="22" max="22" width="7.28515625" style="5" customWidth="1"/>
    <col min="23" max="23" width="6.85546875" style="5" customWidth="1"/>
    <col min="24" max="24" width="7.28515625" style="5" customWidth="1"/>
    <col min="25" max="27" width="6.85546875" style="5" customWidth="1"/>
    <col min="28" max="28" width="6.85546875" style="6" customWidth="1"/>
    <col min="29" max="29" width="7.28515625" style="6" customWidth="1"/>
    <col min="30" max="30" width="6.85546875" style="6" customWidth="1"/>
    <col min="31" max="31" width="7.28515625" style="6" customWidth="1"/>
    <col min="32" max="35" width="6.85546875" style="6" customWidth="1"/>
    <col min="36" max="36" width="7.28515625" style="6" customWidth="1"/>
    <col min="37" max="37" width="6.85546875" style="6" customWidth="1"/>
    <col min="38" max="38" width="7.28515625" style="6" customWidth="1"/>
    <col min="39" max="42" width="6.85546875" style="6" customWidth="1"/>
    <col min="43" max="43" width="7.28515625" style="6" customWidth="1"/>
    <col min="44" max="44" width="6.85546875" style="6" customWidth="1"/>
    <col min="45" max="45" width="7.28515625" style="6" customWidth="1"/>
    <col min="46" max="49" width="6.85546875" style="6" customWidth="1"/>
    <col min="50" max="50" width="7.28515625" style="6" customWidth="1"/>
    <col min="51" max="51" width="6.85546875" style="6" customWidth="1"/>
    <col min="52" max="52" width="7.28515625" style="6" customWidth="1"/>
    <col min="53" max="61" width="6.85546875" style="6" customWidth="1"/>
    <col min="62" max="62" width="7.28515625" style="6" customWidth="1"/>
    <col min="63" max="63" width="6.85546875" style="6" customWidth="1"/>
    <col min="64" max="66" width="7.28515625" style="6" customWidth="1"/>
    <col min="67" max="67" width="6.85546875" style="6" customWidth="1"/>
    <col min="68" max="69" width="7.28515625" style="6" customWidth="1"/>
    <col min="70" max="70" width="6.85546875" style="6" customWidth="1"/>
    <col min="71" max="71" width="7.28515625" style="6" customWidth="1"/>
    <col min="72" max="72" width="7" style="6" customWidth="1" collapsed="1"/>
    <col min="73" max="80" width="7" style="6" customWidth="1"/>
    <col min="81" max="85" width="7.5703125" style="6" customWidth="1"/>
    <col min="86" max="87" width="7.28515625" style="6" customWidth="1"/>
    <col min="88" max="91" width="7.5703125" style="6" customWidth="1"/>
    <col min="92" max="95" width="7.28515625" style="6" customWidth="1"/>
    <col min="96" max="96" width="7.28515625" style="411" customWidth="1"/>
    <col min="97" max="97" width="8.85546875" style="411" customWidth="1"/>
    <col min="98" max="98" width="8" style="411" customWidth="1"/>
    <col min="99" max="99" width="9.140625" style="411"/>
    <col min="100" max="103" width="9.140625" style="411" customWidth="1"/>
    <col min="104" max="104" width="8.85546875" style="411" customWidth="1"/>
    <col min="105" max="105" width="7.5703125" style="6" customWidth="1"/>
    <col min="106" max="106" width="7.28515625" style="6" customWidth="1"/>
    <col min="107" max="107" width="7.5703125" style="6" customWidth="1"/>
    <col min="108" max="108" width="7.28515625" style="6" customWidth="1"/>
    <col min="109" max="109" width="8.5703125" style="6" customWidth="1"/>
    <col min="110" max="110" width="9.140625" style="411" customWidth="1"/>
    <col min="111" max="111" width="8.85546875" style="411" customWidth="1"/>
    <col min="112" max="112" width="9.140625" style="411" customWidth="1"/>
    <col min="113" max="113" width="8.85546875" style="411" customWidth="1"/>
    <col min="114" max="114" width="9.140625" style="411"/>
    <col min="115" max="115" width="8.85546875" style="411" customWidth="1"/>
    <col min="116" max="16384" width="9.140625" style="6"/>
  </cols>
  <sheetData>
    <row r="1" spans="2:115">
      <c r="B1" s="612" t="s">
        <v>1132</v>
      </c>
      <c r="C1" s="612"/>
      <c r="D1" s="617"/>
      <c r="E1" s="617"/>
      <c r="G1" s="613"/>
      <c r="H1" s="613"/>
      <c r="I1" s="613"/>
      <c r="K1" s="613"/>
      <c r="L1" s="613"/>
      <c r="M1" s="613"/>
      <c r="N1" s="613"/>
      <c r="O1" s="613"/>
      <c r="P1" s="613"/>
      <c r="Q1" s="613"/>
      <c r="R1" s="613"/>
      <c r="S1" s="613"/>
      <c r="T1" s="613"/>
      <c r="U1" s="613"/>
      <c r="V1" s="613"/>
      <c r="W1" s="616"/>
      <c r="X1" s="616"/>
      <c r="CE1" s="260"/>
      <c r="CF1" s="260"/>
      <c r="CH1" s="260"/>
      <c r="CJ1" s="260"/>
      <c r="CK1" s="260"/>
      <c r="CM1" s="260"/>
      <c r="CO1" s="260"/>
      <c r="CR1" s="410"/>
      <c r="DA1" s="260"/>
      <c r="DC1" s="260"/>
      <c r="DE1" s="260"/>
    </row>
    <row r="2" spans="2:115">
      <c r="W2" s="14"/>
      <c r="X2" s="209"/>
      <c r="AE2" s="208"/>
      <c r="AL2" s="208"/>
      <c r="AS2" s="208"/>
      <c r="AZ2" s="208"/>
      <c r="BG2" s="208"/>
      <c r="BN2" s="208"/>
      <c r="BU2" s="208">
        <f>BU33+BU44+BU55</f>
        <v>486.6</v>
      </c>
      <c r="BV2" s="242"/>
      <c r="BW2" s="242"/>
      <c r="BY2" s="242"/>
      <c r="CB2" s="243"/>
      <c r="CC2" s="242"/>
      <c r="CE2" s="260"/>
      <c r="CF2" s="260"/>
      <c r="CH2" s="260"/>
      <c r="CJ2" s="260"/>
      <c r="CK2" s="260"/>
      <c r="CM2" s="260"/>
      <c r="CO2" s="260"/>
      <c r="CR2" s="410"/>
      <c r="DA2" s="260"/>
      <c r="DC2" s="260"/>
      <c r="DD2" s="208"/>
      <c r="DE2" s="260"/>
    </row>
    <row r="3" spans="2:115" ht="18" customHeight="1">
      <c r="B3" s="78" t="s">
        <v>313</v>
      </c>
      <c r="C3" s="78" t="s">
        <v>61</v>
      </c>
      <c r="D3" s="44" t="s">
        <v>3</v>
      </c>
      <c r="E3" s="44" t="s">
        <v>5</v>
      </c>
      <c r="F3" s="44" t="s">
        <v>62</v>
      </c>
      <c r="G3" s="44" t="s">
        <v>6</v>
      </c>
      <c r="H3" s="44" t="s">
        <v>63</v>
      </c>
      <c r="I3" s="44" t="s">
        <v>7</v>
      </c>
      <c r="J3" s="44">
        <v>2005</v>
      </c>
      <c r="K3" s="52" t="s">
        <v>8</v>
      </c>
      <c r="L3" s="52" t="s">
        <v>10</v>
      </c>
      <c r="M3" s="52" t="s">
        <v>64</v>
      </c>
      <c r="N3" s="52" t="s">
        <v>11</v>
      </c>
      <c r="O3" s="52" t="s">
        <v>65</v>
      </c>
      <c r="P3" s="52" t="s">
        <v>12</v>
      </c>
      <c r="Q3" s="44">
        <v>2006</v>
      </c>
      <c r="R3" s="52" t="s">
        <v>13</v>
      </c>
      <c r="S3" s="52" t="s">
        <v>14</v>
      </c>
      <c r="T3" s="52" t="s">
        <v>66</v>
      </c>
      <c r="U3" s="52" t="s">
        <v>95</v>
      </c>
      <c r="V3" s="52" t="s">
        <v>67</v>
      </c>
      <c r="W3" s="52" t="s">
        <v>96</v>
      </c>
      <c r="X3" s="52">
        <v>2007</v>
      </c>
      <c r="Y3" s="52" t="s">
        <v>97</v>
      </c>
      <c r="Z3" s="52" t="s">
        <v>98</v>
      </c>
      <c r="AA3" s="52" t="s">
        <v>68</v>
      </c>
      <c r="AB3" s="52" t="s">
        <v>99</v>
      </c>
      <c r="AC3" s="52" t="s">
        <v>69</v>
      </c>
      <c r="AD3" s="52" t="s">
        <v>100</v>
      </c>
      <c r="AE3" s="52">
        <v>2008</v>
      </c>
      <c r="AF3" s="52" t="s">
        <v>101</v>
      </c>
      <c r="AG3" s="52" t="s">
        <v>102</v>
      </c>
      <c r="AH3" s="52" t="s">
        <v>70</v>
      </c>
      <c r="AI3" s="52" t="s">
        <v>103</v>
      </c>
      <c r="AJ3" s="52" t="s">
        <v>71</v>
      </c>
      <c r="AK3" s="52" t="s">
        <v>104</v>
      </c>
      <c r="AL3" s="52">
        <v>2009</v>
      </c>
      <c r="AM3" s="52" t="s">
        <v>105</v>
      </c>
      <c r="AN3" s="52" t="s">
        <v>106</v>
      </c>
      <c r="AO3" s="52" t="s">
        <v>72</v>
      </c>
      <c r="AP3" s="52" t="s">
        <v>107</v>
      </c>
      <c r="AQ3" s="52" t="s">
        <v>73</v>
      </c>
      <c r="AR3" s="52" t="s">
        <v>110</v>
      </c>
      <c r="AS3" s="52">
        <v>2010</v>
      </c>
      <c r="AT3" s="52" t="s">
        <v>220</v>
      </c>
      <c r="AU3" s="52" t="s">
        <v>253</v>
      </c>
      <c r="AV3" s="52" t="s">
        <v>254</v>
      </c>
      <c r="AW3" s="52" t="s">
        <v>283</v>
      </c>
      <c r="AX3" s="52" t="s">
        <v>284</v>
      </c>
      <c r="AY3" s="52" t="s">
        <v>287</v>
      </c>
      <c r="AZ3" s="52">
        <v>2011</v>
      </c>
      <c r="BA3" s="52" t="s">
        <v>293</v>
      </c>
      <c r="BB3" s="52" t="s">
        <v>299</v>
      </c>
      <c r="BC3" s="52" t="s">
        <v>300</v>
      </c>
      <c r="BD3" s="52" t="s">
        <v>305</v>
      </c>
      <c r="BE3" s="52" t="s">
        <v>306</v>
      </c>
      <c r="BF3" s="52" t="s">
        <v>308</v>
      </c>
      <c r="BG3" s="52">
        <v>2012</v>
      </c>
      <c r="BH3" s="52" t="s">
        <v>316</v>
      </c>
      <c r="BI3" s="52" t="s">
        <v>324</v>
      </c>
      <c r="BJ3" s="52" t="s">
        <v>325</v>
      </c>
      <c r="BK3" s="52" t="s">
        <v>328</v>
      </c>
      <c r="BL3" s="52" t="s">
        <v>329</v>
      </c>
      <c r="BM3" s="52" t="s">
        <v>333</v>
      </c>
      <c r="BN3" s="52">
        <v>2013</v>
      </c>
      <c r="BO3" s="52" t="s">
        <v>336</v>
      </c>
      <c r="BP3" s="52" t="s">
        <v>345</v>
      </c>
      <c r="BQ3" s="52" t="s">
        <v>346</v>
      </c>
      <c r="BR3" s="52" t="s">
        <v>349</v>
      </c>
      <c r="BS3" s="52" t="s">
        <v>350</v>
      </c>
      <c r="BT3" s="52" t="s">
        <v>356</v>
      </c>
      <c r="BU3" s="52">
        <v>2014</v>
      </c>
      <c r="BV3" s="52" t="s">
        <v>361</v>
      </c>
      <c r="BW3" s="52" t="s">
        <v>371</v>
      </c>
      <c r="BX3" s="52" t="s">
        <v>372</v>
      </c>
      <c r="BY3" s="52" t="s">
        <v>393</v>
      </c>
      <c r="BZ3" s="52" t="s">
        <v>394</v>
      </c>
      <c r="CA3" s="52" t="s">
        <v>396</v>
      </c>
      <c r="CB3" s="52">
        <v>2015</v>
      </c>
      <c r="CC3" s="52" t="s">
        <v>455</v>
      </c>
      <c r="CD3" s="52" t="s">
        <v>819</v>
      </c>
      <c r="CE3" s="52" t="s">
        <v>846</v>
      </c>
      <c r="CF3" s="52" t="s">
        <v>1077</v>
      </c>
      <c r="CG3" s="52" t="s">
        <v>1081</v>
      </c>
      <c r="CH3" s="52" t="s">
        <v>1124</v>
      </c>
      <c r="CI3" s="52">
        <v>2016</v>
      </c>
      <c r="CJ3" s="52" t="s">
        <v>1163</v>
      </c>
      <c r="CK3" s="52" t="s">
        <v>1172</v>
      </c>
      <c r="CL3" s="52" t="s">
        <v>1202</v>
      </c>
      <c r="CM3" s="52" t="s">
        <v>1198</v>
      </c>
      <c r="CN3" s="52" t="s">
        <v>1223</v>
      </c>
      <c r="CO3" s="52" t="s">
        <v>1220</v>
      </c>
      <c r="CP3" s="52">
        <v>2017</v>
      </c>
      <c r="CQ3" s="52" t="s">
        <v>1251</v>
      </c>
      <c r="CR3" s="412" t="s">
        <v>1256</v>
      </c>
      <c r="CS3" s="412" t="s">
        <v>1257</v>
      </c>
      <c r="CT3" s="412" t="s">
        <v>1279</v>
      </c>
      <c r="CU3" s="412" t="s">
        <v>1314</v>
      </c>
      <c r="CV3" s="412" t="s">
        <v>1307</v>
      </c>
      <c r="CW3" s="412">
        <v>2018</v>
      </c>
      <c r="CX3" s="412" t="s">
        <v>1358</v>
      </c>
      <c r="CY3" s="412" t="s">
        <v>1362</v>
      </c>
      <c r="CZ3" s="412" t="s">
        <v>1373</v>
      </c>
      <c r="DA3" s="52" t="s">
        <v>1387</v>
      </c>
      <c r="DB3" s="52" t="s">
        <v>1394</v>
      </c>
      <c r="DC3" s="52" t="s">
        <v>1432</v>
      </c>
      <c r="DD3" s="52">
        <v>2019</v>
      </c>
      <c r="DE3" s="52" t="s">
        <v>1438</v>
      </c>
      <c r="DF3" s="412" t="s">
        <v>1458</v>
      </c>
      <c r="DG3" s="412" t="s">
        <v>1459</v>
      </c>
      <c r="DH3" s="412" t="s">
        <v>1452</v>
      </c>
      <c r="DI3" s="412" t="s">
        <v>1466</v>
      </c>
      <c r="DJ3" s="412" t="s">
        <v>1520</v>
      </c>
      <c r="DK3" s="412">
        <v>2020</v>
      </c>
    </row>
    <row r="4" spans="2:115" s="9" customFormat="1" ht="18" customHeight="1">
      <c r="B4" s="79" t="s">
        <v>419</v>
      </c>
      <c r="C4" s="79" t="s">
        <v>420</v>
      </c>
      <c r="D4" s="234">
        <f t="shared" ref="D4:AI4" si="0">+D31+D40+D51</f>
        <v>62</v>
      </c>
      <c r="E4" s="234">
        <f t="shared" si="0"/>
        <v>64</v>
      </c>
      <c r="F4" s="234">
        <f t="shared" si="0"/>
        <v>64</v>
      </c>
      <c r="G4" s="234">
        <f t="shared" si="0"/>
        <v>64</v>
      </c>
      <c r="H4" s="234">
        <f t="shared" si="0"/>
        <v>64</v>
      </c>
      <c r="I4" s="234">
        <f t="shared" si="0"/>
        <v>66</v>
      </c>
      <c r="J4" s="234">
        <f t="shared" si="0"/>
        <v>66</v>
      </c>
      <c r="K4" s="234">
        <f t="shared" si="0"/>
        <v>68</v>
      </c>
      <c r="L4" s="234">
        <f t="shared" si="0"/>
        <v>72</v>
      </c>
      <c r="M4" s="234">
        <f t="shared" si="0"/>
        <v>72</v>
      </c>
      <c r="N4" s="234">
        <f t="shared" si="0"/>
        <v>75</v>
      </c>
      <c r="O4" s="234">
        <f t="shared" si="0"/>
        <v>75</v>
      </c>
      <c r="P4" s="234">
        <f t="shared" si="0"/>
        <v>81</v>
      </c>
      <c r="Q4" s="234">
        <f t="shared" si="0"/>
        <v>81</v>
      </c>
      <c r="R4" s="234">
        <f t="shared" si="0"/>
        <v>81</v>
      </c>
      <c r="S4" s="235">
        <f t="shared" si="0"/>
        <v>87</v>
      </c>
      <c r="T4" s="235">
        <f t="shared" si="0"/>
        <v>87</v>
      </c>
      <c r="U4" s="235">
        <f t="shared" si="0"/>
        <v>88</v>
      </c>
      <c r="V4" s="235">
        <f t="shared" si="0"/>
        <v>88</v>
      </c>
      <c r="W4" s="235">
        <f t="shared" si="0"/>
        <v>95</v>
      </c>
      <c r="X4" s="235">
        <f t="shared" si="0"/>
        <v>95</v>
      </c>
      <c r="Y4" s="235">
        <f t="shared" si="0"/>
        <v>96</v>
      </c>
      <c r="Z4" s="235">
        <f t="shared" si="0"/>
        <v>101</v>
      </c>
      <c r="AA4" s="235">
        <f t="shared" si="0"/>
        <v>101</v>
      </c>
      <c r="AB4" s="235">
        <f t="shared" si="0"/>
        <v>103</v>
      </c>
      <c r="AC4" s="235">
        <f t="shared" si="0"/>
        <v>103</v>
      </c>
      <c r="AD4" s="235">
        <f t="shared" si="0"/>
        <v>110</v>
      </c>
      <c r="AE4" s="235">
        <f t="shared" si="0"/>
        <v>110</v>
      </c>
      <c r="AF4" s="235">
        <f t="shared" si="0"/>
        <v>110</v>
      </c>
      <c r="AG4" s="235">
        <f t="shared" si="0"/>
        <v>115</v>
      </c>
      <c r="AH4" s="235">
        <f t="shared" si="0"/>
        <v>115</v>
      </c>
      <c r="AI4" s="235">
        <f t="shared" si="0"/>
        <v>116</v>
      </c>
      <c r="AJ4" s="235">
        <f t="shared" ref="AJ4:BO4" si="1">+AJ31+AJ40+AJ51</f>
        <v>116</v>
      </c>
      <c r="AK4" s="235">
        <f t="shared" si="1"/>
        <v>120</v>
      </c>
      <c r="AL4" s="235">
        <f t="shared" si="1"/>
        <v>120</v>
      </c>
      <c r="AM4" s="235">
        <f t="shared" si="1"/>
        <v>121</v>
      </c>
      <c r="AN4" s="235">
        <f t="shared" si="1"/>
        <v>125</v>
      </c>
      <c r="AO4" s="235">
        <f t="shared" si="1"/>
        <v>125</v>
      </c>
      <c r="AP4" s="235">
        <f t="shared" si="1"/>
        <v>126</v>
      </c>
      <c r="AQ4" s="235">
        <f t="shared" si="1"/>
        <v>126</v>
      </c>
      <c r="AR4" s="235">
        <f t="shared" si="1"/>
        <v>134</v>
      </c>
      <c r="AS4" s="235">
        <f t="shared" si="1"/>
        <v>134</v>
      </c>
      <c r="AT4" s="235">
        <f t="shared" si="1"/>
        <v>162</v>
      </c>
      <c r="AU4" s="235">
        <f t="shared" si="1"/>
        <v>172</v>
      </c>
      <c r="AV4" s="235">
        <f t="shared" si="1"/>
        <v>172</v>
      </c>
      <c r="AW4" s="235">
        <f t="shared" si="1"/>
        <v>174</v>
      </c>
      <c r="AX4" s="235">
        <f t="shared" si="1"/>
        <v>174</v>
      </c>
      <c r="AY4" s="235">
        <f t="shared" si="1"/>
        <v>197</v>
      </c>
      <c r="AZ4" s="235">
        <f t="shared" si="1"/>
        <v>197</v>
      </c>
      <c r="BA4" s="235">
        <f t="shared" si="1"/>
        <v>200</v>
      </c>
      <c r="BB4" s="235">
        <f t="shared" si="1"/>
        <v>207</v>
      </c>
      <c r="BC4" s="235">
        <f t="shared" si="1"/>
        <v>207</v>
      </c>
      <c r="BD4" s="235">
        <f t="shared" si="1"/>
        <v>211</v>
      </c>
      <c r="BE4" s="235">
        <f t="shared" si="1"/>
        <v>211</v>
      </c>
      <c r="BF4" s="235">
        <f t="shared" si="1"/>
        <v>232</v>
      </c>
      <c r="BG4" s="235">
        <f t="shared" si="1"/>
        <v>232</v>
      </c>
      <c r="BH4" s="235">
        <f t="shared" si="1"/>
        <v>234</v>
      </c>
      <c r="BI4" s="235">
        <f t="shared" si="1"/>
        <v>243</v>
      </c>
      <c r="BJ4" s="235">
        <f t="shared" si="1"/>
        <v>243</v>
      </c>
      <c r="BK4" s="235">
        <f t="shared" si="1"/>
        <v>260</v>
      </c>
      <c r="BL4" s="235">
        <f t="shared" si="1"/>
        <v>260</v>
      </c>
      <c r="BM4" s="235">
        <f t="shared" si="1"/>
        <v>278</v>
      </c>
      <c r="BN4" s="235">
        <f t="shared" si="1"/>
        <v>278</v>
      </c>
      <c r="BO4" s="235">
        <f t="shared" si="1"/>
        <v>281</v>
      </c>
      <c r="BP4" s="235">
        <f t="shared" ref="BP4:CD4" si="2">+BP31+BP40+BP51</f>
        <v>303</v>
      </c>
      <c r="BQ4" s="235">
        <f t="shared" si="2"/>
        <v>303</v>
      </c>
      <c r="BR4" s="235">
        <f t="shared" si="2"/>
        <v>313</v>
      </c>
      <c r="BS4" s="235">
        <f t="shared" si="2"/>
        <v>313</v>
      </c>
      <c r="BT4" s="235">
        <f t="shared" si="2"/>
        <v>332</v>
      </c>
      <c r="BU4" s="235">
        <f t="shared" si="2"/>
        <v>332</v>
      </c>
      <c r="BV4" s="235">
        <f t="shared" si="2"/>
        <v>332</v>
      </c>
      <c r="BW4" s="235">
        <f t="shared" si="2"/>
        <v>350</v>
      </c>
      <c r="BX4" s="235">
        <f t="shared" si="2"/>
        <v>350</v>
      </c>
      <c r="BY4" s="235">
        <f t="shared" si="2"/>
        <v>356</v>
      </c>
      <c r="BZ4" s="235">
        <f t="shared" si="2"/>
        <v>356</v>
      </c>
      <c r="CA4" s="235">
        <f t="shared" si="2"/>
        <v>380</v>
      </c>
      <c r="CB4" s="235">
        <f t="shared" si="2"/>
        <v>380</v>
      </c>
      <c r="CC4" s="235">
        <f t="shared" si="2"/>
        <v>387</v>
      </c>
      <c r="CD4" s="235">
        <f t="shared" si="2"/>
        <v>408</v>
      </c>
      <c r="CE4" s="235">
        <f t="shared" ref="CE4:CG4" si="3">+CE31+CE40+CE51</f>
        <v>408</v>
      </c>
      <c r="CF4" s="235">
        <f>+CF31+CF40+CF51</f>
        <v>418</v>
      </c>
      <c r="CG4" s="235">
        <f t="shared" si="3"/>
        <v>418</v>
      </c>
      <c r="CH4" s="235">
        <f>+CH31+CH40+CH51</f>
        <v>444</v>
      </c>
      <c r="CI4" s="235">
        <f t="shared" ref="CI4" si="4">+CI31+CI40+CI51</f>
        <v>444</v>
      </c>
      <c r="CJ4" s="235">
        <f>+CJ31+CJ40+CJ51</f>
        <v>451</v>
      </c>
      <c r="CK4" s="235">
        <f>+CK31+CK40+CK51</f>
        <v>473</v>
      </c>
      <c r="CL4" s="235">
        <f t="shared" ref="CL4:CN4" si="5">+CL31+CL40+CL51</f>
        <v>473</v>
      </c>
      <c r="CM4" s="235">
        <f>+CM31+CM40+CM51</f>
        <v>490</v>
      </c>
      <c r="CN4" s="235">
        <f t="shared" si="5"/>
        <v>490</v>
      </c>
      <c r="CO4" s="235">
        <f>+CO31+CO40+CO51</f>
        <v>512</v>
      </c>
      <c r="CP4" s="235">
        <f t="shared" ref="CP4" si="6">+CP31+CP40+CP51</f>
        <v>512</v>
      </c>
      <c r="CQ4" s="235">
        <f t="shared" ref="CQ4:CU5" si="7">+CQ31+CQ40+CQ51</f>
        <v>509</v>
      </c>
      <c r="CR4" s="235">
        <f t="shared" si="7"/>
        <v>527</v>
      </c>
      <c r="CS4" s="235">
        <f t="shared" si="7"/>
        <v>527</v>
      </c>
      <c r="CT4" s="235">
        <f t="shared" si="7"/>
        <v>537</v>
      </c>
      <c r="CU4" s="235">
        <f t="shared" si="7"/>
        <v>537</v>
      </c>
      <c r="CV4" s="235">
        <f>CV31+CV40+CV51</f>
        <v>556</v>
      </c>
      <c r="CW4" s="235">
        <f>CV4</f>
        <v>556</v>
      </c>
      <c r="CX4" s="235">
        <f>CX31+CX40+CX51</f>
        <v>558</v>
      </c>
      <c r="CY4" s="235">
        <f>CY31+CY40+CY51</f>
        <v>570</v>
      </c>
      <c r="CZ4" s="235">
        <f t="shared" ref="CZ4" si="8">+CZ31+CZ40+CZ51</f>
        <v>570</v>
      </c>
      <c r="DA4" s="235">
        <f>+DA31+DA40+DA51</f>
        <v>577</v>
      </c>
      <c r="DB4" s="235">
        <f t="shared" ref="DB4:DD4" si="9">+DB31+DB40+DB51</f>
        <v>577</v>
      </c>
      <c r="DC4" s="235">
        <f>+DC31+DC40+DC51</f>
        <v>603</v>
      </c>
      <c r="DD4" s="235">
        <f t="shared" si="9"/>
        <v>603</v>
      </c>
      <c r="DE4" s="235">
        <f>+DE31+DE40+DE51</f>
        <v>597</v>
      </c>
      <c r="DF4" s="235">
        <f>DF31+DF40+DF51</f>
        <v>597</v>
      </c>
      <c r="DG4" s="235">
        <f t="shared" ref="DG4:DI4" si="10">+DG31+DG40+DG51</f>
        <v>597</v>
      </c>
      <c r="DH4" s="235">
        <f>DH31+DH40+DH51</f>
        <v>605</v>
      </c>
      <c r="DI4" s="235">
        <f t="shared" si="10"/>
        <v>605</v>
      </c>
      <c r="DJ4" s="235">
        <f>DJ31+DJ40+DJ51</f>
        <v>606</v>
      </c>
      <c r="DK4" s="235">
        <f t="shared" ref="DK4" si="11">+DK31+DK40+DK51</f>
        <v>606</v>
      </c>
    </row>
    <row r="5" spans="2:115" s="9" customFormat="1" ht="18" customHeight="1">
      <c r="B5" s="79" t="s">
        <v>1180</v>
      </c>
      <c r="C5" s="231" t="s">
        <v>1150</v>
      </c>
      <c r="D5" s="234">
        <f t="shared" ref="D5:AI5" si="12">+D32+D41+D52</f>
        <v>0</v>
      </c>
      <c r="E5" s="234">
        <f t="shared" si="12"/>
        <v>2</v>
      </c>
      <c r="F5" s="234">
        <f t="shared" si="12"/>
        <v>2</v>
      </c>
      <c r="G5" s="234">
        <f t="shared" si="12"/>
        <v>0</v>
      </c>
      <c r="H5" s="234">
        <f t="shared" si="12"/>
        <v>2</v>
      </c>
      <c r="I5" s="234">
        <f t="shared" si="12"/>
        <v>2</v>
      </c>
      <c r="J5" s="234">
        <f t="shared" si="12"/>
        <v>4</v>
      </c>
      <c r="K5" s="234">
        <f t="shared" si="12"/>
        <v>2</v>
      </c>
      <c r="L5" s="234">
        <f t="shared" si="12"/>
        <v>4</v>
      </c>
      <c r="M5" s="234">
        <f t="shared" si="12"/>
        <v>6</v>
      </c>
      <c r="N5" s="234">
        <f t="shared" si="12"/>
        <v>3</v>
      </c>
      <c r="O5" s="234">
        <f t="shared" si="12"/>
        <v>9</v>
      </c>
      <c r="P5" s="234">
        <f t="shared" si="12"/>
        <v>6</v>
      </c>
      <c r="Q5" s="234">
        <f t="shared" si="12"/>
        <v>15</v>
      </c>
      <c r="R5" s="234">
        <f t="shared" si="12"/>
        <v>0</v>
      </c>
      <c r="S5" s="235">
        <f t="shared" si="12"/>
        <v>6</v>
      </c>
      <c r="T5" s="235">
        <f t="shared" si="12"/>
        <v>6</v>
      </c>
      <c r="U5" s="235">
        <f t="shared" si="12"/>
        <v>1</v>
      </c>
      <c r="V5" s="235">
        <f t="shared" si="12"/>
        <v>7</v>
      </c>
      <c r="W5" s="235">
        <f t="shared" si="12"/>
        <v>7</v>
      </c>
      <c r="X5" s="235">
        <f t="shared" si="12"/>
        <v>14</v>
      </c>
      <c r="Y5" s="235">
        <f t="shared" si="12"/>
        <v>1</v>
      </c>
      <c r="Z5" s="235">
        <f t="shared" si="12"/>
        <v>5</v>
      </c>
      <c r="AA5" s="235">
        <f t="shared" si="12"/>
        <v>6</v>
      </c>
      <c r="AB5" s="235">
        <f t="shared" si="12"/>
        <v>2</v>
      </c>
      <c r="AC5" s="235">
        <f t="shared" si="12"/>
        <v>8</v>
      </c>
      <c r="AD5" s="235">
        <f t="shared" si="12"/>
        <v>7</v>
      </c>
      <c r="AE5" s="235">
        <f t="shared" si="12"/>
        <v>15</v>
      </c>
      <c r="AF5" s="235">
        <f t="shared" si="12"/>
        <v>0</v>
      </c>
      <c r="AG5" s="235">
        <f t="shared" si="12"/>
        <v>5</v>
      </c>
      <c r="AH5" s="235">
        <f t="shared" si="12"/>
        <v>5</v>
      </c>
      <c r="AI5" s="235">
        <f t="shared" si="12"/>
        <v>1</v>
      </c>
      <c r="AJ5" s="235">
        <f t="shared" ref="AJ5:BO5" si="13">+AJ32+AJ41+AJ52</f>
        <v>6</v>
      </c>
      <c r="AK5" s="235">
        <f t="shared" si="13"/>
        <v>4</v>
      </c>
      <c r="AL5" s="235">
        <f t="shared" si="13"/>
        <v>10</v>
      </c>
      <c r="AM5" s="235">
        <f t="shared" si="13"/>
        <v>1</v>
      </c>
      <c r="AN5" s="235">
        <f t="shared" si="13"/>
        <v>4</v>
      </c>
      <c r="AO5" s="235">
        <f t="shared" si="13"/>
        <v>5</v>
      </c>
      <c r="AP5" s="235">
        <f t="shared" si="13"/>
        <v>1</v>
      </c>
      <c r="AQ5" s="235">
        <f t="shared" si="13"/>
        <v>6</v>
      </c>
      <c r="AR5" s="235">
        <f t="shared" si="13"/>
        <v>8</v>
      </c>
      <c r="AS5" s="235">
        <f t="shared" si="13"/>
        <v>14</v>
      </c>
      <c r="AT5" s="235">
        <f t="shared" si="13"/>
        <v>28</v>
      </c>
      <c r="AU5" s="235">
        <f t="shared" si="13"/>
        <v>10</v>
      </c>
      <c r="AV5" s="235">
        <f t="shared" si="13"/>
        <v>38</v>
      </c>
      <c r="AW5" s="235">
        <f t="shared" si="13"/>
        <v>2</v>
      </c>
      <c r="AX5" s="235">
        <f t="shared" si="13"/>
        <v>40</v>
      </c>
      <c r="AY5" s="235">
        <f t="shared" si="13"/>
        <v>23</v>
      </c>
      <c r="AZ5" s="235">
        <f t="shared" si="13"/>
        <v>63</v>
      </c>
      <c r="BA5" s="235">
        <f t="shared" si="13"/>
        <v>3</v>
      </c>
      <c r="BB5" s="235">
        <f t="shared" si="13"/>
        <v>7</v>
      </c>
      <c r="BC5" s="235">
        <f t="shared" si="13"/>
        <v>10</v>
      </c>
      <c r="BD5" s="235">
        <f t="shared" si="13"/>
        <v>4</v>
      </c>
      <c r="BE5" s="235">
        <f t="shared" si="13"/>
        <v>14</v>
      </c>
      <c r="BF5" s="235">
        <f t="shared" si="13"/>
        <v>21</v>
      </c>
      <c r="BG5" s="235">
        <f t="shared" si="13"/>
        <v>35</v>
      </c>
      <c r="BH5" s="235">
        <f t="shared" si="13"/>
        <v>2</v>
      </c>
      <c r="BI5" s="235">
        <f t="shared" si="13"/>
        <v>9</v>
      </c>
      <c r="BJ5" s="235">
        <f t="shared" si="13"/>
        <v>11</v>
      </c>
      <c r="BK5" s="235">
        <f t="shared" si="13"/>
        <v>17</v>
      </c>
      <c r="BL5" s="235">
        <f t="shared" si="13"/>
        <v>28</v>
      </c>
      <c r="BM5" s="235">
        <f t="shared" si="13"/>
        <v>18</v>
      </c>
      <c r="BN5" s="235">
        <f t="shared" si="13"/>
        <v>46</v>
      </c>
      <c r="BO5" s="235">
        <f t="shared" si="13"/>
        <v>3</v>
      </c>
      <c r="BP5" s="235">
        <f t="shared" ref="BP5:CD5" si="14">+BP32+BP41+BP52</f>
        <v>22</v>
      </c>
      <c r="BQ5" s="235">
        <f t="shared" si="14"/>
        <v>25</v>
      </c>
      <c r="BR5" s="235">
        <f t="shared" si="14"/>
        <v>10</v>
      </c>
      <c r="BS5" s="235">
        <f t="shared" si="14"/>
        <v>35</v>
      </c>
      <c r="BT5" s="235">
        <f t="shared" si="14"/>
        <v>19</v>
      </c>
      <c r="BU5" s="235">
        <f t="shared" si="14"/>
        <v>54</v>
      </c>
      <c r="BV5" s="235">
        <f t="shared" si="14"/>
        <v>0</v>
      </c>
      <c r="BW5" s="235">
        <f t="shared" si="14"/>
        <v>18</v>
      </c>
      <c r="BX5" s="235">
        <f t="shared" si="14"/>
        <v>18</v>
      </c>
      <c r="BY5" s="235">
        <f t="shared" si="14"/>
        <v>6</v>
      </c>
      <c r="BZ5" s="235">
        <f t="shared" si="14"/>
        <v>24</v>
      </c>
      <c r="CA5" s="235">
        <f t="shared" si="14"/>
        <v>24</v>
      </c>
      <c r="CB5" s="235">
        <f t="shared" si="14"/>
        <v>48</v>
      </c>
      <c r="CC5" s="235">
        <f t="shared" si="14"/>
        <v>7</v>
      </c>
      <c r="CD5" s="235">
        <f t="shared" si="14"/>
        <v>21</v>
      </c>
      <c r="CE5" s="235">
        <f t="shared" ref="CE5:CG5" si="15">+CE32+CE41+CE52</f>
        <v>28</v>
      </c>
      <c r="CF5" s="235">
        <f>+CF32+CF41+CF52</f>
        <v>10</v>
      </c>
      <c r="CG5" s="235">
        <f t="shared" si="15"/>
        <v>38</v>
      </c>
      <c r="CH5" s="235">
        <f>+CH32+CH41+CH52</f>
        <v>26</v>
      </c>
      <c r="CI5" s="235">
        <f t="shared" ref="CI5" si="16">+CI32+CI41+CI52</f>
        <v>64</v>
      </c>
      <c r="CJ5" s="235">
        <f>+CJ32+CJ41+CJ52</f>
        <v>7</v>
      </c>
      <c r="CK5" s="235">
        <f>+CK32+CK41+CK52</f>
        <v>22</v>
      </c>
      <c r="CL5" s="235">
        <f t="shared" ref="CL5:CN5" si="17">+CL32+CL41+CL52</f>
        <v>29</v>
      </c>
      <c r="CM5" s="235">
        <f>+CM32+CM41+CM52</f>
        <v>17</v>
      </c>
      <c r="CN5" s="235">
        <f t="shared" si="17"/>
        <v>46</v>
      </c>
      <c r="CO5" s="235">
        <f>+CO32+CO41+CO52</f>
        <v>22</v>
      </c>
      <c r="CP5" s="235">
        <f t="shared" ref="CP5" si="18">+CP32+CP41+CP52</f>
        <v>68</v>
      </c>
      <c r="CQ5" s="235">
        <f t="shared" si="7"/>
        <v>-3</v>
      </c>
      <c r="CR5" s="235">
        <f t="shared" si="7"/>
        <v>18</v>
      </c>
      <c r="CS5" s="235">
        <f t="shared" si="7"/>
        <v>15</v>
      </c>
      <c r="CT5" s="235">
        <f t="shared" si="7"/>
        <v>10</v>
      </c>
      <c r="CU5" s="235">
        <f t="shared" si="7"/>
        <v>25</v>
      </c>
      <c r="CV5" s="235">
        <f>+CV32+CV41+CV52</f>
        <v>19</v>
      </c>
      <c r="CW5" s="235">
        <f>CU5+CV5</f>
        <v>44</v>
      </c>
      <c r="CX5" s="235">
        <f>+CX32+CX41+CX52</f>
        <v>2</v>
      </c>
      <c r="CY5" s="235">
        <f t="shared" ref="CY5" si="19">+CY32+CY41+CY52</f>
        <v>12</v>
      </c>
      <c r="CZ5" s="235">
        <f>+CZ32+CZ41+CZ52</f>
        <v>14</v>
      </c>
      <c r="DA5" s="235">
        <f>+DA32+DA41+DA52</f>
        <v>7</v>
      </c>
      <c r="DB5" s="235">
        <f t="shared" ref="DB5:DD5" si="20">+DB32+DB41+DB52</f>
        <v>21</v>
      </c>
      <c r="DC5" s="235">
        <f>+DC32+DC41+DC52</f>
        <v>26</v>
      </c>
      <c r="DD5" s="235">
        <f t="shared" si="20"/>
        <v>47</v>
      </c>
      <c r="DE5" s="235">
        <f>+DE32+DE41+DE52</f>
        <v>-6</v>
      </c>
      <c r="DF5" s="235">
        <f t="shared" ref="DF5:DK5" si="21">+DF32+DF41+DF52</f>
        <v>0</v>
      </c>
      <c r="DG5" s="235">
        <f t="shared" si="21"/>
        <v>-5</v>
      </c>
      <c r="DH5" s="235">
        <f t="shared" si="21"/>
        <v>8</v>
      </c>
      <c r="DI5" s="235">
        <f t="shared" si="21"/>
        <v>2</v>
      </c>
      <c r="DJ5" s="235">
        <f t="shared" si="21"/>
        <v>1</v>
      </c>
      <c r="DK5" s="235">
        <f t="shared" si="21"/>
        <v>3</v>
      </c>
    </row>
    <row r="6" spans="2:115" s="9" customFormat="1" ht="18" hidden="1" customHeight="1">
      <c r="B6" s="79" t="s">
        <v>1440</v>
      </c>
      <c r="C6" s="231"/>
      <c r="D6" s="234"/>
      <c r="E6" s="234"/>
      <c r="F6" s="234"/>
      <c r="G6" s="234"/>
      <c r="H6" s="234"/>
      <c r="I6" s="234"/>
      <c r="J6" s="234"/>
      <c r="K6" s="234"/>
      <c r="L6" s="234"/>
      <c r="M6" s="234"/>
      <c r="N6" s="234"/>
      <c r="O6" s="234"/>
      <c r="P6" s="234"/>
      <c r="Q6" s="234"/>
      <c r="R6" s="234"/>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c r="BQ6" s="235"/>
      <c r="BR6" s="235"/>
      <c r="BS6" s="235"/>
      <c r="BT6" s="235"/>
      <c r="BU6" s="235"/>
      <c r="BV6" s="235"/>
      <c r="BW6" s="235"/>
      <c r="BX6" s="235"/>
      <c r="BY6" s="235"/>
      <c r="BZ6" s="235"/>
      <c r="CA6" s="235"/>
      <c r="CB6" s="235"/>
      <c r="CC6" s="235"/>
      <c r="CD6" s="235"/>
      <c r="CE6" s="235"/>
      <c r="CF6" s="235"/>
      <c r="CG6" s="235"/>
      <c r="CH6" s="235"/>
      <c r="CI6" s="235"/>
      <c r="CJ6" s="235"/>
      <c r="CK6" s="235"/>
      <c r="CL6" s="235"/>
      <c r="CM6" s="235"/>
      <c r="CN6" s="235"/>
      <c r="CO6" s="235"/>
      <c r="CP6" s="235"/>
      <c r="CQ6" s="235"/>
      <c r="CR6" s="235"/>
      <c r="CS6" s="235"/>
      <c r="CT6" s="235"/>
      <c r="CU6" s="235"/>
      <c r="CV6" s="235"/>
      <c r="CW6" s="235"/>
      <c r="CX6" s="235"/>
      <c r="CY6" s="235"/>
      <c r="CZ6" s="235"/>
      <c r="DA6" s="235"/>
      <c r="DB6" s="235"/>
      <c r="DC6" s="235"/>
      <c r="DD6" s="235"/>
      <c r="DE6" s="235"/>
      <c r="DF6" s="235"/>
      <c r="DG6" s="235"/>
      <c r="DH6" s="235"/>
      <c r="DI6" s="235"/>
      <c r="DJ6" s="235"/>
      <c r="DK6" s="235"/>
    </row>
    <row r="7" spans="2:115" s="9" customFormat="1" ht="18" hidden="1" customHeight="1">
      <c r="B7" s="79" t="s">
        <v>1441</v>
      </c>
      <c r="C7" s="231"/>
      <c r="D7" s="234"/>
      <c r="E7" s="234"/>
      <c r="F7" s="234"/>
      <c r="G7" s="234"/>
      <c r="H7" s="234"/>
      <c r="I7" s="234"/>
      <c r="J7" s="234"/>
      <c r="K7" s="234"/>
      <c r="L7" s="234"/>
      <c r="M7" s="234"/>
      <c r="N7" s="234"/>
      <c r="O7" s="234"/>
      <c r="P7" s="234"/>
      <c r="Q7" s="234"/>
      <c r="R7" s="234"/>
      <c r="S7" s="235"/>
      <c r="T7" s="235"/>
      <c r="U7" s="235"/>
      <c r="V7" s="235"/>
      <c r="W7" s="235"/>
      <c r="X7" s="235"/>
      <c r="Y7" s="235"/>
      <c r="Z7" s="235"/>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c r="BQ7" s="235"/>
      <c r="BR7" s="235"/>
      <c r="BS7" s="235"/>
      <c r="BT7" s="235"/>
      <c r="BU7" s="235"/>
      <c r="BV7" s="235"/>
      <c r="BW7" s="235"/>
      <c r="BX7" s="235"/>
      <c r="BY7" s="235"/>
      <c r="BZ7" s="235"/>
      <c r="CA7" s="235"/>
      <c r="CB7" s="235"/>
      <c r="CC7" s="235"/>
      <c r="CD7" s="235"/>
      <c r="CE7" s="235"/>
      <c r="CF7" s="235"/>
      <c r="CG7" s="235"/>
      <c r="CH7" s="235"/>
      <c r="CI7" s="235"/>
      <c r="CJ7" s="235"/>
      <c r="CK7" s="235"/>
      <c r="CL7" s="235"/>
      <c r="CM7" s="235"/>
      <c r="CN7" s="235"/>
      <c r="CO7" s="235"/>
      <c r="CP7" s="235"/>
      <c r="CQ7" s="235"/>
      <c r="CR7" s="235"/>
      <c r="CS7" s="235"/>
      <c r="CT7" s="235"/>
      <c r="CU7" s="235"/>
      <c r="CV7" s="235"/>
      <c r="CW7" s="235"/>
      <c r="CX7" s="235"/>
      <c r="CY7" s="235"/>
      <c r="CZ7" s="235"/>
      <c r="DA7" s="235"/>
      <c r="DB7" s="235"/>
      <c r="DC7" s="235"/>
      <c r="DD7" s="235"/>
      <c r="DE7" s="235"/>
      <c r="DF7" s="235"/>
      <c r="DG7" s="235"/>
      <c r="DH7" s="235"/>
      <c r="DI7" s="235"/>
      <c r="DJ7" s="235"/>
      <c r="DK7" s="235"/>
    </row>
    <row r="8" spans="2:115" s="9" customFormat="1" ht="18" customHeight="1">
      <c r="B8" s="79" t="s">
        <v>1439</v>
      </c>
      <c r="C8" s="231"/>
      <c r="D8" s="234">
        <f>D33+D44+D55</f>
        <v>143.1</v>
      </c>
      <c r="E8" s="234">
        <f t="shared" ref="E8:BP8" si="22">E33+E44+E55</f>
        <v>147</v>
      </c>
      <c r="F8" s="234">
        <f t="shared" si="22"/>
        <v>147</v>
      </c>
      <c r="G8" s="234">
        <f t="shared" si="22"/>
        <v>147</v>
      </c>
      <c r="H8" s="234">
        <f t="shared" si="22"/>
        <v>147</v>
      </c>
      <c r="I8" s="234">
        <f t="shared" si="22"/>
        <v>150.69999999999999</v>
      </c>
      <c r="J8" s="234">
        <f t="shared" si="22"/>
        <v>150.69999999999999</v>
      </c>
      <c r="K8" s="234">
        <f t="shared" si="22"/>
        <v>154.69999999999999</v>
      </c>
      <c r="L8" s="234">
        <f t="shared" si="22"/>
        <v>161.30000000000001</v>
      </c>
      <c r="M8" s="234">
        <f t="shared" si="22"/>
        <v>161.30000000000001</v>
      </c>
      <c r="N8" s="234">
        <f t="shared" si="22"/>
        <v>167.5</v>
      </c>
      <c r="O8" s="234">
        <f t="shared" si="22"/>
        <v>167.5</v>
      </c>
      <c r="P8" s="234">
        <f t="shared" si="22"/>
        <v>178</v>
      </c>
      <c r="Q8" s="234">
        <f t="shared" si="22"/>
        <v>178</v>
      </c>
      <c r="R8" s="234">
        <f t="shared" si="22"/>
        <v>178</v>
      </c>
      <c r="S8" s="234">
        <f t="shared" si="22"/>
        <v>187.5</v>
      </c>
      <c r="T8" s="234">
        <f t="shared" si="22"/>
        <v>187.5</v>
      </c>
      <c r="U8" s="234">
        <f t="shared" si="22"/>
        <v>190</v>
      </c>
      <c r="V8" s="234">
        <f t="shared" si="22"/>
        <v>190</v>
      </c>
      <c r="W8" s="234">
        <f t="shared" si="22"/>
        <v>203.5</v>
      </c>
      <c r="X8" s="234">
        <f t="shared" si="22"/>
        <v>203.5</v>
      </c>
      <c r="Y8" s="234">
        <f t="shared" si="22"/>
        <v>205.4</v>
      </c>
      <c r="Z8" s="234">
        <f t="shared" si="22"/>
        <v>214.3</v>
      </c>
      <c r="AA8" s="234">
        <f t="shared" si="22"/>
        <v>214.3</v>
      </c>
      <c r="AB8" s="234">
        <f t="shared" si="22"/>
        <v>217.6</v>
      </c>
      <c r="AC8" s="234">
        <f t="shared" si="22"/>
        <v>217.6</v>
      </c>
      <c r="AD8" s="234">
        <f t="shared" si="22"/>
        <v>229.7</v>
      </c>
      <c r="AE8" s="234">
        <f t="shared" si="22"/>
        <v>229.7</v>
      </c>
      <c r="AF8" s="234">
        <f t="shared" si="22"/>
        <v>229.7</v>
      </c>
      <c r="AG8" s="234">
        <f t="shared" si="22"/>
        <v>240.6</v>
      </c>
      <c r="AH8" s="234">
        <f t="shared" si="22"/>
        <v>240.6</v>
      </c>
      <c r="AI8" s="234">
        <f t="shared" si="22"/>
        <v>242.5</v>
      </c>
      <c r="AJ8" s="234">
        <f t="shared" si="22"/>
        <v>242.5</v>
      </c>
      <c r="AK8" s="234">
        <f t="shared" si="22"/>
        <v>249.7</v>
      </c>
      <c r="AL8" s="234">
        <f t="shared" si="22"/>
        <v>249.7</v>
      </c>
      <c r="AM8" s="234">
        <f t="shared" si="22"/>
        <v>252.2</v>
      </c>
      <c r="AN8" s="234">
        <f t="shared" si="22"/>
        <v>259.39999999999998</v>
      </c>
      <c r="AO8" s="234">
        <f t="shared" si="22"/>
        <v>259.39999999999998</v>
      </c>
      <c r="AP8" s="234">
        <f t="shared" si="22"/>
        <v>261.10000000000002</v>
      </c>
      <c r="AQ8" s="234">
        <f t="shared" si="22"/>
        <v>261.10000000000002</v>
      </c>
      <c r="AR8" s="234">
        <f t="shared" si="22"/>
        <v>274.7</v>
      </c>
      <c r="AS8" s="234">
        <f t="shared" si="22"/>
        <v>274.7</v>
      </c>
      <c r="AT8" s="234">
        <f t="shared" si="22"/>
        <v>290.358</v>
      </c>
      <c r="AU8" s="234">
        <f t="shared" si="22"/>
        <v>304.52800000000002</v>
      </c>
      <c r="AV8" s="234">
        <f t="shared" si="22"/>
        <v>304.52800000000002</v>
      </c>
      <c r="AW8" s="234">
        <f t="shared" si="22"/>
        <v>306.22800000000001</v>
      </c>
      <c r="AX8" s="234">
        <f t="shared" si="22"/>
        <v>306.12799999999999</v>
      </c>
      <c r="AY8" s="234">
        <f t="shared" si="22"/>
        <v>334.8</v>
      </c>
      <c r="AZ8" s="234">
        <f t="shared" si="22"/>
        <v>334.8</v>
      </c>
      <c r="BA8" s="234">
        <f t="shared" si="22"/>
        <v>338.58</v>
      </c>
      <c r="BB8" s="234">
        <f t="shared" si="22"/>
        <v>348.42599999999999</v>
      </c>
      <c r="BC8" s="234">
        <f t="shared" si="22"/>
        <v>348.42599999999999</v>
      </c>
      <c r="BD8" s="234">
        <f t="shared" si="22"/>
        <v>353.13400000000001</v>
      </c>
      <c r="BE8" s="234">
        <f t="shared" si="22"/>
        <v>353.13400000000001</v>
      </c>
      <c r="BF8" s="234">
        <f t="shared" si="22"/>
        <v>382.00900000000001</v>
      </c>
      <c r="BG8" s="234">
        <f t="shared" si="22"/>
        <v>382.00900000000001</v>
      </c>
      <c r="BH8" s="234">
        <f t="shared" si="22"/>
        <v>384.58600000000001</v>
      </c>
      <c r="BI8" s="234">
        <f t="shared" si="22"/>
        <v>393.38600000000002</v>
      </c>
      <c r="BJ8" s="234">
        <f t="shared" si="22"/>
        <v>393.38600000000002</v>
      </c>
      <c r="BK8" s="234">
        <f t="shared" si="22"/>
        <v>403.57689999999997</v>
      </c>
      <c r="BL8" s="234">
        <f t="shared" si="22"/>
        <v>404.9769</v>
      </c>
      <c r="BM8" s="234">
        <f t="shared" si="22"/>
        <v>436.28800000000001</v>
      </c>
      <c r="BN8" s="234">
        <f t="shared" si="22"/>
        <v>436.28800000000001</v>
      </c>
      <c r="BO8" s="234">
        <f t="shared" si="22"/>
        <v>437.75299999999999</v>
      </c>
      <c r="BP8" s="234">
        <f t="shared" si="22"/>
        <v>455.59999999999997</v>
      </c>
      <c r="BQ8" s="234">
        <f t="shared" ref="BQ8:DE8" si="23">BQ33+BQ44+BQ55</f>
        <v>455.59999999999997</v>
      </c>
      <c r="BR8" s="234">
        <f t="shared" si="23"/>
        <v>462.59999999999997</v>
      </c>
      <c r="BS8" s="234">
        <f t="shared" si="23"/>
        <v>462.59999999999997</v>
      </c>
      <c r="BT8" s="234">
        <f t="shared" si="23"/>
        <v>486.6</v>
      </c>
      <c r="BU8" s="234">
        <f t="shared" si="23"/>
        <v>486.6</v>
      </c>
      <c r="BV8" s="234">
        <f t="shared" si="23"/>
        <v>489.7</v>
      </c>
      <c r="BW8" s="234">
        <f t="shared" si="23"/>
        <v>505.48700000000002</v>
      </c>
      <c r="BX8" s="234">
        <f t="shared" si="23"/>
        <v>505.48700000000002</v>
      </c>
      <c r="BY8" s="234">
        <f t="shared" si="23"/>
        <v>513.9</v>
      </c>
      <c r="BZ8" s="234">
        <f t="shared" si="23"/>
        <v>513.9</v>
      </c>
      <c r="CA8" s="234">
        <f t="shared" si="23"/>
        <v>533.63846999999998</v>
      </c>
      <c r="CB8" s="234">
        <f t="shared" si="23"/>
        <v>533.63846999999998</v>
      </c>
      <c r="CC8" s="234">
        <f t="shared" si="23"/>
        <v>537.12636999999995</v>
      </c>
      <c r="CD8" s="234">
        <f t="shared" si="23"/>
        <v>552.18943999999999</v>
      </c>
      <c r="CE8" s="234">
        <f t="shared" si="23"/>
        <v>552.18943999999999</v>
      </c>
      <c r="CF8" s="234">
        <f t="shared" si="23"/>
        <v>561.54626000000007</v>
      </c>
      <c r="CG8" s="234">
        <f t="shared" si="23"/>
        <v>561.54626000000007</v>
      </c>
      <c r="CH8" s="234">
        <f t="shared" si="23"/>
        <v>584.64344000000028</v>
      </c>
      <c r="CI8" s="234">
        <f t="shared" si="23"/>
        <v>584.64344000000028</v>
      </c>
      <c r="CJ8" s="234">
        <f t="shared" si="23"/>
        <v>588.08306000000005</v>
      </c>
      <c r="CK8" s="234">
        <f t="shared" si="23"/>
        <v>602.851</v>
      </c>
      <c r="CL8" s="234">
        <f t="shared" si="23"/>
        <v>602.851</v>
      </c>
      <c r="CM8" s="234">
        <f t="shared" si="23"/>
        <v>634.77713999999992</v>
      </c>
      <c r="CN8" s="234">
        <f t="shared" si="23"/>
        <v>634.77713999999992</v>
      </c>
      <c r="CO8" s="234">
        <f t="shared" si="23"/>
        <v>655.01979999999992</v>
      </c>
      <c r="CP8" s="234">
        <f t="shared" si="23"/>
        <v>655.01979999999992</v>
      </c>
      <c r="CQ8" s="234">
        <f t="shared" si="23"/>
        <v>650.71604000000002</v>
      </c>
      <c r="CR8" s="234">
        <f t="shared" si="23"/>
        <v>664.51052000000004</v>
      </c>
      <c r="CS8" s="234">
        <f t="shared" si="23"/>
        <v>664.51052000000004</v>
      </c>
      <c r="CT8" s="234">
        <f t="shared" si="23"/>
        <v>674.22220000000016</v>
      </c>
      <c r="CU8" s="234">
        <f t="shared" si="23"/>
        <v>674.22220000000016</v>
      </c>
      <c r="CV8" s="234">
        <f t="shared" si="23"/>
        <v>694.94020000000012</v>
      </c>
      <c r="CW8" s="234">
        <f t="shared" si="23"/>
        <v>694.94020000000012</v>
      </c>
      <c r="CX8" s="234">
        <f t="shared" si="23"/>
        <v>698.27448000000004</v>
      </c>
      <c r="CY8" s="234">
        <f t="shared" si="23"/>
        <v>715.0104</v>
      </c>
      <c r="CZ8" s="234">
        <f t="shared" si="23"/>
        <v>715.0104</v>
      </c>
      <c r="DA8" s="234">
        <f t="shared" si="23"/>
        <v>723.63549</v>
      </c>
      <c r="DB8" s="234">
        <f t="shared" si="23"/>
        <v>723.63549</v>
      </c>
      <c r="DC8" s="234">
        <f t="shared" si="23"/>
        <v>749.09878000000003</v>
      </c>
      <c r="DD8" s="234">
        <f t="shared" si="23"/>
        <v>749.09878000000003</v>
      </c>
      <c r="DE8" s="526">
        <f t="shared" si="23"/>
        <v>747.32701000000009</v>
      </c>
      <c r="DF8" s="234">
        <f t="shared" ref="DF8:DG8" si="24">DF33+DF44+DF55</f>
        <v>747.32701000000009</v>
      </c>
      <c r="DG8" s="234">
        <f t="shared" si="24"/>
        <v>747.32701000000009</v>
      </c>
      <c r="DH8" s="234">
        <f t="shared" ref="DH8:DI8" si="25">DH33+DH44+DH55</f>
        <v>754.88340000000017</v>
      </c>
      <c r="DI8" s="234">
        <f t="shared" si="25"/>
        <v>754.88340000000017</v>
      </c>
      <c r="DJ8" s="234">
        <f t="shared" ref="DJ8:DK8" si="26">DJ33+DJ44+DJ55</f>
        <v>755.49321000000009</v>
      </c>
      <c r="DK8" s="234">
        <f t="shared" si="26"/>
        <v>755.49321000000009</v>
      </c>
    </row>
    <row r="9" spans="2:115" s="9" customFormat="1" ht="18" customHeight="1">
      <c r="B9" s="79" t="s">
        <v>1120</v>
      </c>
      <c r="C9" s="79" t="s">
        <v>74</v>
      </c>
      <c r="D9" s="84">
        <v>7.2999999999999995E-2</v>
      </c>
      <c r="E9" s="84">
        <v>0.11700000000000001</v>
      </c>
      <c r="F9" s="84">
        <v>9.8000000000000004E-2</v>
      </c>
      <c r="G9" s="84">
        <v>0.17399999999999999</v>
      </c>
      <c r="H9" s="84">
        <v>0.124</v>
      </c>
      <c r="I9" s="84">
        <v>0.185</v>
      </c>
      <c r="J9" s="84">
        <v>0.14499999999999999</v>
      </c>
      <c r="K9" s="84">
        <v>0.22</v>
      </c>
      <c r="L9" s="84">
        <v>0.20599999999999999</v>
      </c>
      <c r="M9" s="84">
        <v>0.21199999999999999</v>
      </c>
      <c r="N9" s="84">
        <v>0.16300000000000001</v>
      </c>
      <c r="O9" s="84">
        <v>0.19500000000000001</v>
      </c>
      <c r="P9" s="84">
        <v>0.11700000000000001</v>
      </c>
      <c r="Q9" s="84">
        <v>0.16700000000000001</v>
      </c>
      <c r="R9" s="84">
        <v>8.7999999999999995E-2</v>
      </c>
      <c r="S9" s="84">
        <v>9.6000000000000002E-2</v>
      </c>
      <c r="T9" s="84">
        <v>9.2999999999999999E-2</v>
      </c>
      <c r="U9" s="84">
        <v>9.2999999999999999E-2</v>
      </c>
      <c r="V9" s="84">
        <v>9.2999999999999999E-2</v>
      </c>
      <c r="W9" s="84">
        <v>7.0999999999999994E-2</v>
      </c>
      <c r="X9" s="84">
        <v>8.5000000000000006E-2</v>
      </c>
      <c r="Y9" s="84">
        <v>0.115</v>
      </c>
      <c r="Z9" s="84">
        <v>5.3999999999999999E-2</v>
      </c>
      <c r="AA9" s="84">
        <v>7.9000000000000001E-2</v>
      </c>
      <c r="AB9" s="84">
        <v>0.05</v>
      </c>
      <c r="AC9" s="84">
        <v>6.9000000000000006E-2</v>
      </c>
      <c r="AD9" s="84">
        <v>-5.3999999999999999E-2</v>
      </c>
      <c r="AE9" s="84">
        <v>2.7E-2</v>
      </c>
      <c r="AF9" s="84">
        <v>-0.12</v>
      </c>
      <c r="AG9" s="84">
        <v>2.1000000000000001E-2</v>
      </c>
      <c r="AH9" s="84">
        <v>-0.04</v>
      </c>
      <c r="AI9" s="84">
        <v>1.2999999999999999E-2</v>
      </c>
      <c r="AJ9" s="84">
        <v>-2.1999999999999999E-2</v>
      </c>
      <c r="AK9" s="84">
        <v>9.5000000000000001E-2</v>
      </c>
      <c r="AL9" s="84">
        <v>1.4E-2</v>
      </c>
      <c r="AM9" s="84">
        <v>0.151</v>
      </c>
      <c r="AN9" s="84">
        <v>7.3999999999999996E-2</v>
      </c>
      <c r="AO9" s="84">
        <v>0.105</v>
      </c>
      <c r="AP9" s="84">
        <v>0.105</v>
      </c>
      <c r="AQ9" s="84">
        <v>0.105</v>
      </c>
      <c r="AR9" s="84">
        <v>0.1</v>
      </c>
      <c r="AS9" s="84">
        <v>0.10299999999999999</v>
      </c>
      <c r="AT9" s="84">
        <v>0.112</v>
      </c>
      <c r="AU9" s="84">
        <v>9.8000000000000004E-2</v>
      </c>
      <c r="AV9" s="84">
        <v>0.105</v>
      </c>
      <c r="AW9" s="84">
        <v>3.7999999999999999E-2</v>
      </c>
      <c r="AX9" s="84">
        <v>8.1000000000000003E-2</v>
      </c>
      <c r="AY9" s="84">
        <v>5.2999999999999999E-2</v>
      </c>
      <c r="AZ9" s="84">
        <v>7.1999999999999995E-2</v>
      </c>
      <c r="BA9" s="84">
        <v>4.8000000000000001E-2</v>
      </c>
      <c r="BB9" s="84">
        <v>3.4000000000000002E-2</v>
      </c>
      <c r="BC9" s="84">
        <v>0.04</v>
      </c>
      <c r="BD9" s="84">
        <v>0.13200000000000001</v>
      </c>
      <c r="BE9" s="84">
        <v>7.0999999999999994E-2</v>
      </c>
      <c r="BF9" s="84">
        <v>0.124</v>
      </c>
      <c r="BG9" s="84">
        <v>8.7999999999999995E-2</v>
      </c>
      <c r="BH9" s="84">
        <v>9.4E-2</v>
      </c>
      <c r="BI9" s="84">
        <v>3.6999999999999998E-2</v>
      </c>
      <c r="BJ9" s="84">
        <v>6.0999999999999999E-2</v>
      </c>
      <c r="BK9" s="84">
        <v>5.8000000000000003E-2</v>
      </c>
      <c r="BL9" s="84">
        <v>0.06</v>
      </c>
      <c r="BM9" s="84">
        <v>5.5E-2</v>
      </c>
      <c r="BN9" s="84">
        <v>5.8000000000000003E-2</v>
      </c>
      <c r="BO9" s="84">
        <v>5.3999999999999999E-2</v>
      </c>
      <c r="BP9" s="84">
        <v>0.1</v>
      </c>
      <c r="BQ9" s="84">
        <v>0.08</v>
      </c>
      <c r="BR9" s="84">
        <v>7.4999999999999997E-2</v>
      </c>
      <c r="BS9" s="84">
        <v>7.8E-2</v>
      </c>
      <c r="BT9" s="84">
        <v>0.17299999999999999</v>
      </c>
      <c r="BU9" s="84">
        <v>0.111</v>
      </c>
      <c r="BV9" s="84">
        <v>0.16500000000000001</v>
      </c>
      <c r="BW9" s="84">
        <v>0.14499999999999999</v>
      </c>
      <c r="BX9" s="84">
        <v>0.154</v>
      </c>
      <c r="BY9" s="84">
        <v>0.126</v>
      </c>
      <c r="BZ9" s="84">
        <v>0.14399999999999999</v>
      </c>
      <c r="CA9" s="84">
        <v>4.4999999999999998E-2</v>
      </c>
      <c r="CB9" s="84">
        <v>0.108</v>
      </c>
      <c r="CC9" s="84">
        <v>1.2999999999999999E-2</v>
      </c>
      <c r="CD9" s="84">
        <v>2.9000000000000001E-2</v>
      </c>
      <c r="CE9" s="84">
        <v>2.1999999999999999E-2</v>
      </c>
      <c r="CF9" s="84">
        <v>-3.9E-2</v>
      </c>
      <c r="CG9" s="84">
        <v>1E-3</v>
      </c>
      <c r="CH9" s="84">
        <v>-8.0000000000000002E-3</v>
      </c>
      <c r="CI9" s="84">
        <v>-2E-3</v>
      </c>
      <c r="CJ9" s="84">
        <v>9.0999999999999998E-2</v>
      </c>
      <c r="CK9" s="84">
        <v>6.4000000000000001E-2</v>
      </c>
      <c r="CL9" s="84">
        <v>7.4999999999999997E-2</v>
      </c>
      <c r="CM9" s="84">
        <v>0.13373011481447561</v>
      </c>
      <c r="CN9" s="84">
        <v>9.4575039800149474E-2</v>
      </c>
      <c r="CO9" s="84">
        <v>8.7064535020952905E-2</v>
      </c>
      <c r="CP9" s="84">
        <v>9.2056210285111018E-2</v>
      </c>
      <c r="CQ9" s="84">
        <v>6.3E-2</v>
      </c>
      <c r="CR9" s="84">
        <v>2.5273558845505306E-2</v>
      </c>
      <c r="CS9" s="84">
        <v>4.1774156484674974E-2</v>
      </c>
      <c r="CT9" s="84">
        <v>6.9427061838970294E-2</v>
      </c>
      <c r="CU9" s="84">
        <v>5.1307429261152171E-2</v>
      </c>
      <c r="CV9" s="84">
        <v>0.12017282199557133</v>
      </c>
      <c r="CW9" s="84">
        <v>7.4463242356251236E-2</v>
      </c>
      <c r="CX9" s="84">
        <v>0.12736818547670059</v>
      </c>
      <c r="CY9" s="84">
        <v>9.2557820572214178E-2</v>
      </c>
      <c r="CZ9" s="84">
        <v>0.108</v>
      </c>
      <c r="DA9" s="84">
        <v>8.3000000000000004E-2</v>
      </c>
      <c r="DB9" s="84">
        <v>9.9000000000000005E-2</v>
      </c>
      <c r="DC9" s="84">
        <v>6.2E-2</v>
      </c>
      <c r="DD9" s="84">
        <v>8.6999999999999994E-2</v>
      </c>
      <c r="DE9" s="84">
        <v>-0.10652853943617469</v>
      </c>
      <c r="DF9" s="84">
        <v>-0.74099999999999999</v>
      </c>
      <c r="DG9" s="84">
        <v>-0.45500000000000002</v>
      </c>
      <c r="DH9" s="84">
        <v>-0.17202405190152803</v>
      </c>
      <c r="DI9" s="84">
        <v>-0.35766293120404402</v>
      </c>
      <c r="DJ9" s="84">
        <v>-7.6322609010602838E-3</v>
      </c>
      <c r="DK9" s="84">
        <v>-0.23938107553330989</v>
      </c>
    </row>
    <row r="10" spans="2:115" s="9" customFormat="1" ht="18" customHeight="1">
      <c r="B10" s="79" t="s">
        <v>1291</v>
      </c>
      <c r="C10" s="79" t="s">
        <v>1291</v>
      </c>
      <c r="D10" s="84" t="s">
        <v>112</v>
      </c>
      <c r="E10" s="84" t="s">
        <v>112</v>
      </c>
      <c r="F10" s="84" t="s">
        <v>112</v>
      </c>
      <c r="G10" s="84" t="s">
        <v>112</v>
      </c>
      <c r="H10" s="84" t="s">
        <v>112</v>
      </c>
      <c r="I10" s="84" t="s">
        <v>112</v>
      </c>
      <c r="J10" s="84" t="s">
        <v>112</v>
      </c>
      <c r="K10" s="84" t="s">
        <v>112</v>
      </c>
      <c r="L10" s="84" t="s">
        <v>112</v>
      </c>
      <c r="M10" s="84" t="s">
        <v>112</v>
      </c>
      <c r="N10" s="84" t="s">
        <v>112</v>
      </c>
      <c r="O10" s="84" t="s">
        <v>112</v>
      </c>
      <c r="P10" s="84" t="s">
        <v>112</v>
      </c>
      <c r="Q10" s="84" t="s">
        <v>112</v>
      </c>
      <c r="R10" s="84" t="s">
        <v>112</v>
      </c>
      <c r="S10" s="84" t="s">
        <v>112</v>
      </c>
      <c r="T10" s="84" t="s">
        <v>112</v>
      </c>
      <c r="U10" s="84" t="s">
        <v>112</v>
      </c>
      <c r="V10" s="84" t="s">
        <v>112</v>
      </c>
      <c r="W10" s="84" t="s">
        <v>112</v>
      </c>
      <c r="X10" s="84" t="s">
        <v>112</v>
      </c>
      <c r="Y10" s="84" t="s">
        <v>112</v>
      </c>
      <c r="Z10" s="84" t="s">
        <v>112</v>
      </c>
      <c r="AA10" s="84" t="s">
        <v>112</v>
      </c>
      <c r="AB10" s="84" t="s">
        <v>112</v>
      </c>
      <c r="AC10" s="84" t="s">
        <v>112</v>
      </c>
      <c r="AD10" s="84" t="s">
        <v>112</v>
      </c>
      <c r="AE10" s="84" t="s">
        <v>112</v>
      </c>
      <c r="AF10" s="84" t="s">
        <v>112</v>
      </c>
      <c r="AG10" s="84" t="s">
        <v>112</v>
      </c>
      <c r="AH10" s="84" t="s">
        <v>112</v>
      </c>
      <c r="AI10" s="84" t="s">
        <v>112</v>
      </c>
      <c r="AJ10" s="84" t="s">
        <v>112</v>
      </c>
      <c r="AK10" s="84" t="s">
        <v>112</v>
      </c>
      <c r="AL10" s="84" t="s">
        <v>112</v>
      </c>
      <c r="AM10" s="84" t="s">
        <v>112</v>
      </c>
      <c r="AN10" s="84" t="s">
        <v>112</v>
      </c>
      <c r="AO10" s="84" t="s">
        <v>112</v>
      </c>
      <c r="AP10" s="84" t="s">
        <v>112</v>
      </c>
      <c r="AQ10" s="84" t="s">
        <v>112</v>
      </c>
      <c r="AR10" s="84" t="s">
        <v>112</v>
      </c>
      <c r="AS10" s="84" t="s">
        <v>112</v>
      </c>
      <c r="AT10" s="84">
        <v>0.32443922401837022</v>
      </c>
      <c r="AU10" s="84">
        <v>0.34127391024900278</v>
      </c>
      <c r="AV10" s="84">
        <f>AU10</f>
        <v>0.34127391024900278</v>
      </c>
      <c r="AW10" s="84">
        <v>0.3158522030119772</v>
      </c>
      <c r="AX10" s="84">
        <f>AW10</f>
        <v>0.3158522030119772</v>
      </c>
      <c r="AY10" s="84">
        <f>AZ10</f>
        <v>0.28598986336782495</v>
      </c>
      <c r="AZ10" s="84">
        <v>0.28598986336782495</v>
      </c>
      <c r="BA10" s="84">
        <v>0.26229020770718381</v>
      </c>
      <c r="BB10" s="84">
        <v>0.24903061599399248</v>
      </c>
      <c r="BC10" s="84">
        <f>BB10</f>
        <v>0.24903061599399248</v>
      </c>
      <c r="BD10" s="84">
        <v>0.23477237560101394</v>
      </c>
      <c r="BE10" s="84">
        <f>BD10</f>
        <v>0.23477237560101394</v>
      </c>
      <c r="BF10" s="84">
        <f>BG10</f>
        <v>0.23899999999999999</v>
      </c>
      <c r="BG10" s="84">
        <v>0.23899999999999999</v>
      </c>
      <c r="BH10" s="84">
        <v>0.22086857199920704</v>
      </c>
      <c r="BI10" s="84">
        <v>0.21212737954502117</v>
      </c>
      <c r="BJ10" s="84">
        <f>BI10</f>
        <v>0.21212737954502117</v>
      </c>
      <c r="BK10" s="84">
        <v>0.19351594371946251</v>
      </c>
      <c r="BL10" s="84">
        <f>BK10</f>
        <v>0.19351594371946251</v>
      </c>
      <c r="BM10" s="84">
        <f>BN10</f>
        <v>0.214</v>
      </c>
      <c r="BN10" s="84">
        <v>0.214</v>
      </c>
      <c r="BO10" s="84">
        <v>0.21807791435922166</v>
      </c>
      <c r="BP10" s="84">
        <v>0.22137722716352493</v>
      </c>
      <c r="BQ10" s="84">
        <f>BP10</f>
        <v>0.22137722716352493</v>
      </c>
      <c r="BR10" s="84">
        <v>0.21649058860891368</v>
      </c>
      <c r="BS10" s="84">
        <f>BR10</f>
        <v>0.21649058860891368</v>
      </c>
      <c r="BT10" s="84">
        <f>BU10</f>
        <v>0.21199999999999999</v>
      </c>
      <c r="BU10" s="84">
        <v>0.21199999999999999</v>
      </c>
      <c r="BV10" s="84">
        <v>0.21382509188737575</v>
      </c>
      <c r="BW10" s="84">
        <v>0.22166742685895705</v>
      </c>
      <c r="BX10" s="84">
        <f>BW10</f>
        <v>0.22166742685895705</v>
      </c>
      <c r="BY10" s="84">
        <v>0.21790612457533381</v>
      </c>
      <c r="BZ10" s="84">
        <f>BY10</f>
        <v>0.21790612457533381</v>
      </c>
      <c r="CA10" s="84">
        <f>CB10</f>
        <v>0.22</v>
      </c>
      <c r="CB10" s="84">
        <v>0.22</v>
      </c>
      <c r="CC10" s="84">
        <v>0.2124826700358492</v>
      </c>
      <c r="CD10" s="84">
        <v>0.21349621518456419</v>
      </c>
      <c r="CE10" s="84">
        <f>CD10</f>
        <v>0.21349621518456419</v>
      </c>
      <c r="CF10" s="84">
        <v>0.20930901599921731</v>
      </c>
      <c r="CG10" s="84">
        <f>CF10</f>
        <v>0.20930901599921731</v>
      </c>
      <c r="CH10" s="84">
        <f>CI10</f>
        <v>0.21433212545850622</v>
      </c>
      <c r="CI10" s="84">
        <v>0.21433212545850622</v>
      </c>
      <c r="CJ10" s="84">
        <v>0.20792131737021927</v>
      </c>
      <c r="CK10" s="84">
        <v>0.2063514694478871</v>
      </c>
      <c r="CL10" s="84">
        <f>CK10</f>
        <v>0.2063514694478871</v>
      </c>
      <c r="CM10" s="84">
        <v>0.21081922503247888</v>
      </c>
      <c r="CN10" s="84">
        <f>CM10</f>
        <v>0.21081922503247888</v>
      </c>
      <c r="CO10" s="84">
        <v>0.21</v>
      </c>
      <c r="CP10" s="84">
        <v>0.21</v>
      </c>
      <c r="CQ10" s="84">
        <v>0.20973333412687395</v>
      </c>
      <c r="CR10" s="84">
        <v>0.21943200745393623</v>
      </c>
      <c r="CS10" s="84">
        <v>0.21943200745393623</v>
      </c>
      <c r="CT10" s="84">
        <v>0.222</v>
      </c>
      <c r="CU10" s="84">
        <f>CT10</f>
        <v>0.222</v>
      </c>
      <c r="CV10" s="84">
        <v>0.23040695015224927</v>
      </c>
      <c r="CW10" s="84">
        <v>0.23040695015224927</v>
      </c>
      <c r="CX10" s="84">
        <v>0.2318311058552788</v>
      </c>
      <c r="CY10" s="84">
        <v>0.217</v>
      </c>
      <c r="CZ10" s="84">
        <f>CY10</f>
        <v>0.217</v>
      </c>
      <c r="DA10" s="84">
        <v>0.21</v>
      </c>
      <c r="DB10" s="84">
        <v>0.21</v>
      </c>
      <c r="DC10" s="84">
        <v>0.21299999999999999</v>
      </c>
      <c r="DD10" s="84">
        <f>DC10</f>
        <v>0.21299999999999999</v>
      </c>
      <c r="DE10" s="84">
        <v>0.17837165853051068</v>
      </c>
      <c r="DF10" s="563">
        <v>0.25483778079487801</v>
      </c>
      <c r="DG10" s="563">
        <f>DF10</f>
        <v>0.25483778079487801</v>
      </c>
      <c r="DH10" s="563">
        <v>0.1989455273851225</v>
      </c>
      <c r="DI10" s="563">
        <f>DH10</f>
        <v>0.1989455273851225</v>
      </c>
      <c r="DJ10" s="563">
        <v>0.15934275249274713</v>
      </c>
      <c r="DK10" s="563">
        <f>DJ10</f>
        <v>0.15934275249274713</v>
      </c>
    </row>
    <row r="11" spans="2:115" s="9" customFormat="1" ht="18" customHeight="1">
      <c r="B11" s="79" t="s">
        <v>447</v>
      </c>
      <c r="C11" s="79" t="s">
        <v>448</v>
      </c>
      <c r="D11" s="81">
        <f>SUM(D12:D16)</f>
        <v>6.6</v>
      </c>
      <c r="E11" s="81">
        <f t="shared" ref="E11:J11" si="27">SUM(E12:E16)</f>
        <v>10.199999999999999</v>
      </c>
      <c r="F11" s="81">
        <f t="shared" si="27"/>
        <v>16.8</v>
      </c>
      <c r="G11" s="81">
        <f t="shared" si="27"/>
        <v>6.7000000000000011</v>
      </c>
      <c r="H11" s="81">
        <f t="shared" si="27"/>
        <v>23.5</v>
      </c>
      <c r="I11" s="81">
        <f t="shared" si="27"/>
        <v>32.4</v>
      </c>
      <c r="J11" s="81">
        <f t="shared" si="27"/>
        <v>55.899999999999991</v>
      </c>
      <c r="K11" s="81">
        <f t="shared" ref="K11:AP11" si="28">SUM(K12:K16)</f>
        <v>16.8</v>
      </c>
      <c r="L11" s="81">
        <f t="shared" si="28"/>
        <v>32.799999999999997</v>
      </c>
      <c r="M11" s="81">
        <f t="shared" si="28"/>
        <v>49.599999999999994</v>
      </c>
      <c r="N11" s="81">
        <f t="shared" si="28"/>
        <v>21.900000000000002</v>
      </c>
      <c r="O11" s="81">
        <f t="shared" si="28"/>
        <v>71.5</v>
      </c>
      <c r="P11" s="81">
        <f t="shared" si="28"/>
        <v>47.500000000000007</v>
      </c>
      <c r="Q11" s="81">
        <f t="shared" si="28"/>
        <v>118.9</v>
      </c>
      <c r="R11" s="81">
        <f t="shared" si="28"/>
        <v>11.6</v>
      </c>
      <c r="S11" s="81">
        <f t="shared" si="28"/>
        <v>24.2</v>
      </c>
      <c r="T11" s="81">
        <f t="shared" si="28"/>
        <v>35.799999999999997</v>
      </c>
      <c r="U11" s="81">
        <f t="shared" si="28"/>
        <v>16.8</v>
      </c>
      <c r="V11" s="81">
        <f t="shared" si="28"/>
        <v>52.6</v>
      </c>
      <c r="W11" s="81">
        <f t="shared" si="28"/>
        <v>55.9</v>
      </c>
      <c r="X11" s="81">
        <f t="shared" si="28"/>
        <v>108.5</v>
      </c>
      <c r="Y11" s="81">
        <f t="shared" si="28"/>
        <v>18.100000000000001</v>
      </c>
      <c r="Z11" s="81">
        <f t="shared" si="28"/>
        <v>30.4</v>
      </c>
      <c r="AA11" s="81">
        <f t="shared" si="28"/>
        <v>48.5</v>
      </c>
      <c r="AB11" s="81">
        <f t="shared" si="28"/>
        <v>36.700000000000003</v>
      </c>
      <c r="AC11" s="81">
        <f t="shared" si="28"/>
        <v>85.199999999999989</v>
      </c>
      <c r="AD11" s="81">
        <f t="shared" si="28"/>
        <v>51.6</v>
      </c>
      <c r="AE11" s="81">
        <f t="shared" si="28"/>
        <v>136.80000000000001</v>
      </c>
      <c r="AF11" s="81">
        <f t="shared" si="28"/>
        <v>6.3999999999999995</v>
      </c>
      <c r="AG11" s="81">
        <f t="shared" si="28"/>
        <v>21.500000000000004</v>
      </c>
      <c r="AH11" s="81">
        <f t="shared" si="28"/>
        <v>27.900000000000002</v>
      </c>
      <c r="AI11" s="81">
        <f t="shared" si="28"/>
        <v>14.200000000000001</v>
      </c>
      <c r="AJ11" s="81">
        <f t="shared" si="28"/>
        <v>42.1</v>
      </c>
      <c r="AK11" s="81">
        <f t="shared" si="28"/>
        <v>27</v>
      </c>
      <c r="AL11" s="81">
        <f t="shared" si="28"/>
        <v>69.099999999999994</v>
      </c>
      <c r="AM11" s="81">
        <f t="shared" si="28"/>
        <v>15.8</v>
      </c>
      <c r="AN11" s="81">
        <f t="shared" si="28"/>
        <v>20.6</v>
      </c>
      <c r="AO11" s="81">
        <f t="shared" si="28"/>
        <v>36.4</v>
      </c>
      <c r="AP11" s="81">
        <f t="shared" si="28"/>
        <v>27.099999999999998</v>
      </c>
      <c r="AQ11" s="81">
        <f t="shared" ref="AQ11:BV11" si="29">SUM(AQ12:AQ16)</f>
        <v>63.500000000000007</v>
      </c>
      <c r="AR11" s="81">
        <f t="shared" si="29"/>
        <v>96.7</v>
      </c>
      <c r="AS11" s="81">
        <f t="shared" si="29"/>
        <v>160.20000000000002</v>
      </c>
      <c r="AT11" s="81">
        <f t="shared" si="29"/>
        <v>24.000000000000004</v>
      </c>
      <c r="AU11" s="81">
        <f t="shared" si="29"/>
        <v>64.29499899999999</v>
      </c>
      <c r="AV11" s="81">
        <f t="shared" si="29"/>
        <v>88.29499899999999</v>
      </c>
      <c r="AW11" s="81">
        <f t="shared" si="29"/>
        <v>55.711999999999996</v>
      </c>
      <c r="AX11" s="81">
        <f t="shared" si="29"/>
        <v>144.00699899999998</v>
      </c>
      <c r="AY11" s="81">
        <f t="shared" si="29"/>
        <v>152.6</v>
      </c>
      <c r="AZ11" s="81">
        <f t="shared" si="29"/>
        <v>296.60699900000003</v>
      </c>
      <c r="BA11" s="81">
        <f t="shared" si="29"/>
        <v>69.8</v>
      </c>
      <c r="BB11" s="81">
        <f t="shared" si="29"/>
        <v>86.5</v>
      </c>
      <c r="BC11" s="81">
        <f t="shared" si="29"/>
        <v>156.29999999999998</v>
      </c>
      <c r="BD11" s="81">
        <f t="shared" si="29"/>
        <v>75.8</v>
      </c>
      <c r="BE11" s="81">
        <f t="shared" si="29"/>
        <v>232.1</v>
      </c>
      <c r="BF11" s="81">
        <f t="shared" si="29"/>
        <v>150.20000000000002</v>
      </c>
      <c r="BG11" s="81">
        <f t="shared" si="29"/>
        <v>382.3</v>
      </c>
      <c r="BH11" s="81">
        <f t="shared" si="29"/>
        <v>36.799999999999997</v>
      </c>
      <c r="BI11" s="81">
        <f t="shared" si="29"/>
        <v>65.797382050431679</v>
      </c>
      <c r="BJ11" s="81">
        <f t="shared" si="29"/>
        <v>102.59738205043168</v>
      </c>
      <c r="BK11" s="81">
        <f t="shared" si="29"/>
        <v>123.35128119799997</v>
      </c>
      <c r="BL11" s="81">
        <f t="shared" si="29"/>
        <v>225.94866324843161</v>
      </c>
      <c r="BM11" s="81">
        <f t="shared" si="29"/>
        <v>186.19327432756862</v>
      </c>
      <c r="BN11" s="81">
        <f t="shared" si="29"/>
        <v>412.1419375760002</v>
      </c>
      <c r="BO11" s="81">
        <f t="shared" si="29"/>
        <v>77.400000000000006</v>
      </c>
      <c r="BP11" s="81">
        <f t="shared" si="29"/>
        <v>116.00000000000001</v>
      </c>
      <c r="BQ11" s="81">
        <f t="shared" si="29"/>
        <v>193.4</v>
      </c>
      <c r="BR11" s="81">
        <f t="shared" si="29"/>
        <v>131.60276055272075</v>
      </c>
      <c r="BS11" s="81">
        <f t="shared" si="29"/>
        <v>325.00276055272082</v>
      </c>
      <c r="BT11" s="81">
        <f t="shared" si="29"/>
        <v>177.04682393000013</v>
      </c>
      <c r="BU11" s="81">
        <f t="shared" si="29"/>
        <v>502.04958448272089</v>
      </c>
      <c r="BV11" s="81">
        <f t="shared" si="29"/>
        <v>71.37</v>
      </c>
      <c r="BW11" s="81">
        <f t="shared" ref="BW11:CD11" si="30">SUM(BW12:BW16)</f>
        <v>146.60000000000002</v>
      </c>
      <c r="BX11" s="81">
        <f t="shared" si="30"/>
        <v>217.97</v>
      </c>
      <c r="BY11" s="81">
        <f t="shared" si="30"/>
        <v>166.82999999999996</v>
      </c>
      <c r="BZ11" s="81">
        <f t="shared" si="30"/>
        <v>384.79999999999995</v>
      </c>
      <c r="CA11" s="81">
        <f t="shared" si="30"/>
        <v>186.54988055000018</v>
      </c>
      <c r="CB11" s="81">
        <f t="shared" si="30"/>
        <v>571.34988055000008</v>
      </c>
      <c r="CC11" s="81">
        <f t="shared" si="30"/>
        <v>87.64</v>
      </c>
      <c r="CD11" s="81">
        <f t="shared" si="30"/>
        <v>157.85999999999999</v>
      </c>
      <c r="CE11" s="81">
        <f>SUM(CE12:CE16)</f>
        <v>245.49999999999997</v>
      </c>
      <c r="CF11" s="81">
        <f>SUM(CF12:CF16)</f>
        <v>106.84826337999999</v>
      </c>
      <c r="CG11" s="81">
        <f>SUM(CG12:CG16)</f>
        <v>352.38075740000005</v>
      </c>
      <c r="CH11" s="81">
        <f>SUM(CH12:CH16)</f>
        <v>160.1743842019998</v>
      </c>
      <c r="CI11" s="81">
        <f>SUM(CI12:CI16)</f>
        <v>512.55514160199994</v>
      </c>
      <c r="CJ11" s="81">
        <f t="shared" ref="CJ11:CK11" si="31">SUM(CJ12:CJ16)</f>
        <v>66.472064909999986</v>
      </c>
      <c r="CK11" s="81">
        <f t="shared" si="31"/>
        <v>118.40100000000005</v>
      </c>
      <c r="CL11" s="81">
        <f>SUM(CL12:CL16)</f>
        <v>184.87306491000004</v>
      </c>
      <c r="CM11" s="81">
        <f>SUM(CM12:CM16)</f>
        <v>134.93200000000007</v>
      </c>
      <c r="CN11" s="81">
        <f>SUM(CN12:CN16)</f>
        <v>319.80506491000011</v>
      </c>
      <c r="CO11" s="81">
        <f>SUM(CO12:CO16)</f>
        <v>230.2437773777763</v>
      </c>
      <c r="CP11" s="81">
        <f>SUM(CP12:CP16)</f>
        <v>550.39884228777646</v>
      </c>
      <c r="CQ11" s="81">
        <f t="shared" ref="CQ11:CR11" si="32">SUM(CQ12:CQ16)</f>
        <v>94.100000000000009</v>
      </c>
      <c r="CR11" s="81">
        <f t="shared" si="32"/>
        <v>134.17307100199935</v>
      </c>
      <c r="CS11" s="81">
        <f>SUM(CS12:CS16)</f>
        <v>228.27307100199931</v>
      </c>
      <c r="CT11" s="81">
        <v>158.30976685000002</v>
      </c>
      <c r="CU11" s="81">
        <f>CS11+CT11</f>
        <v>386.58283785199933</v>
      </c>
      <c r="CV11" s="81">
        <f>SUM(CV12:CV16)</f>
        <v>223.77816057000001</v>
      </c>
      <c r="CW11" s="81">
        <f>CV11+CU11</f>
        <v>610.36099842199928</v>
      </c>
      <c r="CX11" s="81">
        <f t="shared" ref="CX11:DD11" si="33">SUM(CX12:CX16)</f>
        <v>78.882000000000005</v>
      </c>
      <c r="CY11" s="81">
        <f t="shared" si="33"/>
        <v>166.46038018388765</v>
      </c>
      <c r="CZ11" s="81">
        <f t="shared" si="33"/>
        <v>245.34238018388768</v>
      </c>
      <c r="DA11" s="81">
        <f t="shared" si="33"/>
        <v>257.13154870320795</v>
      </c>
      <c r="DB11" s="81">
        <f t="shared" si="33"/>
        <v>502.47392888709561</v>
      </c>
      <c r="DC11" s="81">
        <f t="shared" si="33"/>
        <v>248.857529848426</v>
      </c>
      <c r="DD11" s="81">
        <f t="shared" si="33"/>
        <v>751.33145873552155</v>
      </c>
      <c r="DE11" s="81">
        <f t="shared" ref="DE11:DF11" si="34">SUM(DE12:DE16)</f>
        <v>89.439747971866026</v>
      </c>
      <c r="DF11" s="81">
        <f t="shared" si="34"/>
        <v>141.39699074380002</v>
      </c>
      <c r="DG11" s="81">
        <f>SUM(DG12:DG16)</f>
        <v>230.83673871566606</v>
      </c>
      <c r="DH11" s="81">
        <f t="shared" ref="DH11:DJ11" si="35">SUM(DH12:DH16)</f>
        <v>188.434</v>
      </c>
      <c r="DI11" s="81">
        <f>SUM(DI12:DI16)</f>
        <v>419.27073871566597</v>
      </c>
      <c r="DJ11" s="81">
        <f t="shared" si="35"/>
        <v>124.70600000000002</v>
      </c>
      <c r="DK11" s="81">
        <f>SUM(DK12:DK16)</f>
        <v>543.97673871566587</v>
      </c>
    </row>
    <row r="12" spans="2:115" s="9" customFormat="1" ht="18" customHeight="1">
      <c r="B12" s="240" t="s">
        <v>441</v>
      </c>
      <c r="C12" s="240" t="s">
        <v>437</v>
      </c>
      <c r="D12" s="81">
        <v>3.4</v>
      </c>
      <c r="E12" s="81">
        <v>5.4</v>
      </c>
      <c r="F12" s="81">
        <f>SUM(D12:E12)</f>
        <v>8.8000000000000007</v>
      </c>
      <c r="G12" s="81">
        <v>2.1</v>
      </c>
      <c r="H12" s="81">
        <f>SUM(F12:G12)</f>
        <v>10.9</v>
      </c>
      <c r="I12" s="81">
        <v>12.5</v>
      </c>
      <c r="J12" s="81">
        <f>SUM(H12:I12)</f>
        <v>23.4</v>
      </c>
      <c r="K12" s="81">
        <v>9.9</v>
      </c>
      <c r="L12" s="81">
        <v>22.5</v>
      </c>
      <c r="M12" s="81">
        <f>SUM(K12:L12)</f>
        <v>32.4</v>
      </c>
      <c r="N12" s="81">
        <v>12.7</v>
      </c>
      <c r="O12" s="81">
        <f>SUM(M12:N12)</f>
        <v>45.099999999999994</v>
      </c>
      <c r="P12" s="81">
        <v>36.1</v>
      </c>
      <c r="Q12" s="81">
        <f>SUM(O12:P12)</f>
        <v>81.199999999999989</v>
      </c>
      <c r="R12" s="81">
        <v>8.4</v>
      </c>
      <c r="S12" s="81">
        <v>17</v>
      </c>
      <c r="T12" s="81">
        <f>SUM(R12:S12)</f>
        <v>25.4</v>
      </c>
      <c r="U12" s="81">
        <v>8.1</v>
      </c>
      <c r="V12" s="81">
        <f>SUM(T12:U12)</f>
        <v>33.5</v>
      </c>
      <c r="W12" s="81">
        <v>26.5</v>
      </c>
      <c r="X12" s="81">
        <f>SUM(V12:W12)</f>
        <v>60</v>
      </c>
      <c r="Y12" s="81">
        <v>10.3</v>
      </c>
      <c r="Z12" s="81">
        <v>20.399999999999999</v>
      </c>
      <c r="AA12" s="81">
        <f>SUM(Y12:Z12)</f>
        <v>30.7</v>
      </c>
      <c r="AB12" s="81">
        <v>21</v>
      </c>
      <c r="AC12" s="81">
        <f>SUM(AA12:AB12)</f>
        <v>51.7</v>
      </c>
      <c r="AD12" s="81">
        <v>32</v>
      </c>
      <c r="AE12" s="81">
        <f>SUM(AC12:AD12)</f>
        <v>83.7</v>
      </c>
      <c r="AF12" s="81">
        <v>5.8</v>
      </c>
      <c r="AG12" s="81">
        <v>14.8</v>
      </c>
      <c r="AH12" s="81">
        <f>SUM(AF12:AG12)</f>
        <v>20.6</v>
      </c>
      <c r="AI12" s="81">
        <v>9.4</v>
      </c>
      <c r="AJ12" s="81">
        <f>SUM(AH12:AI12)</f>
        <v>30</v>
      </c>
      <c r="AK12" s="81">
        <v>12.9</v>
      </c>
      <c r="AL12" s="81">
        <f>SUM(AJ12:AK12)</f>
        <v>42.9</v>
      </c>
      <c r="AM12" s="81">
        <v>7.7</v>
      </c>
      <c r="AN12" s="81">
        <v>15.4</v>
      </c>
      <c r="AO12" s="81">
        <f>SUM(AM12:AN12)</f>
        <v>23.1</v>
      </c>
      <c r="AP12" s="81">
        <v>16.899999999999999</v>
      </c>
      <c r="AQ12" s="81">
        <f>SUM(AO12:AP12)</f>
        <v>40</v>
      </c>
      <c r="AR12" s="81">
        <v>32.5</v>
      </c>
      <c r="AS12" s="81">
        <f>SUM(AQ12:AR12)</f>
        <v>72.5</v>
      </c>
      <c r="AT12" s="81">
        <v>17.8</v>
      </c>
      <c r="AU12" s="81">
        <v>42</v>
      </c>
      <c r="AV12" s="81">
        <f>SUM(AT12:AU12)</f>
        <v>59.8</v>
      </c>
      <c r="AW12" s="81">
        <v>29.6</v>
      </c>
      <c r="AX12" s="81">
        <f>SUM(AV12:AW12)</f>
        <v>89.4</v>
      </c>
      <c r="AY12" s="81">
        <v>98.9</v>
      </c>
      <c r="AZ12" s="81">
        <f>SUM(AX12:AY12)</f>
        <v>188.3</v>
      </c>
      <c r="BA12" s="81">
        <v>23.7</v>
      </c>
      <c r="BB12" s="81">
        <v>29.599999999999998</v>
      </c>
      <c r="BC12" s="81">
        <f>SUM(BA12:BB12)</f>
        <v>53.3</v>
      </c>
      <c r="BD12" s="81">
        <v>36.299999999999997</v>
      </c>
      <c r="BE12" s="81">
        <f>SUM(BC12:BD12)</f>
        <v>89.6</v>
      </c>
      <c r="BF12" s="81">
        <v>82</v>
      </c>
      <c r="BG12" s="81">
        <f>SUM(BE12:BF12)</f>
        <v>171.6</v>
      </c>
      <c r="BH12" s="81">
        <v>18.8</v>
      </c>
      <c r="BI12" s="81">
        <v>42.2445727627018</v>
      </c>
      <c r="BJ12" s="81">
        <f>SUM(BH12:BI12)</f>
        <v>61.044572762701804</v>
      </c>
      <c r="BK12" s="81">
        <v>48.89038605799999</v>
      </c>
      <c r="BL12" s="81">
        <f>SUM(BJ12:BK12)</f>
        <v>109.93495882070179</v>
      </c>
      <c r="BM12" s="81">
        <v>88.708920520000007</v>
      </c>
      <c r="BN12" s="81">
        <f>SUM(BL12:BM12)</f>
        <v>198.6438793407018</v>
      </c>
      <c r="BO12" s="81">
        <v>37.700000000000003</v>
      </c>
      <c r="BP12" s="81">
        <v>52.8</v>
      </c>
      <c r="BQ12" s="81">
        <f>SUM(BO12:BP12)</f>
        <v>90.5</v>
      </c>
      <c r="BR12" s="81">
        <v>57.456443599999943</v>
      </c>
      <c r="BS12" s="81">
        <f>SUM(BQ12:BR12)</f>
        <v>147.95644359999994</v>
      </c>
      <c r="BT12" s="81">
        <v>70.432682690000092</v>
      </c>
      <c r="BU12" s="81">
        <f>SUM(BS12:BT12)</f>
        <v>218.38912629000004</v>
      </c>
      <c r="BV12" s="81">
        <v>32.800000000000004</v>
      </c>
      <c r="BW12" s="81">
        <v>50</v>
      </c>
      <c r="BX12" s="81">
        <f>SUM(BV12:BW12)</f>
        <v>82.800000000000011</v>
      </c>
      <c r="BY12" s="81">
        <v>40.299999999999983</v>
      </c>
      <c r="BZ12" s="81">
        <f>SUM(BX12:BY12)</f>
        <v>123.1</v>
      </c>
      <c r="CA12" s="81">
        <v>53.904208160000024</v>
      </c>
      <c r="CB12" s="81">
        <f>SUM(BZ12:CA12)</f>
        <v>177.00420816000002</v>
      </c>
      <c r="CC12" s="81">
        <v>39.6</v>
      </c>
      <c r="CD12" s="81">
        <v>48.3</v>
      </c>
      <c r="CE12" s="81">
        <f>SUM(CC12:CD12)</f>
        <v>87.9</v>
      </c>
      <c r="CF12" s="81">
        <v>42.325262540000011</v>
      </c>
      <c r="CG12" s="81">
        <v>130.23591083000002</v>
      </c>
      <c r="CH12" s="81">
        <v>49.801775609999822</v>
      </c>
      <c r="CI12" s="81">
        <f>SUM(CG12:CH12)</f>
        <v>180.03768643999985</v>
      </c>
      <c r="CJ12" s="81">
        <v>22.5049428402255</v>
      </c>
      <c r="CK12" s="81">
        <v>52.469118694632101</v>
      </c>
      <c r="CL12" s="81">
        <f>SUM(CJ12:CK12)</f>
        <v>74.974061534857597</v>
      </c>
      <c r="CM12" s="81">
        <v>57.380989414139407</v>
      </c>
      <c r="CN12" s="81">
        <f>SUM(CL12:CM12)</f>
        <v>132.35505094899702</v>
      </c>
      <c r="CO12" s="81">
        <v>90.019496013700007</v>
      </c>
      <c r="CP12" s="81">
        <v>222.37454696269702</v>
      </c>
      <c r="CQ12" s="81">
        <v>30.308854593886196</v>
      </c>
      <c r="CR12" s="81">
        <v>45.814993739480833</v>
      </c>
      <c r="CS12" s="81">
        <f>SUM(CQ12:CR12)</f>
        <v>76.123848333367022</v>
      </c>
      <c r="CT12" s="81">
        <v>64.489992908891068</v>
      </c>
      <c r="CU12" s="81">
        <f t="shared" ref="CU12:CU16" si="36">CS12+CT12</f>
        <v>140.6138412422581</v>
      </c>
      <c r="CV12" s="81">
        <v>84.50968427083528</v>
      </c>
      <c r="CW12" s="81">
        <f t="shared" ref="CW12:CW16" si="37">CV12+CU12</f>
        <v>225.1235255130934</v>
      </c>
      <c r="CX12" s="81">
        <v>27.903026381317563</v>
      </c>
      <c r="CY12" s="81">
        <v>59.4</v>
      </c>
      <c r="CZ12" s="81">
        <f>SUM(CX12:CY12)</f>
        <v>87.303026381317565</v>
      </c>
      <c r="DA12" s="81">
        <v>71.898440274263791</v>
      </c>
      <c r="DB12" s="81">
        <f>SUM(CZ12:DA12)</f>
        <v>159.20146665558136</v>
      </c>
      <c r="DC12" s="81">
        <v>103.19421080829709</v>
      </c>
      <c r="DD12" s="81">
        <f>SUM(DB12:DC12)</f>
        <v>262.39567746387843</v>
      </c>
      <c r="DE12" s="81">
        <v>49.566672152324799</v>
      </c>
      <c r="DF12" s="81">
        <v>12.758632683572138</v>
      </c>
      <c r="DG12" s="81">
        <f>SUM(DE12:DF12)</f>
        <v>62.325304835896937</v>
      </c>
      <c r="DH12" s="81">
        <v>19.150549846900173</v>
      </c>
      <c r="DI12" s="81">
        <f>SUM(DG12:DH12)</f>
        <v>81.475854682797106</v>
      </c>
      <c r="DJ12" s="81">
        <v>14.777795798348611</v>
      </c>
      <c r="DK12" s="81">
        <f>SUM(DI12:DJ12)</f>
        <v>96.253650481145712</v>
      </c>
    </row>
    <row r="13" spans="2:115" s="9" customFormat="1" ht="18" customHeight="1">
      <c r="B13" s="240" t="s">
        <v>442</v>
      </c>
      <c r="C13" s="240" t="s">
        <v>438</v>
      </c>
      <c r="D13" s="81">
        <v>0.9</v>
      </c>
      <c r="E13" s="81">
        <v>2.6</v>
      </c>
      <c r="F13" s="81">
        <f t="shared" ref="F13:J16" si="38">SUM(D13:E13)</f>
        <v>3.5</v>
      </c>
      <c r="G13" s="81">
        <v>3.2</v>
      </c>
      <c r="H13" s="81">
        <f t="shared" si="38"/>
        <v>6.7</v>
      </c>
      <c r="I13" s="81">
        <v>10.7</v>
      </c>
      <c r="J13" s="81">
        <f t="shared" si="38"/>
        <v>17.399999999999999</v>
      </c>
      <c r="K13" s="81">
        <v>3.1</v>
      </c>
      <c r="L13" s="81">
        <v>4.8</v>
      </c>
      <c r="M13" s="81">
        <f>SUM(K13:L13)</f>
        <v>7.9</v>
      </c>
      <c r="N13" s="81">
        <v>4.4000000000000004</v>
      </c>
      <c r="O13" s="81">
        <f>SUM(M13:N13)</f>
        <v>12.3</v>
      </c>
      <c r="P13" s="81">
        <v>5.0999999999999996</v>
      </c>
      <c r="Q13" s="81">
        <f>SUM(O13:P13)</f>
        <v>17.399999999999999</v>
      </c>
      <c r="R13" s="81">
        <v>0.7</v>
      </c>
      <c r="S13" s="81">
        <v>3.4</v>
      </c>
      <c r="T13" s="81">
        <f>SUM(R13:S13)</f>
        <v>4.0999999999999996</v>
      </c>
      <c r="U13" s="81">
        <v>1.5</v>
      </c>
      <c r="V13" s="81">
        <f>SUM(T13:U13)</f>
        <v>5.6</v>
      </c>
      <c r="W13" s="81">
        <v>5.7</v>
      </c>
      <c r="X13" s="81">
        <f>SUM(V13:W13)</f>
        <v>11.3</v>
      </c>
      <c r="Y13" s="81">
        <v>1.1000000000000001</v>
      </c>
      <c r="Z13" s="81">
        <v>6.5</v>
      </c>
      <c r="AA13" s="81">
        <f>SUM(Y13:Z13)</f>
        <v>7.6</v>
      </c>
      <c r="AB13" s="81">
        <v>9.6999999999999993</v>
      </c>
      <c r="AC13" s="81">
        <f>SUM(AA13:AB13)</f>
        <v>17.299999999999997</v>
      </c>
      <c r="AD13" s="81">
        <v>7.1</v>
      </c>
      <c r="AE13" s="81">
        <f>SUM(AC13:AD13)</f>
        <v>24.4</v>
      </c>
      <c r="AF13" s="81">
        <v>0.6</v>
      </c>
      <c r="AG13" s="81">
        <v>2.2999999999999998</v>
      </c>
      <c r="AH13" s="81">
        <f>SUM(AF13:AG13)</f>
        <v>2.9</v>
      </c>
      <c r="AI13" s="81">
        <v>2.2000000000000002</v>
      </c>
      <c r="AJ13" s="81">
        <f>SUM(AH13:AI13)</f>
        <v>5.0999999999999996</v>
      </c>
      <c r="AK13" s="81">
        <v>4.4000000000000004</v>
      </c>
      <c r="AL13" s="81">
        <f>SUM(AJ13:AK13)</f>
        <v>9.5</v>
      </c>
      <c r="AM13" s="81">
        <v>0.6</v>
      </c>
      <c r="AN13" s="81">
        <v>1.1000000000000001</v>
      </c>
      <c r="AO13" s="81">
        <f>SUM(AM13:AN13)</f>
        <v>1.7000000000000002</v>
      </c>
      <c r="AP13" s="81">
        <v>5.4</v>
      </c>
      <c r="AQ13" s="81">
        <f>SUM(AO13:AP13)</f>
        <v>7.1000000000000005</v>
      </c>
      <c r="AR13" s="81">
        <v>15.2</v>
      </c>
      <c r="AS13" s="81">
        <f>SUM(AQ13:AR13)</f>
        <v>22.3</v>
      </c>
      <c r="AT13" s="81">
        <v>2.9</v>
      </c>
      <c r="AU13" s="81">
        <v>7.3</v>
      </c>
      <c r="AV13" s="81">
        <f>SUM(AT13:AU13)</f>
        <v>10.199999999999999</v>
      </c>
      <c r="AW13" s="81">
        <v>7.4</v>
      </c>
      <c r="AX13" s="81">
        <f>SUM(AV13:AW13)</f>
        <v>17.600000000000001</v>
      </c>
      <c r="AY13" s="81">
        <v>21.4</v>
      </c>
      <c r="AZ13" s="81">
        <f>SUM(AX13:AY13)</f>
        <v>39</v>
      </c>
      <c r="BA13" s="81">
        <v>17.600000000000001</v>
      </c>
      <c r="BB13" s="81">
        <v>12.7</v>
      </c>
      <c r="BC13" s="81">
        <f>SUM(BA13:BB13)</f>
        <v>30.3</v>
      </c>
      <c r="BD13" s="81">
        <v>15.3</v>
      </c>
      <c r="BE13" s="81">
        <f>SUM(BC13:BD13)</f>
        <v>45.6</v>
      </c>
      <c r="BF13" s="81">
        <v>25.7</v>
      </c>
      <c r="BG13" s="81">
        <f>SUM(BE13:BF13)</f>
        <v>71.3</v>
      </c>
      <c r="BH13" s="81">
        <v>10.299999999999999</v>
      </c>
      <c r="BI13" s="81">
        <v>15.332931851</v>
      </c>
      <c r="BJ13" s="81">
        <f>SUM(BH13:BI13)</f>
        <v>25.632931850999999</v>
      </c>
      <c r="BK13" s="81">
        <v>35.114241899999968</v>
      </c>
      <c r="BL13" s="81">
        <f>SUM(BJ13:BK13)</f>
        <v>60.747173750999963</v>
      </c>
      <c r="BM13" s="81">
        <v>48.312347669958463</v>
      </c>
      <c r="BN13" s="81">
        <f>SUM(BL13:BM13)</f>
        <v>109.05952142095842</v>
      </c>
      <c r="BO13" s="81">
        <v>16.399999999999999</v>
      </c>
      <c r="BP13" s="81">
        <v>27.000000000000004</v>
      </c>
      <c r="BQ13" s="81">
        <f>SUM(BO13:BP13)</f>
        <v>43.400000000000006</v>
      </c>
      <c r="BR13" s="81">
        <v>32.506297192173761</v>
      </c>
      <c r="BS13" s="81">
        <f>SUM(BQ13:BR13)</f>
        <v>75.906297192173767</v>
      </c>
      <c r="BT13" s="81">
        <v>46.315192289999992</v>
      </c>
      <c r="BU13" s="81">
        <f>SUM(BS13:BT13)</f>
        <v>122.22148948217375</v>
      </c>
      <c r="BV13" s="81">
        <v>25.3</v>
      </c>
      <c r="BW13" s="81">
        <v>44.7</v>
      </c>
      <c r="BX13" s="81">
        <f>SUM(BV13:BW13)</f>
        <v>70</v>
      </c>
      <c r="BY13" s="81">
        <v>69.699999999999989</v>
      </c>
      <c r="BZ13" s="81">
        <f>SUM(BX13:BY13)</f>
        <v>139.69999999999999</v>
      </c>
      <c r="CA13" s="81">
        <v>62.427862250000118</v>
      </c>
      <c r="CB13" s="81">
        <f>SUM(BZ13:CA13)</f>
        <v>202.12786225000011</v>
      </c>
      <c r="CC13" s="81">
        <v>23.4</v>
      </c>
      <c r="CD13" s="81">
        <v>37.9</v>
      </c>
      <c r="CE13" s="81">
        <f>SUM(CC13:CD13)</f>
        <v>61.3</v>
      </c>
      <c r="CF13" s="81">
        <v>24.344572350000007</v>
      </c>
      <c r="CG13" s="81">
        <v>85.649247320000057</v>
      </c>
      <c r="CH13" s="81">
        <v>47.264287311999993</v>
      </c>
      <c r="CI13" s="81">
        <f>SUM(CG13:CH13)</f>
        <v>132.91353463200005</v>
      </c>
      <c r="CJ13" s="81">
        <v>21.426282372976203</v>
      </c>
      <c r="CK13" s="81">
        <v>27.674611707707154</v>
      </c>
      <c r="CL13" s="81">
        <f>SUM(CJ13:CK13)</f>
        <v>49.100894080683361</v>
      </c>
      <c r="CM13" s="81">
        <v>38.388020586304087</v>
      </c>
      <c r="CN13" s="81">
        <f t="shared" ref="CN13:CN16" si="39">SUM(CL13:CM13)</f>
        <v>87.488914666987455</v>
      </c>
      <c r="CO13" s="81">
        <v>54.481692329254543</v>
      </c>
      <c r="CP13" s="81">
        <v>141.970606996242</v>
      </c>
      <c r="CQ13" s="81">
        <v>26.306164835085948</v>
      </c>
      <c r="CR13" s="81">
        <v>47.523274228712737</v>
      </c>
      <c r="CS13" s="81">
        <f>SUM(CQ13:CR13)</f>
        <v>73.829439063798688</v>
      </c>
      <c r="CT13" s="81">
        <v>49.863319228280886</v>
      </c>
      <c r="CU13" s="81">
        <f t="shared" si="36"/>
        <v>123.69275829207957</v>
      </c>
      <c r="CV13" s="81">
        <v>44.216093576335723</v>
      </c>
      <c r="CW13" s="81">
        <f t="shared" si="37"/>
        <v>167.9088518684153</v>
      </c>
      <c r="CX13" s="81">
        <v>17.395862139190477</v>
      </c>
      <c r="CY13" s="81">
        <v>34.212610623934246</v>
      </c>
      <c r="CZ13" s="81">
        <f>SUM(CX13:CY13)</f>
        <v>51.608472763124723</v>
      </c>
      <c r="DA13" s="81">
        <v>21.827498432062072</v>
      </c>
      <c r="DB13" s="81">
        <f t="shared" ref="DB13:DB16" si="40">SUM(CZ13:DA13)</f>
        <v>73.435971195186795</v>
      </c>
      <c r="DC13" s="81">
        <v>21.219997435329578</v>
      </c>
      <c r="DD13" s="81">
        <f t="shared" ref="DD13:DD16" si="41">SUM(DB13:DC13)</f>
        <v>94.655968630516369</v>
      </c>
      <c r="DE13" s="81">
        <v>11.717672822538178</v>
      </c>
      <c r="DF13" s="81">
        <v>5.8689615433900313</v>
      </c>
      <c r="DG13" s="81">
        <f>SUM(DE13:DF13)</f>
        <v>17.586634365928209</v>
      </c>
      <c r="DH13" s="81">
        <v>10.487063131360413</v>
      </c>
      <c r="DI13" s="81">
        <f>SUM(DG13:DH13)</f>
        <v>28.07369749728862</v>
      </c>
      <c r="DJ13" s="81">
        <v>17.472761117992249</v>
      </c>
      <c r="DK13" s="81">
        <f>SUM(DI13:DJ13)</f>
        <v>45.546458615280869</v>
      </c>
    </row>
    <row r="14" spans="2:115" s="9" customFormat="1" ht="18" customHeight="1">
      <c r="B14" s="240" t="s">
        <v>443</v>
      </c>
      <c r="C14" s="240" t="s">
        <v>439</v>
      </c>
      <c r="D14" s="81">
        <v>2</v>
      </c>
      <c r="E14" s="81">
        <v>2</v>
      </c>
      <c r="F14" s="81">
        <f t="shared" si="38"/>
        <v>4</v>
      </c>
      <c r="G14" s="81">
        <v>0.7</v>
      </c>
      <c r="H14" s="81">
        <f t="shared" si="38"/>
        <v>4.7</v>
      </c>
      <c r="I14" s="81">
        <v>4.0999999999999996</v>
      </c>
      <c r="J14" s="81">
        <f t="shared" si="38"/>
        <v>8.8000000000000007</v>
      </c>
      <c r="K14" s="81">
        <v>3.6</v>
      </c>
      <c r="L14" s="81">
        <v>3.9</v>
      </c>
      <c r="M14" s="81">
        <f>SUM(K14:L14)</f>
        <v>7.5</v>
      </c>
      <c r="N14" s="81">
        <v>3.2</v>
      </c>
      <c r="O14" s="81">
        <f>SUM(M14:N14)</f>
        <v>10.7</v>
      </c>
      <c r="P14" s="81">
        <v>2.7</v>
      </c>
      <c r="Q14" s="81">
        <f>SUM(O14:P14)</f>
        <v>13.399999999999999</v>
      </c>
      <c r="R14" s="81">
        <v>1.3</v>
      </c>
      <c r="S14" s="81">
        <v>2.2000000000000002</v>
      </c>
      <c r="T14" s="81">
        <f>SUM(R14:S14)</f>
        <v>3.5</v>
      </c>
      <c r="U14" s="81">
        <v>3.4</v>
      </c>
      <c r="V14" s="81">
        <f>SUM(T14:U14)</f>
        <v>6.9</v>
      </c>
      <c r="W14" s="81">
        <v>16.399999999999999</v>
      </c>
      <c r="X14" s="81">
        <f>SUM(V14:W14)</f>
        <v>23.299999999999997</v>
      </c>
      <c r="Y14" s="81">
        <v>0.6</v>
      </c>
      <c r="Z14" s="81">
        <v>2</v>
      </c>
      <c r="AA14" s="81">
        <f>SUM(Y14:Z14)</f>
        <v>2.6</v>
      </c>
      <c r="AB14" s="81">
        <v>3.5</v>
      </c>
      <c r="AC14" s="81">
        <f>SUM(AA14:AB14)</f>
        <v>6.1</v>
      </c>
      <c r="AD14" s="81">
        <v>4.8</v>
      </c>
      <c r="AE14" s="81">
        <f>SUM(AC14:AD14)</f>
        <v>10.899999999999999</v>
      </c>
      <c r="AF14" s="81">
        <v>0</v>
      </c>
      <c r="AG14" s="81">
        <v>1.3</v>
      </c>
      <c r="AH14" s="81">
        <f>SUM(AF14:AG14)</f>
        <v>1.3</v>
      </c>
      <c r="AI14" s="81">
        <v>1.9</v>
      </c>
      <c r="AJ14" s="81">
        <f>SUM(AH14:AI14)</f>
        <v>3.2</v>
      </c>
      <c r="AK14" s="81">
        <v>9</v>
      </c>
      <c r="AL14" s="81">
        <f>SUM(AJ14:AK14)</f>
        <v>12.2</v>
      </c>
      <c r="AM14" s="81">
        <v>2.1</v>
      </c>
      <c r="AN14" s="81">
        <v>3.6</v>
      </c>
      <c r="AO14" s="81">
        <f>SUM(AM14:AN14)</f>
        <v>5.7</v>
      </c>
      <c r="AP14" s="81">
        <v>2.1</v>
      </c>
      <c r="AQ14" s="81">
        <f>SUM(AO14:AP14)</f>
        <v>7.8000000000000007</v>
      </c>
      <c r="AR14" s="81">
        <v>30</v>
      </c>
      <c r="AS14" s="81">
        <f>SUM(AQ14:AR14)</f>
        <v>37.799999999999997</v>
      </c>
      <c r="AT14" s="81">
        <v>1.1000000000000001</v>
      </c>
      <c r="AU14" s="81">
        <v>4.0999999999999996</v>
      </c>
      <c r="AV14" s="81">
        <f>SUM(AT14:AU14)</f>
        <v>5.1999999999999993</v>
      </c>
      <c r="AW14" s="81">
        <v>10.3</v>
      </c>
      <c r="AX14" s="81">
        <f>SUM(AV14:AW14)</f>
        <v>15.5</v>
      </c>
      <c r="AY14" s="81">
        <v>13.7</v>
      </c>
      <c r="AZ14" s="81">
        <f>SUM(AX14:AY14)</f>
        <v>29.2</v>
      </c>
      <c r="BA14" s="81">
        <v>8.3000000000000007</v>
      </c>
      <c r="BB14" s="81">
        <v>20.3</v>
      </c>
      <c r="BC14" s="81">
        <f>SUM(BA14:BB14)</f>
        <v>28.6</v>
      </c>
      <c r="BD14" s="81">
        <v>4.5999999999999996</v>
      </c>
      <c r="BE14" s="81">
        <f>SUM(BC14:BD14)</f>
        <v>33.200000000000003</v>
      </c>
      <c r="BF14" s="81">
        <v>14.399999999999999</v>
      </c>
      <c r="BG14" s="81">
        <f>SUM(BE14:BF14)</f>
        <v>47.6</v>
      </c>
      <c r="BH14" s="81">
        <v>2.2999999999999998</v>
      </c>
      <c r="BI14" s="81">
        <v>4.2113662184818796</v>
      </c>
      <c r="BJ14" s="81">
        <f>SUM(BH14:BI14)</f>
        <v>6.5113662184818795</v>
      </c>
      <c r="BK14" s="81">
        <v>15.446200940000011</v>
      </c>
      <c r="BL14" s="81">
        <f>SUM(BJ14:BK14)</f>
        <v>21.95756715848189</v>
      </c>
      <c r="BM14" s="81">
        <v>17.446272844147586</v>
      </c>
      <c r="BN14" s="81">
        <f>SUM(BL14:BM14)</f>
        <v>39.403840002629479</v>
      </c>
      <c r="BO14" s="81">
        <v>0.30000000000000004</v>
      </c>
      <c r="BP14" s="81">
        <v>37.1</v>
      </c>
      <c r="BQ14" s="81">
        <f>SUM(BO14:BP14)</f>
        <v>37.4</v>
      </c>
      <c r="BR14" s="81">
        <v>20.739266695026195</v>
      </c>
      <c r="BS14" s="81">
        <f>SUM(BQ14:BR14)</f>
        <v>58.139266695026194</v>
      </c>
      <c r="BT14" s="81">
        <v>24.88363191000003</v>
      </c>
      <c r="BU14" s="81">
        <f>SUM(BS14:BT14)</f>
        <v>83.022898605026228</v>
      </c>
      <c r="BV14" s="81">
        <v>8.5</v>
      </c>
      <c r="BW14" s="81">
        <v>35.200000000000003</v>
      </c>
      <c r="BX14" s="81">
        <f>SUM(BV14:BW14)</f>
        <v>43.7</v>
      </c>
      <c r="BY14" s="81">
        <v>33.799999999999997</v>
      </c>
      <c r="BZ14" s="81">
        <f>SUM(BX14:BY14)</f>
        <v>77.5</v>
      </c>
      <c r="CA14" s="81">
        <v>38.822888010000042</v>
      </c>
      <c r="CB14" s="81">
        <f>SUM(BZ14:CA14)</f>
        <v>116.32288801000004</v>
      </c>
      <c r="CC14" s="81">
        <v>17.61</v>
      </c>
      <c r="CD14" s="81">
        <v>65.599999999999994</v>
      </c>
      <c r="CE14" s="81">
        <f>SUM(CC14:CD14)</f>
        <v>83.21</v>
      </c>
      <c r="CF14" s="81">
        <v>31.271480089999983</v>
      </c>
      <c r="CG14" s="81">
        <v>114.53505349999998</v>
      </c>
      <c r="CH14" s="81">
        <v>48.44</v>
      </c>
      <c r="CI14" s="81">
        <f>SUM(CG14:CH14)</f>
        <v>162.97505349999997</v>
      </c>
      <c r="CJ14" s="81">
        <v>14.452516736493882</v>
      </c>
      <c r="CK14" s="81">
        <v>28.269203150016899</v>
      </c>
      <c r="CL14" s="81">
        <f>SUM(CJ14:CK14)</f>
        <v>42.721719886510783</v>
      </c>
      <c r="CM14" s="81">
        <v>26.656379601793429</v>
      </c>
      <c r="CN14" s="81">
        <f t="shared" si="39"/>
        <v>69.378099488304215</v>
      </c>
      <c r="CO14" s="81">
        <v>74.122910417710798</v>
      </c>
      <c r="CP14" s="81">
        <v>143.50100990601501</v>
      </c>
      <c r="CQ14" s="81">
        <v>34.960776890019389</v>
      </c>
      <c r="CR14" s="81">
        <v>32.463577269271077</v>
      </c>
      <c r="CS14" s="81">
        <f>SUM(CQ14:CR14)</f>
        <v>67.424354159290459</v>
      </c>
      <c r="CT14" s="81">
        <v>34.479918620181401</v>
      </c>
      <c r="CU14" s="81">
        <f t="shared" si="36"/>
        <v>101.90427277947185</v>
      </c>
      <c r="CV14" s="81">
        <v>82.116960186087766</v>
      </c>
      <c r="CW14" s="81">
        <f t="shared" si="37"/>
        <v>184.02123296555962</v>
      </c>
      <c r="CX14" s="81">
        <v>28.740068274750957</v>
      </c>
      <c r="CY14" s="81">
        <v>64</v>
      </c>
      <c r="CZ14" s="81">
        <f>SUM(CX14:CY14)</f>
        <v>92.740068274750953</v>
      </c>
      <c r="DA14" s="81">
        <f>53.9991881087297-0.1</f>
        <v>53.899188108729696</v>
      </c>
      <c r="DB14" s="81">
        <f t="shared" si="40"/>
        <v>146.63925638348064</v>
      </c>
      <c r="DC14" s="81">
        <v>100.3519846347922</v>
      </c>
      <c r="DD14" s="81">
        <f t="shared" si="41"/>
        <v>246.99124101827283</v>
      </c>
      <c r="DE14" s="81">
        <v>25.048918694539456</v>
      </c>
      <c r="DF14" s="81">
        <v>103.46262396313969</v>
      </c>
      <c r="DG14" s="81">
        <f>SUM(DE14:DF14)</f>
        <v>128.51154265767914</v>
      </c>
      <c r="DH14" s="81">
        <v>70.625939088966163</v>
      </c>
      <c r="DI14" s="81">
        <f>SUM(DG14:DH14)</f>
        <v>199.13748174664531</v>
      </c>
      <c r="DJ14" s="81">
        <v>66.534790237093532</v>
      </c>
      <c r="DK14" s="81">
        <f>SUM(DI14:DJ14)</f>
        <v>265.67227198373882</v>
      </c>
    </row>
    <row r="15" spans="2:115" s="9" customFormat="1" ht="18" customHeight="1">
      <c r="B15" s="240" t="s">
        <v>444</v>
      </c>
      <c r="C15" s="240" t="s">
        <v>440</v>
      </c>
      <c r="D15" s="81">
        <v>0</v>
      </c>
      <c r="E15" s="81">
        <v>0</v>
      </c>
      <c r="F15" s="81">
        <f t="shared" si="38"/>
        <v>0</v>
      </c>
      <c r="G15" s="81">
        <v>0</v>
      </c>
      <c r="H15" s="81">
        <f t="shared" si="38"/>
        <v>0</v>
      </c>
      <c r="I15" s="81">
        <v>0</v>
      </c>
      <c r="J15" s="81">
        <f t="shared" si="38"/>
        <v>0</v>
      </c>
      <c r="K15" s="81">
        <v>0</v>
      </c>
      <c r="L15" s="81">
        <v>0</v>
      </c>
      <c r="M15" s="81">
        <f>SUM(K15:L15)</f>
        <v>0</v>
      </c>
      <c r="N15" s="81">
        <v>0</v>
      </c>
      <c r="O15" s="81">
        <f>SUM(M15:N15)</f>
        <v>0</v>
      </c>
      <c r="P15" s="81">
        <v>0</v>
      </c>
      <c r="Q15" s="81">
        <f>SUM(O15:P15)</f>
        <v>0</v>
      </c>
      <c r="R15" s="81">
        <v>0</v>
      </c>
      <c r="S15" s="81">
        <v>0</v>
      </c>
      <c r="T15" s="81">
        <f>SUM(R15:S15)</f>
        <v>0</v>
      </c>
      <c r="U15" s="81">
        <v>0</v>
      </c>
      <c r="V15" s="81">
        <f>SUM(T15:U15)</f>
        <v>0</v>
      </c>
      <c r="W15" s="81">
        <v>0</v>
      </c>
      <c r="X15" s="81">
        <f>SUM(V15:W15)</f>
        <v>0</v>
      </c>
      <c r="Y15" s="81">
        <v>0</v>
      </c>
      <c r="Z15" s="81">
        <v>0</v>
      </c>
      <c r="AA15" s="81">
        <f>SUM(Y15:Z15)</f>
        <v>0</v>
      </c>
      <c r="AB15" s="81">
        <v>0</v>
      </c>
      <c r="AC15" s="81">
        <f>SUM(AA15:AB15)</f>
        <v>0</v>
      </c>
      <c r="AD15" s="81">
        <v>0</v>
      </c>
      <c r="AE15" s="81">
        <f>SUM(AC15:AD15)</f>
        <v>0</v>
      </c>
      <c r="AF15" s="81">
        <v>0</v>
      </c>
      <c r="AG15" s="81">
        <v>0</v>
      </c>
      <c r="AH15" s="81">
        <f>SUM(AF15:AG15)</f>
        <v>0</v>
      </c>
      <c r="AI15" s="81">
        <v>0</v>
      </c>
      <c r="AJ15" s="81">
        <f>SUM(AH15:AI15)</f>
        <v>0</v>
      </c>
      <c r="AK15" s="81">
        <v>0</v>
      </c>
      <c r="AL15" s="81">
        <f>SUM(AJ15:AK15)</f>
        <v>0</v>
      </c>
      <c r="AM15" s="81">
        <v>0</v>
      </c>
      <c r="AN15" s="81">
        <v>0</v>
      </c>
      <c r="AO15" s="81">
        <f>SUM(AM15:AN15)</f>
        <v>0</v>
      </c>
      <c r="AP15" s="81">
        <v>0.5</v>
      </c>
      <c r="AQ15" s="81">
        <f>SUM(AO15:AP15)</f>
        <v>0.5</v>
      </c>
      <c r="AR15" s="81">
        <v>11.8</v>
      </c>
      <c r="AS15" s="81">
        <f>SUM(AQ15:AR15)</f>
        <v>12.3</v>
      </c>
      <c r="AT15" s="81">
        <v>2.1</v>
      </c>
      <c r="AU15" s="81">
        <v>10</v>
      </c>
      <c r="AV15" s="81">
        <f>SUM(AT15:AU15)</f>
        <v>12.1</v>
      </c>
      <c r="AW15" s="81">
        <v>4.5</v>
      </c>
      <c r="AX15" s="81">
        <f>SUM(AV15:AW15)</f>
        <v>16.600000000000001</v>
      </c>
      <c r="AY15" s="81">
        <v>11.7</v>
      </c>
      <c r="AZ15" s="81">
        <f>SUM(AX15:AY15)</f>
        <v>28.3</v>
      </c>
      <c r="BA15" s="81">
        <v>13.7</v>
      </c>
      <c r="BB15" s="81">
        <v>19.399999999999999</v>
      </c>
      <c r="BC15" s="81">
        <f>SUM(BA15:BB15)</f>
        <v>33.099999999999994</v>
      </c>
      <c r="BD15" s="81">
        <v>19.2</v>
      </c>
      <c r="BE15" s="81">
        <f>SUM(BC15:BD15)</f>
        <v>52.3</v>
      </c>
      <c r="BF15" s="81">
        <v>23.8</v>
      </c>
      <c r="BG15" s="81">
        <f>SUM(BE15:BF15)</f>
        <v>76.099999999999994</v>
      </c>
      <c r="BH15" s="81">
        <v>0.4</v>
      </c>
      <c r="BI15" s="81">
        <v>0.50732718704799995</v>
      </c>
      <c r="BJ15" s="81">
        <f>SUM(BH15:BI15)</f>
        <v>0.90732718704799997</v>
      </c>
      <c r="BK15" s="81">
        <v>15.540452299999995</v>
      </c>
      <c r="BL15" s="81">
        <f>SUM(BJ15:BK15)</f>
        <v>16.447779487047995</v>
      </c>
      <c r="BM15" s="81">
        <v>29.855840089990313</v>
      </c>
      <c r="BN15" s="81">
        <f>SUM(BL15:BM15)</f>
        <v>46.303619577038305</v>
      </c>
      <c r="BO15" s="81">
        <v>21.5</v>
      </c>
      <c r="BP15" s="81">
        <v>-5.8</v>
      </c>
      <c r="BQ15" s="81">
        <f>SUM(BO15:BP15)</f>
        <v>15.7</v>
      </c>
      <c r="BR15" s="81">
        <v>14.540014166009733</v>
      </c>
      <c r="BS15" s="81">
        <f>SUM(BQ15:BR15)</f>
        <v>30.240014166009733</v>
      </c>
      <c r="BT15" s="81">
        <v>27.433463250000017</v>
      </c>
      <c r="BU15" s="81">
        <f>SUM(BS15:BT15)</f>
        <v>57.673477416009746</v>
      </c>
      <c r="BV15" s="81">
        <v>4.2699999999999996</v>
      </c>
      <c r="BW15" s="81">
        <v>15.8</v>
      </c>
      <c r="BX15" s="81">
        <f>SUM(BV15:BW15)</f>
        <v>20.07</v>
      </c>
      <c r="BY15" s="81">
        <v>21.229999999999997</v>
      </c>
      <c r="BZ15" s="81">
        <f>SUM(BX15:BY15)</f>
        <v>41.3</v>
      </c>
      <c r="CA15" s="81">
        <v>9.0949221299999863</v>
      </c>
      <c r="CB15" s="81">
        <f>SUM(BZ15:CA15)</f>
        <v>50.394922129999983</v>
      </c>
      <c r="CC15" s="81">
        <v>3.7</v>
      </c>
      <c r="CD15" s="81">
        <v>2.9</v>
      </c>
      <c r="CE15" s="81">
        <f>SUM(CC15:CD15)</f>
        <v>6.6</v>
      </c>
      <c r="CF15" s="81">
        <v>1.2222412299999998</v>
      </c>
      <c r="CG15" s="81">
        <v>7.8196579899999996</v>
      </c>
      <c r="CH15" s="81">
        <v>4.5083212800000005</v>
      </c>
      <c r="CI15" s="81">
        <f>SUM(CG15:CH15)</f>
        <v>12.32797927</v>
      </c>
      <c r="CJ15" s="81">
        <v>2.3593007192755193</v>
      </c>
      <c r="CK15" s="81">
        <v>5.2954000248896156</v>
      </c>
      <c r="CL15" s="81">
        <f>SUM(CJ15:CK15)</f>
        <v>7.6547007441651349</v>
      </c>
      <c r="CM15" s="81">
        <v>7.0776777561015223</v>
      </c>
      <c r="CN15" s="81">
        <f t="shared" si="39"/>
        <v>14.732378500266657</v>
      </c>
      <c r="CO15" s="81">
        <v>7.5141364187423445</v>
      </c>
      <c r="CP15" s="81">
        <v>22.246514919009002</v>
      </c>
      <c r="CQ15" s="81">
        <v>1.4648497049412021</v>
      </c>
      <c r="CR15" s="81">
        <v>4.8498563688961687</v>
      </c>
      <c r="CS15" s="81">
        <f>SUM(CQ15:CR15)</f>
        <v>6.314706073837371</v>
      </c>
      <c r="CT15" s="81">
        <v>5.107730829724602</v>
      </c>
      <c r="CU15" s="81">
        <f t="shared" si="36"/>
        <v>11.422436903561973</v>
      </c>
      <c r="CV15" s="81">
        <v>6.0422713005860009</v>
      </c>
      <c r="CW15" s="81">
        <f t="shared" si="37"/>
        <v>17.464708204147975</v>
      </c>
      <c r="CX15" s="81">
        <v>3.4762513712199654</v>
      </c>
      <c r="CY15" s="81">
        <v>8.5477695599533892</v>
      </c>
      <c r="CZ15" s="81">
        <f>SUM(CX15:CY15)</f>
        <v>12.024020931173354</v>
      </c>
      <c r="DA15" s="81">
        <v>109.24614380352445</v>
      </c>
      <c r="DB15" s="81">
        <f t="shared" si="40"/>
        <v>121.2701647346978</v>
      </c>
      <c r="DC15" s="81">
        <v>23.76401903648442</v>
      </c>
      <c r="DD15" s="81">
        <f t="shared" si="41"/>
        <v>145.03418377118223</v>
      </c>
      <c r="DE15" s="81">
        <v>2.8485857183513836</v>
      </c>
      <c r="DF15" s="81">
        <v>18.881743813656829</v>
      </c>
      <c r="DG15" s="81">
        <f>SUM(DE15:DF15)</f>
        <v>21.730329532008213</v>
      </c>
      <c r="DH15" s="81">
        <v>88.150946952507951</v>
      </c>
      <c r="DI15" s="81">
        <f>SUM(DG15:DH15)</f>
        <v>109.88127648451616</v>
      </c>
      <c r="DJ15" s="81">
        <v>25.051674350299201</v>
      </c>
      <c r="DK15" s="81">
        <f>SUM(DI15:DJ15)</f>
        <v>134.93295083481536</v>
      </c>
    </row>
    <row r="16" spans="2:115" s="9" customFormat="1" ht="18" customHeight="1">
      <c r="B16" s="240" t="s">
        <v>445</v>
      </c>
      <c r="C16" s="240" t="s">
        <v>446</v>
      </c>
      <c r="D16" s="81">
        <v>0.3</v>
      </c>
      <c r="E16" s="81">
        <v>0.2</v>
      </c>
      <c r="F16" s="81">
        <f t="shared" si="38"/>
        <v>0.5</v>
      </c>
      <c r="G16" s="81">
        <v>0.7</v>
      </c>
      <c r="H16" s="81">
        <f t="shared" si="38"/>
        <v>1.2</v>
      </c>
      <c r="I16" s="81">
        <v>5.0999999999999996</v>
      </c>
      <c r="J16" s="81">
        <f t="shared" si="38"/>
        <v>6.3</v>
      </c>
      <c r="K16" s="81">
        <v>0.2</v>
      </c>
      <c r="L16" s="81">
        <v>1.6</v>
      </c>
      <c r="M16" s="81">
        <f>SUM(K16:L16)</f>
        <v>1.8</v>
      </c>
      <c r="N16" s="81">
        <v>1.6</v>
      </c>
      <c r="O16" s="81">
        <f>SUM(M16:N16)</f>
        <v>3.4000000000000004</v>
      </c>
      <c r="P16" s="81">
        <v>3.6</v>
      </c>
      <c r="Q16" s="81">
        <v>6.9</v>
      </c>
      <c r="R16" s="81">
        <v>1.2</v>
      </c>
      <c r="S16" s="81">
        <v>1.6</v>
      </c>
      <c r="T16" s="81">
        <f>SUM(R16:S16)</f>
        <v>2.8</v>
      </c>
      <c r="U16" s="81">
        <v>3.8</v>
      </c>
      <c r="V16" s="81">
        <f>SUM(T16:U16)</f>
        <v>6.6</v>
      </c>
      <c r="W16" s="81">
        <v>7.3</v>
      </c>
      <c r="X16" s="81">
        <f>SUM(V16:W16)</f>
        <v>13.899999999999999</v>
      </c>
      <c r="Y16" s="81">
        <v>6.1</v>
      </c>
      <c r="Z16" s="81">
        <v>1.5</v>
      </c>
      <c r="AA16" s="81">
        <f>SUM(Y16:Z16)</f>
        <v>7.6</v>
      </c>
      <c r="AB16" s="81">
        <v>2.5</v>
      </c>
      <c r="AC16" s="81">
        <f>SUM(AA16:AB16)</f>
        <v>10.1</v>
      </c>
      <c r="AD16" s="81">
        <v>7.7</v>
      </c>
      <c r="AE16" s="81">
        <f>SUM(AC16:AD16)</f>
        <v>17.8</v>
      </c>
      <c r="AF16" s="81">
        <v>0</v>
      </c>
      <c r="AG16" s="81">
        <v>3.1</v>
      </c>
      <c r="AH16" s="81">
        <f>SUM(AF16:AG16)</f>
        <v>3.1</v>
      </c>
      <c r="AI16" s="81">
        <v>0.7</v>
      </c>
      <c r="AJ16" s="81">
        <f>SUM(AH16:AI16)</f>
        <v>3.8</v>
      </c>
      <c r="AK16" s="81">
        <v>0.7</v>
      </c>
      <c r="AL16" s="81">
        <f>SUM(AJ16:AK16)</f>
        <v>4.5</v>
      </c>
      <c r="AM16" s="81">
        <v>5.4</v>
      </c>
      <c r="AN16" s="81">
        <v>0.5</v>
      </c>
      <c r="AO16" s="81">
        <f>SUM(AM16:AN16)</f>
        <v>5.9</v>
      </c>
      <c r="AP16" s="81">
        <v>2.2000000000000002</v>
      </c>
      <c r="AQ16" s="81">
        <f>SUM(AO16:AP16)</f>
        <v>8.1000000000000014</v>
      </c>
      <c r="AR16" s="81">
        <v>7.1999999999999993</v>
      </c>
      <c r="AS16" s="81">
        <f>SUM(AQ16:AR16)</f>
        <v>15.3</v>
      </c>
      <c r="AT16" s="81">
        <v>0.10000000000000009</v>
      </c>
      <c r="AU16" s="81">
        <v>0.89499899999999855</v>
      </c>
      <c r="AV16" s="81">
        <f>SUM(AT16:AU16)</f>
        <v>0.99499899999999863</v>
      </c>
      <c r="AW16" s="81">
        <v>3.911999999999999</v>
      </c>
      <c r="AX16" s="81">
        <f>SUM(AV16:AW16)</f>
        <v>4.9069989999999972</v>
      </c>
      <c r="AY16" s="81">
        <v>6.9000000000000021</v>
      </c>
      <c r="AZ16" s="81">
        <f>SUM(AX16:AY16)</f>
        <v>11.806998999999999</v>
      </c>
      <c r="BA16" s="81">
        <v>6.5</v>
      </c>
      <c r="BB16" s="81">
        <v>4.5</v>
      </c>
      <c r="BC16" s="81">
        <f>SUM(BA16:BB16)</f>
        <v>11</v>
      </c>
      <c r="BD16" s="81">
        <v>0.39999999999999997</v>
      </c>
      <c r="BE16" s="81">
        <f>SUM(BC16:BD16)</f>
        <v>11.4</v>
      </c>
      <c r="BF16" s="81">
        <v>4.3</v>
      </c>
      <c r="BG16" s="81">
        <f>SUM(BE16:BF16)</f>
        <v>15.7</v>
      </c>
      <c r="BH16" s="81">
        <v>5</v>
      </c>
      <c r="BI16" s="81">
        <v>3.5011840312000002</v>
      </c>
      <c r="BJ16" s="81">
        <f>SUM(BH16:BI16)</f>
        <v>8.5011840312000011</v>
      </c>
      <c r="BK16" s="81">
        <v>8.36</v>
      </c>
      <c r="BL16" s="81">
        <f>SUM(BJ16:BK16)</f>
        <v>16.861184031200001</v>
      </c>
      <c r="BM16" s="81">
        <v>1.8698932034722207</v>
      </c>
      <c r="BN16" s="81">
        <f>SUM(BL16:BM16)</f>
        <v>18.73107723467222</v>
      </c>
      <c r="BO16" s="81">
        <v>1.5000000000000002</v>
      </c>
      <c r="BP16" s="81">
        <v>4.9000000000000004</v>
      </c>
      <c r="BQ16" s="81">
        <f>SUM(BO16:BP16)</f>
        <v>6.4</v>
      </c>
      <c r="BR16" s="81">
        <v>6.3607388995111203</v>
      </c>
      <c r="BS16" s="81">
        <f>SUM(BQ16:BR16)</f>
        <v>12.760738899511122</v>
      </c>
      <c r="BT16" s="81">
        <v>7.9818537900000006</v>
      </c>
      <c r="BU16" s="81">
        <f>SUM(BS16:BT16)</f>
        <v>20.74259268951112</v>
      </c>
      <c r="BV16" s="81">
        <v>0.5</v>
      </c>
      <c r="BW16" s="81">
        <v>0.9</v>
      </c>
      <c r="BX16" s="81">
        <f>SUM(BV16:BW16)</f>
        <v>1.4</v>
      </c>
      <c r="BY16" s="81">
        <v>1.8000000000000003</v>
      </c>
      <c r="BZ16" s="81">
        <f>SUM(BX16:BY16)</f>
        <v>3.2</v>
      </c>
      <c r="CA16" s="81">
        <v>22.3</v>
      </c>
      <c r="CB16" s="81">
        <f>SUM(BZ16:CA16)</f>
        <v>25.5</v>
      </c>
      <c r="CC16" s="81">
        <v>3.33</v>
      </c>
      <c r="CD16" s="81">
        <v>3.16</v>
      </c>
      <c r="CE16" s="81">
        <f>SUM(CC16:CD16)</f>
        <v>6.49</v>
      </c>
      <c r="CF16" s="81">
        <v>7.6847071699999958</v>
      </c>
      <c r="CG16" s="81">
        <v>14.140887759999996</v>
      </c>
      <c r="CH16" s="81">
        <v>10.16</v>
      </c>
      <c r="CI16" s="81">
        <f>SUM(CG16:CH16)</f>
        <v>24.300887759999995</v>
      </c>
      <c r="CJ16" s="81">
        <v>5.72902224102888</v>
      </c>
      <c r="CK16" s="81">
        <v>4.6926664227542902</v>
      </c>
      <c r="CL16" s="81">
        <f>SUM(CJ16:CK16)</f>
        <v>10.42168866378317</v>
      </c>
      <c r="CM16" s="81">
        <v>5.4289326416616088</v>
      </c>
      <c r="CN16" s="81">
        <f t="shared" si="39"/>
        <v>15.850621305444779</v>
      </c>
      <c r="CO16" s="81">
        <v>4.1055421983686227</v>
      </c>
      <c r="CP16" s="81">
        <v>20.306163503813401</v>
      </c>
      <c r="CQ16" s="81">
        <v>1.0593539760672699</v>
      </c>
      <c r="CR16" s="81">
        <v>3.5213693956385415</v>
      </c>
      <c r="CS16" s="81">
        <f>SUM(CQ16:CR16)</f>
        <v>4.5807233717058118</v>
      </c>
      <c r="CT16" s="81">
        <v>4.3688052629220406</v>
      </c>
      <c r="CU16" s="81">
        <f t="shared" si="36"/>
        <v>8.9495286346278533</v>
      </c>
      <c r="CV16" s="81">
        <v>6.8931512361552194</v>
      </c>
      <c r="CW16" s="81">
        <f t="shared" si="37"/>
        <v>15.842679870783073</v>
      </c>
      <c r="CX16" s="81">
        <v>1.3667918335210489</v>
      </c>
      <c r="CY16" s="81">
        <v>0.3</v>
      </c>
      <c r="CZ16" s="81">
        <f>SUM(CX16:CY16)</f>
        <v>1.666791833521049</v>
      </c>
      <c r="DA16" s="81">
        <f>0.360278084627942-0.1</f>
        <v>0.260278084627942</v>
      </c>
      <c r="DB16" s="81">
        <f t="shared" si="40"/>
        <v>1.927069918148991</v>
      </c>
      <c r="DC16" s="81">
        <v>0.32731793352272792</v>
      </c>
      <c r="DD16" s="81">
        <f t="shared" si="41"/>
        <v>2.2543878516717188</v>
      </c>
      <c r="DE16" s="81">
        <v>0.25789858411220745</v>
      </c>
      <c r="DF16" s="81">
        <v>0.42502874004130714</v>
      </c>
      <c r="DG16" s="81">
        <f>SUM(DE16:DF16)</f>
        <v>0.68292732415351454</v>
      </c>
      <c r="DH16" s="81">
        <v>1.950098026528406E-2</v>
      </c>
      <c r="DI16" s="81">
        <f>SUM(DG16:DH16)</f>
        <v>0.70242830441879855</v>
      </c>
      <c r="DJ16" s="81">
        <v>0.86897849626640966</v>
      </c>
      <c r="DK16" s="81">
        <f>SUM(DI16:DJ16)</f>
        <v>1.5714068006852082</v>
      </c>
    </row>
    <row r="17" spans="2:115" s="9" customFormat="1" ht="18" customHeight="1">
      <c r="B17" s="79" t="s">
        <v>453</v>
      </c>
      <c r="C17" s="79" t="s">
        <v>75</v>
      </c>
      <c r="D17" s="81">
        <v>7.8</v>
      </c>
      <c r="E17" s="81">
        <v>8.1</v>
      </c>
      <c r="F17" s="81">
        <v>8.1</v>
      </c>
      <c r="G17" s="81">
        <v>8.3000000000000007</v>
      </c>
      <c r="H17" s="81">
        <v>8.3000000000000007</v>
      </c>
      <c r="I17" s="81">
        <v>8.6999999999999993</v>
      </c>
      <c r="J17" s="81">
        <v>8.6999999999999993</v>
      </c>
      <c r="K17" s="81">
        <v>8.9</v>
      </c>
      <c r="L17" s="81">
        <v>9.4</v>
      </c>
      <c r="M17" s="81">
        <v>9.4</v>
      </c>
      <c r="N17" s="81">
        <v>9.6999999999999993</v>
      </c>
      <c r="O17" s="81">
        <v>9.6999999999999993</v>
      </c>
      <c r="P17" s="81">
        <v>10.3</v>
      </c>
      <c r="Q17" s="81">
        <v>10.3</v>
      </c>
      <c r="R17" s="81">
        <v>10.6</v>
      </c>
      <c r="S17" s="82">
        <v>11</v>
      </c>
      <c r="T17" s="82">
        <v>11</v>
      </c>
      <c r="U17" s="82">
        <v>11.5</v>
      </c>
      <c r="V17" s="82">
        <v>11.5</v>
      </c>
      <c r="W17" s="82">
        <v>12</v>
      </c>
      <c r="X17" s="82">
        <v>12</v>
      </c>
      <c r="Y17" s="82">
        <v>12.4</v>
      </c>
      <c r="Z17" s="82">
        <v>12.7</v>
      </c>
      <c r="AA17" s="82">
        <v>12.7</v>
      </c>
      <c r="AB17" s="82">
        <v>13.1</v>
      </c>
      <c r="AC17" s="82">
        <v>13.1</v>
      </c>
      <c r="AD17" s="82">
        <v>13.6</v>
      </c>
      <c r="AE17" s="82">
        <v>13.6</v>
      </c>
      <c r="AF17" s="82">
        <v>13.8</v>
      </c>
      <c r="AG17" s="82">
        <v>14.3</v>
      </c>
      <c r="AH17" s="82">
        <v>14.3</v>
      </c>
      <c r="AI17" s="82">
        <v>14.7</v>
      </c>
      <c r="AJ17" s="82">
        <v>14.7</v>
      </c>
      <c r="AK17" s="82">
        <v>15.2</v>
      </c>
      <c r="AL17" s="82">
        <v>15.2</v>
      </c>
      <c r="AM17" s="82">
        <v>15.6</v>
      </c>
      <c r="AN17" s="82">
        <v>16</v>
      </c>
      <c r="AO17" s="82">
        <v>16</v>
      </c>
      <c r="AP17" s="82">
        <v>16.399999999999999</v>
      </c>
      <c r="AQ17" s="82">
        <v>16.399999999999999</v>
      </c>
      <c r="AR17" s="82">
        <v>17.100000000000001</v>
      </c>
      <c r="AS17" s="82">
        <v>17.100000000000001</v>
      </c>
      <c r="AT17" s="82">
        <v>17.5</v>
      </c>
      <c r="AU17" s="82">
        <v>17.899999999999999</v>
      </c>
      <c r="AV17" s="82">
        <v>17.899999999999999</v>
      </c>
      <c r="AW17" s="82">
        <v>18.399999999999999</v>
      </c>
      <c r="AX17" s="82">
        <v>18.399999999999999</v>
      </c>
      <c r="AY17" s="82">
        <v>19</v>
      </c>
      <c r="AZ17" s="82">
        <v>19</v>
      </c>
      <c r="BA17" s="82">
        <v>19.399999999999999</v>
      </c>
      <c r="BB17" s="82">
        <v>19.8</v>
      </c>
      <c r="BC17" s="82">
        <v>19.8</v>
      </c>
      <c r="BD17" s="82">
        <v>20.2</v>
      </c>
      <c r="BE17" s="82">
        <f>BD17</f>
        <v>20.2</v>
      </c>
      <c r="BF17" s="82">
        <v>20.8</v>
      </c>
      <c r="BG17" s="82">
        <v>20.8</v>
      </c>
      <c r="BH17" s="82">
        <v>21.1</v>
      </c>
      <c r="BI17" s="82">
        <v>21.6</v>
      </c>
      <c r="BJ17" s="82">
        <v>21.6</v>
      </c>
      <c r="BK17" s="82">
        <v>22</v>
      </c>
      <c r="BL17" s="82">
        <v>22</v>
      </c>
      <c r="BM17" s="82">
        <v>22.5</v>
      </c>
      <c r="BN17" s="82">
        <v>22.5</v>
      </c>
      <c r="BO17" s="82">
        <v>22.8</v>
      </c>
      <c r="BP17" s="82">
        <v>23.3</v>
      </c>
      <c r="BQ17" s="82">
        <v>23.3</v>
      </c>
      <c r="BR17" s="82">
        <v>23.7</v>
      </c>
      <c r="BS17" s="82">
        <f>BR17</f>
        <v>23.7</v>
      </c>
      <c r="BT17" s="82">
        <v>24.3</v>
      </c>
      <c r="BU17" s="82">
        <v>24.3</v>
      </c>
      <c r="BV17" s="82">
        <v>24.7</v>
      </c>
      <c r="BW17" s="82">
        <v>25.2</v>
      </c>
      <c r="BX17" s="82">
        <f>BW17</f>
        <v>25.2</v>
      </c>
      <c r="BY17" s="82">
        <v>25.6</v>
      </c>
      <c r="BZ17" s="82">
        <f>BY17</f>
        <v>25.6</v>
      </c>
      <c r="CA17" s="82">
        <v>26</v>
      </c>
      <c r="CB17" s="82">
        <f>CA17</f>
        <v>26</v>
      </c>
      <c r="CC17" s="82">
        <v>26.2</v>
      </c>
      <c r="CD17" s="82">
        <v>26.6</v>
      </c>
      <c r="CE17" s="82">
        <f>CD17</f>
        <v>26.6</v>
      </c>
      <c r="CF17" s="82">
        <v>26.9</v>
      </c>
      <c r="CG17" s="82">
        <f>CF17</f>
        <v>26.9</v>
      </c>
      <c r="CH17" s="82">
        <v>27.4</v>
      </c>
      <c r="CI17" s="82">
        <f>CH17</f>
        <v>27.4</v>
      </c>
      <c r="CJ17" s="82">
        <v>27.7</v>
      </c>
      <c r="CK17" s="82">
        <v>28</v>
      </c>
      <c r="CL17" s="82">
        <f>CK17</f>
        <v>28</v>
      </c>
      <c r="CM17" s="82">
        <v>28.4</v>
      </c>
      <c r="CN17" s="82">
        <v>28.4</v>
      </c>
      <c r="CO17" s="82">
        <v>28.847245000000001</v>
      </c>
      <c r="CP17" s="82">
        <v>28.847245000000001</v>
      </c>
      <c r="CQ17" s="82">
        <v>29.2</v>
      </c>
      <c r="CR17" s="82">
        <v>29.589276999999999</v>
      </c>
      <c r="CS17" s="82">
        <f>CR17</f>
        <v>29.589276999999999</v>
      </c>
      <c r="CT17" s="82">
        <v>30.006012999999999</v>
      </c>
      <c r="CU17" s="82">
        <f>CT17</f>
        <v>30.006012999999999</v>
      </c>
      <c r="CV17" s="82">
        <v>30.583219</v>
      </c>
      <c r="CW17" s="81">
        <f>CV17</f>
        <v>30.583219</v>
      </c>
      <c r="CX17" s="82">
        <v>30.965406999999999</v>
      </c>
      <c r="CY17" s="82">
        <v>31.452252999999999</v>
      </c>
      <c r="CZ17" s="82">
        <f>CY17</f>
        <v>31.452252999999999</v>
      </c>
      <c r="DA17" s="82">
        <v>31.9</v>
      </c>
      <c r="DB17" s="82">
        <f>DA17</f>
        <v>31.9</v>
      </c>
      <c r="DC17" s="82">
        <v>32.528067</v>
      </c>
      <c r="DD17" s="82">
        <f>DC17</f>
        <v>32.528067</v>
      </c>
      <c r="DE17" s="82">
        <v>32.872098999999999</v>
      </c>
      <c r="DF17" s="82">
        <v>32.944091</v>
      </c>
      <c r="DG17" s="82">
        <f>DF17</f>
        <v>32.944091</v>
      </c>
      <c r="DH17" s="82">
        <v>33.266879000000003</v>
      </c>
      <c r="DI17" s="82">
        <f>DH17</f>
        <v>33.266879000000003</v>
      </c>
      <c r="DJ17" s="82">
        <v>33.764207999999996</v>
      </c>
      <c r="DK17" s="82">
        <f>DJ17</f>
        <v>33.764207999999996</v>
      </c>
    </row>
    <row r="18" spans="2:115" s="9" customFormat="1" ht="18" customHeight="1">
      <c r="B18" s="240" t="s">
        <v>255</v>
      </c>
      <c r="C18" s="240" t="s">
        <v>76</v>
      </c>
      <c r="D18" s="81">
        <v>182.3</v>
      </c>
      <c r="E18" s="81">
        <v>298.5</v>
      </c>
      <c r="F18" s="81">
        <v>480.8</v>
      </c>
      <c r="G18" s="81">
        <v>240.4</v>
      </c>
      <c r="H18" s="81">
        <v>721.2</v>
      </c>
      <c r="I18" s="81">
        <v>386</v>
      </c>
      <c r="J18" s="81">
        <v>1107.2</v>
      </c>
      <c r="K18" s="81">
        <v>230</v>
      </c>
      <c r="L18" s="81">
        <v>422.6</v>
      </c>
      <c r="M18" s="81">
        <v>700</v>
      </c>
      <c r="N18" s="81">
        <v>323</v>
      </c>
      <c r="O18" s="81">
        <v>1000</v>
      </c>
      <c r="P18" s="81">
        <v>580</v>
      </c>
      <c r="Q18" s="81">
        <v>1600</v>
      </c>
      <c r="R18" s="81">
        <v>355</v>
      </c>
      <c r="S18" s="82">
        <v>375.8</v>
      </c>
      <c r="T18" s="82">
        <v>730.8</v>
      </c>
      <c r="U18" s="82">
        <v>324.05</v>
      </c>
      <c r="V18" s="82">
        <v>1540.605</v>
      </c>
      <c r="W18" s="82">
        <v>500</v>
      </c>
      <c r="X18" s="82">
        <v>1734</v>
      </c>
      <c r="Y18" s="82">
        <v>400</v>
      </c>
      <c r="Z18" s="82">
        <v>300</v>
      </c>
      <c r="AA18" s="82">
        <v>700</v>
      </c>
      <c r="AB18" s="82">
        <v>387.5</v>
      </c>
      <c r="AC18" s="82">
        <v>1100</v>
      </c>
      <c r="AD18" s="82">
        <v>467.9</v>
      </c>
      <c r="AE18" s="82">
        <v>1600</v>
      </c>
      <c r="AF18" s="82">
        <v>243.8</v>
      </c>
      <c r="AG18" s="82">
        <v>485.9</v>
      </c>
      <c r="AH18" s="82">
        <f>AG18+AF18</f>
        <v>729.7</v>
      </c>
      <c r="AI18" s="82">
        <v>369.7</v>
      </c>
      <c r="AJ18" s="82">
        <f>SUM(AH18:AI18)</f>
        <v>1099.4000000000001</v>
      </c>
      <c r="AK18" s="82">
        <v>560.6</v>
      </c>
      <c r="AL18" s="82">
        <f>SUM(AJ18:AK18)</f>
        <v>1660</v>
      </c>
      <c r="AM18" s="82">
        <v>321.7</v>
      </c>
      <c r="AN18" s="82">
        <v>435.8</v>
      </c>
      <c r="AO18" s="82">
        <f>SUM(AM18:AN18)</f>
        <v>757.5</v>
      </c>
      <c r="AP18" s="82">
        <v>427.1</v>
      </c>
      <c r="AQ18" s="82">
        <v>1184.5999999999999</v>
      </c>
      <c r="AR18" s="82">
        <v>693.6</v>
      </c>
      <c r="AS18" s="82">
        <v>1878</v>
      </c>
      <c r="AT18" s="82">
        <v>336.3</v>
      </c>
      <c r="AU18" s="82">
        <v>454.2</v>
      </c>
      <c r="AV18" s="82">
        <f>SUM(AT18:AU18)</f>
        <v>790.5</v>
      </c>
      <c r="AW18" s="82">
        <v>467.1</v>
      </c>
      <c r="AX18" s="82">
        <f>SUM(AV18:AW18)</f>
        <v>1257.5999999999999</v>
      </c>
      <c r="AY18" s="82">
        <v>646.29999999999995</v>
      </c>
      <c r="AZ18" s="82">
        <v>1904</v>
      </c>
      <c r="BA18" s="82">
        <v>345.3</v>
      </c>
      <c r="BB18" s="82">
        <v>444.3</v>
      </c>
      <c r="BC18" s="82">
        <v>789.6</v>
      </c>
      <c r="BD18" s="82">
        <v>402.4</v>
      </c>
      <c r="BE18" s="189">
        <f>BD18+BB18+BA18</f>
        <v>1192</v>
      </c>
      <c r="BF18" s="82">
        <v>546.79999999999995</v>
      </c>
      <c r="BG18" s="189">
        <v>1739</v>
      </c>
      <c r="BH18" s="82">
        <v>355.9</v>
      </c>
      <c r="BI18" s="82">
        <v>461.9</v>
      </c>
      <c r="BJ18" s="82">
        <v>817.7</v>
      </c>
      <c r="BK18" s="82">
        <v>398.3</v>
      </c>
      <c r="BL18" s="82">
        <f>BK18+BJ18</f>
        <v>1216</v>
      </c>
      <c r="BM18" s="82">
        <v>519.9</v>
      </c>
      <c r="BN18" s="82">
        <v>1735.9</v>
      </c>
      <c r="BO18" s="82">
        <v>310.8</v>
      </c>
      <c r="BP18" s="82">
        <v>449.9</v>
      </c>
      <c r="BQ18" s="82">
        <f>BP18+BO18</f>
        <v>760.7</v>
      </c>
      <c r="BR18" s="82">
        <v>429.1</v>
      </c>
      <c r="BS18" s="82">
        <v>1189.8</v>
      </c>
      <c r="BT18" s="82">
        <v>600.29999999999995</v>
      </c>
      <c r="BU18" s="82">
        <v>1790.1</v>
      </c>
      <c r="BV18" s="82">
        <v>383.1</v>
      </c>
      <c r="BW18" s="82">
        <v>495.3</v>
      </c>
      <c r="BX18" s="82">
        <f>BW18+BV18</f>
        <v>878.40000000000009</v>
      </c>
      <c r="BY18" s="82">
        <v>396.1</v>
      </c>
      <c r="BZ18" s="82">
        <f>BY18+BX18</f>
        <v>1274.5</v>
      </c>
      <c r="CA18" s="82">
        <v>426.3</v>
      </c>
      <c r="CB18" s="82">
        <f>CA18+BZ18</f>
        <v>1700.8</v>
      </c>
      <c r="CC18" s="82">
        <v>259.91899999999998</v>
      </c>
      <c r="CD18" s="82">
        <v>377.59100000000001</v>
      </c>
      <c r="CE18" s="82">
        <f>CD18+CC18</f>
        <v>637.51</v>
      </c>
      <c r="CF18" s="82">
        <v>317.91199999999998</v>
      </c>
      <c r="CG18" s="82">
        <f>CF18+CE18</f>
        <v>955.42200000000003</v>
      </c>
      <c r="CH18" s="82">
        <v>437.15100000000001</v>
      </c>
      <c r="CI18" s="82">
        <f>CH18+CG18</f>
        <v>1392.5730000000001</v>
      </c>
      <c r="CJ18" s="82">
        <v>286.33699999999999</v>
      </c>
      <c r="CK18" s="82">
        <v>359.51400000000001</v>
      </c>
      <c r="CL18" s="82">
        <f>CK18+CJ18</f>
        <v>645.851</v>
      </c>
      <c r="CM18" s="82">
        <v>347.78500000000003</v>
      </c>
      <c r="CN18" s="82">
        <f>CM18+CL18</f>
        <v>993.63599999999997</v>
      </c>
      <c r="CO18" s="82">
        <v>474.48099999999999</v>
      </c>
      <c r="CP18" s="82">
        <f>CN18+CO18</f>
        <v>1468.117</v>
      </c>
      <c r="CQ18" s="82">
        <v>318.56700000000001</v>
      </c>
      <c r="CR18" s="82">
        <v>423.46499999999997</v>
      </c>
      <c r="CS18" s="82">
        <f>CR18+CQ18</f>
        <v>742.03199999999993</v>
      </c>
      <c r="CT18" s="82">
        <v>416.73599999999999</v>
      </c>
      <c r="CU18" s="82">
        <f>CS18+CT18</f>
        <v>1158.768</v>
      </c>
      <c r="CV18" s="82">
        <v>577.20600000000002</v>
      </c>
      <c r="CW18" s="81">
        <f>CU18+CV18</f>
        <v>1735.9740000000002</v>
      </c>
      <c r="CX18" s="82">
        <v>382.18799999999999</v>
      </c>
      <c r="CY18" s="82">
        <v>486.846</v>
      </c>
      <c r="CZ18" s="82">
        <f>CY18+CX18</f>
        <v>869.03399999999999</v>
      </c>
      <c r="DA18" s="82">
        <v>460.53899999999999</v>
      </c>
      <c r="DB18" s="82">
        <f>DA18+CZ18</f>
        <v>1329.5729999999999</v>
      </c>
      <c r="DC18" s="82">
        <v>615.27499999999998</v>
      </c>
      <c r="DD18" s="82">
        <f>DC18+DB18</f>
        <v>1944.848</v>
      </c>
      <c r="DE18" s="82">
        <v>344.03199999999998</v>
      </c>
      <c r="DF18" s="82">
        <v>71.992000000000004</v>
      </c>
      <c r="DG18" s="82">
        <f>DF18+DE18</f>
        <v>416.024</v>
      </c>
      <c r="DH18" s="82">
        <v>322.78800000000001</v>
      </c>
      <c r="DI18" s="82">
        <f>DH18+DG18</f>
        <v>738.81200000000001</v>
      </c>
      <c r="DJ18" s="82">
        <v>497.32900000000001</v>
      </c>
      <c r="DK18" s="82">
        <f>DJ18+DI18</f>
        <v>1236.1410000000001</v>
      </c>
    </row>
    <row r="19" spans="2:115" s="9" customFormat="1" ht="18" customHeight="1">
      <c r="B19" s="240" t="s">
        <v>449</v>
      </c>
      <c r="C19" s="240" t="s">
        <v>196</v>
      </c>
      <c r="D19" s="83">
        <v>0.70799999999999996</v>
      </c>
      <c r="E19" s="83">
        <v>0.74399999999999999</v>
      </c>
      <c r="F19" s="83">
        <v>0.72899999999999998</v>
      </c>
      <c r="G19" s="83">
        <v>0.747</v>
      </c>
      <c r="H19" s="83">
        <v>0.73599999999999999</v>
      </c>
      <c r="I19" s="83">
        <v>0.74199999999999999</v>
      </c>
      <c r="J19" s="83">
        <v>0.73799999999999999</v>
      </c>
      <c r="K19" s="83">
        <v>0.70499999999999996</v>
      </c>
      <c r="L19" s="83">
        <v>0.72799999999999998</v>
      </c>
      <c r="M19" s="83">
        <v>0.71899999999999997</v>
      </c>
      <c r="N19" s="83">
        <v>0.72399999999999998</v>
      </c>
      <c r="O19" s="83">
        <v>0.72099999999999997</v>
      </c>
      <c r="P19" s="83">
        <v>0.69900000000000007</v>
      </c>
      <c r="Q19" s="83">
        <v>0.71299999999999997</v>
      </c>
      <c r="R19" s="83">
        <v>0.66500000000000004</v>
      </c>
      <c r="S19" s="84">
        <v>0.69</v>
      </c>
      <c r="T19" s="84">
        <f>T20+T21</f>
        <v>0.68</v>
      </c>
      <c r="U19" s="84">
        <v>0.67800000000000005</v>
      </c>
      <c r="V19" s="84">
        <v>0.68</v>
      </c>
      <c r="W19" s="84">
        <v>0.65700000000000003</v>
      </c>
      <c r="X19" s="84">
        <v>0.67200000000000004</v>
      </c>
      <c r="Y19" s="84">
        <v>0.622</v>
      </c>
      <c r="Z19" s="84">
        <v>0.64600000000000002</v>
      </c>
      <c r="AA19" s="84">
        <v>0.63600000000000001</v>
      </c>
      <c r="AB19" s="84">
        <v>0.63600000000000001</v>
      </c>
      <c r="AC19" s="84">
        <v>0.63600000000000001</v>
      </c>
      <c r="AD19" s="84">
        <v>0.61899999999999999</v>
      </c>
      <c r="AE19" s="84">
        <v>0.63100000000000001</v>
      </c>
      <c r="AF19" s="84">
        <v>0.59299999999999997</v>
      </c>
      <c r="AG19" s="84">
        <v>0.61499999999999999</v>
      </c>
      <c r="AH19" s="84">
        <v>0.60699999999999998</v>
      </c>
      <c r="AI19" s="84">
        <v>0.60599999999999998</v>
      </c>
      <c r="AJ19" s="84">
        <v>0.60599999999999998</v>
      </c>
      <c r="AK19" s="84">
        <v>0.59599999999999997</v>
      </c>
      <c r="AL19" s="84">
        <v>0.60199999999999998</v>
      </c>
      <c r="AM19" s="84">
        <v>0.55900000000000005</v>
      </c>
      <c r="AN19" s="84">
        <v>0.57799999999999996</v>
      </c>
      <c r="AO19" s="84">
        <v>0.56999999999999995</v>
      </c>
      <c r="AP19" s="84">
        <v>0.56999999999999995</v>
      </c>
      <c r="AQ19" s="84">
        <v>0.56999999999999995</v>
      </c>
      <c r="AR19" s="84">
        <v>0.55900000000000005</v>
      </c>
      <c r="AS19" s="84">
        <v>0.56599999999999995</v>
      </c>
      <c r="AT19" s="84">
        <v>0.53900000000000003</v>
      </c>
      <c r="AU19" s="84">
        <v>0.55200000000000005</v>
      </c>
      <c r="AV19" s="84">
        <v>0.54700000000000004</v>
      </c>
      <c r="AW19" s="84">
        <v>0.55300000000000005</v>
      </c>
      <c r="AX19" s="84">
        <v>0.54900000000000004</v>
      </c>
      <c r="AY19" s="84">
        <v>0.54200000000000004</v>
      </c>
      <c r="AZ19" s="84">
        <v>0.54700000000000004</v>
      </c>
      <c r="BA19" s="84">
        <v>0.51100000000000001</v>
      </c>
      <c r="BB19" s="84">
        <v>0.53400000000000003</v>
      </c>
      <c r="BC19" s="84">
        <v>0.52500000000000002</v>
      </c>
      <c r="BD19" s="84">
        <v>0.52900000000000003</v>
      </c>
      <c r="BE19" s="84">
        <v>0.52600000000000002</v>
      </c>
      <c r="BF19" s="84">
        <v>0.51200000000000001</v>
      </c>
      <c r="BG19" s="84">
        <v>0.52100000000000002</v>
      </c>
      <c r="BH19" s="84">
        <v>0.499</v>
      </c>
      <c r="BI19" s="84">
        <v>0.52300000000000002</v>
      </c>
      <c r="BJ19" s="84">
        <v>0.51300000000000001</v>
      </c>
      <c r="BK19" s="84">
        <v>0.52400000000000002</v>
      </c>
      <c r="BL19" s="84">
        <v>0.51700000000000002</v>
      </c>
      <c r="BM19" s="84">
        <v>0.50700000000000001</v>
      </c>
      <c r="BN19" s="84">
        <v>0.51400000000000001</v>
      </c>
      <c r="BO19" s="84">
        <v>0.49</v>
      </c>
      <c r="BP19" s="84">
        <v>0.51</v>
      </c>
      <c r="BQ19" s="84">
        <v>0.502</v>
      </c>
      <c r="BR19" s="84">
        <v>0.50900000000000001</v>
      </c>
      <c r="BS19" s="84">
        <v>0.505</v>
      </c>
      <c r="BT19" s="84">
        <v>0.48399999999999999</v>
      </c>
      <c r="BU19" s="84">
        <v>0.497</v>
      </c>
      <c r="BV19" s="84">
        <v>0.47699999999999998</v>
      </c>
      <c r="BW19" s="84">
        <v>0.5</v>
      </c>
      <c r="BX19" s="84">
        <v>0.49</v>
      </c>
      <c r="BY19" s="84">
        <v>0.498</v>
      </c>
      <c r="BZ19" s="84">
        <v>0.49299999999999999</v>
      </c>
      <c r="CA19" s="84">
        <v>0.47899999999999998</v>
      </c>
      <c r="CB19" s="84">
        <v>0.48799999999999999</v>
      </c>
      <c r="CC19" s="84">
        <v>0.46600000000000003</v>
      </c>
      <c r="CD19" s="84">
        <v>0.496</v>
      </c>
      <c r="CE19" s="84">
        <v>0.48399999999999999</v>
      </c>
      <c r="CF19" s="84">
        <v>0.495</v>
      </c>
      <c r="CG19" s="84">
        <v>0.48699999999999999</v>
      </c>
      <c r="CH19" s="84">
        <f t="shared" ref="CH19:CM19" si="42">SUM(CH20:CH21)</f>
        <v>0.47321806337954964</v>
      </c>
      <c r="CI19" s="84">
        <f t="shared" si="42"/>
        <v>0.48253308794022576</v>
      </c>
      <c r="CJ19" s="84">
        <f t="shared" si="42"/>
        <v>0.44900000000000001</v>
      </c>
      <c r="CK19" s="84">
        <f t="shared" si="42"/>
        <v>0.46200000000000002</v>
      </c>
      <c r="CL19" s="84">
        <f t="shared" si="42"/>
        <v>0.45700000000000002</v>
      </c>
      <c r="CM19" s="84">
        <f t="shared" si="42"/>
        <v>0.45700000000000002</v>
      </c>
      <c r="CN19" s="84">
        <f t="shared" ref="CN19:CO19" si="43">SUM(CN20:CN21)</f>
        <v>0.45700000000000002</v>
      </c>
      <c r="CO19" s="84">
        <f t="shared" si="43"/>
        <v>0.443</v>
      </c>
      <c r="CP19" s="84">
        <f t="shared" ref="CP19" si="44">SUM(CP20:CP21)</f>
        <v>0.45200000000000001</v>
      </c>
      <c r="CQ19" s="84">
        <f t="shared" ref="CQ19:CU19" si="45">SUM(CQ20:CQ21)</f>
        <v>0.42899999999999999</v>
      </c>
      <c r="CR19" s="84">
        <f t="shared" si="45"/>
        <v>0.45469999999999999</v>
      </c>
      <c r="CS19" s="84">
        <f t="shared" si="45"/>
        <v>0.44400000000000001</v>
      </c>
      <c r="CT19" s="84">
        <f t="shared" si="45"/>
        <v>0.45229999999999998</v>
      </c>
      <c r="CU19" s="84">
        <f t="shared" si="45"/>
        <v>0.44700000000000001</v>
      </c>
      <c r="CV19" s="84">
        <f>CV20+CV21</f>
        <v>0.436</v>
      </c>
      <c r="CW19" s="84">
        <f>CW20+CW21</f>
        <v>0.442</v>
      </c>
      <c r="CX19" s="84">
        <f>CX20+CX21</f>
        <v>0.41899999999999998</v>
      </c>
      <c r="CY19" s="84">
        <f>CY20+CY21</f>
        <v>0.44800000000000001</v>
      </c>
      <c r="CZ19" s="84">
        <f t="shared" ref="CZ19" si="46">SUM(CZ20:CZ21)</f>
        <v>0.435</v>
      </c>
      <c r="DA19" s="84">
        <f t="shared" ref="DA19:DC19" si="47">SUM(DA20:DA21)</f>
        <v>0.44400000000000001</v>
      </c>
      <c r="DB19" s="84">
        <f t="shared" ref="DB19:DE19" si="48">SUM(DB20:DB21)</f>
        <v>0.438</v>
      </c>
      <c r="DC19" s="84">
        <f t="shared" si="47"/>
        <v>0.434</v>
      </c>
      <c r="DD19" s="84">
        <f t="shared" si="48"/>
        <v>0.437</v>
      </c>
      <c r="DE19" s="84">
        <f t="shared" si="48"/>
        <v>0.41699999999999998</v>
      </c>
      <c r="DF19" s="84">
        <f>DF20+DF21</f>
        <v>0.49300000000000005</v>
      </c>
      <c r="DG19" s="84">
        <f t="shared" ref="DG19:DI19" si="49">SUM(DG20:DG21)</f>
        <v>0.436</v>
      </c>
      <c r="DH19" s="84">
        <f>DH20+DH21</f>
        <v>0.40799999999999997</v>
      </c>
      <c r="DI19" s="84">
        <f t="shared" si="49"/>
        <v>0.42399999999999999</v>
      </c>
      <c r="DJ19" s="84">
        <f>DJ20+DJ21</f>
        <v>0.40099999999999997</v>
      </c>
      <c r="DK19" s="84">
        <f t="shared" ref="DK19" si="50">SUM(DK20:DK21)</f>
        <v>0.41399999999999998</v>
      </c>
    </row>
    <row r="20" spans="2:115" s="9" customFormat="1" ht="18" customHeight="1">
      <c r="B20" s="240" t="s">
        <v>195</v>
      </c>
      <c r="C20" s="240" t="s">
        <v>197</v>
      </c>
      <c r="D20" s="83" t="s">
        <v>77</v>
      </c>
      <c r="E20" s="83" t="s">
        <v>77</v>
      </c>
      <c r="F20" s="83" t="s">
        <v>77</v>
      </c>
      <c r="G20" s="83">
        <v>0.73699999999999999</v>
      </c>
      <c r="H20" s="83">
        <v>0.73299999999999998</v>
      </c>
      <c r="I20" s="83">
        <v>0.68700000000000006</v>
      </c>
      <c r="J20" s="83">
        <v>0.71499999999999997</v>
      </c>
      <c r="K20" s="83">
        <v>0.63300000000000001</v>
      </c>
      <c r="L20" s="83">
        <v>0.60099999999999998</v>
      </c>
      <c r="M20" s="83">
        <v>0.61299999999999999</v>
      </c>
      <c r="N20" s="83">
        <v>0.57499999999999996</v>
      </c>
      <c r="O20" s="83">
        <v>0.6</v>
      </c>
      <c r="P20" s="83">
        <v>0.53700000000000003</v>
      </c>
      <c r="Q20" s="83">
        <v>0.57699999999999996</v>
      </c>
      <c r="R20" s="83">
        <v>0.53300000000000003</v>
      </c>
      <c r="S20" s="84">
        <v>0.55700000000000005</v>
      </c>
      <c r="T20" s="84">
        <v>0.54700000000000004</v>
      </c>
      <c r="U20" s="84">
        <v>0.54200000000000004</v>
      </c>
      <c r="V20" s="84">
        <v>0.54600000000000004</v>
      </c>
      <c r="W20" s="84">
        <v>0.499</v>
      </c>
      <c r="X20" s="84">
        <v>0.52900000000000003</v>
      </c>
      <c r="Y20" s="84">
        <v>0.48599999999999999</v>
      </c>
      <c r="Z20" s="84">
        <v>0.48699999999999999</v>
      </c>
      <c r="AA20" s="84">
        <v>0.48599999999999999</v>
      </c>
      <c r="AB20" s="84">
        <v>0.48799999999999999</v>
      </c>
      <c r="AC20" s="84">
        <v>0.48699999999999999</v>
      </c>
      <c r="AD20" s="84">
        <v>0.503</v>
      </c>
      <c r="AE20" s="84">
        <v>0.49299999999999999</v>
      </c>
      <c r="AF20" s="84">
        <v>0.50600000000000001</v>
      </c>
      <c r="AG20" s="84">
        <v>0.49399999999999999</v>
      </c>
      <c r="AH20" s="84">
        <v>0.499</v>
      </c>
      <c r="AI20" s="84">
        <v>0.47599999999999998</v>
      </c>
      <c r="AJ20" s="84">
        <v>0.49099999999999999</v>
      </c>
      <c r="AK20" s="84">
        <v>0.46300000000000002</v>
      </c>
      <c r="AL20" s="84">
        <v>0.48099999999999998</v>
      </c>
      <c r="AM20" s="84">
        <v>0.435</v>
      </c>
      <c r="AN20" s="84">
        <v>0.44400000000000001</v>
      </c>
      <c r="AO20" s="84">
        <v>0.44</v>
      </c>
      <c r="AP20" s="84">
        <v>0.44</v>
      </c>
      <c r="AQ20" s="84">
        <v>0.44</v>
      </c>
      <c r="AR20" s="84">
        <v>0.42899999999999999</v>
      </c>
      <c r="AS20" s="84">
        <v>0.436</v>
      </c>
      <c r="AT20" s="84">
        <v>0.41799999999999998</v>
      </c>
      <c r="AU20" s="84">
        <v>0.43</v>
      </c>
      <c r="AV20" s="84">
        <v>0.42499999999999999</v>
      </c>
      <c r="AW20" s="84">
        <v>0.436</v>
      </c>
      <c r="AX20" s="84">
        <v>0.42899999999999999</v>
      </c>
      <c r="AY20" s="84">
        <v>0.42399999999999999</v>
      </c>
      <c r="AZ20" s="84">
        <v>0.42799999999999999</v>
      </c>
      <c r="BA20" s="84">
        <v>0.39500000000000002</v>
      </c>
      <c r="BB20" s="84">
        <v>0.40600000000000003</v>
      </c>
      <c r="BC20" s="84">
        <v>0.40200000000000002</v>
      </c>
      <c r="BD20" s="84">
        <v>0.41199999999999998</v>
      </c>
      <c r="BE20" s="84">
        <v>0.40500000000000003</v>
      </c>
      <c r="BF20" s="84">
        <v>0.39700000000000002</v>
      </c>
      <c r="BG20" s="84">
        <v>0.40200000000000002</v>
      </c>
      <c r="BH20" s="84">
        <v>0.38300000000000001</v>
      </c>
      <c r="BI20" s="84">
        <v>0.4</v>
      </c>
      <c r="BJ20" s="84">
        <v>0.39300000000000002</v>
      </c>
      <c r="BK20" s="84">
        <v>0.40400000000000003</v>
      </c>
      <c r="BL20" s="84">
        <v>0.39700000000000002</v>
      </c>
      <c r="BM20" s="84">
        <v>0.39200000000000002</v>
      </c>
      <c r="BN20" s="84">
        <v>0.39500000000000002</v>
      </c>
      <c r="BO20" s="84">
        <v>0.38400000000000001</v>
      </c>
      <c r="BP20" s="84">
        <v>0.39700000000000002</v>
      </c>
      <c r="BQ20" s="84">
        <v>0.39200000000000002</v>
      </c>
      <c r="BR20" s="84">
        <v>0.4</v>
      </c>
      <c r="BS20" s="84">
        <v>0.39500000000000002</v>
      </c>
      <c r="BT20" s="84">
        <v>0.38500000000000001</v>
      </c>
      <c r="BU20" s="84">
        <v>0.39100000000000001</v>
      </c>
      <c r="BV20" s="84">
        <v>0.38200000000000001</v>
      </c>
      <c r="BW20" s="84">
        <v>0.39800000000000002</v>
      </c>
      <c r="BX20" s="84">
        <v>0.39100000000000001</v>
      </c>
      <c r="BY20" s="84">
        <v>0.39700000000000002</v>
      </c>
      <c r="BZ20" s="84">
        <v>0.39300000000000002</v>
      </c>
      <c r="CA20" s="84">
        <v>0.38700000000000001</v>
      </c>
      <c r="CB20" s="84">
        <v>0.39100000000000001</v>
      </c>
      <c r="CC20" s="84">
        <v>0.38300000000000001</v>
      </c>
      <c r="CD20" s="84">
        <v>0.40699999999999997</v>
      </c>
      <c r="CE20" s="84">
        <v>0.39700000000000002</v>
      </c>
      <c r="CF20" s="84">
        <v>0.40356099956269031</v>
      </c>
      <c r="CG20" s="84">
        <v>0.39900000000000002</v>
      </c>
      <c r="CH20" s="84">
        <v>0.38807254872445468</v>
      </c>
      <c r="CI20" s="84">
        <v>0.39537386126025015</v>
      </c>
      <c r="CJ20" s="84">
        <v>0.371</v>
      </c>
      <c r="CK20" s="84">
        <v>0.38800000000000001</v>
      </c>
      <c r="CL20" s="84">
        <v>0.38200000000000001</v>
      </c>
      <c r="CM20" s="84">
        <v>0.38300000000000001</v>
      </c>
      <c r="CN20" s="84">
        <v>0.38400000000000001</v>
      </c>
      <c r="CO20" s="84">
        <v>0.371</v>
      </c>
      <c r="CP20" s="84">
        <v>0.376</v>
      </c>
      <c r="CQ20" s="84">
        <v>0.35899999999999999</v>
      </c>
      <c r="CR20" s="84">
        <v>0.3836</v>
      </c>
      <c r="CS20" s="84">
        <v>0.373</v>
      </c>
      <c r="CT20" s="84">
        <v>0.3861</v>
      </c>
      <c r="CU20" s="84">
        <v>0.378</v>
      </c>
      <c r="CV20" s="84">
        <v>0.374</v>
      </c>
      <c r="CW20" s="84">
        <v>0.376</v>
      </c>
      <c r="CX20" s="84">
        <v>0.35799999999999998</v>
      </c>
      <c r="CY20" s="84">
        <v>0.38</v>
      </c>
      <c r="CZ20" s="84">
        <v>0.37</v>
      </c>
      <c r="DA20" s="84">
        <v>0.38100000000000001</v>
      </c>
      <c r="DB20" s="84">
        <v>0.374</v>
      </c>
      <c r="DC20" s="84">
        <v>0.377</v>
      </c>
      <c r="DD20" s="84">
        <v>0.375</v>
      </c>
      <c r="DE20" s="84">
        <v>0.36399999999999999</v>
      </c>
      <c r="DF20" s="84">
        <v>0.46400000000000002</v>
      </c>
      <c r="DG20" s="84">
        <v>0.38900000000000001</v>
      </c>
      <c r="DH20" s="84">
        <v>0.36599999999999999</v>
      </c>
      <c r="DI20" s="84">
        <v>0.379</v>
      </c>
      <c r="DJ20" s="84">
        <v>0.36199999999999999</v>
      </c>
      <c r="DK20" s="84">
        <v>0.372</v>
      </c>
    </row>
    <row r="21" spans="2:115" s="9" customFormat="1" ht="18" customHeight="1">
      <c r="B21" s="240" t="s">
        <v>194</v>
      </c>
      <c r="C21" s="240" t="s">
        <v>198</v>
      </c>
      <c r="D21" s="83">
        <v>0</v>
      </c>
      <c r="E21" s="83">
        <v>0</v>
      </c>
      <c r="F21" s="83">
        <v>0</v>
      </c>
      <c r="G21" s="83">
        <v>0.01</v>
      </c>
      <c r="H21" s="83">
        <v>3.0000000000000001E-3</v>
      </c>
      <c r="I21" s="83">
        <v>5.5E-2</v>
      </c>
      <c r="J21" s="83">
        <v>2.3E-2</v>
      </c>
      <c r="K21" s="83">
        <v>7.1999999999999995E-2</v>
      </c>
      <c r="L21" s="83">
        <v>0.127</v>
      </c>
      <c r="M21" s="83">
        <v>0.106</v>
      </c>
      <c r="N21" s="83">
        <v>0.14899999999999999</v>
      </c>
      <c r="O21" s="83">
        <v>0.121</v>
      </c>
      <c r="P21" s="83">
        <v>0.16200000000000001</v>
      </c>
      <c r="Q21" s="83">
        <v>0.13600000000000001</v>
      </c>
      <c r="R21" s="83">
        <v>0.13200000000000001</v>
      </c>
      <c r="S21" s="84">
        <v>0.13300000000000001</v>
      </c>
      <c r="T21" s="84">
        <v>0.13300000000000001</v>
      </c>
      <c r="U21" s="84">
        <v>0.13600000000000001</v>
      </c>
      <c r="V21" s="84">
        <v>0.13400000000000001</v>
      </c>
      <c r="W21" s="84">
        <v>0.158</v>
      </c>
      <c r="X21" s="84">
        <v>0.14299999999999999</v>
      </c>
      <c r="Y21" s="84">
        <v>0.13600000000000001</v>
      </c>
      <c r="Z21" s="84">
        <v>0.159</v>
      </c>
      <c r="AA21" s="84">
        <v>0.15</v>
      </c>
      <c r="AB21" s="84">
        <v>0.14799999999999999</v>
      </c>
      <c r="AC21" s="84">
        <v>0.14899999999999999</v>
      </c>
      <c r="AD21" s="84">
        <v>0.11600000000000001</v>
      </c>
      <c r="AE21" s="84">
        <v>0.13800000000000001</v>
      </c>
      <c r="AF21" s="84">
        <v>8.6999999999999994E-2</v>
      </c>
      <c r="AG21" s="84">
        <v>0.121</v>
      </c>
      <c r="AH21" s="84">
        <v>0.108</v>
      </c>
      <c r="AI21" s="84">
        <v>0.13</v>
      </c>
      <c r="AJ21" s="84">
        <v>0.115</v>
      </c>
      <c r="AK21" s="84">
        <v>0.13300000000000001</v>
      </c>
      <c r="AL21" s="84">
        <v>0.121</v>
      </c>
      <c r="AM21" s="84">
        <v>0.124</v>
      </c>
      <c r="AN21" s="84">
        <v>0.13400000000000001</v>
      </c>
      <c r="AO21" s="84">
        <v>0.13</v>
      </c>
      <c r="AP21" s="84">
        <v>0.13</v>
      </c>
      <c r="AQ21" s="84">
        <v>0.13</v>
      </c>
      <c r="AR21" s="84">
        <v>0.13</v>
      </c>
      <c r="AS21" s="84">
        <v>0.13</v>
      </c>
      <c r="AT21" s="84">
        <v>0.121</v>
      </c>
      <c r="AU21" s="84">
        <v>0.122</v>
      </c>
      <c r="AV21" s="84">
        <v>0.122</v>
      </c>
      <c r="AW21" s="84">
        <v>0.11700000000000001</v>
      </c>
      <c r="AX21" s="84">
        <v>0.12</v>
      </c>
      <c r="AY21" s="84">
        <v>0.11799999999999999</v>
      </c>
      <c r="AZ21" s="84">
        <v>0.11899999999999999</v>
      </c>
      <c r="BA21" s="84">
        <v>0.11600000000000001</v>
      </c>
      <c r="BB21" s="84">
        <v>0.128</v>
      </c>
      <c r="BC21" s="84">
        <v>0.123</v>
      </c>
      <c r="BD21" s="84">
        <v>0.11700000000000001</v>
      </c>
      <c r="BE21" s="84">
        <v>0.121</v>
      </c>
      <c r="BF21" s="84">
        <v>0.115</v>
      </c>
      <c r="BG21" s="84">
        <v>0.11899999999999999</v>
      </c>
      <c r="BH21" s="84">
        <v>0.11600000000000001</v>
      </c>
      <c r="BI21" s="84">
        <v>0.123</v>
      </c>
      <c r="BJ21" s="84">
        <v>0.12</v>
      </c>
      <c r="BK21" s="84">
        <v>0.12</v>
      </c>
      <c r="BL21" s="84">
        <v>0.12</v>
      </c>
      <c r="BM21" s="84">
        <v>0.115</v>
      </c>
      <c r="BN21" s="84">
        <v>0.11899999999999999</v>
      </c>
      <c r="BO21" s="84">
        <v>0.106</v>
      </c>
      <c r="BP21" s="84">
        <v>0.113</v>
      </c>
      <c r="BQ21" s="84">
        <v>0.11</v>
      </c>
      <c r="BR21" s="84">
        <v>0.109</v>
      </c>
      <c r="BS21" s="84">
        <v>0.11</v>
      </c>
      <c r="BT21" s="84">
        <v>9.9000000000000005E-2</v>
      </c>
      <c r="BU21" s="84">
        <v>0.106</v>
      </c>
      <c r="BV21" s="84">
        <v>9.5000000000000001E-2</v>
      </c>
      <c r="BW21" s="84">
        <v>0.10199999999999999</v>
      </c>
      <c r="BX21" s="84">
        <v>9.9000000000000005E-2</v>
      </c>
      <c r="BY21" s="84">
        <v>0.10100000000000001</v>
      </c>
      <c r="BZ21" s="84">
        <v>0.1</v>
      </c>
      <c r="CA21" s="84">
        <v>9.1999999999999998E-2</v>
      </c>
      <c r="CB21" s="84">
        <v>9.7000000000000003E-2</v>
      </c>
      <c r="CC21" s="84">
        <v>8.3000000000000004E-2</v>
      </c>
      <c r="CD21" s="84">
        <v>8.8999999999999996E-2</v>
      </c>
      <c r="CE21" s="84">
        <v>8.6999999999999994E-2</v>
      </c>
      <c r="CF21" s="84">
        <v>9.1056120665919796E-2</v>
      </c>
      <c r="CG21" s="84">
        <v>8.7999999999999995E-2</v>
      </c>
      <c r="CH21" s="84">
        <v>8.5145514655094984E-2</v>
      </c>
      <c r="CI21" s="84">
        <v>8.7159226679975624E-2</v>
      </c>
      <c r="CJ21" s="84">
        <v>7.8E-2</v>
      </c>
      <c r="CK21" s="84">
        <v>7.3999999999999996E-2</v>
      </c>
      <c r="CL21" s="84">
        <v>7.4999999999999997E-2</v>
      </c>
      <c r="CM21" s="84">
        <v>7.3999999999999996E-2</v>
      </c>
      <c r="CN21" s="84">
        <v>7.2999999999999995E-2</v>
      </c>
      <c r="CO21" s="84">
        <v>7.1999999999999995E-2</v>
      </c>
      <c r="CP21" s="84">
        <v>7.5999999999999998E-2</v>
      </c>
      <c r="CQ21" s="84">
        <v>7.0000000000000007E-2</v>
      </c>
      <c r="CR21" s="84">
        <v>7.1099999999999997E-2</v>
      </c>
      <c r="CS21" s="84">
        <v>7.0999999999999994E-2</v>
      </c>
      <c r="CT21" s="84">
        <v>6.6199999999999995E-2</v>
      </c>
      <c r="CU21" s="84">
        <v>6.9000000000000006E-2</v>
      </c>
      <c r="CV21" s="84">
        <v>6.2E-2</v>
      </c>
      <c r="CW21" s="84">
        <v>6.6000000000000003E-2</v>
      </c>
      <c r="CX21" s="84">
        <v>6.0999999999999999E-2</v>
      </c>
      <c r="CY21" s="84">
        <v>6.8000000000000005E-2</v>
      </c>
      <c r="CZ21" s="84">
        <v>6.5000000000000002E-2</v>
      </c>
      <c r="DA21" s="84">
        <v>6.3E-2</v>
      </c>
      <c r="DB21" s="84">
        <v>6.4000000000000001E-2</v>
      </c>
      <c r="DC21" s="84">
        <v>5.7000000000000002E-2</v>
      </c>
      <c r="DD21" s="84">
        <v>6.2E-2</v>
      </c>
      <c r="DE21" s="84">
        <v>5.2999999999999999E-2</v>
      </c>
      <c r="DF21" s="84">
        <v>2.9000000000000001E-2</v>
      </c>
      <c r="DG21" s="84">
        <v>4.7E-2</v>
      </c>
      <c r="DH21" s="593">
        <v>4.1999999999999996E-2</v>
      </c>
      <c r="DI21" s="84">
        <v>4.4999999999999998E-2</v>
      </c>
      <c r="DJ21" s="593">
        <v>3.9E-2</v>
      </c>
      <c r="DK21" s="84">
        <v>4.1999999999999996E-2</v>
      </c>
    </row>
    <row r="22" spans="2:115" s="9" customFormat="1" ht="18" customHeight="1">
      <c r="B22" s="240" t="s">
        <v>201</v>
      </c>
      <c r="C22" s="240" t="s">
        <v>202</v>
      </c>
      <c r="D22" s="83">
        <v>0.191</v>
      </c>
      <c r="E22" s="83">
        <v>0.153</v>
      </c>
      <c r="F22" s="84">
        <v>0.16800000000000001</v>
      </c>
      <c r="G22" s="83">
        <v>0.155</v>
      </c>
      <c r="H22" s="84">
        <v>0.16300000000000001</v>
      </c>
      <c r="I22" s="83">
        <v>0.16500000000000001</v>
      </c>
      <c r="J22" s="83">
        <v>0.16400000000000001</v>
      </c>
      <c r="K22" s="83">
        <v>0.186</v>
      </c>
      <c r="L22" s="83">
        <v>0.158</v>
      </c>
      <c r="M22" s="84">
        <v>0.16900000000000001</v>
      </c>
      <c r="N22" s="83">
        <v>0.16900000000000001</v>
      </c>
      <c r="O22" s="84">
        <v>0.16900000000000001</v>
      </c>
      <c r="P22" s="83">
        <v>0.187</v>
      </c>
      <c r="Q22" s="83">
        <v>0.17499999999999999</v>
      </c>
      <c r="R22" s="83">
        <v>0.20799999999999999</v>
      </c>
      <c r="S22" s="84">
        <v>0.17499999999999999</v>
      </c>
      <c r="T22" s="84">
        <v>0.188</v>
      </c>
      <c r="U22" s="84">
        <v>0.191</v>
      </c>
      <c r="V22" s="84">
        <v>0.188</v>
      </c>
      <c r="W22" s="84">
        <v>0.20499999999999999</v>
      </c>
      <c r="X22" s="84">
        <v>0.19400000000000001</v>
      </c>
      <c r="Y22" s="84">
        <v>0.223</v>
      </c>
      <c r="Z22" s="84">
        <v>0.19500000000000001</v>
      </c>
      <c r="AA22" s="84">
        <v>0.20699999999999999</v>
      </c>
      <c r="AB22" s="84">
        <v>0.20699999999999999</v>
      </c>
      <c r="AC22" s="84">
        <v>0.20699999999999999</v>
      </c>
      <c r="AD22" s="84">
        <v>0.221</v>
      </c>
      <c r="AE22" s="84">
        <v>0.21099999999999999</v>
      </c>
      <c r="AF22" s="84">
        <v>0.23599999999999999</v>
      </c>
      <c r="AG22" s="84">
        <v>0.19900000000000001</v>
      </c>
      <c r="AH22" s="84">
        <v>0.21199999999999999</v>
      </c>
      <c r="AI22" s="84">
        <v>0.214</v>
      </c>
      <c r="AJ22" s="84">
        <v>0.21299999999999999</v>
      </c>
      <c r="AK22" s="84">
        <v>0.22700000000000001</v>
      </c>
      <c r="AL22" s="84">
        <v>0.219</v>
      </c>
      <c r="AM22" s="84">
        <v>0.246</v>
      </c>
      <c r="AN22" s="84">
        <v>0.214</v>
      </c>
      <c r="AO22" s="84">
        <v>0.22700000000000001</v>
      </c>
      <c r="AP22" s="84">
        <v>0.23100000000000001</v>
      </c>
      <c r="AQ22" s="84">
        <v>0.22800000000000001</v>
      </c>
      <c r="AR22" s="84">
        <v>0.24399999999999999</v>
      </c>
      <c r="AS22" s="84">
        <v>0.23400000000000001</v>
      </c>
      <c r="AT22" s="84">
        <v>0.249</v>
      </c>
      <c r="AU22" s="84">
        <v>0.22</v>
      </c>
      <c r="AV22" s="84">
        <v>0.23100000000000001</v>
      </c>
      <c r="AW22" s="84">
        <v>0.23400000000000001</v>
      </c>
      <c r="AX22" s="84">
        <v>0.23200000000000001</v>
      </c>
      <c r="AY22" s="84">
        <v>0.25</v>
      </c>
      <c r="AZ22" s="84">
        <v>0.23799999999999999</v>
      </c>
      <c r="BA22" s="84">
        <v>0.25800000000000001</v>
      </c>
      <c r="BB22" s="84">
        <v>0.22700000000000001</v>
      </c>
      <c r="BC22" s="84">
        <v>0.24</v>
      </c>
      <c r="BD22" s="84">
        <v>0.24299999999999999</v>
      </c>
      <c r="BE22" s="84">
        <v>0.24199999999999999</v>
      </c>
      <c r="BF22" s="84">
        <v>0.26200000000000001</v>
      </c>
      <c r="BG22" s="84">
        <v>0.249</v>
      </c>
      <c r="BH22" s="84">
        <v>0.26600000000000001</v>
      </c>
      <c r="BI22" s="84">
        <v>0.23699999999999999</v>
      </c>
      <c r="BJ22" s="84">
        <v>0.249</v>
      </c>
      <c r="BK22" s="84">
        <v>0.246</v>
      </c>
      <c r="BL22" s="84">
        <v>0.248</v>
      </c>
      <c r="BM22" s="84">
        <v>0.26500000000000001</v>
      </c>
      <c r="BN22" s="84">
        <v>0.254</v>
      </c>
      <c r="BO22" s="84">
        <v>0.27100000000000002</v>
      </c>
      <c r="BP22" s="84">
        <v>0.24199999999999999</v>
      </c>
      <c r="BQ22" s="84">
        <v>0.254</v>
      </c>
      <c r="BR22" s="84">
        <v>0.253</v>
      </c>
      <c r="BS22" s="84">
        <v>0.253</v>
      </c>
      <c r="BT22" s="84">
        <v>0.27800000000000002</v>
      </c>
      <c r="BU22" s="84">
        <v>0.26300000000000001</v>
      </c>
      <c r="BV22" s="84">
        <v>0.27800000000000002</v>
      </c>
      <c r="BW22" s="84">
        <v>0.247</v>
      </c>
      <c r="BX22" s="84">
        <v>0.26</v>
      </c>
      <c r="BY22" s="84">
        <v>0.254</v>
      </c>
      <c r="BZ22" s="84">
        <v>0.25800000000000001</v>
      </c>
      <c r="CA22" s="84">
        <v>0.27800000000000002</v>
      </c>
      <c r="CB22" s="84">
        <v>0.26500000000000001</v>
      </c>
      <c r="CC22" s="84">
        <v>0.28199999999999997</v>
      </c>
      <c r="CD22" s="84">
        <v>0.23997304856188809</v>
      </c>
      <c r="CE22" s="84">
        <v>0.25700000000000001</v>
      </c>
      <c r="CF22" s="84">
        <v>0.25344622780976489</v>
      </c>
      <c r="CG22" s="84">
        <v>0.25600000000000001</v>
      </c>
      <c r="CH22" s="84">
        <v>0.27663584191152252</v>
      </c>
      <c r="CI22" s="84">
        <v>0.26301737747349541</v>
      </c>
      <c r="CJ22" s="84">
        <v>0.28399999999999997</v>
      </c>
      <c r="CK22" s="84">
        <v>0.25900000000000001</v>
      </c>
      <c r="CL22" s="84">
        <v>0.27</v>
      </c>
      <c r="CM22" s="84">
        <v>0.26700000000000002</v>
      </c>
      <c r="CN22" s="84">
        <v>0.26900000000000002</v>
      </c>
      <c r="CO22" s="84">
        <v>0.28399999999999997</v>
      </c>
      <c r="CP22" s="84">
        <v>0.27400000000000002</v>
      </c>
      <c r="CQ22" s="84">
        <v>0.28599999999999998</v>
      </c>
      <c r="CR22" s="84">
        <v>0.24790000000000001</v>
      </c>
      <c r="CS22" s="84">
        <v>0.26400000000000001</v>
      </c>
      <c r="CT22" s="84">
        <v>0.25740000000000002</v>
      </c>
      <c r="CU22" s="84">
        <v>0.26200000000000001</v>
      </c>
      <c r="CV22" s="84">
        <v>0.27500000000000002</v>
      </c>
      <c r="CW22" s="84">
        <v>0.26700000000000002</v>
      </c>
      <c r="CX22" s="84">
        <v>0.27900000000000003</v>
      </c>
      <c r="CY22" s="84">
        <v>0.24199999999999999</v>
      </c>
      <c r="CZ22" s="84">
        <v>0.25900000000000001</v>
      </c>
      <c r="DA22" s="84">
        <v>0.249</v>
      </c>
      <c r="DB22" s="84">
        <v>0.255</v>
      </c>
      <c r="DC22" s="84">
        <v>0.26700000000000002</v>
      </c>
      <c r="DD22" s="84">
        <v>0.25900000000000001</v>
      </c>
      <c r="DE22" s="84">
        <v>0.27400000000000002</v>
      </c>
      <c r="DF22" s="84">
        <v>0.219</v>
      </c>
      <c r="DG22" s="84">
        <v>0.26</v>
      </c>
      <c r="DH22" s="84">
        <v>0.29399999999999998</v>
      </c>
      <c r="DI22" s="84">
        <v>0.27500000000000002</v>
      </c>
      <c r="DJ22" s="84">
        <v>0.311</v>
      </c>
      <c r="DK22" s="84">
        <v>0.29099999999999998</v>
      </c>
    </row>
    <row r="23" spans="2:115" s="9" customFormat="1" ht="18" customHeight="1">
      <c r="B23" s="240" t="s">
        <v>200</v>
      </c>
      <c r="C23" s="240" t="s">
        <v>199</v>
      </c>
      <c r="D23" s="83">
        <v>0.10100000000000001</v>
      </c>
      <c r="E23" s="83">
        <v>0.10299999999999999</v>
      </c>
      <c r="F23" s="84">
        <v>0.10299999999999999</v>
      </c>
      <c r="G23" s="83">
        <v>9.8000000000000004E-2</v>
      </c>
      <c r="H23" s="84">
        <v>0.10100000000000001</v>
      </c>
      <c r="I23" s="83">
        <v>9.2999999999999999E-2</v>
      </c>
      <c r="J23" s="83">
        <v>9.8000000000000004E-2</v>
      </c>
      <c r="K23" s="83">
        <v>0.109</v>
      </c>
      <c r="L23" s="83">
        <v>0.114</v>
      </c>
      <c r="M23" s="84">
        <v>0.112</v>
      </c>
      <c r="N23" s="83">
        <v>0.107</v>
      </c>
      <c r="O23" s="84">
        <v>0.11</v>
      </c>
      <c r="P23" s="83">
        <v>0.114</v>
      </c>
      <c r="Q23" s="83">
        <v>0.112</v>
      </c>
      <c r="R23" s="83">
        <v>0.127</v>
      </c>
      <c r="S23" s="84">
        <v>0.13500000000000001</v>
      </c>
      <c r="T23" s="84">
        <v>0.13200000000000001</v>
      </c>
      <c r="U23" s="84">
        <v>0.13100000000000001</v>
      </c>
      <c r="V23" s="84">
        <v>0.13200000000000001</v>
      </c>
      <c r="W23" s="84">
        <v>0.13800000000000001</v>
      </c>
      <c r="X23" s="84">
        <v>0.13400000000000001</v>
      </c>
      <c r="Y23" s="84">
        <v>0.155</v>
      </c>
      <c r="Z23" s="84">
        <v>0.159</v>
      </c>
      <c r="AA23" s="84">
        <v>0.157</v>
      </c>
      <c r="AB23" s="84">
        <v>0.157</v>
      </c>
      <c r="AC23" s="84">
        <v>0.157</v>
      </c>
      <c r="AD23" s="84">
        <v>0.16</v>
      </c>
      <c r="AE23" s="84">
        <v>0.158</v>
      </c>
      <c r="AF23" s="84">
        <v>0.17100000000000001</v>
      </c>
      <c r="AG23" s="84">
        <v>0.186</v>
      </c>
      <c r="AH23" s="84">
        <v>0.18099999999999999</v>
      </c>
      <c r="AI23" s="84">
        <v>0.18</v>
      </c>
      <c r="AJ23" s="84">
        <v>0.18099999999999999</v>
      </c>
      <c r="AK23" s="84">
        <v>0.17699999999999999</v>
      </c>
      <c r="AL23" s="84">
        <v>0.17899999999999999</v>
      </c>
      <c r="AM23" s="84">
        <v>0.19500000000000001</v>
      </c>
      <c r="AN23" s="84">
        <v>0.20799999999999999</v>
      </c>
      <c r="AO23" s="84">
        <v>0.20300000000000001</v>
      </c>
      <c r="AP23" s="84">
        <v>0.19900000000000001</v>
      </c>
      <c r="AQ23" s="84">
        <v>0.20200000000000001</v>
      </c>
      <c r="AR23" s="84">
        <v>0.19700000000000001</v>
      </c>
      <c r="AS23" s="84">
        <v>0.2</v>
      </c>
      <c r="AT23" s="84">
        <v>0.21199999999999999</v>
      </c>
      <c r="AU23" s="84">
        <v>0.22800000000000001</v>
      </c>
      <c r="AV23" s="84">
        <v>0.222</v>
      </c>
      <c r="AW23" s="84">
        <v>0.21299999999999999</v>
      </c>
      <c r="AX23" s="84">
        <v>0.219</v>
      </c>
      <c r="AY23" s="84">
        <v>0.20799999999999999</v>
      </c>
      <c r="AZ23" s="84">
        <v>0.215</v>
      </c>
      <c r="BA23" s="84">
        <v>0.23</v>
      </c>
      <c r="BB23" s="84">
        <v>0.23899999999999999</v>
      </c>
      <c r="BC23" s="84">
        <v>0.23499999999999999</v>
      </c>
      <c r="BD23" s="84">
        <v>0.22800000000000001</v>
      </c>
      <c r="BE23" s="84">
        <v>0.23200000000000001</v>
      </c>
      <c r="BF23" s="84">
        <v>0.22600000000000001</v>
      </c>
      <c r="BG23" s="84">
        <v>0.23</v>
      </c>
      <c r="BH23" s="84">
        <v>0.23499999999999999</v>
      </c>
      <c r="BI23" s="84">
        <v>0.24</v>
      </c>
      <c r="BJ23" s="84">
        <v>0.23799999999999999</v>
      </c>
      <c r="BK23" s="84">
        <v>0.23</v>
      </c>
      <c r="BL23" s="84">
        <v>0.23499999999999999</v>
      </c>
      <c r="BM23" s="84">
        <v>0.22800000000000001</v>
      </c>
      <c r="BN23" s="84">
        <v>0.23200000000000001</v>
      </c>
      <c r="BO23" s="84">
        <v>0.23899999999999999</v>
      </c>
      <c r="BP23" s="84">
        <v>0.248</v>
      </c>
      <c r="BQ23" s="84">
        <v>0.24399999999999999</v>
      </c>
      <c r="BR23" s="84">
        <v>0.23799999999999999</v>
      </c>
      <c r="BS23" s="84">
        <v>0.24199999999999999</v>
      </c>
      <c r="BT23" s="84">
        <v>0.23799999999999999</v>
      </c>
      <c r="BU23" s="84">
        <v>0.24</v>
      </c>
      <c r="BV23" s="84">
        <v>0.245</v>
      </c>
      <c r="BW23" s="84">
        <v>0.253</v>
      </c>
      <c r="BX23" s="84">
        <v>0.25</v>
      </c>
      <c r="BY23" s="84">
        <v>0.248</v>
      </c>
      <c r="BZ23" s="84">
        <v>0.249</v>
      </c>
      <c r="CA23" s="84">
        <v>0.24299999999999999</v>
      </c>
      <c r="CB23" s="84">
        <v>0.247</v>
      </c>
      <c r="CC23" s="84">
        <v>0.252</v>
      </c>
      <c r="CD23" s="84">
        <v>0.26357927055397817</v>
      </c>
      <c r="CE23" s="84">
        <v>0.25900000000000001</v>
      </c>
      <c r="CF23" s="84">
        <v>0.25203665196162506</v>
      </c>
      <c r="CG23" s="84">
        <v>0.25700000000000001</v>
      </c>
      <c r="CH23" s="84">
        <v>0.25014609470892774</v>
      </c>
      <c r="CI23" s="84">
        <v>0.25454953458627894</v>
      </c>
      <c r="CJ23" s="84">
        <v>0.26700000000000002</v>
      </c>
      <c r="CK23" s="84">
        <v>0.27900000000000003</v>
      </c>
      <c r="CL23" s="84">
        <v>0.27400000000000002</v>
      </c>
      <c r="CM23" s="84">
        <v>0.27600000000000002</v>
      </c>
      <c r="CN23" s="84">
        <v>0.27400000000000002</v>
      </c>
      <c r="CO23" s="84">
        <v>0.27300000000000002</v>
      </c>
      <c r="CP23" s="84">
        <v>0.27400000000000002</v>
      </c>
      <c r="CQ23" s="84">
        <v>0.28499999999999998</v>
      </c>
      <c r="CR23" s="84">
        <v>0.2974</v>
      </c>
      <c r="CS23" s="84">
        <v>0.29199999999999998</v>
      </c>
      <c r="CT23" s="84">
        <v>0.2903</v>
      </c>
      <c r="CU23" s="84">
        <v>0.29099999999999998</v>
      </c>
      <c r="CV23" s="84">
        <v>0.28899999999999998</v>
      </c>
      <c r="CW23" s="84">
        <v>0.29099999999999998</v>
      </c>
      <c r="CX23" s="84">
        <v>0.30199999999999999</v>
      </c>
      <c r="CY23" s="84">
        <v>0.31030000000000002</v>
      </c>
      <c r="CZ23" s="84">
        <v>0.307</v>
      </c>
      <c r="DA23" s="84">
        <v>0.308</v>
      </c>
      <c r="DB23" s="84">
        <v>0.307</v>
      </c>
      <c r="DC23" s="84">
        <v>0.29899999999999999</v>
      </c>
      <c r="DD23" s="84">
        <v>0.30399999999999999</v>
      </c>
      <c r="DE23" s="84">
        <v>0.309</v>
      </c>
      <c r="DF23" s="84">
        <v>0.28799999999999998</v>
      </c>
      <c r="DG23" s="84">
        <v>0.30399999999999999</v>
      </c>
      <c r="DH23" s="84">
        <v>0.29799999999999999</v>
      </c>
      <c r="DI23" s="84">
        <v>0.30099999999999999</v>
      </c>
      <c r="DJ23" s="84">
        <v>0.28799999999999998</v>
      </c>
      <c r="DK23" s="84">
        <v>0.29499999999999998</v>
      </c>
    </row>
    <row r="24" spans="2:115" s="9" customFormat="1" ht="18" customHeight="1">
      <c r="B24" s="79" t="s">
        <v>267</v>
      </c>
      <c r="C24" s="79" t="s">
        <v>390</v>
      </c>
      <c r="D24" s="85">
        <v>83.22</v>
      </c>
      <c r="E24" s="85">
        <v>99.94</v>
      </c>
      <c r="F24" s="85">
        <v>92.86</v>
      </c>
      <c r="G24" s="85">
        <v>92.42</v>
      </c>
      <c r="H24" s="85">
        <v>92.7</v>
      </c>
      <c r="I24" s="85">
        <v>106.06</v>
      </c>
      <c r="J24" s="85">
        <v>97.7</v>
      </c>
      <c r="K24" s="85">
        <v>89.56</v>
      </c>
      <c r="L24" s="85">
        <v>108.01</v>
      </c>
      <c r="M24" s="85">
        <v>100.13</v>
      </c>
      <c r="N24" s="85">
        <v>98.22</v>
      </c>
      <c r="O24" s="85">
        <v>99.45</v>
      </c>
      <c r="P24" s="85">
        <v>112.69</v>
      </c>
      <c r="Q24" s="85">
        <v>103.84</v>
      </c>
      <c r="R24" s="85">
        <v>93.57</v>
      </c>
      <c r="S24" s="86">
        <v>111.13</v>
      </c>
      <c r="T24" s="86">
        <v>103.71</v>
      </c>
      <c r="U24" s="86">
        <v>100.78</v>
      </c>
      <c r="V24" s="86">
        <v>102.68</v>
      </c>
      <c r="W24" s="86">
        <v>116.48</v>
      </c>
      <c r="X24" s="86">
        <v>107.12</v>
      </c>
      <c r="Y24" s="86">
        <v>101.35</v>
      </c>
      <c r="Z24" s="86">
        <v>117.3</v>
      </c>
      <c r="AA24" s="86">
        <v>107.84</v>
      </c>
      <c r="AB24" s="86">
        <v>107.3</v>
      </c>
      <c r="AC24" s="86">
        <v>109.51</v>
      </c>
      <c r="AD24" s="86">
        <v>121.09</v>
      </c>
      <c r="AE24" s="86">
        <v>112.97</v>
      </c>
      <c r="AF24" s="86">
        <v>102.93</v>
      </c>
      <c r="AG24" s="86">
        <v>128.53</v>
      </c>
      <c r="AH24" s="86">
        <v>117.63</v>
      </c>
      <c r="AI24" s="86">
        <v>116.96</v>
      </c>
      <c r="AJ24" s="86">
        <v>117.4</v>
      </c>
      <c r="AK24" s="86">
        <v>132.86000000000001</v>
      </c>
      <c r="AL24" s="86">
        <v>122.26</v>
      </c>
      <c r="AM24" s="86">
        <v>115.53</v>
      </c>
      <c r="AN24" s="86">
        <v>138.08000000000001</v>
      </c>
      <c r="AO24" s="86">
        <v>128.31</v>
      </c>
      <c r="AP24" s="86">
        <v>125.67</v>
      </c>
      <c r="AQ24" s="86">
        <v>127.38</v>
      </c>
      <c r="AR24" s="86">
        <v>142.74</v>
      </c>
      <c r="AS24" s="86">
        <v>132.16</v>
      </c>
      <c r="AT24" s="86">
        <v>128.19999999999999</v>
      </c>
      <c r="AU24" s="86">
        <v>155.47</v>
      </c>
      <c r="AV24" s="86">
        <v>143.32</v>
      </c>
      <c r="AW24" s="86">
        <v>136.34</v>
      </c>
      <c r="AX24" s="86">
        <v>140.9</v>
      </c>
      <c r="AY24" s="86">
        <v>155.78</v>
      </c>
      <c r="AZ24" s="86">
        <v>145.53</v>
      </c>
      <c r="BA24" s="86">
        <v>138.72</v>
      </c>
      <c r="BB24" s="86">
        <v>161.46</v>
      </c>
      <c r="BC24" s="86">
        <v>151.5</v>
      </c>
      <c r="BD24" s="86">
        <v>147.66</v>
      </c>
      <c r="BE24" s="86">
        <v>150.13</v>
      </c>
      <c r="BF24" s="86">
        <v>165.27</v>
      </c>
      <c r="BG24" s="86">
        <v>154.94999999999999</v>
      </c>
      <c r="BH24" s="86">
        <v>146.91</v>
      </c>
      <c r="BI24" s="86">
        <v>164.51369373976576</v>
      </c>
      <c r="BJ24" s="86">
        <v>156.78</v>
      </c>
      <c r="BK24" s="86">
        <v>156.96</v>
      </c>
      <c r="BL24" s="86">
        <v>156.84</v>
      </c>
      <c r="BM24" s="86">
        <v>178.51</v>
      </c>
      <c r="BN24" s="86">
        <v>163.68</v>
      </c>
      <c r="BO24" s="86">
        <v>155.62</v>
      </c>
      <c r="BP24" s="86">
        <v>180.39</v>
      </c>
      <c r="BQ24" s="86">
        <v>169.45</v>
      </c>
      <c r="BR24" s="86">
        <v>169.24</v>
      </c>
      <c r="BS24" s="86">
        <v>169.37</v>
      </c>
      <c r="BT24" s="86">
        <v>190.4</v>
      </c>
      <c r="BU24" s="86">
        <v>176.28</v>
      </c>
      <c r="BV24" s="86">
        <v>165.81</v>
      </c>
      <c r="BW24" s="86">
        <v>189.45</v>
      </c>
      <c r="BX24" s="86">
        <v>179.04</v>
      </c>
      <c r="BY24" s="86">
        <v>177.97</v>
      </c>
      <c r="BZ24" s="86">
        <v>178.67</v>
      </c>
      <c r="CA24" s="86">
        <v>197.43532572253767</v>
      </c>
      <c r="CB24" s="86">
        <v>184.4782844533562</v>
      </c>
      <c r="CC24" s="86">
        <v>170.82</v>
      </c>
      <c r="CD24" s="86">
        <v>200.60506327734862</v>
      </c>
      <c r="CE24" s="86">
        <v>187.51617876432178</v>
      </c>
      <c r="CF24" s="86">
        <v>182.02850332063497</v>
      </c>
      <c r="CG24" s="86">
        <v>185.65183123381024</v>
      </c>
      <c r="CH24" s="86">
        <v>204.28455966586452</v>
      </c>
      <c r="CI24" s="86">
        <v>191.4603833343017</v>
      </c>
      <c r="CJ24" s="86">
        <v>177.45723560951512</v>
      </c>
      <c r="CK24" s="86">
        <v>205.30062318697244</v>
      </c>
      <c r="CL24" s="86">
        <v>192.56211040891446</v>
      </c>
      <c r="CM24" s="86">
        <v>185.31255534216839</v>
      </c>
      <c r="CN24" s="86">
        <v>190.02616959047268</v>
      </c>
      <c r="CO24" s="86">
        <v>206.93391365890034</v>
      </c>
      <c r="CP24" s="86">
        <v>195.29190181805768</v>
      </c>
      <c r="CQ24" s="86">
        <v>180.11377850887143</v>
      </c>
      <c r="CR24" s="86">
        <v>207.77512643845563</v>
      </c>
      <c r="CS24" s="86">
        <v>195.21748185898176</v>
      </c>
      <c r="CT24" s="86">
        <v>192.06185320842073</v>
      </c>
      <c r="CU24" s="86">
        <v>194.08640003109772</v>
      </c>
      <c r="CV24" s="86">
        <v>217.05131744738847</v>
      </c>
      <c r="CW24" s="450">
        <v>201.40674371793489</v>
      </c>
      <c r="CX24" s="86">
        <v>185.43025245020934</v>
      </c>
      <c r="CY24" s="86">
        <v>213.86929599561523</v>
      </c>
      <c r="CZ24" s="86">
        <v>200.69112101095769</v>
      </c>
      <c r="DA24" s="86">
        <v>200.19885629559258</v>
      </c>
      <c r="DB24" s="86">
        <v>200.51840517035191</v>
      </c>
      <c r="DC24" s="86">
        <v>224.06785923154706</v>
      </c>
      <c r="DD24" s="86">
        <v>207.86185969238826</v>
      </c>
      <c r="DE24" s="86">
        <v>186.22044668715111</v>
      </c>
      <c r="DF24" s="86">
        <v>204.04178865394584</v>
      </c>
      <c r="DG24" s="86">
        <v>190.91694536467242</v>
      </c>
      <c r="DH24" s="86">
        <v>158.40453608177216</v>
      </c>
      <c r="DI24" s="86">
        <v>177.64439686700854</v>
      </c>
      <c r="DJ24" s="86">
        <v>234.20476261527722</v>
      </c>
      <c r="DK24" s="86">
        <v>211.49215146524429</v>
      </c>
    </row>
    <row r="25" spans="2:115" s="9" customFormat="1" ht="18" customHeight="1">
      <c r="B25" s="79" t="s">
        <v>268</v>
      </c>
      <c r="C25" s="79" t="s">
        <v>269</v>
      </c>
      <c r="D25" s="83" t="s">
        <v>77</v>
      </c>
      <c r="E25" s="83" t="s">
        <v>77</v>
      </c>
      <c r="F25" s="83" t="s">
        <v>77</v>
      </c>
      <c r="G25" s="83" t="s">
        <v>77</v>
      </c>
      <c r="H25" s="83" t="s">
        <v>77</v>
      </c>
      <c r="I25" s="83" t="s">
        <v>77</v>
      </c>
      <c r="J25" s="83" t="s">
        <v>77</v>
      </c>
      <c r="K25" s="83" t="s">
        <v>77</v>
      </c>
      <c r="L25" s="83" t="s">
        <v>77</v>
      </c>
      <c r="M25" s="83" t="s">
        <v>77</v>
      </c>
      <c r="N25" s="83" t="s">
        <v>77</v>
      </c>
      <c r="O25" s="83" t="s">
        <v>77</v>
      </c>
      <c r="P25" s="83" t="s">
        <v>77</v>
      </c>
      <c r="Q25" s="83" t="s">
        <v>77</v>
      </c>
      <c r="R25" s="85">
        <v>69.331023868122912</v>
      </c>
      <c r="S25" s="86">
        <v>85.390695867100348</v>
      </c>
      <c r="T25" s="86">
        <v>78.316622637138238</v>
      </c>
      <c r="U25" s="86">
        <v>77.098507482044354</v>
      </c>
      <c r="V25" s="86">
        <v>77.891987802942666</v>
      </c>
      <c r="W25" s="86">
        <v>86.696629710478007</v>
      </c>
      <c r="X25" s="86">
        <v>80.826518455252113</v>
      </c>
      <c r="Y25" s="86">
        <v>74.906983436297082</v>
      </c>
      <c r="Z25" s="86">
        <v>89.100046264349814</v>
      </c>
      <c r="AA25" s="86">
        <v>82.689481424994284</v>
      </c>
      <c r="AB25" s="86">
        <v>81.596006378137005</v>
      </c>
      <c r="AC25" s="86">
        <v>82.324844285818529</v>
      </c>
      <c r="AD25" s="86">
        <v>89.68125790012644</v>
      </c>
      <c r="AE25" s="86">
        <v>84.587569834935806</v>
      </c>
      <c r="AF25" s="86">
        <v>76.041396507494156</v>
      </c>
      <c r="AG25" s="86">
        <v>98.072986163514429</v>
      </c>
      <c r="AH25" s="86">
        <v>88.313999955867899</v>
      </c>
      <c r="AI25" s="86">
        <v>87.733101187758948</v>
      </c>
      <c r="AJ25" s="86">
        <v>88.111875336805099</v>
      </c>
      <c r="AK25" s="86">
        <v>97.226801382527341</v>
      </c>
      <c r="AL25" s="86">
        <v>91.06092976523118</v>
      </c>
      <c r="AM25" s="86">
        <v>85.067764104122418</v>
      </c>
      <c r="AN25" s="86">
        <v>104.26230616766367</v>
      </c>
      <c r="AO25" s="86">
        <v>95.679522762078676</v>
      </c>
      <c r="AP25" s="86">
        <v>93.484897141319834</v>
      </c>
      <c r="AQ25" s="86">
        <v>94.905170743794983</v>
      </c>
      <c r="AR25" s="86">
        <v>103.45536695990764</v>
      </c>
      <c r="AS25" s="86">
        <v>97.652102348624908</v>
      </c>
      <c r="AT25" s="86">
        <v>93.26542887035589</v>
      </c>
      <c r="AU25" s="86">
        <v>112.3088021063563</v>
      </c>
      <c r="AV25" s="86">
        <v>103.74493797574235</v>
      </c>
      <c r="AW25" s="86">
        <v>100.07</v>
      </c>
      <c r="AX25" s="86">
        <v>102.49</v>
      </c>
      <c r="AY25" s="86">
        <v>110.37</v>
      </c>
      <c r="AZ25" s="86">
        <v>105.01</v>
      </c>
      <c r="BA25" s="86">
        <v>99.21</v>
      </c>
      <c r="BB25" s="86">
        <v>118.94</v>
      </c>
      <c r="BC25" s="86">
        <v>109.97</v>
      </c>
      <c r="BD25" s="86">
        <v>108.16</v>
      </c>
      <c r="BE25" s="86">
        <v>109.33</v>
      </c>
      <c r="BF25" s="86">
        <v>117.09</v>
      </c>
      <c r="BG25" s="86">
        <v>111.9</v>
      </c>
      <c r="BH25" s="86">
        <v>105.41</v>
      </c>
      <c r="BI25" s="86">
        <v>120.98169739761998</v>
      </c>
      <c r="BJ25" s="86">
        <v>113.86</v>
      </c>
      <c r="BK25" s="86">
        <v>113.11</v>
      </c>
      <c r="BL25" s="86">
        <v>113.59</v>
      </c>
      <c r="BM25" s="86">
        <v>125.04</v>
      </c>
      <c r="BN25" s="86">
        <v>117.31</v>
      </c>
      <c r="BO25" s="86">
        <v>111.13</v>
      </c>
      <c r="BP25" s="86">
        <v>130.94999999999999</v>
      </c>
      <c r="BQ25" s="86">
        <v>121.92</v>
      </c>
      <c r="BR25" s="86">
        <v>122.96</v>
      </c>
      <c r="BS25" s="86">
        <v>122.28</v>
      </c>
      <c r="BT25" s="86">
        <v>134.79</v>
      </c>
      <c r="BU25" s="86">
        <v>126.56</v>
      </c>
      <c r="BV25" s="86">
        <v>119.44</v>
      </c>
      <c r="BW25" s="86">
        <v>139.77000000000001</v>
      </c>
      <c r="BX25" s="86">
        <v>130.44999999999999</v>
      </c>
      <c r="BY25" s="86">
        <v>130.62</v>
      </c>
      <c r="BZ25" s="86">
        <v>130.53</v>
      </c>
      <c r="CA25" s="86">
        <v>141.57426111621808</v>
      </c>
      <c r="CB25" s="86">
        <v>134.04259402294394</v>
      </c>
      <c r="CC25" s="86">
        <v>125.52</v>
      </c>
      <c r="CD25" s="86">
        <v>149.87078828439815</v>
      </c>
      <c r="CE25" s="86">
        <v>138.68278229320353</v>
      </c>
      <c r="CF25" s="86">
        <v>134.69651401421376</v>
      </c>
      <c r="CG25" s="86">
        <v>137.34723429385028</v>
      </c>
      <c r="CH25" s="86">
        <v>146.78480715810664</v>
      </c>
      <c r="CI25" s="86">
        <v>140.4048894519496</v>
      </c>
      <c r="CJ25" s="86">
        <v>129.40066812678808</v>
      </c>
      <c r="CK25" s="86">
        <v>153.30634346916466</v>
      </c>
      <c r="CL25" s="86">
        <v>142.05600994390525</v>
      </c>
      <c r="CM25" s="86">
        <v>139.30885082815092</v>
      </c>
      <c r="CN25" s="86">
        <v>141.10548461913632</v>
      </c>
      <c r="CO25" s="86">
        <v>150.26712261568767</v>
      </c>
      <c r="CP25" s="86">
        <v>144.06400711389867</v>
      </c>
      <c r="CQ25" s="86">
        <v>131.98921178505418</v>
      </c>
      <c r="CR25" s="86">
        <v>155.67411869665219</v>
      </c>
      <c r="CS25" s="86">
        <v>144.4533292608518</v>
      </c>
      <c r="CT25" s="86">
        <v>144.2920469620758</v>
      </c>
      <c r="CU25" s="86">
        <v>144.39679359236237</v>
      </c>
      <c r="CV25" s="86">
        <v>158.47793032747353</v>
      </c>
      <c r="CW25" s="450">
        <v>149.02214200544336</v>
      </c>
      <c r="CX25" s="86">
        <v>136.78946767695822</v>
      </c>
      <c r="CY25" s="86">
        <v>161.30292472794213</v>
      </c>
      <c r="CZ25" s="86">
        <v>149.40879063764945</v>
      </c>
      <c r="DA25" s="86">
        <v>150.73863979965392</v>
      </c>
      <c r="DB25" s="86">
        <v>149.86580712519816</v>
      </c>
      <c r="DC25" s="86">
        <v>164.57982734162505</v>
      </c>
      <c r="DD25" s="86">
        <v>154.53543554275558</v>
      </c>
      <c r="DE25" s="86">
        <v>141.21460206786799</v>
      </c>
      <c r="DF25" s="86">
        <v>147.61023140520234</v>
      </c>
      <c r="DG25" s="86">
        <v>142.75516010556967</v>
      </c>
      <c r="DH25" s="86">
        <v>142.71754477261777</v>
      </c>
      <c r="DI25" s="86">
        <v>142.73849673794732</v>
      </c>
      <c r="DJ25" s="86">
        <v>162.9716539662374</v>
      </c>
      <c r="DK25" s="86">
        <v>151.06251337628771</v>
      </c>
    </row>
    <row r="26" spans="2:115" s="9" customFormat="1" ht="18" customHeight="1">
      <c r="B26" s="79" t="s">
        <v>1156</v>
      </c>
      <c r="C26" s="79" t="s">
        <v>1151</v>
      </c>
      <c r="D26" s="84" t="s">
        <v>112</v>
      </c>
      <c r="E26" s="84" t="s">
        <v>112</v>
      </c>
      <c r="F26" s="84" t="s">
        <v>112</v>
      </c>
      <c r="G26" s="84" t="s">
        <v>112</v>
      </c>
      <c r="H26" s="84" t="s">
        <v>112</v>
      </c>
      <c r="I26" s="84" t="s">
        <v>112</v>
      </c>
      <c r="J26" s="84" t="s">
        <v>112</v>
      </c>
      <c r="K26" s="84" t="s">
        <v>112</v>
      </c>
      <c r="L26" s="84" t="s">
        <v>112</v>
      </c>
      <c r="M26" s="84" t="s">
        <v>112</v>
      </c>
      <c r="N26" s="84" t="s">
        <v>112</v>
      </c>
      <c r="O26" s="84" t="s">
        <v>112</v>
      </c>
      <c r="P26" s="84" t="s">
        <v>112</v>
      </c>
      <c r="Q26" s="84" t="s">
        <v>112</v>
      </c>
      <c r="R26" s="84" t="s">
        <v>112</v>
      </c>
      <c r="S26" s="84" t="s">
        <v>112</v>
      </c>
      <c r="T26" s="84" t="s">
        <v>112</v>
      </c>
      <c r="U26" s="84" t="s">
        <v>112</v>
      </c>
      <c r="V26" s="84" t="s">
        <v>112</v>
      </c>
      <c r="W26" s="84" t="s">
        <v>112</v>
      </c>
      <c r="X26" s="84" t="s">
        <v>112</v>
      </c>
      <c r="Y26" s="84" t="s">
        <v>112</v>
      </c>
      <c r="Z26" s="84" t="s">
        <v>112</v>
      </c>
      <c r="AA26" s="84" t="s">
        <v>112</v>
      </c>
      <c r="AB26" s="84" t="s">
        <v>112</v>
      </c>
      <c r="AC26" s="84" t="s">
        <v>112</v>
      </c>
      <c r="AD26" s="84" t="s">
        <v>112</v>
      </c>
      <c r="AE26" s="84" t="s">
        <v>112</v>
      </c>
      <c r="AF26" s="235">
        <v>114.03946671165367</v>
      </c>
      <c r="AG26" s="235">
        <v>80.406212990239027</v>
      </c>
      <c r="AH26" s="235">
        <v>89.813389158890047</v>
      </c>
      <c r="AI26" s="235">
        <v>83.801342413480185</v>
      </c>
      <c r="AJ26" s="235">
        <v>87.675648177618825</v>
      </c>
      <c r="AK26" s="235">
        <v>56.490534609427897</v>
      </c>
      <c r="AL26" s="235">
        <v>76.684414895400067</v>
      </c>
      <c r="AM26" s="235">
        <v>105.91111237515013</v>
      </c>
      <c r="AN26" s="235">
        <v>88.220519896505778</v>
      </c>
      <c r="AO26" s="235">
        <v>93.275206254299945</v>
      </c>
      <c r="AP26" s="235">
        <v>95.621720381283964</v>
      </c>
      <c r="AQ26" s="235">
        <v>94.130858035291226</v>
      </c>
      <c r="AR26" s="235">
        <v>65.91836177332975</v>
      </c>
      <c r="AS26" s="235">
        <v>82.988866626321411</v>
      </c>
      <c r="AT26" s="235">
        <v>120.92946545838498</v>
      </c>
      <c r="AU26" s="235">
        <v>93.15055596010221</v>
      </c>
      <c r="AV26" s="235">
        <v>100.99104600010878</v>
      </c>
      <c r="AW26" s="235">
        <v>100.63887814456561</v>
      </c>
      <c r="AX26" s="235">
        <v>102.10561398860084</v>
      </c>
      <c r="AY26" s="235">
        <v>78.266046785881585</v>
      </c>
      <c r="AZ26" s="235">
        <v>93.675273615174149</v>
      </c>
      <c r="BA26" s="235">
        <v>134.42722727349675</v>
      </c>
      <c r="BB26" s="235">
        <v>107.56772568079221</v>
      </c>
      <c r="BC26" s="235">
        <v>117.60475174478866</v>
      </c>
      <c r="BD26" s="235">
        <v>112.64734828481204</v>
      </c>
      <c r="BE26" s="235">
        <v>116.52842781080128</v>
      </c>
      <c r="BF26" s="235">
        <v>79.616051116043664</v>
      </c>
      <c r="BG26" s="235">
        <v>102.40297092744447</v>
      </c>
      <c r="BH26" s="235">
        <v>125.25998306816012</v>
      </c>
      <c r="BI26" s="235">
        <v>110.10788731266206</v>
      </c>
      <c r="BJ26" s="235">
        <v>115.5468580886366</v>
      </c>
      <c r="BK26" s="235">
        <v>112.1934328030535</v>
      </c>
      <c r="BL26" s="235">
        <v>114.4949872710346</v>
      </c>
      <c r="BM26" s="235">
        <v>81.434637133385863</v>
      </c>
      <c r="BN26" s="235">
        <v>102.03140326530873</v>
      </c>
      <c r="BO26" s="235">
        <v>124.91061996700975</v>
      </c>
      <c r="BP26" s="235">
        <v>101.6288187520863</v>
      </c>
      <c r="BQ26" s="235">
        <v>110.29115703502706</v>
      </c>
      <c r="BR26" s="235">
        <v>111.54241795673892</v>
      </c>
      <c r="BS26" s="235">
        <v>112.18539759291657</v>
      </c>
      <c r="BT26" s="235">
        <v>78.214585915914384</v>
      </c>
      <c r="BU26" s="235">
        <v>98.8981378023622</v>
      </c>
      <c r="BV26" s="235">
        <v>128.71071774231237</v>
      </c>
      <c r="BW26" s="235">
        <v>103.63714475974574</v>
      </c>
      <c r="BX26" s="235">
        <v>112.93193018230151</v>
      </c>
      <c r="BY26" s="235">
        <v>111.49142086762706</v>
      </c>
      <c r="BZ26" s="235">
        <v>113.17989854200111</v>
      </c>
      <c r="CA26" s="235">
        <v>76.57400536583576</v>
      </c>
      <c r="CB26" s="235">
        <v>99.022929503488683</v>
      </c>
      <c r="CC26" s="235">
        <v>122.24226318799781</v>
      </c>
      <c r="CD26" s="235">
        <v>98.780850286465522</v>
      </c>
      <c r="CE26" s="235">
        <v>108.5729001020506</v>
      </c>
      <c r="CF26" s="235">
        <v>114.81817714667443</v>
      </c>
      <c r="CG26" s="235">
        <v>111.43378228528988</v>
      </c>
      <c r="CH26" s="387">
        <v>83.084213652719498</v>
      </c>
      <c r="CI26" s="387">
        <v>101.18704551336245</v>
      </c>
      <c r="CJ26" s="235">
        <v>136.09334323046707</v>
      </c>
      <c r="CK26" s="235">
        <v>114.3284957737709</v>
      </c>
      <c r="CL26" s="235">
        <v>121.79954198166178</v>
      </c>
      <c r="CM26" s="235">
        <v>117.73398899015973</v>
      </c>
      <c r="CN26" s="235">
        <v>121.02839343871648</v>
      </c>
      <c r="CO26" s="235">
        <v>88</v>
      </c>
      <c r="CP26" s="235">
        <v>110</v>
      </c>
      <c r="CQ26" s="235">
        <v>148.32664294088056</v>
      </c>
      <c r="CR26" s="235">
        <v>129.56370911755374</v>
      </c>
      <c r="CS26" s="235">
        <v>135.94306025822806</v>
      </c>
      <c r="CT26" s="235">
        <v>132.18141815458765</v>
      </c>
      <c r="CU26" s="235">
        <v>135.36980180021416</v>
      </c>
      <c r="CV26" s="235">
        <v>94.615894604909272</v>
      </c>
      <c r="CW26" s="235">
        <v>120</v>
      </c>
      <c r="CX26" s="235">
        <v>143.67960208894314</v>
      </c>
      <c r="CY26" s="235">
        <v>122.53766984785683</v>
      </c>
      <c r="CZ26" s="235">
        <v>129.99450707423784</v>
      </c>
      <c r="DA26" s="235">
        <v>122.16567601611757</v>
      </c>
      <c r="DB26" s="235">
        <v>128.30062870521667</v>
      </c>
      <c r="DC26" s="235">
        <v>88</v>
      </c>
      <c r="DD26" s="235">
        <v>114</v>
      </c>
      <c r="DE26" s="235">
        <v>164.7141443154544</v>
      </c>
      <c r="DF26" s="235">
        <v>450.94748934932596</v>
      </c>
      <c r="DG26" s="235">
        <v>249.27311549665359</v>
      </c>
      <c r="DH26" s="235">
        <v>161.76140588625557</v>
      </c>
      <c r="DI26" s="235">
        <v>205.27470894628379</v>
      </c>
      <c r="DJ26" s="235">
        <v>96.884812222386046</v>
      </c>
      <c r="DK26" s="235">
        <v>165.57473780072388</v>
      </c>
    </row>
    <row r="27" spans="2:115" s="9" customFormat="1" ht="18" customHeight="1">
      <c r="B27" s="79" t="s">
        <v>1155</v>
      </c>
      <c r="C27" s="79" t="s">
        <v>1152</v>
      </c>
      <c r="D27" s="84" t="s">
        <v>112</v>
      </c>
      <c r="E27" s="84" t="s">
        <v>112</v>
      </c>
      <c r="F27" s="84" t="s">
        <v>112</v>
      </c>
      <c r="G27" s="84" t="s">
        <v>112</v>
      </c>
      <c r="H27" s="84" t="s">
        <v>112</v>
      </c>
      <c r="I27" s="84" t="s">
        <v>112</v>
      </c>
      <c r="J27" s="84" t="s">
        <v>112</v>
      </c>
      <c r="K27" s="84" t="s">
        <v>112</v>
      </c>
      <c r="L27" s="84" t="s">
        <v>112</v>
      </c>
      <c r="M27" s="84" t="s">
        <v>112</v>
      </c>
      <c r="N27" s="84" t="s">
        <v>112</v>
      </c>
      <c r="O27" s="84" t="s">
        <v>112</v>
      </c>
      <c r="P27" s="84" t="s">
        <v>112</v>
      </c>
      <c r="Q27" s="84" t="s">
        <v>112</v>
      </c>
      <c r="R27" s="84" t="s">
        <v>112</v>
      </c>
      <c r="S27" s="84" t="s">
        <v>112</v>
      </c>
      <c r="T27" s="84" t="s">
        <v>112</v>
      </c>
      <c r="U27" s="84" t="s">
        <v>112</v>
      </c>
      <c r="V27" s="84" t="s">
        <v>112</v>
      </c>
      <c r="W27" s="84" t="s">
        <v>112</v>
      </c>
      <c r="X27" s="84" t="s">
        <v>112</v>
      </c>
      <c r="Y27" s="84" t="s">
        <v>112</v>
      </c>
      <c r="Z27" s="84" t="s">
        <v>112</v>
      </c>
      <c r="AA27" s="84" t="s">
        <v>112</v>
      </c>
      <c r="AB27" s="84" t="s">
        <v>112</v>
      </c>
      <c r="AC27" s="84" t="s">
        <v>112</v>
      </c>
      <c r="AD27" s="84" t="s">
        <v>112</v>
      </c>
      <c r="AE27" s="84" t="s">
        <v>112</v>
      </c>
      <c r="AF27" s="235">
        <v>53.536923786418306</v>
      </c>
      <c r="AG27" s="235">
        <v>32.265405924935322</v>
      </c>
      <c r="AH27" s="235">
        <v>42.013140413759636</v>
      </c>
      <c r="AI27" s="235">
        <v>35.416926120705185</v>
      </c>
      <c r="AJ27" s="235">
        <v>38.959734761356714</v>
      </c>
      <c r="AK27" s="235">
        <v>28.658833597842683</v>
      </c>
      <c r="AL27" s="235">
        <v>37.31538636294885</v>
      </c>
      <c r="AM27" s="235">
        <v>48.473542074696411</v>
      </c>
      <c r="AN27" s="235">
        <v>27.924441480985966</v>
      </c>
      <c r="AO27" s="235">
        <v>38.2703088854323</v>
      </c>
      <c r="AP27" s="235">
        <v>31.637467584369155</v>
      </c>
      <c r="AQ27" s="235">
        <v>35.813676183869681</v>
      </c>
      <c r="AR27" s="235">
        <v>20.061489549838125</v>
      </c>
      <c r="AS27" s="235">
        <v>30.698369370320325</v>
      </c>
      <c r="AT27" s="235">
        <v>31.011729992928231</v>
      </c>
      <c r="AU27" s="235">
        <v>25.006163854602331</v>
      </c>
      <c r="AV27" s="235">
        <v>28.436797525077989</v>
      </c>
      <c r="AW27" s="235">
        <v>25.402195990551995</v>
      </c>
      <c r="AX27" s="235">
        <v>25.423550586387471</v>
      </c>
      <c r="AY27" s="235">
        <v>23.30061342324634</v>
      </c>
      <c r="AZ27" s="235">
        <v>27.483290340579003</v>
      </c>
      <c r="BA27" s="235">
        <v>46.428950971013187</v>
      </c>
      <c r="BB27" s="235">
        <v>29.062059858980465</v>
      </c>
      <c r="BC27" s="235">
        <v>38.119492277571695</v>
      </c>
      <c r="BD27" s="235">
        <v>31.727371912003161</v>
      </c>
      <c r="BE27" s="235">
        <v>35.597318164247184</v>
      </c>
      <c r="BF27" s="235">
        <v>28.920106181036434</v>
      </c>
      <c r="BG27" s="235">
        <v>35.350721172113758</v>
      </c>
      <c r="BH27" s="235">
        <v>53.488098374600455</v>
      </c>
      <c r="BI27" s="235">
        <v>33.788506672535235</v>
      </c>
      <c r="BJ27" s="235">
        <v>43.594790699247021</v>
      </c>
      <c r="BK27" s="235">
        <v>31.598123109286117</v>
      </c>
      <c r="BL27" s="235">
        <v>39.004351171777536</v>
      </c>
      <c r="BM27" s="235">
        <v>30.199449732133203</v>
      </c>
      <c r="BN27" s="235">
        <v>38.819238911160731</v>
      </c>
      <c r="BO27" s="235">
        <v>58.431648566966579</v>
      </c>
      <c r="BP27" s="235">
        <v>33.581908250730315</v>
      </c>
      <c r="BQ27" s="235">
        <v>45.34253734572215</v>
      </c>
      <c r="BR27" s="235">
        <v>33.757649733248748</v>
      </c>
      <c r="BS27" s="235">
        <v>41.703540282380168</v>
      </c>
      <c r="BT27" s="235">
        <v>28.831320865681352</v>
      </c>
      <c r="BU27" s="235">
        <v>39.15532493041335</v>
      </c>
      <c r="BV27" s="235">
        <v>50.862148563006578</v>
      </c>
      <c r="BW27" s="235">
        <v>31.270315503974281</v>
      </c>
      <c r="BX27" s="235">
        <v>41.523894457244722</v>
      </c>
      <c r="BY27" s="235">
        <v>33.926635625213599</v>
      </c>
      <c r="BZ27" s="235">
        <v>38.780925960597067</v>
      </c>
      <c r="CA27" s="235">
        <v>29.85055233288567</v>
      </c>
      <c r="CB27" s="235">
        <v>37.712923438388209</v>
      </c>
      <c r="CC27" s="235">
        <v>52.590670569379689</v>
      </c>
      <c r="CD27" s="235">
        <v>30.795511339899846</v>
      </c>
      <c r="CE27" s="235">
        <v>42.295279133633088</v>
      </c>
      <c r="CF27" s="235">
        <v>32.046558054800542</v>
      </c>
      <c r="CG27" s="235">
        <v>35.835840363972302</v>
      </c>
      <c r="CH27" s="387">
        <v>27.710542009545385</v>
      </c>
      <c r="CI27" s="387">
        <v>35.007928529484346</v>
      </c>
      <c r="CJ27" s="235">
        <v>50.836162294139093</v>
      </c>
      <c r="CK27" s="235">
        <v>33.885028958928309</v>
      </c>
      <c r="CL27" s="235">
        <v>43.110317620949203</v>
      </c>
      <c r="CM27" s="235">
        <v>36.941963847648481</v>
      </c>
      <c r="CN27" s="235">
        <v>38.990539617922103</v>
      </c>
      <c r="CO27" s="235">
        <v>33.062734021464294</v>
      </c>
      <c r="CP27" s="235">
        <v>40</v>
      </c>
      <c r="CQ27" s="235">
        <v>55.036956416843253</v>
      </c>
      <c r="CR27" s="235">
        <v>36.814568422129923</v>
      </c>
      <c r="CS27" s="235">
        <v>46.941038132239562</v>
      </c>
      <c r="CT27" s="235">
        <v>38.875022663726064</v>
      </c>
      <c r="CU27" s="235">
        <v>43.985457805391384</v>
      </c>
      <c r="CV27" s="235">
        <v>32.757700348113943</v>
      </c>
      <c r="CW27" s="235">
        <v>41.840198942190121</v>
      </c>
      <c r="CX27" s="235">
        <v>50.676417782476797</v>
      </c>
      <c r="CY27" s="235">
        <v>37.900904427598988</v>
      </c>
      <c r="CZ27" s="235">
        <v>47.391899331502728</v>
      </c>
      <c r="DA27" s="235">
        <v>49.012321648287966</v>
      </c>
      <c r="DB27" s="235">
        <v>47.732077085091959</v>
      </c>
      <c r="DC27" s="235">
        <v>44</v>
      </c>
      <c r="DD27" s="235">
        <v>48.227955103444692</v>
      </c>
      <c r="DE27" s="235">
        <v>82.428077408440515</v>
      </c>
      <c r="DF27" s="235">
        <v>146.165797164823</v>
      </c>
      <c r="DG27" s="235">
        <v>99.501914818128796</v>
      </c>
      <c r="DH27" s="235">
        <v>41.707423944860452</v>
      </c>
      <c r="DI27" s="235">
        <v>79.018622481958843</v>
      </c>
      <c r="DJ27" s="235">
        <v>38.966093118701174</v>
      </c>
      <c r="DK27" s="235">
        <v>57.559725569778024</v>
      </c>
    </row>
    <row r="28" spans="2:115" s="9" customFormat="1" ht="18" customHeight="1">
      <c r="B28" s="79" t="s">
        <v>1154</v>
      </c>
      <c r="C28" s="79" t="s">
        <v>1153</v>
      </c>
      <c r="D28" s="84" t="s">
        <v>112</v>
      </c>
      <c r="E28" s="84" t="s">
        <v>112</v>
      </c>
      <c r="F28" s="84" t="s">
        <v>112</v>
      </c>
      <c r="G28" s="84" t="s">
        <v>112</v>
      </c>
      <c r="H28" s="84" t="s">
        <v>112</v>
      </c>
      <c r="I28" s="84" t="s">
        <v>112</v>
      </c>
      <c r="J28" s="84" t="s">
        <v>112</v>
      </c>
      <c r="K28" s="84" t="s">
        <v>112</v>
      </c>
      <c r="L28" s="84" t="s">
        <v>112</v>
      </c>
      <c r="M28" s="84" t="s">
        <v>112</v>
      </c>
      <c r="N28" s="84" t="s">
        <v>112</v>
      </c>
      <c r="O28" s="84" t="s">
        <v>112</v>
      </c>
      <c r="P28" s="84" t="s">
        <v>112</v>
      </c>
      <c r="Q28" s="84" t="s">
        <v>112</v>
      </c>
      <c r="R28" s="84" t="s">
        <v>112</v>
      </c>
      <c r="S28" s="84" t="s">
        <v>112</v>
      </c>
      <c r="T28" s="84" t="s">
        <v>112</v>
      </c>
      <c r="U28" s="84" t="s">
        <v>112</v>
      </c>
      <c r="V28" s="84" t="s">
        <v>112</v>
      </c>
      <c r="W28" s="84" t="s">
        <v>112</v>
      </c>
      <c r="X28" s="84" t="s">
        <v>112</v>
      </c>
      <c r="Y28" s="84" t="s">
        <v>112</v>
      </c>
      <c r="Z28" s="84" t="s">
        <v>112</v>
      </c>
      <c r="AA28" s="84" t="s">
        <v>112</v>
      </c>
      <c r="AB28" s="84" t="s">
        <v>112</v>
      </c>
      <c r="AC28" s="84" t="s">
        <v>112</v>
      </c>
      <c r="AD28" s="84" t="s">
        <v>112</v>
      </c>
      <c r="AE28" s="84" t="s">
        <v>112</v>
      </c>
      <c r="AF28" s="235">
        <v>41.813168491049559</v>
      </c>
      <c r="AG28" s="235">
        <v>48.795738011682928</v>
      </c>
      <c r="AH28" s="235">
        <v>46.416135366468062</v>
      </c>
      <c r="AI28" s="235">
        <v>58.786891438812425</v>
      </c>
      <c r="AJ28" s="235">
        <v>50.932969446766073</v>
      </c>
      <c r="AK28" s="235">
        <v>57.327966083430546</v>
      </c>
      <c r="AL28" s="235">
        <v>53.462207519622083</v>
      </c>
      <c r="AM28" s="235">
        <v>64.031116788043448</v>
      </c>
      <c r="AN28" s="235">
        <v>61.996475370341322</v>
      </c>
      <c r="AO28" s="235">
        <v>65.418821871844116</v>
      </c>
      <c r="AP28" s="235">
        <v>62.667819439533503</v>
      </c>
      <c r="AQ28" s="235">
        <v>63.712827975162625</v>
      </c>
      <c r="AR28" s="235">
        <v>55.595100336916722</v>
      </c>
      <c r="AS28" s="235">
        <v>62.080887862707051</v>
      </c>
      <c r="AT28" s="235">
        <v>59.662340778356331</v>
      </c>
      <c r="AU28" s="235">
        <v>66.965759280926605</v>
      </c>
      <c r="AV28" s="235">
        <v>64.149652410145052</v>
      </c>
      <c r="AW28" s="235">
        <v>57.553457191412583</v>
      </c>
      <c r="AX28" s="235">
        <v>61.95656022203061</v>
      </c>
      <c r="AY28" s="235">
        <v>55.570693796882288</v>
      </c>
      <c r="AZ28" s="235">
        <v>60.954682322105107</v>
      </c>
      <c r="BA28" s="235">
        <v>81.59493050961558</v>
      </c>
      <c r="BB28" s="235">
        <v>83.600820377588278</v>
      </c>
      <c r="BC28" s="235">
        <v>84.185743124794627</v>
      </c>
      <c r="BD28" s="235">
        <v>81.399604227850546</v>
      </c>
      <c r="BE28" s="235">
        <v>82.467461778512501</v>
      </c>
      <c r="BF28" s="235">
        <v>77.041673788210574</v>
      </c>
      <c r="BG28" s="235">
        <v>80.650331741452135</v>
      </c>
      <c r="BH28" s="235">
        <v>83.376442618483182</v>
      </c>
      <c r="BI28" s="235">
        <v>85.262721534115016</v>
      </c>
      <c r="BJ28" s="235">
        <v>86.669329170348917</v>
      </c>
      <c r="BK28" s="235">
        <v>78.058535937208035</v>
      </c>
      <c r="BL28" s="235">
        <v>81.420210988939672</v>
      </c>
      <c r="BM28" s="235">
        <v>69.449034378873932</v>
      </c>
      <c r="BN28" s="235">
        <v>78.95515230632563</v>
      </c>
      <c r="BO28" s="235">
        <v>76.73691297741793</v>
      </c>
      <c r="BP28" s="235">
        <v>68.323732482309779</v>
      </c>
      <c r="BQ28" s="235">
        <v>73.400302413052643</v>
      </c>
      <c r="BR28" s="235">
        <v>58.020543472242387</v>
      </c>
      <c r="BS28" s="235">
        <v>67.902363316975027</v>
      </c>
      <c r="BT28" s="235">
        <v>57.872837605345154</v>
      </c>
      <c r="BU28" s="235">
        <v>65.64289597104009</v>
      </c>
      <c r="BV28" s="235">
        <v>65.102467878828463</v>
      </c>
      <c r="BW28" s="235">
        <v>56.709281806979952</v>
      </c>
      <c r="BX28" s="235">
        <v>63.67745583736405</v>
      </c>
      <c r="BY28" s="235">
        <v>58.067262044168615</v>
      </c>
      <c r="BZ28" s="235">
        <v>61.926049749444743</v>
      </c>
      <c r="CA28" s="235">
        <v>60.773030998131254</v>
      </c>
      <c r="CB28" s="235">
        <v>61.667377332670846</v>
      </c>
      <c r="CC28" s="235">
        <v>66.368063375250912</v>
      </c>
      <c r="CD28" s="235">
        <v>54.05879596449639</v>
      </c>
      <c r="CE28" s="235">
        <v>63.478831637430901</v>
      </c>
      <c r="CF28" s="235">
        <v>63.525701357015819</v>
      </c>
      <c r="CG28" s="235">
        <v>62.948492739385571</v>
      </c>
      <c r="CH28" s="387">
        <v>56.411283585082209</v>
      </c>
      <c r="CI28" s="387">
        <v>61.562077557948278</v>
      </c>
      <c r="CJ28" s="235">
        <v>62.949167253375592</v>
      </c>
      <c r="CK28" s="235">
        <v>59.092237139605864</v>
      </c>
      <c r="CL28" s="235">
        <v>63.618229689246348</v>
      </c>
      <c r="CM28" s="235">
        <v>60.216859511271771</v>
      </c>
      <c r="CN28" s="235">
        <v>63.70062406836869</v>
      </c>
      <c r="CO28" s="235">
        <v>61</v>
      </c>
      <c r="CP28" s="235">
        <v>64</v>
      </c>
      <c r="CQ28" s="235">
        <v>67.617447258542725</v>
      </c>
      <c r="CR28" s="235">
        <v>63.43782598045933</v>
      </c>
      <c r="CS28" s="235">
        <v>68.573135816863285</v>
      </c>
      <c r="CT28" s="235">
        <v>60.734070478362064</v>
      </c>
      <c r="CU28" s="235">
        <v>66.542771791180428</v>
      </c>
      <c r="CV28" s="235">
        <v>63.412984820756613</v>
      </c>
      <c r="CW28" s="235">
        <v>66</v>
      </c>
      <c r="CX28" s="235">
        <v>65.554570876086004</v>
      </c>
      <c r="CY28" s="235">
        <v>63.905636530954546</v>
      </c>
      <c r="CZ28" s="235">
        <v>67.609329529559957</v>
      </c>
      <c r="DA28" s="235">
        <v>57.760808863811683</v>
      </c>
      <c r="DB28" s="235">
        <v>64.873145028201492</v>
      </c>
      <c r="DC28" s="235">
        <v>62</v>
      </c>
      <c r="DD28" s="235">
        <v>65</v>
      </c>
      <c r="DE28" s="235">
        <v>68.388642118497899</v>
      </c>
      <c r="DF28" s="235">
        <v>106.45403691587254</v>
      </c>
      <c r="DG28" s="235">
        <v>80.271429836629196</v>
      </c>
      <c r="DH28" s="235">
        <v>63.044889905783037</v>
      </c>
      <c r="DI28" s="235">
        <v>78.234585902971773</v>
      </c>
      <c r="DJ28" s="235">
        <v>63.091918685452256</v>
      </c>
      <c r="DK28" s="235">
        <v>73.071483485590548</v>
      </c>
    </row>
    <row r="29" spans="2:115" ht="6.75" customHeight="1">
      <c r="AU29" s="208"/>
      <c r="AW29" s="208"/>
      <c r="AY29" s="208"/>
      <c r="BA29" s="208"/>
      <c r="BB29" s="208"/>
      <c r="BD29" s="208"/>
      <c r="BF29" s="208"/>
      <c r="BH29" s="208"/>
      <c r="BI29" s="208"/>
      <c r="BK29" s="208"/>
      <c r="BM29" s="208"/>
      <c r="BO29" s="208"/>
      <c r="BP29" s="208"/>
      <c r="BR29" s="208"/>
      <c r="BT29" s="208"/>
      <c r="BV29" s="208"/>
      <c r="BW29" s="208"/>
      <c r="BY29" s="208"/>
      <c r="CA29" s="208"/>
    </row>
    <row r="30" spans="2:115" ht="18" customHeight="1">
      <c r="B30" s="78" t="s">
        <v>415</v>
      </c>
      <c r="C30" s="78" t="s">
        <v>415</v>
      </c>
      <c r="D30" s="44" t="str">
        <f t="shared" ref="D30:AI30" si="51">+D$3</f>
        <v>1TQ05</v>
      </c>
      <c r="E30" s="44" t="str">
        <f t="shared" si="51"/>
        <v>2TQ05</v>
      </c>
      <c r="F30" s="44" t="str">
        <f t="shared" si="51"/>
        <v>6M05</v>
      </c>
      <c r="G30" s="44" t="str">
        <f t="shared" si="51"/>
        <v>3TQ05</v>
      </c>
      <c r="H30" s="44" t="str">
        <f t="shared" si="51"/>
        <v>9M05</v>
      </c>
      <c r="I30" s="44" t="str">
        <f t="shared" si="51"/>
        <v>4TQ05</v>
      </c>
      <c r="J30" s="44">
        <f t="shared" si="51"/>
        <v>2005</v>
      </c>
      <c r="K30" s="44" t="str">
        <f t="shared" si="51"/>
        <v>1TQ06</v>
      </c>
      <c r="L30" s="44" t="str">
        <f t="shared" si="51"/>
        <v>2TQ06</v>
      </c>
      <c r="M30" s="44" t="str">
        <f t="shared" si="51"/>
        <v>6M06</v>
      </c>
      <c r="N30" s="44" t="str">
        <f t="shared" si="51"/>
        <v>3TQ06</v>
      </c>
      <c r="O30" s="44" t="str">
        <f t="shared" si="51"/>
        <v>9M06</v>
      </c>
      <c r="P30" s="44" t="str">
        <f t="shared" si="51"/>
        <v>4TQ06</v>
      </c>
      <c r="Q30" s="44">
        <f t="shared" si="51"/>
        <v>2006</v>
      </c>
      <c r="R30" s="44" t="str">
        <f t="shared" si="51"/>
        <v>1TQ07</v>
      </c>
      <c r="S30" s="44" t="str">
        <f t="shared" si="51"/>
        <v>2TQ07</v>
      </c>
      <c r="T30" s="44" t="str">
        <f t="shared" si="51"/>
        <v>6M07</v>
      </c>
      <c r="U30" s="44" t="str">
        <f t="shared" si="51"/>
        <v>3TQ07</v>
      </c>
      <c r="V30" s="44" t="str">
        <f t="shared" si="51"/>
        <v>9M07</v>
      </c>
      <c r="W30" s="44" t="str">
        <f t="shared" si="51"/>
        <v>4TQ07</v>
      </c>
      <c r="X30" s="44">
        <f t="shared" si="51"/>
        <v>2007</v>
      </c>
      <c r="Y30" s="44" t="str">
        <f t="shared" si="51"/>
        <v>1TQ08</v>
      </c>
      <c r="Z30" s="44" t="str">
        <f t="shared" si="51"/>
        <v>2TQ08</v>
      </c>
      <c r="AA30" s="44" t="str">
        <f t="shared" si="51"/>
        <v>6M08</v>
      </c>
      <c r="AB30" s="44" t="str">
        <f t="shared" si="51"/>
        <v>3TQ08</v>
      </c>
      <c r="AC30" s="44" t="str">
        <f t="shared" si="51"/>
        <v>9M08</v>
      </c>
      <c r="AD30" s="44" t="str">
        <f t="shared" si="51"/>
        <v>4TQ08</v>
      </c>
      <c r="AE30" s="44">
        <f t="shared" si="51"/>
        <v>2008</v>
      </c>
      <c r="AF30" s="44" t="str">
        <f t="shared" si="51"/>
        <v>1TQ09</v>
      </c>
      <c r="AG30" s="44" t="str">
        <f t="shared" si="51"/>
        <v>2TQ09</v>
      </c>
      <c r="AH30" s="44" t="str">
        <f t="shared" si="51"/>
        <v>6M09</v>
      </c>
      <c r="AI30" s="44" t="str">
        <f t="shared" si="51"/>
        <v>3TQ09</v>
      </c>
      <c r="AJ30" s="44" t="str">
        <f t="shared" ref="AJ30:BO30" si="52">+AJ$3</f>
        <v>9M09</v>
      </c>
      <c r="AK30" s="44" t="str">
        <f t="shared" si="52"/>
        <v>4TQ09</v>
      </c>
      <c r="AL30" s="44">
        <f t="shared" si="52"/>
        <v>2009</v>
      </c>
      <c r="AM30" s="44" t="str">
        <f t="shared" si="52"/>
        <v>1TQ10</v>
      </c>
      <c r="AN30" s="44" t="str">
        <f t="shared" si="52"/>
        <v>2TQ10</v>
      </c>
      <c r="AO30" s="44" t="str">
        <f t="shared" si="52"/>
        <v>6M10</v>
      </c>
      <c r="AP30" s="44" t="str">
        <f t="shared" si="52"/>
        <v>3TQ10</v>
      </c>
      <c r="AQ30" s="44" t="str">
        <f t="shared" si="52"/>
        <v>9M10</v>
      </c>
      <c r="AR30" s="44" t="str">
        <f t="shared" si="52"/>
        <v>4TQ10</v>
      </c>
      <c r="AS30" s="44">
        <f t="shared" si="52"/>
        <v>2010</v>
      </c>
      <c r="AT30" s="44" t="str">
        <f t="shared" si="52"/>
        <v>1TQ11</v>
      </c>
      <c r="AU30" s="44" t="str">
        <f t="shared" si="52"/>
        <v>2TQ11</v>
      </c>
      <c r="AV30" s="44" t="str">
        <f t="shared" si="52"/>
        <v>6M11</v>
      </c>
      <c r="AW30" s="44" t="str">
        <f t="shared" si="52"/>
        <v>3TQ11</v>
      </c>
      <c r="AX30" s="44" t="str">
        <f t="shared" si="52"/>
        <v>9M11</v>
      </c>
      <c r="AY30" s="44" t="str">
        <f t="shared" si="52"/>
        <v>4TQ11</v>
      </c>
      <c r="AZ30" s="44">
        <f t="shared" si="52"/>
        <v>2011</v>
      </c>
      <c r="BA30" s="44" t="str">
        <f t="shared" si="52"/>
        <v>1QT12</v>
      </c>
      <c r="BB30" s="44" t="str">
        <f t="shared" si="52"/>
        <v>2TQ12</v>
      </c>
      <c r="BC30" s="44" t="str">
        <f t="shared" si="52"/>
        <v>6M12</v>
      </c>
      <c r="BD30" s="44" t="str">
        <f t="shared" si="52"/>
        <v>3TQ12</v>
      </c>
      <c r="BE30" s="44" t="str">
        <f t="shared" si="52"/>
        <v>9M12</v>
      </c>
      <c r="BF30" s="44" t="str">
        <f t="shared" si="52"/>
        <v>4TQ12</v>
      </c>
      <c r="BG30" s="44">
        <f t="shared" si="52"/>
        <v>2012</v>
      </c>
      <c r="BH30" s="44" t="str">
        <f t="shared" si="52"/>
        <v>1TQ13</v>
      </c>
      <c r="BI30" s="44" t="str">
        <f t="shared" si="52"/>
        <v>2TQ13</v>
      </c>
      <c r="BJ30" s="44" t="str">
        <f t="shared" si="52"/>
        <v>6M13</v>
      </c>
      <c r="BK30" s="44" t="str">
        <f t="shared" si="52"/>
        <v>3TQ13</v>
      </c>
      <c r="BL30" s="44" t="str">
        <f t="shared" si="52"/>
        <v>9M13</v>
      </c>
      <c r="BM30" s="44" t="str">
        <f t="shared" si="52"/>
        <v>4TQ13</v>
      </c>
      <c r="BN30" s="44">
        <f t="shared" si="52"/>
        <v>2013</v>
      </c>
      <c r="BO30" s="44" t="str">
        <f t="shared" si="52"/>
        <v>1TQ14</v>
      </c>
      <c r="BP30" s="44" t="str">
        <f t="shared" ref="BP30:CS30" si="53">+BP$3</f>
        <v>2TQ14</v>
      </c>
      <c r="BQ30" s="44" t="str">
        <f t="shared" si="53"/>
        <v>6M14</v>
      </c>
      <c r="BR30" s="44" t="str">
        <f t="shared" si="53"/>
        <v>3TQ14</v>
      </c>
      <c r="BS30" s="44" t="str">
        <f t="shared" si="53"/>
        <v>9M14</v>
      </c>
      <c r="BT30" s="44" t="str">
        <f t="shared" si="53"/>
        <v>4TQ14</v>
      </c>
      <c r="BU30" s="44">
        <f t="shared" si="53"/>
        <v>2014</v>
      </c>
      <c r="BV30" s="44" t="str">
        <f t="shared" si="53"/>
        <v>1TQ15</v>
      </c>
      <c r="BW30" s="44" t="str">
        <f t="shared" si="53"/>
        <v>2TQ15</v>
      </c>
      <c r="BX30" s="44" t="str">
        <f t="shared" si="53"/>
        <v>6M15</v>
      </c>
      <c r="BY30" s="44" t="str">
        <f t="shared" si="53"/>
        <v>3TQ15</v>
      </c>
      <c r="BZ30" s="44" t="str">
        <f t="shared" si="53"/>
        <v>9M15</v>
      </c>
      <c r="CA30" s="44" t="str">
        <f t="shared" si="53"/>
        <v>4TQ15</v>
      </c>
      <c r="CB30" s="44">
        <f t="shared" si="53"/>
        <v>2015</v>
      </c>
      <c r="CC30" s="44" t="str">
        <f t="shared" si="53"/>
        <v>1TQ16</v>
      </c>
      <c r="CD30" s="44" t="str">
        <f t="shared" si="53"/>
        <v>2TQ16</v>
      </c>
      <c r="CE30" s="44" t="str">
        <f t="shared" si="53"/>
        <v>6M16</v>
      </c>
      <c r="CF30" s="44" t="str">
        <f t="shared" si="53"/>
        <v>3TQ16</v>
      </c>
      <c r="CG30" s="44" t="str">
        <f t="shared" si="53"/>
        <v>9M16</v>
      </c>
      <c r="CH30" s="44" t="str">
        <f t="shared" si="53"/>
        <v>4TQ16</v>
      </c>
      <c r="CI30" s="44">
        <f t="shared" si="53"/>
        <v>2016</v>
      </c>
      <c r="CJ30" s="44" t="str">
        <f t="shared" si="53"/>
        <v>1TQ17</v>
      </c>
      <c r="CK30" s="44" t="str">
        <f t="shared" si="53"/>
        <v>2TQ17</v>
      </c>
      <c r="CL30" s="44" t="str">
        <f t="shared" si="53"/>
        <v>6M17</v>
      </c>
      <c r="CM30" s="44" t="str">
        <f t="shared" si="53"/>
        <v>3TQ17</v>
      </c>
      <c r="CN30" s="44" t="str">
        <f t="shared" si="53"/>
        <v>9M17</v>
      </c>
      <c r="CO30" s="44" t="str">
        <f t="shared" si="53"/>
        <v>4TQ17</v>
      </c>
      <c r="CP30" s="44">
        <f t="shared" si="53"/>
        <v>2017</v>
      </c>
      <c r="CQ30" s="44" t="str">
        <f t="shared" si="53"/>
        <v>1TQ18</v>
      </c>
      <c r="CR30" s="413" t="str">
        <f t="shared" si="53"/>
        <v>2TQ18</v>
      </c>
      <c r="CS30" s="413" t="str">
        <f t="shared" si="53"/>
        <v>6M18</v>
      </c>
      <c r="CT30" s="412" t="s">
        <v>1279</v>
      </c>
      <c r="CU30" s="412" t="s">
        <v>1314</v>
      </c>
      <c r="CV30" s="412" t="s">
        <v>1307</v>
      </c>
      <c r="CW30" s="412">
        <v>2018</v>
      </c>
      <c r="CX30" s="412" t="s">
        <v>1358</v>
      </c>
      <c r="CY30" s="412" t="s">
        <v>1362</v>
      </c>
      <c r="CZ30" s="413" t="str">
        <f t="shared" ref="CZ30:DK30" si="54">+CZ$3</f>
        <v>6M19</v>
      </c>
      <c r="DA30" s="44" t="str">
        <f t="shared" si="54"/>
        <v>3TQ19</v>
      </c>
      <c r="DB30" s="44" t="str">
        <f t="shared" si="54"/>
        <v>9M19</v>
      </c>
      <c r="DC30" s="44" t="str">
        <f t="shared" si="54"/>
        <v>4TQ19</v>
      </c>
      <c r="DD30" s="44">
        <f t="shared" si="54"/>
        <v>2019</v>
      </c>
      <c r="DE30" s="44" t="str">
        <f t="shared" si="54"/>
        <v>1TQ20</v>
      </c>
      <c r="DF30" s="412" t="str">
        <f>DF3</f>
        <v>2Q20</v>
      </c>
      <c r="DG30" s="413" t="str">
        <f t="shared" si="54"/>
        <v>6M20</v>
      </c>
      <c r="DH30" s="412" t="str">
        <f>DH3</f>
        <v>3Q20</v>
      </c>
      <c r="DI30" s="413" t="str">
        <f t="shared" si="54"/>
        <v>9M20</v>
      </c>
      <c r="DJ30" s="412" t="str">
        <f>DJ3</f>
        <v>4Q20</v>
      </c>
      <c r="DK30" s="413">
        <f t="shared" si="54"/>
        <v>2020</v>
      </c>
    </row>
    <row r="31" spans="2:115" s="416" customFormat="1" ht="18" customHeight="1">
      <c r="B31" s="564" t="s">
        <v>338</v>
      </c>
      <c r="C31" s="567" t="s">
        <v>377</v>
      </c>
      <c r="D31" s="568">
        <v>62</v>
      </c>
      <c r="E31" s="568">
        <v>64</v>
      </c>
      <c r="F31" s="568">
        <v>64</v>
      </c>
      <c r="G31" s="568">
        <v>64</v>
      </c>
      <c r="H31" s="568">
        <v>64</v>
      </c>
      <c r="I31" s="568">
        <v>66</v>
      </c>
      <c r="J31" s="568">
        <v>66</v>
      </c>
      <c r="K31" s="568">
        <v>68</v>
      </c>
      <c r="L31" s="568">
        <v>72</v>
      </c>
      <c r="M31" s="568">
        <v>72</v>
      </c>
      <c r="N31" s="568">
        <v>75</v>
      </c>
      <c r="O31" s="568">
        <v>75</v>
      </c>
      <c r="P31" s="568">
        <v>81</v>
      </c>
      <c r="Q31" s="568">
        <v>81</v>
      </c>
      <c r="R31" s="568">
        <v>81</v>
      </c>
      <c r="S31" s="568">
        <v>87</v>
      </c>
      <c r="T31" s="568">
        <v>87</v>
      </c>
      <c r="U31" s="568">
        <v>88</v>
      </c>
      <c r="V31" s="568">
        <v>88</v>
      </c>
      <c r="W31" s="568">
        <v>95</v>
      </c>
      <c r="X31" s="568">
        <v>95</v>
      </c>
      <c r="Y31" s="568">
        <v>96</v>
      </c>
      <c r="Z31" s="568">
        <v>101</v>
      </c>
      <c r="AA31" s="568">
        <v>101</v>
      </c>
      <c r="AB31" s="568">
        <v>103</v>
      </c>
      <c r="AC31" s="568">
        <v>103</v>
      </c>
      <c r="AD31" s="568">
        <v>110</v>
      </c>
      <c r="AE31" s="568">
        <v>110</v>
      </c>
      <c r="AF31" s="568">
        <v>110</v>
      </c>
      <c r="AG31" s="568">
        <v>115</v>
      </c>
      <c r="AH31" s="568">
        <v>115</v>
      </c>
      <c r="AI31" s="568">
        <v>116</v>
      </c>
      <c r="AJ31" s="568">
        <v>116</v>
      </c>
      <c r="AK31" s="568">
        <v>120</v>
      </c>
      <c r="AL31" s="568">
        <v>120</v>
      </c>
      <c r="AM31" s="568">
        <v>121</v>
      </c>
      <c r="AN31" s="568">
        <v>125</v>
      </c>
      <c r="AO31" s="568">
        <v>125</v>
      </c>
      <c r="AP31" s="568">
        <v>126</v>
      </c>
      <c r="AQ31" s="568">
        <v>126</v>
      </c>
      <c r="AR31" s="568">
        <v>134</v>
      </c>
      <c r="AS31" s="568">
        <v>134</v>
      </c>
      <c r="AT31" s="568">
        <v>135</v>
      </c>
      <c r="AU31" s="568">
        <v>144</v>
      </c>
      <c r="AV31" s="568">
        <v>144</v>
      </c>
      <c r="AW31" s="568">
        <v>146</v>
      </c>
      <c r="AX31" s="568">
        <v>146</v>
      </c>
      <c r="AY31" s="568">
        <v>167</v>
      </c>
      <c r="AZ31" s="568">
        <v>167</v>
      </c>
      <c r="BA31" s="568">
        <v>169</v>
      </c>
      <c r="BB31" s="568">
        <v>174</v>
      </c>
      <c r="BC31" s="568">
        <v>174</v>
      </c>
      <c r="BD31" s="568">
        <v>176</v>
      </c>
      <c r="BE31" s="568">
        <v>176</v>
      </c>
      <c r="BF31" s="568">
        <v>192</v>
      </c>
      <c r="BG31" s="568">
        <v>192</v>
      </c>
      <c r="BH31" s="568">
        <v>193</v>
      </c>
      <c r="BI31" s="568">
        <v>202</v>
      </c>
      <c r="BJ31" s="568">
        <v>202</v>
      </c>
      <c r="BK31" s="568">
        <v>209</v>
      </c>
      <c r="BL31" s="568">
        <v>209</v>
      </c>
      <c r="BM31" s="568">
        <v>217</v>
      </c>
      <c r="BN31" s="568">
        <v>217</v>
      </c>
      <c r="BO31" s="568">
        <v>218</v>
      </c>
      <c r="BP31" s="568">
        <v>228</v>
      </c>
      <c r="BQ31" s="568">
        <v>228</v>
      </c>
      <c r="BR31" s="568">
        <v>232</v>
      </c>
      <c r="BS31" s="568">
        <f>BR31</f>
        <v>232</v>
      </c>
      <c r="BT31" s="568">
        <v>248</v>
      </c>
      <c r="BU31" s="568">
        <v>248</v>
      </c>
      <c r="BV31" s="568">
        <v>249</v>
      </c>
      <c r="BW31" s="568">
        <v>259</v>
      </c>
      <c r="BX31" s="568">
        <f>BW31</f>
        <v>259</v>
      </c>
      <c r="BY31" s="568">
        <v>264</v>
      </c>
      <c r="BZ31" s="568">
        <f>BY31</f>
        <v>264</v>
      </c>
      <c r="CA31" s="568">
        <v>275</v>
      </c>
      <c r="CB31" s="568">
        <f>CA31</f>
        <v>275</v>
      </c>
      <c r="CC31" s="568">
        <v>277</v>
      </c>
      <c r="CD31" s="568">
        <v>284</v>
      </c>
      <c r="CE31" s="568">
        <f>CD31</f>
        <v>284</v>
      </c>
      <c r="CF31" s="568">
        <v>290</v>
      </c>
      <c r="CG31" s="568">
        <f>CF31</f>
        <v>290</v>
      </c>
      <c r="CH31" s="568">
        <v>300</v>
      </c>
      <c r="CI31" s="568">
        <f>CH31</f>
        <v>300</v>
      </c>
      <c r="CJ31" s="568">
        <v>303</v>
      </c>
      <c r="CK31" s="568">
        <v>310</v>
      </c>
      <c r="CL31" s="568">
        <f>CK31</f>
        <v>310</v>
      </c>
      <c r="CM31" s="568">
        <v>318</v>
      </c>
      <c r="CN31" s="568">
        <f>CM31</f>
        <v>318</v>
      </c>
      <c r="CO31" s="568">
        <v>330</v>
      </c>
      <c r="CP31" s="568">
        <f>CO31</f>
        <v>330</v>
      </c>
      <c r="CQ31" s="568">
        <v>326</v>
      </c>
      <c r="CR31" s="568">
        <v>334</v>
      </c>
      <c r="CS31" s="568">
        <f>CR31</f>
        <v>334</v>
      </c>
      <c r="CT31" s="568">
        <v>340</v>
      </c>
      <c r="CU31" s="568">
        <f>CT31</f>
        <v>340</v>
      </c>
      <c r="CV31" s="568">
        <v>354</v>
      </c>
      <c r="CW31" s="568">
        <f>CV31</f>
        <v>354</v>
      </c>
      <c r="CX31" s="568">
        <v>354</v>
      </c>
      <c r="CY31" s="568">
        <v>360</v>
      </c>
      <c r="CZ31" s="568">
        <f>CY31</f>
        <v>360</v>
      </c>
      <c r="DA31" s="568">
        <v>368</v>
      </c>
      <c r="DB31" s="568">
        <f>DA31</f>
        <v>368</v>
      </c>
      <c r="DC31" s="568">
        <v>388</v>
      </c>
      <c r="DD31" s="568">
        <f>DC31</f>
        <v>388</v>
      </c>
      <c r="DE31" s="568">
        <v>387</v>
      </c>
      <c r="DF31" s="568">
        <f>DE31</f>
        <v>387</v>
      </c>
      <c r="DG31" s="568">
        <f>DF31</f>
        <v>387</v>
      </c>
      <c r="DH31" s="594">
        <v>392</v>
      </c>
      <c r="DI31" s="568">
        <f>DH31</f>
        <v>392</v>
      </c>
      <c r="DJ31" s="594">
        <v>393</v>
      </c>
      <c r="DK31" s="568">
        <f>DJ31</f>
        <v>393</v>
      </c>
    </row>
    <row r="32" spans="2:115" s="9" customFormat="1" ht="18" customHeight="1">
      <c r="B32" s="79" t="s">
        <v>1187</v>
      </c>
      <c r="C32" s="231" t="s">
        <v>1149</v>
      </c>
      <c r="D32" s="80">
        <v>0</v>
      </c>
      <c r="E32" s="80">
        <v>2</v>
      </c>
      <c r="F32" s="80">
        <v>2</v>
      </c>
      <c r="G32" s="80">
        <v>0</v>
      </c>
      <c r="H32" s="80">
        <v>2</v>
      </c>
      <c r="I32" s="80">
        <v>2</v>
      </c>
      <c r="J32" s="80">
        <v>4</v>
      </c>
      <c r="K32" s="80">
        <f>+K31-J31</f>
        <v>2</v>
      </c>
      <c r="L32" s="80">
        <f>+L31-K31</f>
        <v>4</v>
      </c>
      <c r="M32" s="80">
        <f>+M31-J31</f>
        <v>6</v>
      </c>
      <c r="N32" s="80">
        <f>+N31-M31</f>
        <v>3</v>
      </c>
      <c r="O32" s="80">
        <f>+O31-J31</f>
        <v>9</v>
      </c>
      <c r="P32" s="80">
        <f>+P31-O31</f>
        <v>6</v>
      </c>
      <c r="Q32" s="80">
        <f>+Q31-J31</f>
        <v>15</v>
      </c>
      <c r="R32" s="80">
        <f>+R31-Q31</f>
        <v>0</v>
      </c>
      <c r="S32" s="80">
        <f>+S31-R31</f>
        <v>6</v>
      </c>
      <c r="T32" s="80">
        <f>+T31-Q31</f>
        <v>6</v>
      </c>
      <c r="U32" s="80">
        <f>+U31-T31</f>
        <v>1</v>
      </c>
      <c r="V32" s="80">
        <f>+V31-Q31</f>
        <v>7</v>
      </c>
      <c r="W32" s="80">
        <f>+W31-V31</f>
        <v>7</v>
      </c>
      <c r="X32" s="80">
        <f>+X31-Q31</f>
        <v>14</v>
      </c>
      <c r="Y32" s="80">
        <f>+Y31-X31</f>
        <v>1</v>
      </c>
      <c r="Z32" s="80">
        <f>+Z31-Y31</f>
        <v>5</v>
      </c>
      <c r="AA32" s="80">
        <f>+AA31-X31</f>
        <v>6</v>
      </c>
      <c r="AB32" s="80">
        <f>+AB31-AA31</f>
        <v>2</v>
      </c>
      <c r="AC32" s="80">
        <f>+AC31-X31</f>
        <v>8</v>
      </c>
      <c r="AD32" s="80">
        <f>+AD31-AC31</f>
        <v>7</v>
      </c>
      <c r="AE32" s="80">
        <f>+AE31-X31</f>
        <v>15</v>
      </c>
      <c r="AF32" s="80">
        <f>+AF31-AE31</f>
        <v>0</v>
      </c>
      <c r="AG32" s="80">
        <f>+AG31-AF31</f>
        <v>5</v>
      </c>
      <c r="AH32" s="80">
        <f>+AH31-AE31</f>
        <v>5</v>
      </c>
      <c r="AI32" s="80">
        <f>+AI31-AH31</f>
        <v>1</v>
      </c>
      <c r="AJ32" s="80">
        <f>+AJ31-AE31</f>
        <v>6</v>
      </c>
      <c r="AK32" s="80">
        <f>+AK31-AJ31</f>
        <v>4</v>
      </c>
      <c r="AL32" s="80">
        <f>+AL31-AE31</f>
        <v>10</v>
      </c>
      <c r="AM32" s="80">
        <f>+AM31-AL31</f>
        <v>1</v>
      </c>
      <c r="AN32" s="80">
        <f>+AN31-AM31</f>
        <v>4</v>
      </c>
      <c r="AO32" s="80">
        <f>+AO31-AL31</f>
        <v>5</v>
      </c>
      <c r="AP32" s="80">
        <f>+AP31-AO31</f>
        <v>1</v>
      </c>
      <c r="AQ32" s="80">
        <f>+AQ31-AL31</f>
        <v>6</v>
      </c>
      <c r="AR32" s="80">
        <f>+AR31-AQ31</f>
        <v>8</v>
      </c>
      <c r="AS32" s="80">
        <f>+AS31-AL31</f>
        <v>14</v>
      </c>
      <c r="AT32" s="80">
        <f>+AT31-AS31</f>
        <v>1</v>
      </c>
      <c r="AU32" s="80">
        <f>+AU31-AT31</f>
        <v>9</v>
      </c>
      <c r="AV32" s="80">
        <f>+AV31-AS31</f>
        <v>10</v>
      </c>
      <c r="AW32" s="80">
        <f>+AW31-AV31</f>
        <v>2</v>
      </c>
      <c r="AX32" s="80">
        <f>+AX31-AS31</f>
        <v>12</v>
      </c>
      <c r="AY32" s="80">
        <f>+AY31-AX31</f>
        <v>21</v>
      </c>
      <c r="AZ32" s="80">
        <f>+AZ31-AS31</f>
        <v>33</v>
      </c>
      <c r="BA32" s="80">
        <f>+BA31-AZ31</f>
        <v>2</v>
      </c>
      <c r="BB32" s="80">
        <f>+BB31-BA31</f>
        <v>5</v>
      </c>
      <c r="BC32" s="80">
        <f>+BC31-AZ31</f>
        <v>7</v>
      </c>
      <c r="BD32" s="80">
        <f>+BD31-BC31</f>
        <v>2</v>
      </c>
      <c r="BE32" s="80">
        <f>+BE31-AZ31</f>
        <v>9</v>
      </c>
      <c r="BF32" s="80">
        <f>+BF31-BE31</f>
        <v>16</v>
      </c>
      <c r="BG32" s="80">
        <f>+BG31-AZ31</f>
        <v>25</v>
      </c>
      <c r="BH32" s="80">
        <f>+BH31-BG31</f>
        <v>1</v>
      </c>
      <c r="BI32" s="80">
        <f>+BI31-BH31</f>
        <v>9</v>
      </c>
      <c r="BJ32" s="80">
        <f>+BJ31-BG31</f>
        <v>10</v>
      </c>
      <c r="BK32" s="80">
        <f>+BK31-BJ31</f>
        <v>7</v>
      </c>
      <c r="BL32" s="80">
        <f>+BL31-BG31</f>
        <v>17</v>
      </c>
      <c r="BM32" s="80">
        <f>+BM31-BL31</f>
        <v>8</v>
      </c>
      <c r="BN32" s="80">
        <f>+BN31-BG31</f>
        <v>25</v>
      </c>
      <c r="BO32" s="80">
        <f>+BO31-BN31</f>
        <v>1</v>
      </c>
      <c r="BP32" s="80">
        <f>+BP31-BO31</f>
        <v>10</v>
      </c>
      <c r="BQ32" s="80">
        <f>+BQ31-BN31</f>
        <v>11</v>
      </c>
      <c r="BR32" s="80">
        <f>+BR31-BQ31</f>
        <v>4</v>
      </c>
      <c r="BS32" s="80">
        <f>+BS31-BN31</f>
        <v>15</v>
      </c>
      <c r="BT32" s="80">
        <f>+BT31-BS31</f>
        <v>16</v>
      </c>
      <c r="BU32" s="80">
        <f>+BU31-BN31</f>
        <v>31</v>
      </c>
      <c r="BV32" s="80">
        <f>+BV31-BU31</f>
        <v>1</v>
      </c>
      <c r="BW32" s="80">
        <f>+BW31-BV31</f>
        <v>10</v>
      </c>
      <c r="BX32" s="80">
        <f>+BX31-BU31</f>
        <v>11</v>
      </c>
      <c r="BY32" s="80">
        <f>+BY31-BX31</f>
        <v>5</v>
      </c>
      <c r="BZ32" s="80">
        <f>+BZ31-BU31</f>
        <v>16</v>
      </c>
      <c r="CA32" s="80">
        <f>+CA31-BZ31</f>
        <v>11</v>
      </c>
      <c r="CB32" s="80">
        <f>+CB31-BU31</f>
        <v>27</v>
      </c>
      <c r="CC32" s="80">
        <f>+CC31-CB31</f>
        <v>2</v>
      </c>
      <c r="CD32" s="80">
        <f>+CD31-CC31</f>
        <v>7</v>
      </c>
      <c r="CE32" s="80">
        <f>+CE31-CB31</f>
        <v>9</v>
      </c>
      <c r="CF32" s="80">
        <f>+CF31-CE31</f>
        <v>6</v>
      </c>
      <c r="CG32" s="80">
        <f>+CG31-CB31</f>
        <v>15</v>
      </c>
      <c r="CH32" s="80">
        <f>+CH31-CG31</f>
        <v>10</v>
      </c>
      <c r="CI32" s="80">
        <f>+CI31-CB31</f>
        <v>25</v>
      </c>
      <c r="CJ32" s="80">
        <f>+CJ31-CI31</f>
        <v>3</v>
      </c>
      <c r="CK32" s="80">
        <f>+CK31-CJ31</f>
        <v>7</v>
      </c>
      <c r="CL32" s="80">
        <f>+CL31-CI31</f>
        <v>10</v>
      </c>
      <c r="CM32" s="80">
        <f>+CM31-CL31</f>
        <v>8</v>
      </c>
      <c r="CN32" s="80">
        <f>+CN31-CI31</f>
        <v>18</v>
      </c>
      <c r="CO32" s="80">
        <v>12</v>
      </c>
      <c r="CP32" s="80">
        <f>+CP31-CI31</f>
        <v>30</v>
      </c>
      <c r="CQ32" s="80">
        <f>+CQ31-CP31</f>
        <v>-4</v>
      </c>
      <c r="CR32" s="80">
        <f>+CR31-CQ31</f>
        <v>8</v>
      </c>
      <c r="CS32" s="80">
        <f>+CS31-CP31</f>
        <v>4</v>
      </c>
      <c r="CT32" s="80">
        <f>+CT31-CS31</f>
        <v>6</v>
      </c>
      <c r="CU32" s="80">
        <f>CS32+CT32</f>
        <v>10</v>
      </c>
      <c r="CV32" s="80">
        <f>+CV31-CT31</f>
        <v>14</v>
      </c>
      <c r="CW32" s="80">
        <f>CU32+CV32</f>
        <v>24</v>
      </c>
      <c r="CX32" s="80">
        <f>+CX31-CV31</f>
        <v>0</v>
      </c>
      <c r="CY32" s="80">
        <f>+CY31-CW31</f>
        <v>6</v>
      </c>
      <c r="CZ32" s="80">
        <f>+CZ31-CW31</f>
        <v>6</v>
      </c>
      <c r="DA32" s="80">
        <f>+DA31-CZ31</f>
        <v>8</v>
      </c>
      <c r="DB32" s="80">
        <f>+DB31-CW31</f>
        <v>14</v>
      </c>
      <c r="DC32" s="80">
        <f>+DC31-DB31</f>
        <v>20</v>
      </c>
      <c r="DD32" s="80">
        <f>+DD31-CW31</f>
        <v>34</v>
      </c>
      <c r="DE32" s="80">
        <f>+DE31-DD31</f>
        <v>-1</v>
      </c>
      <c r="DF32" s="80">
        <f>+DF31-DE31</f>
        <v>0</v>
      </c>
      <c r="DG32" s="80">
        <f>+DG31-DE31</f>
        <v>0</v>
      </c>
      <c r="DH32" s="80">
        <f>+DH31-DG31</f>
        <v>5</v>
      </c>
      <c r="DI32" s="80">
        <f>+DI31-DD31</f>
        <v>4</v>
      </c>
      <c r="DJ32" s="80">
        <f>+DJ31-DI31</f>
        <v>1</v>
      </c>
      <c r="DK32" s="80">
        <f>+DK31-DD31</f>
        <v>5</v>
      </c>
    </row>
    <row r="33" spans="2:115" s="9" customFormat="1" ht="18" customHeight="1">
      <c r="B33" s="79" t="s">
        <v>418</v>
      </c>
      <c r="C33" s="231" t="s">
        <v>380</v>
      </c>
      <c r="D33" s="82">
        <v>143.1</v>
      </c>
      <c r="E33" s="82">
        <v>147</v>
      </c>
      <c r="F33" s="82">
        <v>147</v>
      </c>
      <c r="G33" s="82">
        <v>147</v>
      </c>
      <c r="H33" s="82">
        <v>147</v>
      </c>
      <c r="I33" s="82">
        <v>150.69999999999999</v>
      </c>
      <c r="J33" s="82">
        <v>150.69999999999999</v>
      </c>
      <c r="K33" s="82">
        <v>154.69999999999999</v>
      </c>
      <c r="L33" s="82">
        <v>161.30000000000001</v>
      </c>
      <c r="M33" s="82">
        <v>161.30000000000001</v>
      </c>
      <c r="N33" s="82">
        <v>167.5</v>
      </c>
      <c r="O33" s="82">
        <v>167.5</v>
      </c>
      <c r="P33" s="82">
        <v>178</v>
      </c>
      <c r="Q33" s="82">
        <v>178</v>
      </c>
      <c r="R33" s="82">
        <v>178</v>
      </c>
      <c r="S33" s="82">
        <v>187.5</v>
      </c>
      <c r="T33" s="82">
        <v>187.5</v>
      </c>
      <c r="U33" s="82">
        <v>190</v>
      </c>
      <c r="V33" s="82">
        <v>190</v>
      </c>
      <c r="W33" s="82">
        <v>203.5</v>
      </c>
      <c r="X33" s="82">
        <v>203.5</v>
      </c>
      <c r="Y33" s="82">
        <v>205.4</v>
      </c>
      <c r="Z33" s="82">
        <v>214.3</v>
      </c>
      <c r="AA33" s="82">
        <v>214.3</v>
      </c>
      <c r="AB33" s="82">
        <v>217.6</v>
      </c>
      <c r="AC33" s="82">
        <v>217.6</v>
      </c>
      <c r="AD33" s="82">
        <v>229.7</v>
      </c>
      <c r="AE33" s="82">
        <v>229.7</v>
      </c>
      <c r="AF33" s="82">
        <v>229.7</v>
      </c>
      <c r="AG33" s="82">
        <v>240.6</v>
      </c>
      <c r="AH33" s="82">
        <v>240.6</v>
      </c>
      <c r="AI33" s="82">
        <v>242.5</v>
      </c>
      <c r="AJ33" s="82">
        <v>242.5</v>
      </c>
      <c r="AK33" s="82">
        <v>249.7</v>
      </c>
      <c r="AL33" s="82">
        <v>249.7</v>
      </c>
      <c r="AM33" s="82">
        <v>252.2</v>
      </c>
      <c r="AN33" s="82">
        <v>259.39999999999998</v>
      </c>
      <c r="AO33" s="82">
        <v>259.39999999999998</v>
      </c>
      <c r="AP33" s="82">
        <v>261.10000000000002</v>
      </c>
      <c r="AQ33" s="82">
        <v>261.10000000000002</v>
      </c>
      <c r="AR33" s="82">
        <v>274.7</v>
      </c>
      <c r="AS33" s="82">
        <v>274.7</v>
      </c>
      <c r="AT33" s="82">
        <v>275.10000000000002</v>
      </c>
      <c r="AU33" s="82">
        <v>288.8</v>
      </c>
      <c r="AV33" s="82">
        <v>288.8</v>
      </c>
      <c r="AW33" s="82">
        <v>290.5</v>
      </c>
      <c r="AX33" s="82">
        <v>290.39999999999998</v>
      </c>
      <c r="AY33" s="82">
        <v>318</v>
      </c>
      <c r="AZ33" s="82">
        <v>318</v>
      </c>
      <c r="BA33" s="82">
        <v>321.2</v>
      </c>
      <c r="BB33" s="82">
        <v>330.2</v>
      </c>
      <c r="BC33" s="82">
        <v>330.2</v>
      </c>
      <c r="BD33" s="82">
        <v>334.1</v>
      </c>
      <c r="BE33" s="82">
        <f>BD33</f>
        <v>334.1</v>
      </c>
      <c r="BF33" s="82">
        <v>361.3</v>
      </c>
      <c r="BG33" s="82">
        <v>361.3</v>
      </c>
      <c r="BH33" s="82">
        <v>363.5</v>
      </c>
      <c r="BI33" s="82">
        <v>372.3</v>
      </c>
      <c r="BJ33" s="82">
        <v>372.3</v>
      </c>
      <c r="BK33" s="82">
        <v>380.7</v>
      </c>
      <c r="BL33" s="82">
        <v>382.1</v>
      </c>
      <c r="BM33" s="82">
        <v>411.1</v>
      </c>
      <c r="BN33" s="82">
        <v>411.1</v>
      </c>
      <c r="BO33" s="82">
        <v>411.9</v>
      </c>
      <c r="BP33" s="82">
        <v>426.9</v>
      </c>
      <c r="BQ33" s="82">
        <f>BP33</f>
        <v>426.9</v>
      </c>
      <c r="BR33" s="82">
        <v>432.4</v>
      </c>
      <c r="BS33" s="82">
        <f>BR33</f>
        <v>432.4</v>
      </c>
      <c r="BT33" s="82">
        <v>455.7</v>
      </c>
      <c r="BU33" s="82">
        <v>455.7</v>
      </c>
      <c r="BV33" s="82">
        <v>459.7</v>
      </c>
      <c r="BW33" s="82">
        <v>472.75200000000001</v>
      </c>
      <c r="BX33" s="82">
        <f>BW33</f>
        <v>472.75200000000001</v>
      </c>
      <c r="BY33" s="82">
        <v>481.1</v>
      </c>
      <c r="BZ33" s="82">
        <f>BY33</f>
        <v>481.1</v>
      </c>
      <c r="CA33" s="82">
        <v>497.57499999999999</v>
      </c>
      <c r="CB33" s="82">
        <f>CA33</f>
        <v>497.57499999999999</v>
      </c>
      <c r="CC33" s="82">
        <v>499.93831999999998</v>
      </c>
      <c r="CD33" s="82">
        <v>511.62743999999998</v>
      </c>
      <c r="CE33" s="82">
        <f>CD33</f>
        <v>511.62743999999998</v>
      </c>
      <c r="CF33" s="82">
        <v>519.67007000000001</v>
      </c>
      <c r="CG33" s="82">
        <f>CF33</f>
        <v>519.67007000000001</v>
      </c>
      <c r="CH33" s="82">
        <v>538.43799000000035</v>
      </c>
      <c r="CI33" s="82">
        <f>CH33</f>
        <v>538.43799000000035</v>
      </c>
      <c r="CJ33" s="82">
        <v>542.05771000000004</v>
      </c>
      <c r="CK33" s="82">
        <v>552.40200000000004</v>
      </c>
      <c r="CL33" s="82">
        <f>CK33</f>
        <v>552.40200000000004</v>
      </c>
      <c r="CM33" s="82">
        <v>581.76599999999996</v>
      </c>
      <c r="CN33" s="82">
        <v>581.76599999999996</v>
      </c>
      <c r="CO33" s="82">
        <v>599.84299999999996</v>
      </c>
      <c r="CP33" s="82">
        <f>CO33</f>
        <v>599.84299999999996</v>
      </c>
      <c r="CQ33" s="82">
        <v>595.06790000000001</v>
      </c>
      <c r="CR33" s="82">
        <v>606.24898000000007</v>
      </c>
      <c r="CS33" s="82">
        <f>CR33</f>
        <v>606.24898000000007</v>
      </c>
      <c r="CT33" s="82">
        <v>613.24337000000014</v>
      </c>
      <c r="CU33" s="82">
        <f>CT33</f>
        <v>613.24337000000014</v>
      </c>
      <c r="CV33" s="82">
        <v>632.71015000000011</v>
      </c>
      <c r="CW33" s="82">
        <f>CV33</f>
        <v>632.71015000000011</v>
      </c>
      <c r="CX33" s="82">
        <v>635.25535000000002</v>
      </c>
      <c r="CY33" s="82">
        <v>649.85599999999999</v>
      </c>
      <c r="CZ33" s="82">
        <f>CY33</f>
        <v>649.85599999999999</v>
      </c>
      <c r="DA33" s="82">
        <v>659.40043000000003</v>
      </c>
      <c r="DB33" s="82">
        <v>659.40043000000003</v>
      </c>
      <c r="DC33" s="82">
        <v>683.66242</v>
      </c>
      <c r="DD33" s="82">
        <f>DC33</f>
        <v>683.66242</v>
      </c>
      <c r="DE33" s="82">
        <v>683.10942000000011</v>
      </c>
      <c r="DF33" s="82">
        <f>DE33</f>
        <v>683.10942000000011</v>
      </c>
      <c r="DG33" s="82">
        <f>DF33</f>
        <v>683.10942000000011</v>
      </c>
      <c r="DH33" s="595">
        <v>689.60000000000014</v>
      </c>
      <c r="DI33" s="82">
        <f>DH33</f>
        <v>689.60000000000014</v>
      </c>
      <c r="DJ33" s="595">
        <v>690.30590000000007</v>
      </c>
      <c r="DK33" s="82">
        <f>DJ33</f>
        <v>690.30590000000007</v>
      </c>
    </row>
    <row r="34" spans="2:115" s="9" customFormat="1" ht="18" customHeight="1">
      <c r="B34" s="79" t="s">
        <v>1083</v>
      </c>
      <c r="C34" s="231" t="s">
        <v>407</v>
      </c>
      <c r="D34" s="82">
        <v>2.2999999999999998</v>
      </c>
      <c r="E34" s="82">
        <v>2.2999999999999998</v>
      </c>
      <c r="F34" s="82">
        <v>2.2999999999999998</v>
      </c>
      <c r="G34" s="82">
        <v>2.2999999999999998</v>
      </c>
      <c r="H34" s="82">
        <v>2.2999999999999998</v>
      </c>
      <c r="I34" s="82">
        <v>2.2999999999999998</v>
      </c>
      <c r="J34" s="82">
        <v>2.2999999999999998</v>
      </c>
      <c r="K34" s="82">
        <v>2.2999999999999998</v>
      </c>
      <c r="L34" s="82">
        <v>2.2000000000000002</v>
      </c>
      <c r="M34" s="82">
        <v>2.2000000000000002</v>
      </c>
      <c r="N34" s="82">
        <v>2.2000000000000002</v>
      </c>
      <c r="O34" s="82">
        <v>2.2000000000000002</v>
      </c>
      <c r="P34" s="82">
        <v>2.2000000000000002</v>
      </c>
      <c r="Q34" s="82">
        <v>2.2000000000000002</v>
      </c>
      <c r="R34" s="82">
        <v>2.2000000000000002</v>
      </c>
      <c r="S34" s="82">
        <v>2.2000000000000002</v>
      </c>
      <c r="T34" s="82">
        <v>2.2000000000000002</v>
      </c>
      <c r="U34" s="82">
        <v>2.2000000000000002</v>
      </c>
      <c r="V34" s="82">
        <v>2.2000000000000002</v>
      </c>
      <c r="W34" s="82">
        <v>2.1</v>
      </c>
      <c r="X34" s="82">
        <v>2.1</v>
      </c>
      <c r="Y34" s="82">
        <v>2.1</v>
      </c>
      <c r="Z34" s="82">
        <v>2.1</v>
      </c>
      <c r="AA34" s="82">
        <v>2.1</v>
      </c>
      <c r="AB34" s="82">
        <v>2.1</v>
      </c>
      <c r="AC34" s="82">
        <v>2.1</v>
      </c>
      <c r="AD34" s="82">
        <v>2.1</v>
      </c>
      <c r="AE34" s="82">
        <v>2.1</v>
      </c>
      <c r="AF34" s="82">
        <v>2.1</v>
      </c>
      <c r="AG34" s="82">
        <v>2.1</v>
      </c>
      <c r="AH34" s="82">
        <v>2.1</v>
      </c>
      <c r="AI34" s="82">
        <f>AI33/AI31</f>
        <v>2.0905172413793105</v>
      </c>
      <c r="AJ34" s="82">
        <f>AJ33/AJ31</f>
        <v>2.0905172413793105</v>
      </c>
      <c r="AK34" s="82">
        <v>2.1</v>
      </c>
      <c r="AL34" s="82">
        <v>2.1</v>
      </c>
      <c r="AM34" s="82">
        <v>2.1</v>
      </c>
      <c r="AN34" s="82">
        <v>2.1</v>
      </c>
      <c r="AO34" s="82">
        <v>2.1</v>
      </c>
      <c r="AP34" s="82">
        <v>2.1</v>
      </c>
      <c r="AQ34" s="82">
        <v>2.1</v>
      </c>
      <c r="AR34" s="82">
        <v>2.1</v>
      </c>
      <c r="AS34" s="82">
        <v>2.1</v>
      </c>
      <c r="AT34" s="82">
        <v>2.1</v>
      </c>
      <c r="AU34" s="82">
        <v>2.1</v>
      </c>
      <c r="AV34" s="82">
        <v>2.1</v>
      </c>
      <c r="AW34" s="82">
        <v>2</v>
      </c>
      <c r="AX34" s="82">
        <v>2</v>
      </c>
      <c r="AY34" s="82">
        <v>2</v>
      </c>
      <c r="AZ34" s="82">
        <v>2</v>
      </c>
      <c r="BA34" s="82">
        <v>2</v>
      </c>
      <c r="BB34" s="82">
        <v>2</v>
      </c>
      <c r="BC34" s="82">
        <v>2</v>
      </c>
      <c r="BD34" s="82">
        <v>2</v>
      </c>
      <c r="BE34" s="82">
        <v>2</v>
      </c>
      <c r="BF34" s="82">
        <v>2</v>
      </c>
      <c r="BG34" s="82">
        <v>2</v>
      </c>
      <c r="BH34" s="82">
        <v>1.9</v>
      </c>
      <c r="BI34" s="82">
        <v>1.8</v>
      </c>
      <c r="BJ34" s="82">
        <v>1.8</v>
      </c>
      <c r="BK34" s="82">
        <v>1.8</v>
      </c>
      <c r="BL34" s="82">
        <v>1.8</v>
      </c>
      <c r="BM34" s="82">
        <v>1.9</v>
      </c>
      <c r="BN34" s="82">
        <v>1.9</v>
      </c>
      <c r="BO34" s="82">
        <v>1.9</v>
      </c>
      <c r="BP34" s="82">
        <v>1.9</v>
      </c>
      <c r="BQ34" s="82">
        <v>1.9</v>
      </c>
      <c r="BR34" s="82">
        <v>1.9</v>
      </c>
      <c r="BS34" s="82">
        <f>BR34</f>
        <v>1.9</v>
      </c>
      <c r="BT34" s="82">
        <v>1.8</v>
      </c>
      <c r="BU34" s="82">
        <v>1.8</v>
      </c>
      <c r="BV34" s="82">
        <v>1.8</v>
      </c>
      <c r="BW34" s="82">
        <f>+BW33/BW31</f>
        <v>1.8252972972972974</v>
      </c>
      <c r="BX34" s="82">
        <f>BW34</f>
        <v>1.8252972972972974</v>
      </c>
      <c r="BY34" s="82">
        <f>+BY33/BY31</f>
        <v>1.822348484848485</v>
      </c>
      <c r="BZ34" s="82">
        <f>BY34</f>
        <v>1.822348484848485</v>
      </c>
      <c r="CA34" s="82">
        <f>+CA33/CA31</f>
        <v>1.8093636363636363</v>
      </c>
      <c r="CB34" s="82">
        <f>+CB33/CB31</f>
        <v>1.8093636363636363</v>
      </c>
      <c r="CC34" s="82">
        <f>+CC33/CC31</f>
        <v>1.8048314801444043</v>
      </c>
      <c r="CD34" s="82">
        <f>+CD33/CD31</f>
        <v>1.801505070422535</v>
      </c>
      <c r="CE34" s="82">
        <f>CD34</f>
        <v>1.801505070422535</v>
      </c>
      <c r="CF34" s="82">
        <f>+CF33/CF31</f>
        <v>1.7919657586206896</v>
      </c>
      <c r="CG34" s="82">
        <f>CF34</f>
        <v>1.7919657586206896</v>
      </c>
      <c r="CH34" s="82">
        <f>+CH33/CH31</f>
        <v>1.7947933000000011</v>
      </c>
      <c r="CI34" s="82">
        <f>CH34</f>
        <v>1.7947933000000011</v>
      </c>
      <c r="CJ34" s="82">
        <f>+CJ33/CJ31</f>
        <v>1.7889693399339934</v>
      </c>
      <c r="CK34" s="82">
        <f>+CK33/CK31</f>
        <v>1.781941935483871</v>
      </c>
      <c r="CL34" s="82">
        <f>CK34</f>
        <v>1.781941935483871</v>
      </c>
      <c r="CM34" s="82">
        <f>+CM33/CM31</f>
        <v>1.8294528301886792</v>
      </c>
      <c r="CN34" s="82">
        <f>CM34</f>
        <v>1.8294528301886792</v>
      </c>
      <c r="CO34" s="82">
        <f>+CO33/CO31</f>
        <v>1.8177060606060604</v>
      </c>
      <c r="CP34" s="82">
        <f>CO34</f>
        <v>1.8177060606060604</v>
      </c>
      <c r="CQ34" s="82">
        <f>+CQ33/CQ31</f>
        <v>1.8253616564417179</v>
      </c>
      <c r="CR34" s="82">
        <f>+CR33/CR31</f>
        <v>1.8151167065868266</v>
      </c>
      <c r="CS34" s="82">
        <f>CR34</f>
        <v>1.8151167065868266</v>
      </c>
      <c r="CT34" s="82">
        <f t="shared" ref="CT34:CY34" si="55">+CT33/CT31</f>
        <v>1.8036569705882357</v>
      </c>
      <c r="CU34" s="82">
        <f t="shared" si="55"/>
        <v>1.8036569705882357</v>
      </c>
      <c r="CV34" s="82">
        <f t="shared" si="55"/>
        <v>1.7873168079096049</v>
      </c>
      <c r="CW34" s="82">
        <f t="shared" si="55"/>
        <v>1.7873168079096049</v>
      </c>
      <c r="CX34" s="82">
        <f t="shared" si="55"/>
        <v>1.7945066384180792</v>
      </c>
      <c r="CY34" s="82">
        <f t="shared" si="55"/>
        <v>1.8051555555555556</v>
      </c>
      <c r="CZ34" s="82">
        <f>CY34</f>
        <v>1.8051555555555556</v>
      </c>
      <c r="DA34" s="82">
        <f>+DA33/DA31</f>
        <v>1.7918489945652174</v>
      </c>
      <c r="DB34" s="82">
        <f>DA34</f>
        <v>1.7918489945652174</v>
      </c>
      <c r="DC34" s="82">
        <f>+DC33/DC31</f>
        <v>1.7620165463917525</v>
      </c>
      <c r="DD34" s="82">
        <f>DC34</f>
        <v>1.7620165463917525</v>
      </c>
      <c r="DE34" s="82">
        <f>(+DE33/DE31)</f>
        <v>1.765140620155039</v>
      </c>
      <c r="DF34" s="82">
        <f t="shared" ref="DF34:DI34" si="56">+DF33/DF31</f>
        <v>1.765140620155039</v>
      </c>
      <c r="DG34" s="82">
        <f>DF34</f>
        <v>1.765140620155039</v>
      </c>
      <c r="DH34" s="82">
        <f t="shared" si="56"/>
        <v>1.7591836734693882</v>
      </c>
      <c r="DI34" s="82">
        <f t="shared" si="56"/>
        <v>1.7591836734693882</v>
      </c>
      <c r="DJ34" s="82">
        <f t="shared" ref="DJ34:DK34" si="57">+DJ33/DJ31</f>
        <v>1.7565035623409671</v>
      </c>
      <c r="DK34" s="82">
        <f t="shared" si="57"/>
        <v>1.7565035623409671</v>
      </c>
    </row>
    <row r="35" spans="2:115" s="9" customFormat="1" ht="18" customHeight="1">
      <c r="B35" s="79" t="s">
        <v>1089</v>
      </c>
      <c r="C35" s="231" t="s">
        <v>421</v>
      </c>
      <c r="D35" s="82">
        <v>0</v>
      </c>
      <c r="E35" s="82">
        <v>0</v>
      </c>
      <c r="F35" s="82">
        <v>0</v>
      </c>
      <c r="G35" s="82">
        <v>0</v>
      </c>
      <c r="H35" s="82">
        <v>0</v>
      </c>
      <c r="I35" s="82">
        <v>0</v>
      </c>
      <c r="J35" s="82">
        <v>0</v>
      </c>
      <c r="K35" s="82">
        <v>0</v>
      </c>
      <c r="L35" s="82">
        <v>0</v>
      </c>
      <c r="M35" s="82">
        <v>0</v>
      </c>
      <c r="N35" s="82">
        <v>0</v>
      </c>
      <c r="O35" s="82">
        <v>0</v>
      </c>
      <c r="P35" s="82">
        <v>0</v>
      </c>
      <c r="Q35" s="82">
        <v>0</v>
      </c>
      <c r="R35" s="82">
        <v>0</v>
      </c>
      <c r="S35" s="82">
        <v>0</v>
      </c>
      <c r="T35" s="82">
        <v>0</v>
      </c>
      <c r="U35" s="82">
        <v>0</v>
      </c>
      <c r="V35" s="82">
        <v>0</v>
      </c>
      <c r="W35" s="82">
        <v>0</v>
      </c>
      <c r="X35" s="82">
        <v>0</v>
      </c>
      <c r="Y35" s="82">
        <v>0</v>
      </c>
      <c r="Z35" s="82">
        <v>0</v>
      </c>
      <c r="AA35" s="82">
        <v>0</v>
      </c>
      <c r="AB35" s="82">
        <v>0</v>
      </c>
      <c r="AC35" s="82">
        <v>0</v>
      </c>
      <c r="AD35" s="82">
        <v>0</v>
      </c>
      <c r="AE35" s="82">
        <v>0</v>
      </c>
      <c r="AF35" s="82">
        <v>0</v>
      </c>
      <c r="AG35" s="82">
        <v>0</v>
      </c>
      <c r="AH35" s="82">
        <v>0</v>
      </c>
      <c r="AI35" s="82">
        <v>0</v>
      </c>
      <c r="AJ35" s="82">
        <v>0</v>
      </c>
      <c r="AK35" s="82">
        <v>0</v>
      </c>
      <c r="AL35" s="82">
        <v>0</v>
      </c>
      <c r="AM35" s="82">
        <v>0</v>
      </c>
      <c r="AN35" s="82">
        <v>0</v>
      </c>
      <c r="AO35" s="82">
        <v>0</v>
      </c>
      <c r="AP35" s="82">
        <v>0</v>
      </c>
      <c r="AQ35" s="82">
        <v>0</v>
      </c>
      <c r="AR35" s="82">
        <v>0</v>
      </c>
      <c r="AS35" s="82">
        <v>0</v>
      </c>
      <c r="AT35" s="82">
        <v>0</v>
      </c>
      <c r="AU35" s="82">
        <v>0</v>
      </c>
      <c r="AV35" s="82">
        <v>0</v>
      </c>
      <c r="AW35" s="82">
        <v>0</v>
      </c>
      <c r="AX35" s="82">
        <v>0</v>
      </c>
      <c r="AY35" s="82">
        <v>0</v>
      </c>
      <c r="AZ35" s="82">
        <v>0</v>
      </c>
      <c r="BA35" s="82">
        <v>0</v>
      </c>
      <c r="BB35" s="82">
        <v>0</v>
      </c>
      <c r="BC35" s="82">
        <v>0</v>
      </c>
      <c r="BD35" s="82">
        <v>0</v>
      </c>
      <c r="BE35" s="82">
        <v>0</v>
      </c>
      <c r="BF35" s="82">
        <v>0</v>
      </c>
      <c r="BG35" s="82">
        <v>0</v>
      </c>
      <c r="BH35" s="82">
        <v>684.37130510000009</v>
      </c>
      <c r="BI35" s="82">
        <v>900.86796393000031</v>
      </c>
      <c r="BJ35" s="82">
        <v>1585.2392690300003</v>
      </c>
      <c r="BK35" s="82">
        <v>858.57771352999998</v>
      </c>
      <c r="BL35" s="82">
        <v>2443.8169825600003</v>
      </c>
      <c r="BM35" s="82">
        <v>1267.1039131499995</v>
      </c>
      <c r="BN35" s="82">
        <v>3710.92089571</v>
      </c>
      <c r="BO35" s="82">
        <v>766.77023799999802</v>
      </c>
      <c r="BP35" s="82">
        <v>1052.0978909200119</v>
      </c>
      <c r="BQ35" s="82">
        <v>1818.8681289200101</v>
      </c>
      <c r="BR35" s="82">
        <v>989.98845348998498</v>
      </c>
      <c r="BS35" s="82">
        <v>2808.8565824099951</v>
      </c>
      <c r="BT35" s="82">
        <v>1581.21344729002</v>
      </c>
      <c r="BU35" s="82">
        <v>4390.0700297000149</v>
      </c>
      <c r="BV35" s="82">
        <v>948.61135890999992</v>
      </c>
      <c r="BW35" s="82">
        <v>1280.3883513399855</v>
      </c>
      <c r="BX35" s="82">
        <v>2228.9997102499856</v>
      </c>
      <c r="BY35" s="82">
        <v>1168.5135131100251</v>
      </c>
      <c r="BZ35" s="82">
        <v>3397.5132233600107</v>
      </c>
      <c r="CA35" s="82">
        <v>1716.8655402499962</v>
      </c>
      <c r="CB35" s="82">
        <v>5114.3787636100069</v>
      </c>
      <c r="CC35" s="82">
        <v>998.26300000000003</v>
      </c>
      <c r="CD35" s="82">
        <v>1364.127</v>
      </c>
      <c r="CE35" s="82">
        <v>2362.3890000000001</v>
      </c>
      <c r="CF35" s="82">
        <v>1161.0999999999999</v>
      </c>
      <c r="CG35" s="82">
        <v>3523.5</v>
      </c>
      <c r="CH35" s="82">
        <v>1767.8622757599976</v>
      </c>
      <c r="CI35" s="82">
        <v>5291.3507787799972</v>
      </c>
      <c r="CJ35" s="82">
        <v>1129.0529999999999</v>
      </c>
      <c r="CK35" s="82">
        <v>1498.4259999999999</v>
      </c>
      <c r="CL35" s="82">
        <v>2627.4789999999998</v>
      </c>
      <c r="CM35" s="82">
        <v>1376.2189632000004</v>
      </c>
      <c r="CN35" s="82">
        <v>4003.6992440499994</v>
      </c>
      <c r="CO35" s="82">
        <v>2027.9665260899988</v>
      </c>
      <c r="CP35" s="82">
        <v>6031.6657701399981</v>
      </c>
      <c r="CQ35" s="82">
        <v>1268.533068</v>
      </c>
      <c r="CR35" s="82">
        <v>1626.84118835</v>
      </c>
      <c r="CS35" s="82">
        <v>2895.1014305822682</v>
      </c>
      <c r="CT35" s="82">
        <v>1551.9185057499981</v>
      </c>
      <c r="CU35" s="82">
        <v>4447.292762099999</v>
      </c>
      <c r="CV35" s="82">
        <v>2353.5709758600001</v>
      </c>
      <c r="CW35" s="82">
        <v>6800.8637379599986</v>
      </c>
      <c r="CX35" s="82">
        <v>1497.5674839200001</v>
      </c>
      <c r="CY35" s="82">
        <v>1853.5920886800004</v>
      </c>
      <c r="CZ35" s="82">
        <f>CY35+CX35</f>
        <v>3351.1595726000005</v>
      </c>
      <c r="DA35" s="82">
        <v>1767.5585483499997</v>
      </c>
      <c r="DB35" s="82">
        <v>5118.7181209500013</v>
      </c>
      <c r="DC35" s="82">
        <v>2609.6406938700015</v>
      </c>
      <c r="DD35" s="82">
        <v>7728.3588148199997</v>
      </c>
      <c r="DE35" s="82">
        <v>1404.2985107499997</v>
      </c>
      <c r="DF35" s="82">
        <v>479.79359356999993</v>
      </c>
      <c r="DG35" s="82">
        <v>1884.0921043317221</v>
      </c>
      <c r="DH35" s="82">
        <v>1468.4308597600002</v>
      </c>
      <c r="DI35" s="82">
        <v>3352.5229640799998</v>
      </c>
      <c r="DJ35" s="82">
        <v>2621.9533181399993</v>
      </c>
      <c r="DK35" s="82">
        <f>DI35+DJ35</f>
        <v>5974.4762822199991</v>
      </c>
    </row>
    <row r="36" spans="2:115" s="9" customFormat="1" ht="18" customHeight="1">
      <c r="B36" s="79" t="s">
        <v>422</v>
      </c>
      <c r="C36" s="231" t="s">
        <v>423</v>
      </c>
      <c r="D36" s="82">
        <v>0</v>
      </c>
      <c r="E36" s="82">
        <v>0</v>
      </c>
      <c r="F36" s="82">
        <v>0</v>
      </c>
      <c r="G36" s="82">
        <v>0</v>
      </c>
      <c r="H36" s="82">
        <v>0</v>
      </c>
      <c r="I36" s="82">
        <v>0</v>
      </c>
      <c r="J36" s="82">
        <v>0</v>
      </c>
      <c r="K36" s="82">
        <v>0</v>
      </c>
      <c r="L36" s="82">
        <v>0</v>
      </c>
      <c r="M36" s="82">
        <v>0</v>
      </c>
      <c r="N36" s="82">
        <v>0</v>
      </c>
      <c r="O36" s="82">
        <v>0</v>
      </c>
      <c r="P36" s="82">
        <v>0</v>
      </c>
      <c r="Q36" s="82">
        <v>0</v>
      </c>
      <c r="R36" s="82">
        <v>0</v>
      </c>
      <c r="S36" s="82">
        <v>0</v>
      </c>
      <c r="T36" s="82">
        <v>0</v>
      </c>
      <c r="U36" s="82">
        <v>0</v>
      </c>
      <c r="V36" s="82">
        <v>0</v>
      </c>
      <c r="W36" s="82">
        <v>0</v>
      </c>
      <c r="X36" s="82">
        <v>0</v>
      </c>
      <c r="Y36" s="82">
        <v>0</v>
      </c>
      <c r="Z36" s="82">
        <v>0</v>
      </c>
      <c r="AA36" s="82">
        <v>0</v>
      </c>
      <c r="AB36" s="82">
        <v>0</v>
      </c>
      <c r="AC36" s="82">
        <v>0</v>
      </c>
      <c r="AD36" s="82">
        <v>0</v>
      </c>
      <c r="AE36" s="82">
        <v>0</v>
      </c>
      <c r="AF36" s="82">
        <v>0</v>
      </c>
      <c r="AG36" s="82">
        <v>0</v>
      </c>
      <c r="AH36" s="82">
        <v>0</v>
      </c>
      <c r="AI36" s="82">
        <v>0</v>
      </c>
      <c r="AJ36" s="82">
        <v>0</v>
      </c>
      <c r="AK36" s="82">
        <v>0</v>
      </c>
      <c r="AL36" s="82">
        <v>0</v>
      </c>
      <c r="AM36" s="82">
        <v>0</v>
      </c>
      <c r="AN36" s="82">
        <v>0</v>
      </c>
      <c r="AO36" s="82">
        <v>0</v>
      </c>
      <c r="AP36" s="82">
        <v>0</v>
      </c>
      <c r="AQ36" s="82">
        <v>0</v>
      </c>
      <c r="AR36" s="82">
        <v>0</v>
      </c>
      <c r="AS36" s="82">
        <v>0</v>
      </c>
      <c r="AT36" s="82">
        <v>0</v>
      </c>
      <c r="AU36" s="82">
        <v>0</v>
      </c>
      <c r="AV36" s="82">
        <v>0</v>
      </c>
      <c r="AW36" s="82">
        <v>0</v>
      </c>
      <c r="AX36" s="82">
        <v>0</v>
      </c>
      <c r="AY36" s="82">
        <v>0</v>
      </c>
      <c r="AZ36" s="82">
        <v>0</v>
      </c>
      <c r="BA36" s="82">
        <v>0</v>
      </c>
      <c r="BB36" s="82">
        <v>0</v>
      </c>
      <c r="BC36" s="82">
        <v>0</v>
      </c>
      <c r="BD36" s="82">
        <v>0</v>
      </c>
      <c r="BE36" s="82">
        <v>0</v>
      </c>
      <c r="BF36" s="82">
        <v>0</v>
      </c>
      <c r="BG36" s="82">
        <v>0</v>
      </c>
      <c r="BH36" s="82">
        <v>0</v>
      </c>
      <c r="BI36" s="82">
        <v>0</v>
      </c>
      <c r="BJ36" s="82">
        <v>0</v>
      </c>
      <c r="BK36" s="82">
        <v>0</v>
      </c>
      <c r="BL36" s="82">
        <v>0</v>
      </c>
      <c r="BM36" s="82">
        <v>0</v>
      </c>
      <c r="BN36" s="82">
        <v>0</v>
      </c>
      <c r="BO36" s="236">
        <f>+BO35/BH35-1</f>
        <v>0.12040091728854385</v>
      </c>
      <c r="BP36" s="236">
        <f>+BP35/BI35-1</f>
        <v>0.16787135634202932</v>
      </c>
      <c r="BQ36" s="236">
        <f t="shared" ref="BQ36:CG36" si="58">+BQ35/BJ35-1</f>
        <v>0.14737766370938199</v>
      </c>
      <c r="BR36" s="236">
        <f t="shared" si="58"/>
        <v>0.15305631381892759</v>
      </c>
      <c r="BS36" s="236">
        <f t="shared" si="58"/>
        <v>0.14937272408492741</v>
      </c>
      <c r="BT36" s="236">
        <f t="shared" si="58"/>
        <v>0.24789563892920929</v>
      </c>
      <c r="BU36" s="236">
        <f t="shared" si="58"/>
        <v>0.18301363814441407</v>
      </c>
      <c r="BV36" s="236">
        <f t="shared" si="58"/>
        <v>0.23715203316225009</v>
      </c>
      <c r="BW36" s="236">
        <f t="shared" si="58"/>
        <v>0.21698595006244514</v>
      </c>
      <c r="BX36" s="236">
        <f t="shared" si="58"/>
        <v>0.22548725485310439</v>
      </c>
      <c r="BY36" s="236">
        <f t="shared" si="58"/>
        <v>0.18033044627004435</v>
      </c>
      <c r="BZ36" s="236">
        <f t="shared" si="58"/>
        <v>0.20957162591938006</v>
      </c>
      <c r="CA36" s="236">
        <f>+CA35/BT35-1</f>
        <v>8.5789868023488536E-2</v>
      </c>
      <c r="CB36" s="236">
        <f t="shared" si="58"/>
        <v>0.16498796807564498</v>
      </c>
      <c r="CC36" s="236">
        <f t="shared" si="58"/>
        <v>5.2341394211273373E-2</v>
      </c>
      <c r="CD36" s="236">
        <f t="shared" si="58"/>
        <v>6.5400976643045894E-2</v>
      </c>
      <c r="CE36" s="236">
        <f t="shared" si="58"/>
        <v>5.9842668052682235E-2</v>
      </c>
      <c r="CF36" s="236">
        <f t="shared" si="58"/>
        <v>-6.3443965575493699E-3</v>
      </c>
      <c r="CG36" s="236">
        <f t="shared" si="58"/>
        <v>3.708205630334338E-2</v>
      </c>
      <c r="CH36" s="236">
        <f t="shared" ref="CH36" si="59">+CH35/CA35-1</f>
        <v>2.97033951200254E-2</v>
      </c>
      <c r="CI36" s="236">
        <f t="shared" ref="CI36:CK36" si="60">+CI35/CB35-1</f>
        <v>3.4602837089264371E-2</v>
      </c>
      <c r="CJ36" s="236">
        <f t="shared" si="60"/>
        <v>0.13101757753217314</v>
      </c>
      <c r="CK36" s="236">
        <f t="shared" si="60"/>
        <v>9.8450510839533267E-2</v>
      </c>
      <c r="CL36" s="236">
        <f t="shared" ref="CL36:CN36" si="61">+CL35/CE35-1</f>
        <v>0.11221267962219583</v>
      </c>
      <c r="CM36" s="236">
        <f t="shared" ref="CM36" si="62">+CM35/CF35-1</f>
        <v>0.18527169339419558</v>
      </c>
      <c r="CN36" s="236">
        <f t="shared" si="61"/>
        <v>0.13628472940258241</v>
      </c>
      <c r="CO36" s="236">
        <f t="shared" ref="CO36" si="63">+CO35/CH35-1</f>
        <v>0.14712924977042308</v>
      </c>
      <c r="CP36" s="236">
        <f t="shared" ref="CP36:CW36" si="64">+CP35/CI35-1</f>
        <v>0.13991039761130564</v>
      </c>
      <c r="CQ36" s="236">
        <f t="shared" si="64"/>
        <v>0.12353721924480077</v>
      </c>
      <c r="CR36" s="236">
        <f t="shared" si="64"/>
        <v>8.5700053489461636E-2</v>
      </c>
      <c r="CS36" s="236">
        <f t="shared" si="64"/>
        <v>0.10185521200446068</v>
      </c>
      <c r="CT36" s="236">
        <f t="shared" si="64"/>
        <v>0.12766830515215322</v>
      </c>
      <c r="CU36" s="236">
        <f t="shared" si="64"/>
        <v>0.1107959142308792</v>
      </c>
      <c r="CV36" s="236">
        <f t="shared" si="64"/>
        <v>0.16055711254651706</v>
      </c>
      <c r="CW36" s="236">
        <f t="shared" si="64"/>
        <v>0.12752662318060559</v>
      </c>
      <c r="CX36" s="236">
        <f>CX35/CQ35-1</f>
        <v>0.1805506073886598</v>
      </c>
      <c r="CY36" s="236">
        <f>+CY35/CR35-1</f>
        <v>0.13938109137744359</v>
      </c>
      <c r="CZ36" s="236">
        <f>+CZ35/CS35-1</f>
        <v>0.15752751775816343</v>
      </c>
      <c r="DA36" s="236">
        <f t="shared" ref="DA36" si="65">+DA35/CT35-1</f>
        <v>0.13895062260101665</v>
      </c>
      <c r="DB36" s="236">
        <f t="shared" ref="DB36" si="66">+DB35/CU35-1</f>
        <v>0.15097395084306453</v>
      </c>
      <c r="DC36" s="236">
        <f t="shared" ref="DC36:DE36" si="67">+DC35/CV35-1</f>
        <v>0.10880050809448516</v>
      </c>
      <c r="DD36" s="236">
        <f t="shared" ref="DD36" si="68">+DD35/CW35-1</f>
        <v>0.13637901193094848</v>
      </c>
      <c r="DE36" s="236">
        <f t="shared" si="67"/>
        <v>-6.2280314023553496E-2</v>
      </c>
      <c r="DF36" s="236">
        <f t="shared" ref="DF36:DK36" si="69">+DF35/CY35-1</f>
        <v>-0.74115470361568292</v>
      </c>
      <c r="DG36" s="236">
        <f t="shared" si="69"/>
        <v>-0.43777905423048913</v>
      </c>
      <c r="DH36" s="236">
        <f t="shared" si="69"/>
        <v>-0.16923212465535165</v>
      </c>
      <c r="DI36" s="236">
        <f t="shared" si="69"/>
        <v>-0.34504637980381836</v>
      </c>
      <c r="DJ36" s="236">
        <f t="shared" si="69"/>
        <v>4.7181300854635122E-3</v>
      </c>
      <c r="DK36" s="236">
        <f t="shared" si="69"/>
        <v>-0.22694113648511416</v>
      </c>
    </row>
    <row r="37" spans="2:115" s="9" customFormat="1" ht="18" customHeight="1">
      <c r="B37" s="79" t="s">
        <v>424</v>
      </c>
      <c r="C37" s="231" t="s">
        <v>425</v>
      </c>
      <c r="D37" s="82">
        <v>0</v>
      </c>
      <c r="E37" s="82">
        <v>0</v>
      </c>
      <c r="F37" s="82">
        <v>0</v>
      </c>
      <c r="G37" s="82">
        <v>0</v>
      </c>
      <c r="H37" s="82">
        <v>0</v>
      </c>
      <c r="I37" s="82">
        <v>0</v>
      </c>
      <c r="J37" s="82">
        <v>0</v>
      </c>
      <c r="K37" s="82">
        <v>0</v>
      </c>
      <c r="L37" s="82">
        <v>0</v>
      </c>
      <c r="M37" s="82">
        <v>0</v>
      </c>
      <c r="N37" s="82">
        <v>0</v>
      </c>
      <c r="O37" s="82">
        <v>0</v>
      </c>
      <c r="P37" s="82">
        <v>0</v>
      </c>
      <c r="Q37" s="82">
        <v>0</v>
      </c>
      <c r="R37" s="82">
        <v>0</v>
      </c>
      <c r="S37" s="82">
        <v>0</v>
      </c>
      <c r="T37" s="82">
        <v>0</v>
      </c>
      <c r="U37" s="82">
        <v>0</v>
      </c>
      <c r="V37" s="82">
        <v>0</v>
      </c>
      <c r="W37" s="82">
        <v>0</v>
      </c>
      <c r="X37" s="82">
        <v>0</v>
      </c>
      <c r="Y37" s="82">
        <v>0</v>
      </c>
      <c r="Z37" s="82">
        <v>0</v>
      </c>
      <c r="AA37" s="82">
        <v>0</v>
      </c>
      <c r="AB37" s="82">
        <v>0</v>
      </c>
      <c r="AC37" s="82">
        <v>0</v>
      </c>
      <c r="AD37" s="82">
        <v>0</v>
      </c>
      <c r="AE37" s="82">
        <v>0</v>
      </c>
      <c r="AF37" s="82">
        <v>0</v>
      </c>
      <c r="AG37" s="82">
        <v>0</v>
      </c>
      <c r="AH37" s="82">
        <v>0</v>
      </c>
      <c r="AI37" s="82">
        <v>0</v>
      </c>
      <c r="AJ37" s="82">
        <v>0</v>
      </c>
      <c r="AK37" s="82">
        <v>0</v>
      </c>
      <c r="AL37" s="82">
        <v>0</v>
      </c>
      <c r="AM37" s="82">
        <v>0</v>
      </c>
      <c r="AN37" s="82">
        <v>0</v>
      </c>
      <c r="AO37" s="82">
        <v>0</v>
      </c>
      <c r="AP37" s="82">
        <v>0</v>
      </c>
      <c r="AQ37" s="82">
        <v>0</v>
      </c>
      <c r="AR37" s="82">
        <v>0</v>
      </c>
      <c r="AS37" s="82">
        <v>0</v>
      </c>
      <c r="AT37" s="82">
        <v>0</v>
      </c>
      <c r="AU37" s="82">
        <v>0</v>
      </c>
      <c r="AV37" s="82">
        <v>0</v>
      </c>
      <c r="AW37" s="82">
        <v>0</v>
      </c>
      <c r="AX37" s="82">
        <v>0</v>
      </c>
      <c r="AY37" s="82">
        <v>0</v>
      </c>
      <c r="AZ37" s="82">
        <v>0</v>
      </c>
      <c r="BA37" s="82">
        <v>0</v>
      </c>
      <c r="BB37" s="82">
        <v>0</v>
      </c>
      <c r="BC37" s="82">
        <v>0</v>
      </c>
      <c r="BD37" s="82">
        <v>0</v>
      </c>
      <c r="BE37" s="82">
        <v>0</v>
      </c>
      <c r="BF37" s="82">
        <v>0</v>
      </c>
      <c r="BG37" s="82">
        <v>0</v>
      </c>
      <c r="BH37" s="84">
        <v>0.51863927022500744</v>
      </c>
      <c r="BI37" s="84">
        <v>0.54179364409935382</v>
      </c>
      <c r="BJ37" s="84">
        <v>0.53179755746641555</v>
      </c>
      <c r="BK37" s="84">
        <v>0.50334390385373051</v>
      </c>
      <c r="BL37" s="84">
        <v>0.52180103439014058</v>
      </c>
      <c r="BM37" s="84">
        <v>0.55223576523448481</v>
      </c>
      <c r="BN37" s="84">
        <v>0.53219305503200254</v>
      </c>
      <c r="BO37" s="84">
        <v>0.52300000000000002</v>
      </c>
      <c r="BP37" s="84">
        <v>0.54702861803735603</v>
      </c>
      <c r="BQ37" s="84">
        <v>0.53682366706802331</v>
      </c>
      <c r="BR37" s="84">
        <v>0.52488136929090012</v>
      </c>
      <c r="BS37" s="84">
        <v>0.53261457466311768</v>
      </c>
      <c r="BT37" s="84">
        <v>0.56074556030978639</v>
      </c>
      <c r="BU37" s="84">
        <v>0.54274678041134228</v>
      </c>
      <c r="BV37" s="84">
        <v>0.54902096141715284</v>
      </c>
      <c r="BW37" s="84">
        <v>0.55779054545643891</v>
      </c>
      <c r="BX37" s="84">
        <v>0.55405841081580687</v>
      </c>
      <c r="BY37" s="84">
        <v>0.53518274059627213</v>
      </c>
      <c r="BZ37" s="84">
        <v>0.54756646383267737</v>
      </c>
      <c r="CA37" s="84">
        <v>0.56057652017399306</v>
      </c>
      <c r="CB37" s="84">
        <v>0.55193385984332199</v>
      </c>
      <c r="CC37" s="84">
        <v>0.55700000000000005</v>
      </c>
      <c r="CD37" s="84">
        <v>0.57599999999999996</v>
      </c>
      <c r="CE37" s="84">
        <v>0.56799999999999995</v>
      </c>
      <c r="CF37" s="84">
        <v>0.53700000000000003</v>
      </c>
      <c r="CG37" s="84">
        <v>0.55800000000000005</v>
      </c>
      <c r="CH37" s="84">
        <v>0.55846055251423432</v>
      </c>
      <c r="CI37" s="84">
        <v>0.55798492933230626</v>
      </c>
      <c r="CJ37" s="84">
        <v>0.54400000000000004</v>
      </c>
      <c r="CK37" s="84">
        <v>0.56799999999999995</v>
      </c>
      <c r="CL37" s="84">
        <v>0.55800000000000005</v>
      </c>
      <c r="CM37" s="84">
        <v>0.53885812386689846</v>
      </c>
      <c r="CN37" s="84">
        <v>0.55121880477654561</v>
      </c>
      <c r="CO37" s="84">
        <v>0.56948545236428927</v>
      </c>
      <c r="CP37" s="84">
        <v>0.55736041660709756</v>
      </c>
      <c r="CQ37" s="84">
        <v>0.56492036761788222</v>
      </c>
      <c r="CR37" s="84">
        <v>0.57899999999999996</v>
      </c>
      <c r="CS37" s="84">
        <v>0.57258641080477812</v>
      </c>
      <c r="CT37" s="84">
        <v>0.54296622986835086</v>
      </c>
      <c r="CU37" s="84">
        <v>0.56225021091916505</v>
      </c>
      <c r="CV37" s="84">
        <v>0.57628001511804805</v>
      </c>
      <c r="CW37" s="84">
        <v>0.56710549713452962</v>
      </c>
      <c r="CX37" s="84">
        <v>0.55255375743334734</v>
      </c>
      <c r="CY37" s="84">
        <v>0.56499999999999995</v>
      </c>
      <c r="CZ37" s="84">
        <v>0.56000000000000005</v>
      </c>
      <c r="DA37" s="84">
        <v>0.54398448518017906</v>
      </c>
      <c r="DB37" s="84">
        <v>0.55424123072115361</v>
      </c>
      <c r="DC37" s="84">
        <v>0.58337693737153173</v>
      </c>
      <c r="DD37" s="84">
        <v>0.56407950654935191</v>
      </c>
      <c r="DE37" s="84">
        <v>0.55481563503126119</v>
      </c>
      <c r="DF37" s="84">
        <v>0.43964663111043101</v>
      </c>
      <c r="DG37" s="84">
        <v>0.52572967280401728</v>
      </c>
      <c r="DH37" s="84">
        <v>0.47228401254339486</v>
      </c>
      <c r="DI37" s="84">
        <v>0.50186712374145293</v>
      </c>
      <c r="DJ37" s="84">
        <v>0.54200000000000004</v>
      </c>
      <c r="DK37" s="84">
        <v>0.51946331263311851</v>
      </c>
    </row>
    <row r="38" spans="2:115" ht="6.75" customHeight="1">
      <c r="AU38" s="208"/>
      <c r="AW38" s="208"/>
      <c r="AY38" s="208"/>
      <c r="BA38" s="208"/>
      <c r="BB38" s="208"/>
      <c r="BD38" s="208"/>
      <c r="BF38" s="208"/>
      <c r="BH38" s="208"/>
      <c r="BI38" s="208"/>
      <c r="BK38" s="208"/>
      <c r="BM38" s="208"/>
      <c r="BO38" s="208"/>
      <c r="BP38" s="208"/>
      <c r="BR38" s="208"/>
      <c r="BT38" s="208"/>
      <c r="BV38" s="208"/>
      <c r="BW38" s="208"/>
      <c r="BY38" s="208"/>
      <c r="CA38" s="208"/>
    </row>
    <row r="39" spans="2:115" ht="18" customHeight="1">
      <c r="B39" s="233" t="s">
        <v>416</v>
      </c>
      <c r="C39" s="238" t="s">
        <v>416</v>
      </c>
      <c r="D39" s="239" t="str">
        <f t="shared" ref="D39:AI39" si="70">+D$3</f>
        <v>1TQ05</v>
      </c>
      <c r="E39" s="239" t="str">
        <f t="shared" si="70"/>
        <v>2TQ05</v>
      </c>
      <c r="F39" s="239" t="str">
        <f t="shared" si="70"/>
        <v>6M05</v>
      </c>
      <c r="G39" s="239" t="str">
        <f t="shared" si="70"/>
        <v>3TQ05</v>
      </c>
      <c r="H39" s="239" t="str">
        <f t="shared" si="70"/>
        <v>9M05</v>
      </c>
      <c r="I39" s="239" t="str">
        <f t="shared" si="70"/>
        <v>4TQ05</v>
      </c>
      <c r="J39" s="239">
        <f t="shared" si="70"/>
        <v>2005</v>
      </c>
      <c r="K39" s="239" t="str">
        <f t="shared" si="70"/>
        <v>1TQ06</v>
      </c>
      <c r="L39" s="239" t="str">
        <f t="shared" si="70"/>
        <v>2TQ06</v>
      </c>
      <c r="M39" s="239" t="str">
        <f t="shared" si="70"/>
        <v>6M06</v>
      </c>
      <c r="N39" s="239" t="str">
        <f t="shared" si="70"/>
        <v>3TQ06</v>
      </c>
      <c r="O39" s="239" t="str">
        <f t="shared" si="70"/>
        <v>9M06</v>
      </c>
      <c r="P39" s="239" t="str">
        <f t="shared" si="70"/>
        <v>4TQ06</v>
      </c>
      <c r="Q39" s="239">
        <f t="shared" si="70"/>
        <v>2006</v>
      </c>
      <c r="R39" s="239" t="str">
        <f t="shared" si="70"/>
        <v>1TQ07</v>
      </c>
      <c r="S39" s="239" t="str">
        <f t="shared" si="70"/>
        <v>2TQ07</v>
      </c>
      <c r="T39" s="239" t="str">
        <f t="shared" si="70"/>
        <v>6M07</v>
      </c>
      <c r="U39" s="239" t="str">
        <f t="shared" si="70"/>
        <v>3TQ07</v>
      </c>
      <c r="V39" s="239" t="str">
        <f t="shared" si="70"/>
        <v>9M07</v>
      </c>
      <c r="W39" s="239" t="str">
        <f t="shared" si="70"/>
        <v>4TQ07</v>
      </c>
      <c r="X39" s="239">
        <f t="shared" si="70"/>
        <v>2007</v>
      </c>
      <c r="Y39" s="239" t="str">
        <f t="shared" si="70"/>
        <v>1TQ08</v>
      </c>
      <c r="Z39" s="239" t="str">
        <f t="shared" si="70"/>
        <v>2TQ08</v>
      </c>
      <c r="AA39" s="239" t="str">
        <f t="shared" si="70"/>
        <v>6M08</v>
      </c>
      <c r="AB39" s="239" t="str">
        <f t="shared" si="70"/>
        <v>3TQ08</v>
      </c>
      <c r="AC39" s="239" t="str">
        <f t="shared" si="70"/>
        <v>9M08</v>
      </c>
      <c r="AD39" s="239" t="str">
        <f t="shared" si="70"/>
        <v>4TQ08</v>
      </c>
      <c r="AE39" s="239">
        <f t="shared" si="70"/>
        <v>2008</v>
      </c>
      <c r="AF39" s="239" t="str">
        <f t="shared" si="70"/>
        <v>1TQ09</v>
      </c>
      <c r="AG39" s="239" t="str">
        <f t="shared" si="70"/>
        <v>2TQ09</v>
      </c>
      <c r="AH39" s="239" t="str">
        <f t="shared" si="70"/>
        <v>6M09</v>
      </c>
      <c r="AI39" s="239" t="str">
        <f t="shared" si="70"/>
        <v>3TQ09</v>
      </c>
      <c r="AJ39" s="239" t="str">
        <f t="shared" ref="AJ39:BO39" si="71">+AJ$3</f>
        <v>9M09</v>
      </c>
      <c r="AK39" s="239" t="str">
        <f t="shared" si="71"/>
        <v>4TQ09</v>
      </c>
      <c r="AL39" s="239">
        <f t="shared" si="71"/>
        <v>2009</v>
      </c>
      <c r="AM39" s="239" t="str">
        <f t="shared" si="71"/>
        <v>1TQ10</v>
      </c>
      <c r="AN39" s="239" t="str">
        <f t="shared" si="71"/>
        <v>2TQ10</v>
      </c>
      <c r="AO39" s="239" t="str">
        <f t="shared" si="71"/>
        <v>6M10</v>
      </c>
      <c r="AP39" s="239" t="str">
        <f t="shared" si="71"/>
        <v>3TQ10</v>
      </c>
      <c r="AQ39" s="239" t="str">
        <f t="shared" si="71"/>
        <v>9M10</v>
      </c>
      <c r="AR39" s="239" t="str">
        <f t="shared" si="71"/>
        <v>4TQ10</v>
      </c>
      <c r="AS39" s="239">
        <f t="shared" si="71"/>
        <v>2010</v>
      </c>
      <c r="AT39" s="239" t="str">
        <f t="shared" si="71"/>
        <v>1TQ11</v>
      </c>
      <c r="AU39" s="239" t="str">
        <f t="shared" si="71"/>
        <v>2TQ11</v>
      </c>
      <c r="AV39" s="239" t="str">
        <f t="shared" si="71"/>
        <v>6M11</v>
      </c>
      <c r="AW39" s="239" t="str">
        <f t="shared" si="71"/>
        <v>3TQ11</v>
      </c>
      <c r="AX39" s="239" t="str">
        <f t="shared" si="71"/>
        <v>9M11</v>
      </c>
      <c r="AY39" s="239" t="str">
        <f t="shared" si="71"/>
        <v>4TQ11</v>
      </c>
      <c r="AZ39" s="239">
        <f t="shared" si="71"/>
        <v>2011</v>
      </c>
      <c r="BA39" s="239" t="str">
        <f t="shared" si="71"/>
        <v>1QT12</v>
      </c>
      <c r="BB39" s="239" t="str">
        <f t="shared" si="71"/>
        <v>2TQ12</v>
      </c>
      <c r="BC39" s="239" t="str">
        <f t="shared" si="71"/>
        <v>6M12</v>
      </c>
      <c r="BD39" s="239" t="str">
        <f t="shared" si="71"/>
        <v>3TQ12</v>
      </c>
      <c r="BE39" s="239" t="str">
        <f t="shared" si="71"/>
        <v>9M12</v>
      </c>
      <c r="BF39" s="239" t="str">
        <f t="shared" si="71"/>
        <v>4TQ12</v>
      </c>
      <c r="BG39" s="239">
        <f t="shared" si="71"/>
        <v>2012</v>
      </c>
      <c r="BH39" s="239" t="str">
        <f t="shared" si="71"/>
        <v>1TQ13</v>
      </c>
      <c r="BI39" s="239" t="str">
        <f t="shared" si="71"/>
        <v>2TQ13</v>
      </c>
      <c r="BJ39" s="239" t="str">
        <f t="shared" si="71"/>
        <v>6M13</v>
      </c>
      <c r="BK39" s="239" t="str">
        <f t="shared" si="71"/>
        <v>3TQ13</v>
      </c>
      <c r="BL39" s="239" t="str">
        <f t="shared" si="71"/>
        <v>9M13</v>
      </c>
      <c r="BM39" s="239" t="str">
        <f t="shared" si="71"/>
        <v>4TQ13</v>
      </c>
      <c r="BN39" s="239">
        <f t="shared" si="71"/>
        <v>2013</v>
      </c>
      <c r="BO39" s="239" t="str">
        <f t="shared" si="71"/>
        <v>1TQ14</v>
      </c>
      <c r="BP39" s="239" t="str">
        <f t="shared" ref="BP39:CS39" si="72">+BP$3</f>
        <v>2TQ14</v>
      </c>
      <c r="BQ39" s="239" t="str">
        <f t="shared" si="72"/>
        <v>6M14</v>
      </c>
      <c r="BR39" s="239" t="str">
        <f t="shared" si="72"/>
        <v>3TQ14</v>
      </c>
      <c r="BS39" s="239" t="str">
        <f t="shared" si="72"/>
        <v>9M14</v>
      </c>
      <c r="BT39" s="239" t="str">
        <f t="shared" si="72"/>
        <v>4TQ14</v>
      </c>
      <c r="BU39" s="239">
        <f t="shared" si="72"/>
        <v>2014</v>
      </c>
      <c r="BV39" s="239" t="str">
        <f t="shared" si="72"/>
        <v>1TQ15</v>
      </c>
      <c r="BW39" s="239" t="str">
        <f t="shared" si="72"/>
        <v>2TQ15</v>
      </c>
      <c r="BX39" s="239" t="str">
        <f t="shared" si="72"/>
        <v>6M15</v>
      </c>
      <c r="BY39" s="239" t="str">
        <f t="shared" si="72"/>
        <v>3TQ15</v>
      </c>
      <c r="BZ39" s="239" t="str">
        <f t="shared" si="72"/>
        <v>9M15</v>
      </c>
      <c r="CA39" s="239" t="str">
        <f t="shared" si="72"/>
        <v>4TQ15</v>
      </c>
      <c r="CB39" s="239">
        <f t="shared" si="72"/>
        <v>2015</v>
      </c>
      <c r="CC39" s="239" t="str">
        <f t="shared" si="72"/>
        <v>1TQ16</v>
      </c>
      <c r="CD39" s="239" t="str">
        <f t="shared" si="72"/>
        <v>2TQ16</v>
      </c>
      <c r="CE39" s="239" t="str">
        <f t="shared" si="72"/>
        <v>6M16</v>
      </c>
      <c r="CF39" s="239" t="str">
        <f t="shared" si="72"/>
        <v>3TQ16</v>
      </c>
      <c r="CG39" s="239" t="str">
        <f t="shared" si="72"/>
        <v>9M16</v>
      </c>
      <c r="CH39" s="239" t="str">
        <f t="shared" si="72"/>
        <v>4TQ16</v>
      </c>
      <c r="CI39" s="239">
        <f t="shared" si="72"/>
        <v>2016</v>
      </c>
      <c r="CJ39" s="239" t="str">
        <f t="shared" si="72"/>
        <v>1TQ17</v>
      </c>
      <c r="CK39" s="239" t="str">
        <f t="shared" si="72"/>
        <v>2TQ17</v>
      </c>
      <c r="CL39" s="239" t="str">
        <f t="shared" si="72"/>
        <v>6M17</v>
      </c>
      <c r="CM39" s="239" t="str">
        <f t="shared" si="72"/>
        <v>3TQ17</v>
      </c>
      <c r="CN39" s="239" t="str">
        <f t="shared" si="72"/>
        <v>9M17</v>
      </c>
      <c r="CO39" s="239" t="str">
        <f t="shared" si="72"/>
        <v>4TQ17</v>
      </c>
      <c r="CP39" s="239">
        <f t="shared" si="72"/>
        <v>2017</v>
      </c>
      <c r="CQ39" s="239" t="str">
        <f t="shared" si="72"/>
        <v>1TQ18</v>
      </c>
      <c r="CR39" s="414" t="str">
        <f t="shared" si="72"/>
        <v>2TQ18</v>
      </c>
      <c r="CS39" s="414" t="str">
        <f t="shared" si="72"/>
        <v>6M18</v>
      </c>
      <c r="CT39" s="414" t="s">
        <v>1279</v>
      </c>
      <c r="CU39" s="414" t="s">
        <v>1314</v>
      </c>
      <c r="CV39" s="414" t="s">
        <v>1307</v>
      </c>
      <c r="CW39" s="414">
        <v>2018</v>
      </c>
      <c r="CX39" s="414" t="s">
        <v>1358</v>
      </c>
      <c r="CY39" s="414" t="s">
        <v>1362</v>
      </c>
      <c r="CZ39" s="414" t="str">
        <f t="shared" ref="CZ39:DK39" si="73">+CZ$3</f>
        <v>6M19</v>
      </c>
      <c r="DA39" s="239" t="str">
        <f t="shared" si="73"/>
        <v>3TQ19</v>
      </c>
      <c r="DB39" s="239" t="str">
        <f t="shared" si="73"/>
        <v>9M19</v>
      </c>
      <c r="DC39" s="239" t="str">
        <f t="shared" si="73"/>
        <v>4TQ19</v>
      </c>
      <c r="DD39" s="239">
        <f t="shared" si="73"/>
        <v>2019</v>
      </c>
      <c r="DE39" s="239" t="str">
        <f t="shared" si="73"/>
        <v>1TQ20</v>
      </c>
      <c r="DF39" s="414" t="str">
        <f>DF30</f>
        <v>2Q20</v>
      </c>
      <c r="DG39" s="414" t="str">
        <f t="shared" si="73"/>
        <v>6M20</v>
      </c>
      <c r="DH39" s="414" t="str">
        <f>DH30</f>
        <v>3Q20</v>
      </c>
      <c r="DI39" s="414" t="str">
        <f t="shared" si="73"/>
        <v>9M20</v>
      </c>
      <c r="DJ39" s="414" t="str">
        <f>DJ30</f>
        <v>4Q20</v>
      </c>
      <c r="DK39" s="414">
        <f t="shared" si="73"/>
        <v>2020</v>
      </c>
    </row>
    <row r="40" spans="2:115" s="416" customFormat="1" ht="18" customHeight="1">
      <c r="B40" s="564" t="s">
        <v>360</v>
      </c>
      <c r="C40" s="565" t="s">
        <v>378</v>
      </c>
      <c r="D40" s="566">
        <v>0</v>
      </c>
      <c r="E40" s="566">
        <v>0</v>
      </c>
      <c r="F40" s="566">
        <v>0</v>
      </c>
      <c r="G40" s="566">
        <v>0</v>
      </c>
      <c r="H40" s="566">
        <v>0</v>
      </c>
      <c r="I40" s="566">
        <v>0</v>
      </c>
      <c r="J40" s="566">
        <v>0</v>
      </c>
      <c r="K40" s="566">
        <v>0</v>
      </c>
      <c r="L40" s="566">
        <v>0</v>
      </c>
      <c r="M40" s="566">
        <v>0</v>
      </c>
      <c r="N40" s="566">
        <v>0</v>
      </c>
      <c r="O40" s="566">
        <v>0</v>
      </c>
      <c r="P40" s="566">
        <v>0</v>
      </c>
      <c r="Q40" s="566">
        <v>0</v>
      </c>
      <c r="R40" s="566">
        <v>0</v>
      </c>
      <c r="S40" s="566">
        <v>0</v>
      </c>
      <c r="T40" s="566">
        <v>0</v>
      </c>
      <c r="U40" s="566">
        <v>0</v>
      </c>
      <c r="V40" s="566">
        <v>0</v>
      </c>
      <c r="W40" s="566">
        <v>0</v>
      </c>
      <c r="X40" s="566">
        <v>0</v>
      </c>
      <c r="Y40" s="566">
        <v>0</v>
      </c>
      <c r="Z40" s="566">
        <v>0</v>
      </c>
      <c r="AA40" s="566">
        <v>0</v>
      </c>
      <c r="AB40" s="566">
        <v>0</v>
      </c>
      <c r="AC40" s="566">
        <v>0</v>
      </c>
      <c r="AD40" s="566">
        <v>0</v>
      </c>
      <c r="AE40" s="566">
        <v>0</v>
      </c>
      <c r="AF40" s="566">
        <v>0</v>
      </c>
      <c r="AG40" s="566">
        <v>0</v>
      </c>
      <c r="AH40" s="566">
        <v>0</v>
      </c>
      <c r="AI40" s="566">
        <v>0</v>
      </c>
      <c r="AJ40" s="566">
        <v>0</v>
      </c>
      <c r="AK40" s="566">
        <v>0</v>
      </c>
      <c r="AL40" s="566">
        <v>0</v>
      </c>
      <c r="AM40" s="566">
        <v>0</v>
      </c>
      <c r="AN40" s="566">
        <v>0</v>
      </c>
      <c r="AO40" s="566">
        <v>0</v>
      </c>
      <c r="AP40" s="566">
        <v>0</v>
      </c>
      <c r="AQ40" s="566">
        <v>0</v>
      </c>
      <c r="AR40" s="566">
        <v>0</v>
      </c>
      <c r="AS40" s="566">
        <v>0</v>
      </c>
      <c r="AT40" s="566">
        <v>27</v>
      </c>
      <c r="AU40" s="566">
        <f>AT40+1</f>
        <v>28</v>
      </c>
      <c r="AV40" s="566">
        <f>AU40</f>
        <v>28</v>
      </c>
      <c r="AW40" s="566">
        <v>28</v>
      </c>
      <c r="AX40" s="566">
        <f>AW40</f>
        <v>28</v>
      </c>
      <c r="AY40" s="566">
        <f>AW40+2</f>
        <v>30</v>
      </c>
      <c r="AZ40" s="566">
        <f>AY40</f>
        <v>30</v>
      </c>
      <c r="BA40" s="566">
        <v>31</v>
      </c>
      <c r="BB40" s="566">
        <v>33</v>
      </c>
      <c r="BC40" s="566">
        <f>BB40</f>
        <v>33</v>
      </c>
      <c r="BD40" s="566">
        <v>35</v>
      </c>
      <c r="BE40" s="566">
        <f>BD40</f>
        <v>35</v>
      </c>
      <c r="BF40" s="566">
        <v>40</v>
      </c>
      <c r="BG40" s="566">
        <f>BF40</f>
        <v>40</v>
      </c>
      <c r="BH40" s="566">
        <v>41</v>
      </c>
      <c r="BI40" s="566">
        <v>41</v>
      </c>
      <c r="BJ40" s="566">
        <f>BI40</f>
        <v>41</v>
      </c>
      <c r="BK40" s="566">
        <v>42</v>
      </c>
      <c r="BL40" s="566">
        <f>BK40</f>
        <v>42</v>
      </c>
      <c r="BM40" s="566">
        <v>46</v>
      </c>
      <c r="BN40" s="566">
        <f>BM40</f>
        <v>46</v>
      </c>
      <c r="BO40" s="566">
        <v>48</v>
      </c>
      <c r="BP40" s="566">
        <v>55</v>
      </c>
      <c r="BQ40" s="566">
        <f>BP40</f>
        <v>55</v>
      </c>
      <c r="BR40" s="566">
        <v>58</v>
      </c>
      <c r="BS40" s="566">
        <f>BR40</f>
        <v>58</v>
      </c>
      <c r="BT40" s="566">
        <v>59</v>
      </c>
      <c r="BU40" s="566">
        <f>BT40</f>
        <v>59</v>
      </c>
      <c r="BV40" s="566">
        <v>58</v>
      </c>
      <c r="BW40" s="566">
        <v>63</v>
      </c>
      <c r="BX40" s="566">
        <f>BW40</f>
        <v>63</v>
      </c>
      <c r="BY40" s="566">
        <v>64</v>
      </c>
      <c r="BZ40" s="566">
        <f>BY40</f>
        <v>64</v>
      </c>
      <c r="CA40" s="566">
        <v>68</v>
      </c>
      <c r="CB40" s="566">
        <f>CA40</f>
        <v>68</v>
      </c>
      <c r="CC40" s="566">
        <v>69</v>
      </c>
      <c r="CD40" s="566">
        <v>72</v>
      </c>
      <c r="CE40" s="566">
        <f>CD40</f>
        <v>72</v>
      </c>
      <c r="CF40" s="566">
        <v>76</v>
      </c>
      <c r="CG40" s="566">
        <f>CF40</f>
        <v>76</v>
      </c>
      <c r="CH40" s="566">
        <v>85</v>
      </c>
      <c r="CI40" s="566">
        <f>CH40</f>
        <v>85</v>
      </c>
      <c r="CJ40" s="566">
        <v>84</v>
      </c>
      <c r="CK40" s="566">
        <v>93</v>
      </c>
      <c r="CL40" s="566">
        <f>CK40</f>
        <v>93</v>
      </c>
      <c r="CM40" s="566">
        <v>96</v>
      </c>
      <c r="CN40" s="566">
        <f>CM40</f>
        <v>96</v>
      </c>
      <c r="CO40" s="566">
        <v>98</v>
      </c>
      <c r="CP40" s="566">
        <f>CO40</f>
        <v>98</v>
      </c>
      <c r="CQ40" s="566">
        <v>98</v>
      </c>
      <c r="CR40" s="566">
        <v>101</v>
      </c>
      <c r="CS40" s="566">
        <f>CR40</f>
        <v>101</v>
      </c>
      <c r="CT40" s="566">
        <v>107</v>
      </c>
      <c r="CU40" s="566">
        <f>CT40</f>
        <v>107</v>
      </c>
      <c r="CV40" s="566">
        <v>108</v>
      </c>
      <c r="CW40" s="566">
        <f>CV40</f>
        <v>108</v>
      </c>
      <c r="CX40" s="566">
        <v>110</v>
      </c>
      <c r="CY40" s="566">
        <v>113</v>
      </c>
      <c r="CZ40" s="566">
        <f>CY40</f>
        <v>113</v>
      </c>
      <c r="DA40" s="566">
        <v>113</v>
      </c>
      <c r="DB40" s="566">
        <f>DA40</f>
        <v>113</v>
      </c>
      <c r="DC40" s="566">
        <v>114</v>
      </c>
      <c r="DD40" s="566">
        <f>DC40</f>
        <v>114</v>
      </c>
      <c r="DE40" s="566">
        <v>112</v>
      </c>
      <c r="DF40" s="566">
        <f>DE40</f>
        <v>112</v>
      </c>
      <c r="DG40" s="566">
        <f>DF40</f>
        <v>112</v>
      </c>
      <c r="DH40" s="596">
        <v>113</v>
      </c>
      <c r="DI40" s="566">
        <f>DH40</f>
        <v>113</v>
      </c>
      <c r="DJ40" s="596">
        <v>113</v>
      </c>
      <c r="DK40" s="566">
        <f>DJ40</f>
        <v>113</v>
      </c>
    </row>
    <row r="41" spans="2:115" s="9" customFormat="1" ht="18" customHeight="1">
      <c r="B41" s="79" t="s">
        <v>1181</v>
      </c>
      <c r="C41" s="231" t="s">
        <v>1148</v>
      </c>
      <c r="D41" s="80">
        <v>0</v>
      </c>
      <c r="E41" s="80">
        <v>0</v>
      </c>
      <c r="F41" s="80">
        <v>0</v>
      </c>
      <c r="G41" s="80">
        <v>0</v>
      </c>
      <c r="H41" s="80">
        <v>0</v>
      </c>
      <c r="I41" s="80">
        <v>0</v>
      </c>
      <c r="J41" s="80">
        <v>0</v>
      </c>
      <c r="K41" s="80">
        <f>+K40-J40</f>
        <v>0</v>
      </c>
      <c r="L41" s="80">
        <f>+L40-K40</f>
        <v>0</v>
      </c>
      <c r="M41" s="80">
        <f>+M40-J40</f>
        <v>0</v>
      </c>
      <c r="N41" s="80">
        <f>+N40-M40</f>
        <v>0</v>
      </c>
      <c r="O41" s="80">
        <f>+O40-J40</f>
        <v>0</v>
      </c>
      <c r="P41" s="80">
        <f>+P40-O40</f>
        <v>0</v>
      </c>
      <c r="Q41" s="80">
        <f>+Q40-J40</f>
        <v>0</v>
      </c>
      <c r="R41" s="80">
        <f>+R40-Q40</f>
        <v>0</v>
      </c>
      <c r="S41" s="80">
        <f>+S40-R40</f>
        <v>0</v>
      </c>
      <c r="T41" s="80">
        <f>+T40-Q40</f>
        <v>0</v>
      </c>
      <c r="U41" s="80">
        <f>+U40-T40</f>
        <v>0</v>
      </c>
      <c r="V41" s="80">
        <f>+V40-Q40</f>
        <v>0</v>
      </c>
      <c r="W41" s="80">
        <f>+W40-V40</f>
        <v>0</v>
      </c>
      <c r="X41" s="80">
        <f>+X40-Q40</f>
        <v>0</v>
      </c>
      <c r="Y41" s="80">
        <f>+Y40-X40</f>
        <v>0</v>
      </c>
      <c r="Z41" s="80">
        <f>+Z40-Y40</f>
        <v>0</v>
      </c>
      <c r="AA41" s="80">
        <f>+AA40-X40</f>
        <v>0</v>
      </c>
      <c r="AB41" s="80">
        <f>+AB40-AA40</f>
        <v>0</v>
      </c>
      <c r="AC41" s="80">
        <f>+AC40-X40</f>
        <v>0</v>
      </c>
      <c r="AD41" s="80">
        <f>+AD40-AC40</f>
        <v>0</v>
      </c>
      <c r="AE41" s="80">
        <f>+AE40-X40</f>
        <v>0</v>
      </c>
      <c r="AF41" s="80">
        <f>+AF40-AE40</f>
        <v>0</v>
      </c>
      <c r="AG41" s="80">
        <f>+AG40-AF40</f>
        <v>0</v>
      </c>
      <c r="AH41" s="80">
        <f>+AH40-AE40</f>
        <v>0</v>
      </c>
      <c r="AI41" s="80">
        <f>+AI40-AH40</f>
        <v>0</v>
      </c>
      <c r="AJ41" s="80">
        <f>+AJ40-AE40</f>
        <v>0</v>
      </c>
      <c r="AK41" s="80">
        <f>+AK40-AJ40</f>
        <v>0</v>
      </c>
      <c r="AL41" s="80">
        <f>+AL40-AE40</f>
        <v>0</v>
      </c>
      <c r="AM41" s="80">
        <f>+AM40-AL40</f>
        <v>0</v>
      </c>
      <c r="AN41" s="80">
        <f>+AN40-AM40</f>
        <v>0</v>
      </c>
      <c r="AO41" s="80">
        <f>+AO40-AL40</f>
        <v>0</v>
      </c>
      <c r="AP41" s="80">
        <f>+AP40-AO40</f>
        <v>0</v>
      </c>
      <c r="AQ41" s="80">
        <f>+AQ40-AL40</f>
        <v>0</v>
      </c>
      <c r="AR41" s="80">
        <f>+AR40-AQ40</f>
        <v>0</v>
      </c>
      <c r="AS41" s="80">
        <f>+AS40-AL40</f>
        <v>0</v>
      </c>
      <c r="AT41" s="80">
        <f>+AT40-AS40</f>
        <v>27</v>
      </c>
      <c r="AU41" s="80">
        <f>+AU40-AT40</f>
        <v>1</v>
      </c>
      <c r="AV41" s="80">
        <f>+AV40-AS40</f>
        <v>28</v>
      </c>
      <c r="AW41" s="80">
        <f>+AW40-AV40</f>
        <v>0</v>
      </c>
      <c r="AX41" s="80">
        <f>+AX40-AS40</f>
        <v>28</v>
      </c>
      <c r="AY41" s="80">
        <f>+AY40-AX40</f>
        <v>2</v>
      </c>
      <c r="AZ41" s="80">
        <f>+AZ40-AS40</f>
        <v>30</v>
      </c>
      <c r="BA41" s="80">
        <f>+BA40-AZ40</f>
        <v>1</v>
      </c>
      <c r="BB41" s="80">
        <f>+BB40-BA40</f>
        <v>2</v>
      </c>
      <c r="BC41" s="80">
        <f>+BC40-AZ40</f>
        <v>3</v>
      </c>
      <c r="BD41" s="80">
        <f>+BD40-BC40</f>
        <v>2</v>
      </c>
      <c r="BE41" s="80">
        <f>+BE40-AZ40</f>
        <v>5</v>
      </c>
      <c r="BF41" s="80">
        <f>+BF40-BE40</f>
        <v>5</v>
      </c>
      <c r="BG41" s="80">
        <f>+BG40-AZ40</f>
        <v>10</v>
      </c>
      <c r="BH41" s="80">
        <f>+BH40-BG40</f>
        <v>1</v>
      </c>
      <c r="BI41" s="80">
        <f>+BI40-BH40</f>
        <v>0</v>
      </c>
      <c r="BJ41" s="80">
        <f>+BJ40-BG40</f>
        <v>1</v>
      </c>
      <c r="BK41" s="80">
        <f>+BK40-BJ40</f>
        <v>1</v>
      </c>
      <c r="BL41" s="80">
        <f>+BL40-BG40</f>
        <v>2</v>
      </c>
      <c r="BM41" s="80">
        <f>+BM40-BL40</f>
        <v>4</v>
      </c>
      <c r="BN41" s="80">
        <f>+BN40-BG40</f>
        <v>6</v>
      </c>
      <c r="BO41" s="80">
        <f>+BO40-BN40</f>
        <v>2</v>
      </c>
      <c r="BP41" s="80">
        <f>+BP40-BO40</f>
        <v>7</v>
      </c>
      <c r="BQ41" s="80">
        <f>+BQ40-BN40</f>
        <v>9</v>
      </c>
      <c r="BR41" s="80">
        <f>+BR40-BQ40</f>
        <v>3</v>
      </c>
      <c r="BS41" s="80">
        <f>+BS40-BN40</f>
        <v>12</v>
      </c>
      <c r="BT41" s="80">
        <f>+BT40-BS40</f>
        <v>1</v>
      </c>
      <c r="BU41" s="80">
        <f>+BU40-BN40</f>
        <v>13</v>
      </c>
      <c r="BV41" s="80">
        <f>+BV40-BU40</f>
        <v>-1</v>
      </c>
      <c r="BW41" s="80">
        <f>+BW40-BV40</f>
        <v>5</v>
      </c>
      <c r="BX41" s="80">
        <f>+BX40-BU40</f>
        <v>4</v>
      </c>
      <c r="BY41" s="80">
        <f>+BY40-BX40</f>
        <v>1</v>
      </c>
      <c r="BZ41" s="80">
        <f>+BZ40-BU40</f>
        <v>5</v>
      </c>
      <c r="CA41" s="80">
        <f>+CA40-BZ40</f>
        <v>4</v>
      </c>
      <c r="CB41" s="80">
        <f>+CB40-BU40</f>
        <v>9</v>
      </c>
      <c r="CC41" s="80">
        <f>+CC40-CB40</f>
        <v>1</v>
      </c>
      <c r="CD41" s="80">
        <f>+CD40-CC40</f>
        <v>3</v>
      </c>
      <c r="CE41" s="80">
        <f>+CE40-CB40</f>
        <v>4</v>
      </c>
      <c r="CF41" s="80">
        <f>+CF40-CE40</f>
        <v>4</v>
      </c>
      <c r="CG41" s="80">
        <f>+CG40-CB40</f>
        <v>8</v>
      </c>
      <c r="CH41" s="80">
        <f>+CH40-CG40</f>
        <v>9</v>
      </c>
      <c r="CI41" s="80">
        <f>+CI40-CB40</f>
        <v>17</v>
      </c>
      <c r="CJ41" s="80">
        <f>+CJ40-CI40</f>
        <v>-1</v>
      </c>
      <c r="CK41" s="80">
        <f>+CK40-CJ40</f>
        <v>9</v>
      </c>
      <c r="CL41" s="80">
        <f>+CL40-CI40</f>
        <v>8</v>
      </c>
      <c r="CM41" s="80">
        <f>+CM40-CL40</f>
        <v>3</v>
      </c>
      <c r="CN41" s="80">
        <f>+CN40-CI40</f>
        <v>11</v>
      </c>
      <c r="CO41" s="80">
        <f>+CO40-CN40</f>
        <v>2</v>
      </c>
      <c r="CP41" s="80">
        <f>+CP40-CI40</f>
        <v>13</v>
      </c>
      <c r="CQ41" s="80">
        <f>+CQ40-CP40</f>
        <v>0</v>
      </c>
      <c r="CR41" s="80">
        <f>+CR40-CQ40</f>
        <v>3</v>
      </c>
      <c r="CS41" s="80">
        <f>+CS40-CP40</f>
        <v>3</v>
      </c>
      <c r="CT41" s="80">
        <f>+CT40-CS40</f>
        <v>6</v>
      </c>
      <c r="CU41" s="80">
        <f>CS41+CT41</f>
        <v>9</v>
      </c>
      <c r="CV41" s="80">
        <f>+CV40-CU40</f>
        <v>1</v>
      </c>
      <c r="CW41" s="80">
        <f>CU41+CV41</f>
        <v>10</v>
      </c>
      <c r="CX41" s="80">
        <f>+CX40-CW40</f>
        <v>2</v>
      </c>
      <c r="CY41" s="80">
        <f>+CY40-CX40</f>
        <v>3</v>
      </c>
      <c r="CZ41" s="80">
        <f>+CZ40-CW40</f>
        <v>5</v>
      </c>
      <c r="DA41" s="80">
        <f>+DA40-CZ40</f>
        <v>0</v>
      </c>
      <c r="DB41" s="80">
        <f>+DB40-CW40</f>
        <v>5</v>
      </c>
      <c r="DC41" s="80">
        <f>+DC40-DB40</f>
        <v>1</v>
      </c>
      <c r="DD41" s="80">
        <f>+DD40-CW40</f>
        <v>6</v>
      </c>
      <c r="DE41" s="80">
        <f>+DE40-DD40</f>
        <v>-2</v>
      </c>
      <c r="DF41" s="80">
        <f>+DF40-DE40</f>
        <v>0</v>
      </c>
      <c r="DG41" s="80">
        <f>+DG40-DD40</f>
        <v>-2</v>
      </c>
      <c r="DH41" s="597">
        <f>+DH40-DG40</f>
        <v>1</v>
      </c>
      <c r="DI41" s="80">
        <f>+DI40-DC40</f>
        <v>-1</v>
      </c>
      <c r="DJ41" s="597">
        <f>+DJ40-DI40</f>
        <v>0</v>
      </c>
      <c r="DK41" s="80">
        <f>+DK40-DD40</f>
        <v>-1</v>
      </c>
    </row>
    <row r="42" spans="2:115" s="9" customFormat="1" ht="18" hidden="1" customHeight="1">
      <c r="B42" s="79" t="s">
        <v>1442</v>
      </c>
      <c r="C42" s="231"/>
      <c r="D42" s="234"/>
      <c r="E42" s="234"/>
      <c r="F42" s="234"/>
      <c r="G42" s="234"/>
      <c r="H42" s="234"/>
      <c r="I42" s="234"/>
      <c r="J42" s="234"/>
      <c r="K42" s="234"/>
      <c r="L42" s="234"/>
      <c r="M42" s="234"/>
      <c r="N42" s="234"/>
      <c r="O42" s="234"/>
      <c r="P42" s="234"/>
      <c r="Q42" s="234"/>
      <c r="R42" s="234"/>
      <c r="S42" s="235"/>
      <c r="T42" s="235"/>
      <c r="U42" s="235"/>
      <c r="V42" s="235"/>
      <c r="W42" s="235"/>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c r="BZ42" s="235"/>
      <c r="CA42" s="235"/>
      <c r="CB42" s="235"/>
      <c r="CC42" s="235"/>
      <c r="CD42" s="235"/>
      <c r="CE42" s="235"/>
      <c r="CF42" s="235"/>
      <c r="CG42" s="235"/>
      <c r="CH42" s="235"/>
      <c r="CI42" s="235"/>
      <c r="CJ42" s="235"/>
      <c r="CK42" s="235"/>
      <c r="CL42" s="235"/>
      <c r="CM42" s="235"/>
      <c r="CN42" s="235"/>
      <c r="CO42" s="235"/>
      <c r="CP42" s="235"/>
      <c r="CQ42" s="235"/>
      <c r="CR42" s="235"/>
      <c r="CS42" s="235"/>
      <c r="CT42" s="235"/>
      <c r="CU42" s="235"/>
      <c r="CV42" s="235"/>
      <c r="CW42" s="235"/>
      <c r="CX42" s="235"/>
      <c r="CY42" s="235"/>
      <c r="CZ42" s="235"/>
      <c r="DA42" s="235"/>
      <c r="DB42" s="235"/>
      <c r="DC42" s="235"/>
      <c r="DD42" s="235"/>
      <c r="DE42" s="235"/>
      <c r="DF42" s="235"/>
      <c r="DG42" s="235"/>
      <c r="DH42" s="591"/>
      <c r="DI42" s="235"/>
      <c r="DJ42" s="591"/>
      <c r="DK42" s="235"/>
    </row>
    <row r="43" spans="2:115" s="9" customFormat="1" ht="18" hidden="1" customHeight="1">
      <c r="B43" s="79" t="s">
        <v>1443</v>
      </c>
      <c r="C43" s="231"/>
      <c r="D43" s="234"/>
      <c r="E43" s="234"/>
      <c r="F43" s="234"/>
      <c r="G43" s="234"/>
      <c r="H43" s="234"/>
      <c r="I43" s="234"/>
      <c r="J43" s="234"/>
      <c r="K43" s="234"/>
      <c r="L43" s="234"/>
      <c r="M43" s="234"/>
      <c r="N43" s="234"/>
      <c r="O43" s="234"/>
      <c r="P43" s="234"/>
      <c r="Q43" s="234"/>
      <c r="R43" s="234"/>
      <c r="S43" s="235"/>
      <c r="T43" s="235"/>
      <c r="U43" s="235"/>
      <c r="V43" s="235"/>
      <c r="W43" s="235"/>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c r="BZ43" s="235"/>
      <c r="CA43" s="235"/>
      <c r="CB43" s="235"/>
      <c r="CC43" s="235"/>
      <c r="CD43" s="235"/>
      <c r="CE43" s="235"/>
      <c r="CF43" s="235"/>
      <c r="CG43" s="235"/>
      <c r="CH43" s="235"/>
      <c r="CI43" s="235"/>
      <c r="CJ43" s="235"/>
      <c r="CK43" s="235"/>
      <c r="CL43" s="235"/>
      <c r="CM43" s="235"/>
      <c r="CN43" s="235"/>
      <c r="CO43" s="235"/>
      <c r="CP43" s="235"/>
      <c r="CQ43" s="235"/>
      <c r="CR43" s="235"/>
      <c r="CS43" s="235"/>
      <c r="CT43" s="235"/>
      <c r="CU43" s="235"/>
      <c r="CV43" s="235"/>
      <c r="CW43" s="235"/>
      <c r="CX43" s="235"/>
      <c r="CY43" s="235"/>
      <c r="CZ43" s="235"/>
      <c r="DA43" s="235"/>
      <c r="DB43" s="235"/>
      <c r="DC43" s="235"/>
      <c r="DD43" s="235"/>
      <c r="DE43" s="235"/>
      <c r="DF43" s="235"/>
      <c r="DG43" s="235"/>
      <c r="DH43" s="591"/>
      <c r="DI43" s="235"/>
      <c r="DJ43" s="591"/>
      <c r="DK43" s="235"/>
    </row>
    <row r="44" spans="2:115" s="9" customFormat="1" ht="18" customHeight="1">
      <c r="B44" s="79" t="s">
        <v>413</v>
      </c>
      <c r="C44" s="231" t="s">
        <v>381</v>
      </c>
      <c r="D44" s="82">
        <v>0</v>
      </c>
      <c r="E44" s="82">
        <v>0</v>
      </c>
      <c r="F44" s="82">
        <v>0</v>
      </c>
      <c r="G44" s="82">
        <v>0</v>
      </c>
      <c r="H44" s="82">
        <v>0</v>
      </c>
      <c r="I44" s="82">
        <v>0</v>
      </c>
      <c r="J44" s="82">
        <v>0</v>
      </c>
      <c r="K44" s="82">
        <v>0</v>
      </c>
      <c r="L44" s="82">
        <v>0</v>
      </c>
      <c r="M44" s="82">
        <v>0</v>
      </c>
      <c r="N44" s="82">
        <v>0</v>
      </c>
      <c r="O44" s="82">
        <v>0</v>
      </c>
      <c r="P44" s="82">
        <v>0</v>
      </c>
      <c r="Q44" s="82">
        <v>0</v>
      </c>
      <c r="R44" s="82">
        <v>0</v>
      </c>
      <c r="S44" s="82">
        <v>0</v>
      </c>
      <c r="T44" s="82">
        <v>0</v>
      </c>
      <c r="U44" s="82">
        <v>0</v>
      </c>
      <c r="V44" s="82">
        <v>0</v>
      </c>
      <c r="W44" s="82">
        <v>0</v>
      </c>
      <c r="X44" s="82">
        <v>0</v>
      </c>
      <c r="Y44" s="82">
        <v>0</v>
      </c>
      <c r="Z44" s="82">
        <v>0</v>
      </c>
      <c r="AA44" s="82">
        <v>0</v>
      </c>
      <c r="AB44" s="82">
        <v>0</v>
      </c>
      <c r="AC44" s="82">
        <v>0</v>
      </c>
      <c r="AD44" s="82">
        <v>0</v>
      </c>
      <c r="AE44" s="82">
        <v>0</v>
      </c>
      <c r="AF44" s="82">
        <v>0</v>
      </c>
      <c r="AG44" s="82">
        <v>0</v>
      </c>
      <c r="AH44" s="82">
        <v>0</v>
      </c>
      <c r="AI44" s="82">
        <v>0</v>
      </c>
      <c r="AJ44" s="82">
        <v>0</v>
      </c>
      <c r="AK44" s="82">
        <v>0</v>
      </c>
      <c r="AL44" s="82">
        <v>0</v>
      </c>
      <c r="AM44" s="82">
        <v>0</v>
      </c>
      <c r="AN44" s="82">
        <v>0</v>
      </c>
      <c r="AO44" s="82">
        <v>0</v>
      </c>
      <c r="AP44" s="82">
        <v>0</v>
      </c>
      <c r="AQ44" s="82">
        <v>0</v>
      </c>
      <c r="AR44" s="82">
        <v>0</v>
      </c>
      <c r="AS44" s="82">
        <v>0</v>
      </c>
      <c r="AT44" s="82">
        <v>15.257999999999999</v>
      </c>
      <c r="AU44" s="82">
        <v>15.728</v>
      </c>
      <c r="AV44" s="82">
        <v>15.728</v>
      </c>
      <c r="AW44" s="82">
        <v>15.728</v>
      </c>
      <c r="AX44" s="82">
        <v>15.728</v>
      </c>
      <c r="AY44" s="82">
        <v>16.8</v>
      </c>
      <c r="AZ44" s="82">
        <v>16.8</v>
      </c>
      <c r="BA44" s="82">
        <v>17.38</v>
      </c>
      <c r="BB44" s="82">
        <v>18.225999999999999</v>
      </c>
      <c r="BC44" s="82">
        <v>18.225999999999999</v>
      </c>
      <c r="BD44" s="82">
        <v>19.033999999999999</v>
      </c>
      <c r="BE44" s="82">
        <v>19.033999999999999</v>
      </c>
      <c r="BF44" s="82">
        <v>20.709</v>
      </c>
      <c r="BG44" s="82">
        <v>20.709</v>
      </c>
      <c r="BH44" s="82">
        <v>21.085999999999999</v>
      </c>
      <c r="BI44" s="82">
        <v>21.085999999999999</v>
      </c>
      <c r="BJ44" s="82">
        <v>21.085999999999999</v>
      </c>
      <c r="BK44" s="82">
        <v>21.476900000000001</v>
      </c>
      <c r="BL44" s="82">
        <v>21.476900000000001</v>
      </c>
      <c r="BM44" s="82">
        <v>22.988</v>
      </c>
      <c r="BN44" s="82">
        <v>22.988</v>
      </c>
      <c r="BO44" s="82">
        <v>23.652999999999999</v>
      </c>
      <c r="BP44" s="82">
        <v>26.2</v>
      </c>
      <c r="BQ44" s="82">
        <v>26.2</v>
      </c>
      <c r="BR44" s="82">
        <v>27.2</v>
      </c>
      <c r="BS44" s="82">
        <f>BR44</f>
        <v>27.2</v>
      </c>
      <c r="BT44" s="82">
        <v>27.6</v>
      </c>
      <c r="BU44" s="82">
        <v>27.6</v>
      </c>
      <c r="BV44" s="82">
        <v>26.7</v>
      </c>
      <c r="BW44" s="82">
        <v>28.934000000000001</v>
      </c>
      <c r="BX44" s="82">
        <f>BW44</f>
        <v>28.934000000000001</v>
      </c>
      <c r="BY44" s="82">
        <v>29</v>
      </c>
      <c r="BZ44" s="82">
        <f>BY44</f>
        <v>29</v>
      </c>
      <c r="CA44" s="82">
        <v>30.69547</v>
      </c>
      <c r="CB44" s="82">
        <f>CA44</f>
        <v>30.69547</v>
      </c>
      <c r="CC44" s="82">
        <v>31.097940000000001</v>
      </c>
      <c r="CD44" s="82">
        <v>32.5</v>
      </c>
      <c r="CE44" s="82">
        <f>CD44</f>
        <v>32.5</v>
      </c>
      <c r="CF44" s="82">
        <v>33.81447</v>
      </c>
      <c r="CG44" s="82">
        <f>CF44</f>
        <v>33.81447</v>
      </c>
      <c r="CH44" s="82">
        <v>37.513259999999995</v>
      </c>
      <c r="CI44" s="82">
        <f>CH44</f>
        <v>37.513259999999995</v>
      </c>
      <c r="CJ44" s="82">
        <v>36.662570000000002</v>
      </c>
      <c r="CK44" s="82">
        <v>40.119999999999997</v>
      </c>
      <c r="CL44" s="82">
        <f>CK44</f>
        <v>40.119999999999997</v>
      </c>
      <c r="CM44" s="82">
        <v>41.438139999999997</v>
      </c>
      <c r="CN44" s="82">
        <v>41.438139999999997</v>
      </c>
      <c r="CO44" s="82">
        <v>42.099200000000003</v>
      </c>
      <c r="CP44" s="82">
        <f>CO44</f>
        <v>42.099200000000003</v>
      </c>
      <c r="CQ44" s="82">
        <v>42.099200000000003</v>
      </c>
      <c r="CR44" s="82">
        <v>43.517769999999977</v>
      </c>
      <c r="CS44" s="82">
        <f>CR44</f>
        <v>43.517769999999977</v>
      </c>
      <c r="CT44" s="82">
        <v>46.406519999999979</v>
      </c>
      <c r="CU44" s="82">
        <v>46.406519999999979</v>
      </c>
      <c r="CV44" s="82">
        <v>46.768429999999988</v>
      </c>
      <c r="CW44" s="82">
        <f>CV44</f>
        <v>46.768429999999988</v>
      </c>
      <c r="CX44" s="82">
        <v>47.557510000000001</v>
      </c>
      <c r="CY44" s="82">
        <v>49.118369999999999</v>
      </c>
      <c r="CZ44" s="82">
        <f>CY44</f>
        <v>49.118369999999999</v>
      </c>
      <c r="DA44" s="82">
        <v>48.43188</v>
      </c>
      <c r="DB44" s="82">
        <f>DA44</f>
        <v>48.43188</v>
      </c>
      <c r="DC44" s="82">
        <v>48.726179999999999</v>
      </c>
      <c r="DD44" s="82">
        <f>DC44</f>
        <v>48.726179999999999</v>
      </c>
      <c r="DE44" s="82">
        <v>47.895000000000003</v>
      </c>
      <c r="DF44" s="82">
        <f>DE44</f>
        <v>47.895000000000003</v>
      </c>
      <c r="DG44" s="82">
        <f>DF44</f>
        <v>47.895000000000003</v>
      </c>
      <c r="DH44" s="82">
        <v>48.58381</v>
      </c>
      <c r="DI44" s="82">
        <f>DH44</f>
        <v>48.58381</v>
      </c>
      <c r="DJ44" s="82">
        <v>48.292819999999992</v>
      </c>
      <c r="DK44" s="82">
        <f>DJ44</f>
        <v>48.292819999999992</v>
      </c>
    </row>
    <row r="45" spans="2:115" s="9" customFormat="1" ht="18" customHeight="1">
      <c r="B45" s="79" t="s">
        <v>1083</v>
      </c>
      <c r="C45" s="231" t="s">
        <v>408</v>
      </c>
      <c r="D45" s="82">
        <v>0</v>
      </c>
      <c r="E45" s="82">
        <v>0</v>
      </c>
      <c r="F45" s="82">
        <v>0</v>
      </c>
      <c r="G45" s="82">
        <v>0</v>
      </c>
      <c r="H45" s="82">
        <v>0</v>
      </c>
      <c r="I45" s="82">
        <v>0</v>
      </c>
      <c r="J45" s="82">
        <v>0</v>
      </c>
      <c r="K45" s="82">
        <v>0</v>
      </c>
      <c r="L45" s="82">
        <v>0</v>
      </c>
      <c r="M45" s="82">
        <v>0</v>
      </c>
      <c r="N45" s="82">
        <v>0</v>
      </c>
      <c r="O45" s="82">
        <v>0</v>
      </c>
      <c r="P45" s="82">
        <v>0</v>
      </c>
      <c r="Q45" s="82">
        <v>0</v>
      </c>
      <c r="R45" s="82">
        <v>0</v>
      </c>
      <c r="S45" s="82">
        <v>0</v>
      </c>
      <c r="T45" s="82">
        <v>0</v>
      </c>
      <c r="U45" s="82">
        <v>0</v>
      </c>
      <c r="V45" s="82">
        <v>0</v>
      </c>
      <c r="W45" s="82">
        <v>0</v>
      </c>
      <c r="X45" s="82">
        <v>0</v>
      </c>
      <c r="Y45" s="82">
        <v>0</v>
      </c>
      <c r="Z45" s="82">
        <v>0</v>
      </c>
      <c r="AA45" s="82">
        <v>0</v>
      </c>
      <c r="AB45" s="82">
        <v>0</v>
      </c>
      <c r="AC45" s="82">
        <v>0</v>
      </c>
      <c r="AD45" s="82">
        <v>0</v>
      </c>
      <c r="AE45" s="82">
        <v>0</v>
      </c>
      <c r="AF45" s="82">
        <v>0</v>
      </c>
      <c r="AG45" s="82">
        <v>0</v>
      </c>
      <c r="AH45" s="82">
        <v>0</v>
      </c>
      <c r="AI45" s="82">
        <v>0</v>
      </c>
      <c r="AJ45" s="82">
        <v>0</v>
      </c>
      <c r="AK45" s="82">
        <v>0</v>
      </c>
      <c r="AL45" s="82">
        <v>0</v>
      </c>
      <c r="AM45" s="82">
        <v>0</v>
      </c>
      <c r="AN45" s="82">
        <v>0</v>
      </c>
      <c r="AO45" s="82">
        <v>0</v>
      </c>
      <c r="AP45" s="82">
        <v>0</v>
      </c>
      <c r="AQ45" s="82">
        <v>0</v>
      </c>
      <c r="AR45" s="82">
        <v>0</v>
      </c>
      <c r="AS45" s="82">
        <v>0</v>
      </c>
      <c r="AT45" s="82">
        <f>+AT44/AT40</f>
        <v>0.56511111111111112</v>
      </c>
      <c r="AU45" s="82">
        <f>+AU44/AU40</f>
        <v>0.56171428571428572</v>
      </c>
      <c r="AV45" s="82">
        <f>+AV44/AV40</f>
        <v>0.56171428571428572</v>
      </c>
      <c r="AW45" s="82">
        <f>+AW44/AW40</f>
        <v>0.56171428571428572</v>
      </c>
      <c r="AX45" s="82">
        <f t="shared" ref="AX45:CB45" si="74">+AX44/AX40</f>
        <v>0.56171428571428572</v>
      </c>
      <c r="AY45" s="82">
        <f t="shared" si="74"/>
        <v>0.56000000000000005</v>
      </c>
      <c r="AZ45" s="356">
        <f t="shared" si="74"/>
        <v>0.56000000000000005</v>
      </c>
      <c r="BA45" s="356">
        <f t="shared" si="74"/>
        <v>0.5606451612903226</v>
      </c>
      <c r="BB45" s="356">
        <f t="shared" si="74"/>
        <v>0.5523030303030303</v>
      </c>
      <c r="BC45" s="356">
        <f t="shared" si="74"/>
        <v>0.5523030303030303</v>
      </c>
      <c r="BD45" s="356">
        <f>+BD44/BD40</f>
        <v>0.54382857142857144</v>
      </c>
      <c r="BE45" s="356">
        <f t="shared" si="74"/>
        <v>0.54382857142857144</v>
      </c>
      <c r="BF45" s="356">
        <f t="shared" si="74"/>
        <v>0.51772499999999999</v>
      </c>
      <c r="BG45" s="356">
        <f t="shared" si="74"/>
        <v>0.51772499999999999</v>
      </c>
      <c r="BH45" s="356">
        <f t="shared" si="74"/>
        <v>0.51429268292682928</v>
      </c>
      <c r="BI45" s="356">
        <f t="shared" si="74"/>
        <v>0.51429268292682928</v>
      </c>
      <c r="BJ45" s="356">
        <f t="shared" si="74"/>
        <v>0.51429268292682928</v>
      </c>
      <c r="BK45" s="356">
        <f t="shared" si="74"/>
        <v>0.51135476190476192</v>
      </c>
      <c r="BL45" s="356">
        <f t="shared" si="74"/>
        <v>0.51135476190476192</v>
      </c>
      <c r="BM45" s="356">
        <f t="shared" si="74"/>
        <v>0.49973913043478257</v>
      </c>
      <c r="BN45" s="356">
        <f t="shared" si="74"/>
        <v>0.49973913043478257</v>
      </c>
      <c r="BO45" s="356">
        <f t="shared" si="74"/>
        <v>0.49277083333333332</v>
      </c>
      <c r="BP45" s="356">
        <f t="shared" si="74"/>
        <v>0.47636363636363638</v>
      </c>
      <c r="BQ45" s="356">
        <f t="shared" si="74"/>
        <v>0.47636363636363638</v>
      </c>
      <c r="BR45" s="356">
        <f t="shared" si="74"/>
        <v>0.4689655172413793</v>
      </c>
      <c r="BS45" s="356">
        <f t="shared" si="74"/>
        <v>0.4689655172413793</v>
      </c>
      <c r="BT45" s="356">
        <f t="shared" si="74"/>
        <v>0.46779661016949153</v>
      </c>
      <c r="BU45" s="356">
        <f t="shared" si="74"/>
        <v>0.46779661016949153</v>
      </c>
      <c r="BV45" s="356">
        <f t="shared" si="74"/>
        <v>0.46034482758620687</v>
      </c>
      <c r="BW45" s="356">
        <f t="shared" si="74"/>
        <v>0.45926984126984127</v>
      </c>
      <c r="BX45" s="356">
        <f t="shared" si="74"/>
        <v>0.45926984126984127</v>
      </c>
      <c r="BY45" s="356">
        <f t="shared" si="74"/>
        <v>0.453125</v>
      </c>
      <c r="BZ45" s="356">
        <f t="shared" si="74"/>
        <v>0.453125</v>
      </c>
      <c r="CA45" s="356">
        <f t="shared" si="74"/>
        <v>0.45140397058823528</v>
      </c>
      <c r="CB45" s="356">
        <f t="shared" si="74"/>
        <v>0.45140397058823528</v>
      </c>
      <c r="CC45" s="356">
        <f>+CC44/CC40</f>
        <v>0.45069478260869567</v>
      </c>
      <c r="CD45" s="356">
        <f>+CD44/CD40</f>
        <v>0.4513888888888889</v>
      </c>
      <c r="CE45" s="356">
        <f t="shared" ref="CE45:CI45" si="75">+CE44/CE40</f>
        <v>0.4513888888888889</v>
      </c>
      <c r="CF45" s="356">
        <f t="shared" si="75"/>
        <v>0.44492723684210528</v>
      </c>
      <c r="CG45" s="356">
        <f t="shared" si="75"/>
        <v>0.44492723684210528</v>
      </c>
      <c r="CH45" s="356">
        <f t="shared" si="75"/>
        <v>0.44133247058823522</v>
      </c>
      <c r="CI45" s="356">
        <f t="shared" si="75"/>
        <v>0.44133247058823522</v>
      </c>
      <c r="CJ45" s="356">
        <f>+CJ44/CJ40</f>
        <v>0.43645916666666668</v>
      </c>
      <c r="CK45" s="356">
        <f>+CK44/CK40</f>
        <v>0.43139784946236559</v>
      </c>
      <c r="CL45" s="356">
        <f t="shared" ref="CL45:CM45" si="76">+CL44/CL40</f>
        <v>0.43139784946236559</v>
      </c>
      <c r="CM45" s="356">
        <f t="shared" si="76"/>
        <v>0.43164729166666665</v>
      </c>
      <c r="CN45" s="356">
        <f t="shared" ref="CN45:CO45" si="77">+CN44/CN40</f>
        <v>0.43164729166666665</v>
      </c>
      <c r="CO45" s="356">
        <f t="shared" si="77"/>
        <v>0.42958367346938781</v>
      </c>
      <c r="CP45" s="356">
        <f t="shared" ref="CP45" si="78">+CP44/CP40</f>
        <v>0.42958367346938781</v>
      </c>
      <c r="CQ45" s="356">
        <f>+CQ44/CQ40</f>
        <v>0.42958367346938781</v>
      </c>
      <c r="CR45" s="356">
        <f>+CR44/CR40</f>
        <v>0.43086900990098986</v>
      </c>
      <c r="CS45" s="356">
        <f t="shared" ref="CS45" si="79">+CS44/CS40</f>
        <v>0.43086900990098986</v>
      </c>
      <c r="CT45" s="356">
        <f t="shared" ref="CT45:CY45" si="80">+CT44/CT40</f>
        <v>0.43370579439252316</v>
      </c>
      <c r="CU45" s="356">
        <f t="shared" si="80"/>
        <v>0.43370579439252316</v>
      </c>
      <c r="CV45" s="356">
        <f t="shared" si="80"/>
        <v>0.43304101851851839</v>
      </c>
      <c r="CW45" s="356">
        <f t="shared" si="80"/>
        <v>0.43304101851851839</v>
      </c>
      <c r="CX45" s="356">
        <f t="shared" si="80"/>
        <v>0.43234100000000003</v>
      </c>
      <c r="CY45" s="356">
        <f t="shared" si="80"/>
        <v>0.43467584070796461</v>
      </c>
      <c r="CZ45" s="356">
        <f t="shared" ref="CZ45:DB45" si="81">+CZ44/CZ40</f>
        <v>0.43467584070796461</v>
      </c>
      <c r="DA45" s="356">
        <f t="shared" si="81"/>
        <v>0.42860070796460176</v>
      </c>
      <c r="DB45" s="356">
        <f t="shared" si="81"/>
        <v>0.42860070796460176</v>
      </c>
      <c r="DC45" s="356">
        <f t="shared" ref="DC45:DD45" si="82">+DC44/DC40</f>
        <v>0.42742263157894739</v>
      </c>
      <c r="DD45" s="356">
        <f t="shared" si="82"/>
        <v>0.42742263157894739</v>
      </c>
      <c r="DE45" s="356">
        <f t="shared" ref="DE45:DG45" si="83">+DE44/DE40</f>
        <v>0.42763392857142862</v>
      </c>
      <c r="DF45" s="356">
        <f t="shared" si="83"/>
        <v>0.42763392857142862</v>
      </c>
      <c r="DG45" s="356">
        <f t="shared" si="83"/>
        <v>0.42763392857142862</v>
      </c>
      <c r="DH45" s="356">
        <f t="shared" ref="DH45:DI45" si="84">+DH44/DH40</f>
        <v>0.42994522123893802</v>
      </c>
      <c r="DI45" s="356">
        <f t="shared" si="84"/>
        <v>0.42994522123893802</v>
      </c>
      <c r="DJ45" s="356">
        <f t="shared" ref="DJ45:DK45" si="85">+DJ44/DJ40</f>
        <v>0.42737008849557517</v>
      </c>
      <c r="DK45" s="356">
        <f t="shared" si="85"/>
        <v>0.42737008849557517</v>
      </c>
    </row>
    <row r="46" spans="2:115" s="9" customFormat="1" ht="18" customHeight="1">
      <c r="B46" s="79" t="s">
        <v>1090</v>
      </c>
      <c r="C46" s="231" t="s">
        <v>428</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40.721904289999991</v>
      </c>
      <c r="BI46" s="82">
        <v>44.039665200000009</v>
      </c>
      <c r="BJ46" s="82">
        <v>84.761569489999999</v>
      </c>
      <c r="BK46" s="82">
        <v>46.054056839999987</v>
      </c>
      <c r="BL46" s="82">
        <v>130.81562632999999</v>
      </c>
      <c r="BM46" s="82">
        <v>61.967156269999997</v>
      </c>
      <c r="BN46" s="82">
        <v>192.78278259999999</v>
      </c>
      <c r="BO46" s="82">
        <v>45.365772700000001</v>
      </c>
      <c r="BP46" s="82">
        <v>55.548293349999987</v>
      </c>
      <c r="BQ46" s="82">
        <v>100.91406604999999</v>
      </c>
      <c r="BR46" s="82">
        <v>52.893536570000002</v>
      </c>
      <c r="BS46" s="82">
        <v>153.80760262000001</v>
      </c>
      <c r="BT46" s="82">
        <v>79.602951810000036</v>
      </c>
      <c r="BU46" s="82">
        <v>233.41055443000005</v>
      </c>
      <c r="BV46" s="82">
        <v>56.702676799999999</v>
      </c>
      <c r="BW46" s="82">
        <v>65.50685383000021</v>
      </c>
      <c r="BX46" s="82">
        <v>122.20953063000022</v>
      </c>
      <c r="BY46" s="82">
        <v>70.557607810000093</v>
      </c>
      <c r="BZ46" s="82">
        <v>192.76713844000031</v>
      </c>
      <c r="CA46" s="82">
        <v>101.98353217</v>
      </c>
      <c r="CB46" s="82">
        <v>294.75067061000038</v>
      </c>
      <c r="CC46" s="82">
        <v>67.8</v>
      </c>
      <c r="CD46" s="82">
        <v>80.736000000000004</v>
      </c>
      <c r="CE46" s="82">
        <v>148.51599999999999</v>
      </c>
      <c r="CF46" s="82">
        <v>81.593259880000232</v>
      </c>
      <c r="CG46" s="82">
        <v>230.1</v>
      </c>
      <c r="CH46" s="82">
        <v>118.30827736000003</v>
      </c>
      <c r="CI46" s="82">
        <v>348.41767638000005</v>
      </c>
      <c r="CJ46" s="82">
        <v>85.421000000000006</v>
      </c>
      <c r="CK46" s="82">
        <v>101.8</v>
      </c>
      <c r="CL46" s="82">
        <v>187.22200000000001</v>
      </c>
      <c r="CM46" s="82">
        <v>110.07299999999999</v>
      </c>
      <c r="CN46" s="82">
        <v>297.29503899999997</v>
      </c>
      <c r="CO46" s="82">
        <v>146.70941041000009</v>
      </c>
      <c r="CP46" s="82">
        <v>444.0041206300001</v>
      </c>
      <c r="CQ46" s="82">
        <v>101.58779016</v>
      </c>
      <c r="CR46" s="82">
        <v>114.10680934999999</v>
      </c>
      <c r="CS46" s="82">
        <v>215.69459950999996</v>
      </c>
      <c r="CT46" s="82">
        <v>121.0368014099999</v>
      </c>
      <c r="CU46" s="82">
        <v>336.73134832999989</v>
      </c>
      <c r="CV46" s="82">
        <v>168.27832018999999</v>
      </c>
      <c r="CW46" s="82">
        <v>505.00966851999988</v>
      </c>
      <c r="CX46" s="82">
        <v>113.49926604000001</v>
      </c>
      <c r="CY46" s="82">
        <v>117.23031178000002</v>
      </c>
      <c r="CZ46" s="82">
        <f>CY46+CX46</f>
        <v>230.72957782000003</v>
      </c>
      <c r="DA46" s="82">
        <v>116.60939334999999</v>
      </c>
      <c r="DB46" s="82">
        <v>347.33897117000004</v>
      </c>
      <c r="DC46" s="82">
        <v>177.68380674000002</v>
      </c>
      <c r="DD46" s="82">
        <v>525.02277791000006</v>
      </c>
      <c r="DE46" s="82">
        <v>108.07665738999999</v>
      </c>
      <c r="DF46" s="82">
        <v>49</v>
      </c>
      <c r="DG46" s="82">
        <v>157.1</v>
      </c>
      <c r="DH46" s="82">
        <v>146.57026763999997</v>
      </c>
      <c r="DI46" s="82">
        <v>303.67310415999998</v>
      </c>
      <c r="DJ46" s="82">
        <v>203.18919783000001</v>
      </c>
      <c r="DK46" s="82">
        <f>DI46+DJ46</f>
        <v>506.86230198999999</v>
      </c>
    </row>
    <row r="47" spans="2:115" s="9" customFormat="1" ht="18" customHeight="1">
      <c r="B47" s="79" t="s">
        <v>426</v>
      </c>
      <c r="C47" s="231" t="s">
        <v>429</v>
      </c>
      <c r="D47" s="82">
        <v>0</v>
      </c>
      <c r="E47" s="82">
        <v>0</v>
      </c>
      <c r="F47" s="82">
        <v>0</v>
      </c>
      <c r="G47" s="82">
        <v>0</v>
      </c>
      <c r="H47" s="82">
        <v>0</v>
      </c>
      <c r="I47" s="82">
        <v>0</v>
      </c>
      <c r="J47" s="82">
        <v>0</v>
      </c>
      <c r="K47" s="82">
        <v>0</v>
      </c>
      <c r="L47" s="82">
        <v>0</v>
      </c>
      <c r="M47" s="82">
        <v>0</v>
      </c>
      <c r="N47" s="82">
        <v>0</v>
      </c>
      <c r="O47" s="82">
        <v>0</v>
      </c>
      <c r="P47" s="82">
        <v>0</v>
      </c>
      <c r="Q47" s="82">
        <v>0</v>
      </c>
      <c r="R47" s="82">
        <v>0</v>
      </c>
      <c r="S47" s="82">
        <v>0</v>
      </c>
      <c r="T47" s="82">
        <v>0</v>
      </c>
      <c r="U47" s="82">
        <v>0</v>
      </c>
      <c r="V47" s="82">
        <v>0</v>
      </c>
      <c r="W47" s="82">
        <v>0</v>
      </c>
      <c r="X47" s="82">
        <v>0</v>
      </c>
      <c r="Y47" s="82">
        <v>0</v>
      </c>
      <c r="Z47" s="82">
        <v>0</v>
      </c>
      <c r="AA47" s="82">
        <v>0</v>
      </c>
      <c r="AB47" s="82">
        <v>0</v>
      </c>
      <c r="AC47" s="82">
        <v>0</v>
      </c>
      <c r="AD47" s="82">
        <v>0</v>
      </c>
      <c r="AE47" s="82">
        <v>0</v>
      </c>
      <c r="AF47" s="82">
        <v>0</v>
      </c>
      <c r="AG47" s="82">
        <v>0</v>
      </c>
      <c r="AH47" s="82">
        <v>0</v>
      </c>
      <c r="AI47" s="82">
        <v>0</v>
      </c>
      <c r="AJ47" s="82">
        <v>0</v>
      </c>
      <c r="AK47" s="82">
        <v>0</v>
      </c>
      <c r="AL47" s="82">
        <v>0</v>
      </c>
      <c r="AM47" s="82">
        <v>0</v>
      </c>
      <c r="AN47" s="82">
        <v>0</v>
      </c>
      <c r="AO47" s="82">
        <v>0</v>
      </c>
      <c r="AP47" s="82">
        <v>0</v>
      </c>
      <c r="AQ47" s="82">
        <v>0</v>
      </c>
      <c r="AR47" s="82">
        <v>0</v>
      </c>
      <c r="AS47" s="82">
        <v>0</v>
      </c>
      <c r="AT47" s="82">
        <v>0</v>
      </c>
      <c r="AU47" s="82">
        <v>0</v>
      </c>
      <c r="AV47" s="82">
        <v>0</v>
      </c>
      <c r="AW47" s="82">
        <v>0</v>
      </c>
      <c r="AX47" s="82">
        <v>0</v>
      </c>
      <c r="AY47" s="82">
        <v>0</v>
      </c>
      <c r="AZ47" s="82">
        <v>0</v>
      </c>
      <c r="BA47" s="82">
        <v>0</v>
      </c>
      <c r="BB47" s="82">
        <v>0</v>
      </c>
      <c r="BC47" s="82">
        <v>0</v>
      </c>
      <c r="BD47" s="82">
        <v>0</v>
      </c>
      <c r="BE47" s="82">
        <v>0</v>
      </c>
      <c r="BF47" s="82">
        <v>0</v>
      </c>
      <c r="BG47" s="82">
        <v>0</v>
      </c>
      <c r="BH47" s="82">
        <v>0</v>
      </c>
      <c r="BI47" s="82">
        <v>0</v>
      </c>
      <c r="BJ47" s="82">
        <v>0</v>
      </c>
      <c r="BK47" s="82">
        <v>0</v>
      </c>
      <c r="BL47" s="82">
        <v>0</v>
      </c>
      <c r="BM47" s="82">
        <v>0</v>
      </c>
      <c r="BN47" s="82">
        <v>0</v>
      </c>
      <c r="BO47" s="236">
        <f t="shared" ref="BO47:CG47" si="86">+BO46/BH46-1</f>
        <v>0.11403858662720734</v>
      </c>
      <c r="BP47" s="236">
        <f t="shared" si="86"/>
        <v>0.26132415171039902</v>
      </c>
      <c r="BQ47" s="236">
        <f t="shared" si="86"/>
        <v>0.19056391542992412</v>
      </c>
      <c r="BR47" s="236">
        <f t="shared" si="86"/>
        <v>0.14850982083427722</v>
      </c>
      <c r="BS47" s="236">
        <f t="shared" si="86"/>
        <v>0.17575863782511481</v>
      </c>
      <c r="BT47" s="236">
        <f t="shared" si="86"/>
        <v>0.28459907798831829</v>
      </c>
      <c r="BU47" s="236">
        <f t="shared" si="86"/>
        <v>0.21074377743731176</v>
      </c>
      <c r="BV47" s="236">
        <f t="shared" si="86"/>
        <v>0.24989994494241241</v>
      </c>
      <c r="BW47" s="236">
        <f t="shared" si="86"/>
        <v>0.17927752374412464</v>
      </c>
      <c r="BX47" s="236">
        <f t="shared" si="86"/>
        <v>0.21102573123402779</v>
      </c>
      <c r="BY47" s="236">
        <f t="shared" si="86"/>
        <v>0.33395519349747449</v>
      </c>
      <c r="BZ47" s="236">
        <f t="shared" si="86"/>
        <v>0.25330045561047121</v>
      </c>
      <c r="CA47" s="236">
        <f t="shared" si="86"/>
        <v>0.28115264385445093</v>
      </c>
      <c r="CB47" s="236">
        <f t="shared" si="86"/>
        <v>0.26279923943369177</v>
      </c>
      <c r="CC47" s="236">
        <v>0.19500000000000001</v>
      </c>
      <c r="CD47" s="236">
        <f t="shared" si="86"/>
        <v>0.23248172182901095</v>
      </c>
      <c r="CE47" s="236">
        <f t="shared" si="86"/>
        <v>0.21525710175293011</v>
      </c>
      <c r="CF47" s="236">
        <f t="shared" si="86"/>
        <v>0.15640626733997731</v>
      </c>
      <c r="CG47" s="236">
        <f t="shared" si="86"/>
        <v>0.19366818360287952</v>
      </c>
      <c r="CH47" s="236">
        <f t="shared" ref="CH47" si="87">+CH46/CA46-1</f>
        <v>0.16007236504407141</v>
      </c>
      <c r="CI47" s="236">
        <f t="shared" ref="CI47:CK47" si="88">+CI46/CB46-1</f>
        <v>0.18207594119780368</v>
      </c>
      <c r="CJ47" s="236">
        <f t="shared" si="88"/>
        <v>0.25989675516224198</v>
      </c>
      <c r="CK47" s="236">
        <f t="shared" si="88"/>
        <v>0.2608997225525167</v>
      </c>
      <c r="CL47" s="236">
        <f t="shared" ref="CL47:CN47" si="89">+CL46/CE46-1</f>
        <v>0.2606183845511596</v>
      </c>
      <c r="CM47" s="236">
        <f t="shared" ref="CM47" si="90">+CM46/CF46-1</f>
        <v>0.34904525400609199</v>
      </c>
      <c r="CN47" s="236">
        <f t="shared" si="89"/>
        <v>0.29202537592351141</v>
      </c>
      <c r="CO47" s="236">
        <f t="shared" ref="CO47" si="91">+CO46/CH46-1</f>
        <v>0.24006040560947661</v>
      </c>
      <c r="CP47" s="236">
        <f t="shared" ref="CP47:CY47" si="92">+CP46/CI46-1</f>
        <v>0.27434441685946265</v>
      </c>
      <c r="CQ47" s="236">
        <f t="shared" si="92"/>
        <v>0.18926013696866106</v>
      </c>
      <c r="CR47" s="236">
        <f t="shared" si="92"/>
        <v>0.12089203683693506</v>
      </c>
      <c r="CS47" s="236">
        <f t="shared" si="92"/>
        <v>0.15207934703186554</v>
      </c>
      <c r="CT47" s="236">
        <f t="shared" si="92"/>
        <v>9.9604820528194082E-2</v>
      </c>
      <c r="CU47" s="236">
        <f t="shared" si="92"/>
        <v>0.13265041173458636</v>
      </c>
      <c r="CV47" s="236">
        <f t="shared" si="92"/>
        <v>0.14701790239441737</v>
      </c>
      <c r="CW47" s="236">
        <f t="shared" si="92"/>
        <v>0.13739860748012567</v>
      </c>
      <c r="CX47" s="236">
        <f t="shared" si="92"/>
        <v>0.1172530267785088</v>
      </c>
      <c r="CY47" s="236">
        <f t="shared" si="92"/>
        <v>2.737349723292426E-2</v>
      </c>
      <c r="CZ47" s="236">
        <f t="shared" ref="CZ47" si="93">+CZ46/CS46-1</f>
        <v>6.9704936257817707E-2</v>
      </c>
      <c r="DA47" s="236">
        <f t="shared" ref="DA47" si="94">+DA46/CT46-1</f>
        <v>-3.6579023969763647E-2</v>
      </c>
      <c r="DB47" s="236">
        <f t="shared" ref="DB47" si="95">+DB46/CU46-1</f>
        <v>3.1501738381674471E-2</v>
      </c>
      <c r="DC47" s="236">
        <f t="shared" ref="DC47:DE47" si="96">+DC46/CV46-1</f>
        <v>5.5892443776360823E-2</v>
      </c>
      <c r="DD47" s="236">
        <f t="shared" ref="DD47" si="97">+DD46/CW46-1</f>
        <v>3.9629160860724433E-2</v>
      </c>
      <c r="DE47" s="236">
        <f t="shared" si="96"/>
        <v>-4.7776596617716938E-2</v>
      </c>
      <c r="DF47" s="236">
        <f t="shared" ref="DF47" si="98">+DF46/CY46-1</f>
        <v>-0.58201936635675144</v>
      </c>
      <c r="DG47" s="236">
        <f t="shared" ref="DG47" si="99">+DG46/CZ46-1</f>
        <v>-0.31911633747035661</v>
      </c>
      <c r="DH47" s="236">
        <f t="shared" ref="DH47" si="100">+DH46/DA46-1</f>
        <v>0.25693362626519467</v>
      </c>
      <c r="DI47" s="236">
        <f t="shared" ref="DI47" si="101">+DI46/DB46-1</f>
        <v>-0.12571542681465597</v>
      </c>
      <c r="DJ47" s="236">
        <f t="shared" ref="DJ47" si="102">+DJ46/DC46-1</f>
        <v>0.14354370022768226</v>
      </c>
      <c r="DK47" s="236">
        <f t="shared" ref="DK47" si="103">+DK46/DD46-1</f>
        <v>-3.4589881971012648E-2</v>
      </c>
    </row>
    <row r="48" spans="2:115" s="9" customFormat="1" ht="18" customHeight="1">
      <c r="B48" s="79" t="s">
        <v>427</v>
      </c>
      <c r="C48" s="231" t="s">
        <v>430</v>
      </c>
      <c r="D48" s="82">
        <v>0</v>
      </c>
      <c r="E48" s="82">
        <v>0</v>
      </c>
      <c r="F48" s="82">
        <v>0</v>
      </c>
      <c r="G48" s="82">
        <v>0</v>
      </c>
      <c r="H48" s="82">
        <v>0</v>
      </c>
      <c r="I48" s="82">
        <v>0</v>
      </c>
      <c r="J48" s="82">
        <v>0</v>
      </c>
      <c r="K48" s="82">
        <v>0</v>
      </c>
      <c r="L48" s="82">
        <v>0</v>
      </c>
      <c r="M48" s="82">
        <v>0</v>
      </c>
      <c r="N48" s="82">
        <v>0</v>
      </c>
      <c r="O48" s="82">
        <v>0</v>
      </c>
      <c r="P48" s="82">
        <v>0</v>
      </c>
      <c r="Q48" s="82">
        <v>0</v>
      </c>
      <c r="R48" s="82">
        <v>0</v>
      </c>
      <c r="S48" s="82">
        <v>0</v>
      </c>
      <c r="T48" s="82">
        <v>0</v>
      </c>
      <c r="U48" s="82">
        <v>0</v>
      </c>
      <c r="V48" s="82">
        <v>0</v>
      </c>
      <c r="W48" s="82">
        <v>0</v>
      </c>
      <c r="X48" s="82">
        <v>0</v>
      </c>
      <c r="Y48" s="82">
        <v>0</v>
      </c>
      <c r="Z48" s="82">
        <v>0</v>
      </c>
      <c r="AA48" s="82">
        <v>0</v>
      </c>
      <c r="AB48" s="82">
        <v>0</v>
      </c>
      <c r="AC48" s="82">
        <v>0</v>
      </c>
      <c r="AD48" s="82">
        <v>0</v>
      </c>
      <c r="AE48" s="82">
        <v>0</v>
      </c>
      <c r="AF48" s="82">
        <v>0</v>
      </c>
      <c r="AG48" s="82">
        <v>0</v>
      </c>
      <c r="AH48" s="82">
        <v>0</v>
      </c>
      <c r="AI48" s="82">
        <v>0</v>
      </c>
      <c r="AJ48" s="82">
        <v>0</v>
      </c>
      <c r="AK48" s="82">
        <v>0</v>
      </c>
      <c r="AL48" s="82">
        <v>0</v>
      </c>
      <c r="AM48" s="82">
        <v>0</v>
      </c>
      <c r="AN48" s="82">
        <v>0</v>
      </c>
      <c r="AO48" s="82">
        <v>0</v>
      </c>
      <c r="AP48" s="82">
        <v>0</v>
      </c>
      <c r="AQ48" s="82">
        <v>0</v>
      </c>
      <c r="AR48" s="82">
        <v>0</v>
      </c>
      <c r="AS48" s="82">
        <v>0</v>
      </c>
      <c r="AT48" s="82">
        <v>0</v>
      </c>
      <c r="AU48" s="82">
        <v>0</v>
      </c>
      <c r="AV48" s="82">
        <v>0</v>
      </c>
      <c r="AW48" s="82">
        <v>0</v>
      </c>
      <c r="AX48" s="82">
        <v>0</v>
      </c>
      <c r="AY48" s="82">
        <v>0</v>
      </c>
      <c r="AZ48" s="82">
        <v>0</v>
      </c>
      <c r="BA48" s="82">
        <v>0</v>
      </c>
      <c r="BB48" s="82">
        <v>0</v>
      </c>
      <c r="BC48" s="82">
        <v>0</v>
      </c>
      <c r="BD48" s="82">
        <v>0</v>
      </c>
      <c r="BE48" s="82">
        <v>0</v>
      </c>
      <c r="BF48" s="82">
        <v>0</v>
      </c>
      <c r="BG48" s="82">
        <v>0</v>
      </c>
      <c r="BH48" s="84">
        <v>0.39278458507471714</v>
      </c>
      <c r="BI48" s="84">
        <v>0.40092381719559483</v>
      </c>
      <c r="BJ48" s="84">
        <v>0.39701349517802553</v>
      </c>
      <c r="BK48" s="84">
        <v>0.45858041916639131</v>
      </c>
      <c r="BL48" s="84">
        <v>0.41868832636120135</v>
      </c>
      <c r="BM48" s="84">
        <v>0.44900000000000001</v>
      </c>
      <c r="BN48" s="84">
        <v>0.42853431315707141</v>
      </c>
      <c r="BO48" s="84">
        <v>0.45100000000000001</v>
      </c>
      <c r="BP48" s="84">
        <v>0.44297624114134915</v>
      </c>
      <c r="BQ48" s="84">
        <v>0.44656984158850072</v>
      </c>
      <c r="BR48" s="84">
        <v>0.4492810976734431</v>
      </c>
      <c r="BS48" s="84">
        <v>0.44750222672705486</v>
      </c>
      <c r="BT48" s="84">
        <v>0.47362676901717243</v>
      </c>
      <c r="BU48" s="84">
        <v>0.45641180961227185</v>
      </c>
      <c r="BV48" s="84">
        <v>0.46664786097011951</v>
      </c>
      <c r="BW48" s="84">
        <v>0.45933805213859491</v>
      </c>
      <c r="BX48" s="84">
        <v>0.46272965118579695</v>
      </c>
      <c r="BY48" s="84">
        <v>0.45041698998043528</v>
      </c>
      <c r="BZ48" s="84">
        <v>0.45822290834852797</v>
      </c>
      <c r="CA48" s="84">
        <v>0.48171539350204162</v>
      </c>
      <c r="CB48" s="84">
        <v>0.46635129228213629</v>
      </c>
      <c r="CC48" s="84">
        <v>0.53500000000000003</v>
      </c>
      <c r="CD48" s="84">
        <v>0.501</v>
      </c>
      <c r="CE48" s="84">
        <v>0.51600000000000001</v>
      </c>
      <c r="CF48" s="84">
        <v>0.52500000000000002</v>
      </c>
      <c r="CG48" s="84">
        <v>0.52</v>
      </c>
      <c r="CH48" s="84">
        <v>0.54304267100859505</v>
      </c>
      <c r="CI48" s="84">
        <v>0.52753573409271171</v>
      </c>
      <c r="CJ48" s="84">
        <v>0.54800000000000004</v>
      </c>
      <c r="CK48" s="84">
        <v>0.52700000000000002</v>
      </c>
      <c r="CL48" s="84">
        <v>0.53700000000000003</v>
      </c>
      <c r="CM48" s="84">
        <v>0.53451881492202569</v>
      </c>
      <c r="CN48" s="84">
        <v>0.53602590349513546</v>
      </c>
      <c r="CO48" s="84">
        <v>0.55195651344857721</v>
      </c>
      <c r="CP48" s="84">
        <v>0.54128975192614759</v>
      </c>
      <c r="CQ48" s="84">
        <v>0.52653665726711973</v>
      </c>
      <c r="CR48" s="84">
        <v>0.50449591719690201</v>
      </c>
      <c r="CS48" s="84">
        <v>0.51487666214014272</v>
      </c>
      <c r="CT48" s="84">
        <v>0.53271213332536838</v>
      </c>
      <c r="CU48" s="84">
        <v>0.52128755436804519</v>
      </c>
      <c r="CV48" s="84">
        <v>0.53270208496725313</v>
      </c>
      <c r="CW48" s="84">
        <v>0.52509108161658535</v>
      </c>
      <c r="CX48" s="84">
        <v>0.54100783857368451</v>
      </c>
      <c r="CY48" s="84">
        <v>0.52366069430238604</v>
      </c>
      <c r="CZ48" s="84">
        <v>0.53219400919545246</v>
      </c>
      <c r="DA48" s="84">
        <v>0.51</v>
      </c>
      <c r="DB48" s="84">
        <v>0.52485290817187047</v>
      </c>
      <c r="DC48" s="84">
        <v>0.49547276955194314</v>
      </c>
      <c r="DD48" s="84">
        <v>0.51490976838407154</v>
      </c>
      <c r="DE48" s="84">
        <v>0.52325331913191209</v>
      </c>
      <c r="DF48" s="84">
        <v>0.51400000000000001</v>
      </c>
      <c r="DG48" s="84">
        <v>0.52</v>
      </c>
      <c r="DH48" s="84">
        <v>0.52255446915140802</v>
      </c>
      <c r="DI48" s="84">
        <v>0.52136747222955004</v>
      </c>
      <c r="DJ48" s="84">
        <v>0.48899999999999999</v>
      </c>
      <c r="DK48" s="84">
        <v>0.50853675348908756</v>
      </c>
    </row>
    <row r="49" spans="2:115" ht="6.75" customHeight="1">
      <c r="AU49" s="208"/>
      <c r="AW49" s="208"/>
      <c r="AY49" s="208"/>
      <c r="BA49" s="208"/>
      <c r="BB49" s="208"/>
      <c r="BD49" s="208"/>
      <c r="BF49" s="208"/>
      <c r="BH49" s="208"/>
      <c r="BI49" s="208"/>
      <c r="BK49" s="208"/>
      <c r="BM49" s="208"/>
      <c r="BO49" s="208"/>
      <c r="BP49" s="208"/>
      <c r="BR49" s="208"/>
      <c r="BT49" s="208"/>
      <c r="BV49" s="208"/>
      <c r="BW49" s="208"/>
      <c r="BY49" s="208"/>
      <c r="CA49" s="208"/>
    </row>
    <row r="50" spans="2:115" ht="18" customHeight="1">
      <c r="B50" s="232" t="s">
        <v>417</v>
      </c>
      <c r="C50" s="232" t="s">
        <v>417</v>
      </c>
      <c r="D50" s="237" t="str">
        <f t="shared" ref="D50:AI50" si="104">+D$3</f>
        <v>1TQ05</v>
      </c>
      <c r="E50" s="237" t="str">
        <f t="shared" si="104"/>
        <v>2TQ05</v>
      </c>
      <c r="F50" s="237" t="str">
        <f t="shared" si="104"/>
        <v>6M05</v>
      </c>
      <c r="G50" s="237" t="str">
        <f t="shared" si="104"/>
        <v>3TQ05</v>
      </c>
      <c r="H50" s="237" t="str">
        <f t="shared" si="104"/>
        <v>9M05</v>
      </c>
      <c r="I50" s="237" t="str">
        <f t="shared" si="104"/>
        <v>4TQ05</v>
      </c>
      <c r="J50" s="237">
        <f t="shared" si="104"/>
        <v>2005</v>
      </c>
      <c r="K50" s="237" t="str">
        <f t="shared" si="104"/>
        <v>1TQ06</v>
      </c>
      <c r="L50" s="237" t="str">
        <f t="shared" si="104"/>
        <v>2TQ06</v>
      </c>
      <c r="M50" s="237" t="str">
        <f t="shared" si="104"/>
        <v>6M06</v>
      </c>
      <c r="N50" s="237" t="str">
        <f t="shared" si="104"/>
        <v>3TQ06</v>
      </c>
      <c r="O50" s="237" t="str">
        <f t="shared" si="104"/>
        <v>9M06</v>
      </c>
      <c r="P50" s="237" t="str">
        <f t="shared" si="104"/>
        <v>4TQ06</v>
      </c>
      <c r="Q50" s="237">
        <f t="shared" si="104"/>
        <v>2006</v>
      </c>
      <c r="R50" s="237" t="str">
        <f t="shared" si="104"/>
        <v>1TQ07</v>
      </c>
      <c r="S50" s="237" t="str">
        <f t="shared" si="104"/>
        <v>2TQ07</v>
      </c>
      <c r="T50" s="237" t="str">
        <f t="shared" si="104"/>
        <v>6M07</v>
      </c>
      <c r="U50" s="237" t="str">
        <f t="shared" si="104"/>
        <v>3TQ07</v>
      </c>
      <c r="V50" s="237" t="str">
        <f t="shared" si="104"/>
        <v>9M07</v>
      </c>
      <c r="W50" s="237" t="str">
        <f t="shared" si="104"/>
        <v>4TQ07</v>
      </c>
      <c r="X50" s="237">
        <f t="shared" si="104"/>
        <v>2007</v>
      </c>
      <c r="Y50" s="237" t="str">
        <f t="shared" si="104"/>
        <v>1TQ08</v>
      </c>
      <c r="Z50" s="237" t="str">
        <f t="shared" si="104"/>
        <v>2TQ08</v>
      </c>
      <c r="AA50" s="237" t="str">
        <f t="shared" si="104"/>
        <v>6M08</v>
      </c>
      <c r="AB50" s="237" t="str">
        <f t="shared" si="104"/>
        <v>3TQ08</v>
      </c>
      <c r="AC50" s="237" t="str">
        <f t="shared" si="104"/>
        <v>9M08</v>
      </c>
      <c r="AD50" s="237" t="str">
        <f t="shared" si="104"/>
        <v>4TQ08</v>
      </c>
      <c r="AE50" s="237">
        <f t="shared" si="104"/>
        <v>2008</v>
      </c>
      <c r="AF50" s="237" t="str">
        <f t="shared" si="104"/>
        <v>1TQ09</v>
      </c>
      <c r="AG50" s="237" t="str">
        <f t="shared" si="104"/>
        <v>2TQ09</v>
      </c>
      <c r="AH50" s="237" t="str">
        <f t="shared" si="104"/>
        <v>6M09</v>
      </c>
      <c r="AI50" s="237" t="str">
        <f t="shared" si="104"/>
        <v>3TQ09</v>
      </c>
      <c r="AJ50" s="237" t="str">
        <f t="shared" ref="AJ50:BO50" si="105">+AJ$3</f>
        <v>9M09</v>
      </c>
      <c r="AK50" s="237" t="str">
        <f t="shared" si="105"/>
        <v>4TQ09</v>
      </c>
      <c r="AL50" s="237">
        <f t="shared" si="105"/>
        <v>2009</v>
      </c>
      <c r="AM50" s="237" t="str">
        <f t="shared" si="105"/>
        <v>1TQ10</v>
      </c>
      <c r="AN50" s="237" t="str">
        <f t="shared" si="105"/>
        <v>2TQ10</v>
      </c>
      <c r="AO50" s="237" t="str">
        <f t="shared" si="105"/>
        <v>6M10</v>
      </c>
      <c r="AP50" s="237" t="str">
        <f t="shared" si="105"/>
        <v>3TQ10</v>
      </c>
      <c r="AQ50" s="237" t="str">
        <f t="shared" si="105"/>
        <v>9M10</v>
      </c>
      <c r="AR50" s="237" t="str">
        <f t="shared" si="105"/>
        <v>4TQ10</v>
      </c>
      <c r="AS50" s="237">
        <f t="shared" si="105"/>
        <v>2010</v>
      </c>
      <c r="AT50" s="237" t="str">
        <f t="shared" si="105"/>
        <v>1TQ11</v>
      </c>
      <c r="AU50" s="237" t="str">
        <f t="shared" si="105"/>
        <v>2TQ11</v>
      </c>
      <c r="AV50" s="237" t="str">
        <f t="shared" si="105"/>
        <v>6M11</v>
      </c>
      <c r="AW50" s="237" t="str">
        <f t="shared" si="105"/>
        <v>3TQ11</v>
      </c>
      <c r="AX50" s="237" t="str">
        <f t="shared" si="105"/>
        <v>9M11</v>
      </c>
      <c r="AY50" s="237" t="str">
        <f t="shared" si="105"/>
        <v>4TQ11</v>
      </c>
      <c r="AZ50" s="237">
        <f t="shared" si="105"/>
        <v>2011</v>
      </c>
      <c r="BA50" s="237" t="str">
        <f t="shared" si="105"/>
        <v>1QT12</v>
      </c>
      <c r="BB50" s="237" t="str">
        <f t="shared" si="105"/>
        <v>2TQ12</v>
      </c>
      <c r="BC50" s="237" t="str">
        <f t="shared" si="105"/>
        <v>6M12</v>
      </c>
      <c r="BD50" s="237" t="str">
        <f t="shared" si="105"/>
        <v>3TQ12</v>
      </c>
      <c r="BE50" s="237" t="str">
        <f t="shared" si="105"/>
        <v>9M12</v>
      </c>
      <c r="BF50" s="237" t="str">
        <f t="shared" si="105"/>
        <v>4TQ12</v>
      </c>
      <c r="BG50" s="237">
        <f t="shared" si="105"/>
        <v>2012</v>
      </c>
      <c r="BH50" s="237" t="str">
        <f t="shared" si="105"/>
        <v>1TQ13</v>
      </c>
      <c r="BI50" s="237" t="str">
        <f t="shared" si="105"/>
        <v>2TQ13</v>
      </c>
      <c r="BJ50" s="237" t="str">
        <f t="shared" si="105"/>
        <v>6M13</v>
      </c>
      <c r="BK50" s="237" t="str">
        <f t="shared" si="105"/>
        <v>3TQ13</v>
      </c>
      <c r="BL50" s="237" t="str">
        <f t="shared" si="105"/>
        <v>9M13</v>
      </c>
      <c r="BM50" s="237" t="str">
        <f t="shared" si="105"/>
        <v>4TQ13</v>
      </c>
      <c r="BN50" s="237">
        <f t="shared" si="105"/>
        <v>2013</v>
      </c>
      <c r="BO50" s="237" t="str">
        <f t="shared" si="105"/>
        <v>1TQ14</v>
      </c>
      <c r="BP50" s="237" t="str">
        <f t="shared" ref="BP50:CS50" si="106">+BP$3</f>
        <v>2TQ14</v>
      </c>
      <c r="BQ50" s="237" t="str">
        <f t="shared" si="106"/>
        <v>6M14</v>
      </c>
      <c r="BR50" s="237" t="str">
        <f t="shared" si="106"/>
        <v>3TQ14</v>
      </c>
      <c r="BS50" s="237" t="str">
        <f t="shared" si="106"/>
        <v>9M14</v>
      </c>
      <c r="BT50" s="237" t="str">
        <f t="shared" si="106"/>
        <v>4TQ14</v>
      </c>
      <c r="BU50" s="237">
        <f t="shared" si="106"/>
        <v>2014</v>
      </c>
      <c r="BV50" s="237" t="str">
        <f t="shared" si="106"/>
        <v>1TQ15</v>
      </c>
      <c r="BW50" s="237" t="str">
        <f t="shared" si="106"/>
        <v>2TQ15</v>
      </c>
      <c r="BX50" s="237" t="str">
        <f t="shared" si="106"/>
        <v>6M15</v>
      </c>
      <c r="BY50" s="237" t="str">
        <f t="shared" si="106"/>
        <v>3TQ15</v>
      </c>
      <c r="BZ50" s="237" t="str">
        <f t="shared" si="106"/>
        <v>9M15</v>
      </c>
      <c r="CA50" s="237" t="str">
        <f t="shared" si="106"/>
        <v>4TQ15</v>
      </c>
      <c r="CB50" s="237">
        <f t="shared" si="106"/>
        <v>2015</v>
      </c>
      <c r="CC50" s="237" t="str">
        <f t="shared" si="106"/>
        <v>1TQ16</v>
      </c>
      <c r="CD50" s="237" t="str">
        <f t="shared" si="106"/>
        <v>2TQ16</v>
      </c>
      <c r="CE50" s="237" t="str">
        <f t="shared" si="106"/>
        <v>6M16</v>
      </c>
      <c r="CF50" s="237" t="str">
        <f t="shared" si="106"/>
        <v>3TQ16</v>
      </c>
      <c r="CG50" s="237" t="str">
        <f t="shared" si="106"/>
        <v>9M16</v>
      </c>
      <c r="CH50" s="237" t="str">
        <f t="shared" si="106"/>
        <v>4TQ16</v>
      </c>
      <c r="CI50" s="237">
        <f t="shared" si="106"/>
        <v>2016</v>
      </c>
      <c r="CJ50" s="237" t="str">
        <f t="shared" si="106"/>
        <v>1TQ17</v>
      </c>
      <c r="CK50" s="237" t="str">
        <f t="shared" si="106"/>
        <v>2TQ17</v>
      </c>
      <c r="CL50" s="237" t="str">
        <f t="shared" si="106"/>
        <v>6M17</v>
      </c>
      <c r="CM50" s="237" t="str">
        <f t="shared" si="106"/>
        <v>3TQ17</v>
      </c>
      <c r="CN50" s="237" t="str">
        <f t="shared" si="106"/>
        <v>9M17</v>
      </c>
      <c r="CO50" s="237" t="str">
        <f t="shared" si="106"/>
        <v>4TQ17</v>
      </c>
      <c r="CP50" s="237">
        <f t="shared" si="106"/>
        <v>2017</v>
      </c>
      <c r="CQ50" s="237" t="str">
        <f t="shared" si="106"/>
        <v>1TQ18</v>
      </c>
      <c r="CR50" s="415" t="str">
        <f t="shared" si="106"/>
        <v>2TQ18</v>
      </c>
      <c r="CS50" s="415" t="str">
        <f t="shared" si="106"/>
        <v>6M18</v>
      </c>
      <c r="CT50" s="415" t="s">
        <v>1279</v>
      </c>
      <c r="CU50" s="415" t="s">
        <v>1314</v>
      </c>
      <c r="CV50" s="415" t="s">
        <v>1307</v>
      </c>
      <c r="CW50" s="415">
        <v>2018</v>
      </c>
      <c r="CX50" s="415" t="s">
        <v>1358</v>
      </c>
      <c r="CY50" s="415" t="s">
        <v>1362</v>
      </c>
      <c r="CZ50" s="415" t="str">
        <f t="shared" ref="CZ50:DK50" si="107">+CZ$3</f>
        <v>6M19</v>
      </c>
      <c r="DA50" s="237" t="str">
        <f t="shared" si="107"/>
        <v>3TQ19</v>
      </c>
      <c r="DB50" s="237" t="str">
        <f t="shared" si="107"/>
        <v>9M19</v>
      </c>
      <c r="DC50" s="237" t="str">
        <f t="shared" si="107"/>
        <v>4TQ19</v>
      </c>
      <c r="DD50" s="237">
        <f t="shared" si="107"/>
        <v>2019</v>
      </c>
      <c r="DE50" s="237" t="str">
        <f t="shared" si="107"/>
        <v>1TQ20</v>
      </c>
      <c r="DF50" s="415" t="str">
        <f>DF39</f>
        <v>2Q20</v>
      </c>
      <c r="DG50" s="415" t="str">
        <f t="shared" si="107"/>
        <v>6M20</v>
      </c>
      <c r="DH50" s="415" t="str">
        <f>DH39</f>
        <v>3Q20</v>
      </c>
      <c r="DI50" s="415" t="str">
        <f t="shared" si="107"/>
        <v>9M20</v>
      </c>
      <c r="DJ50" s="415" t="str">
        <f>DJ39</f>
        <v>4Q20</v>
      </c>
      <c r="DK50" s="415">
        <f t="shared" si="107"/>
        <v>2020</v>
      </c>
    </row>
    <row r="51" spans="2:115" s="9" customFormat="1" ht="18" customHeight="1">
      <c r="B51" s="79" t="s">
        <v>389</v>
      </c>
      <c r="C51" s="231" t="s">
        <v>379</v>
      </c>
      <c r="D51" s="80">
        <v>0</v>
      </c>
      <c r="E51" s="80">
        <v>0</v>
      </c>
      <c r="F51" s="80">
        <v>0</v>
      </c>
      <c r="G51" s="80">
        <v>0</v>
      </c>
      <c r="H51" s="80">
        <v>0</v>
      </c>
      <c r="I51" s="80">
        <v>0</v>
      </c>
      <c r="J51" s="80">
        <v>0</v>
      </c>
      <c r="K51" s="80">
        <v>0</v>
      </c>
      <c r="L51" s="80">
        <v>0</v>
      </c>
      <c r="M51" s="80">
        <v>0</v>
      </c>
      <c r="N51" s="80">
        <v>0</v>
      </c>
      <c r="O51" s="80">
        <v>0</v>
      </c>
      <c r="P51" s="80">
        <v>0</v>
      </c>
      <c r="Q51" s="80">
        <v>0</v>
      </c>
      <c r="R51" s="80">
        <v>0</v>
      </c>
      <c r="S51" s="80">
        <v>0</v>
      </c>
      <c r="T51" s="80">
        <v>0</v>
      </c>
      <c r="U51" s="80">
        <v>0</v>
      </c>
      <c r="V51" s="80">
        <v>0</v>
      </c>
      <c r="W51" s="80">
        <v>0</v>
      </c>
      <c r="X51" s="80">
        <v>0</v>
      </c>
      <c r="Y51" s="80">
        <v>0</v>
      </c>
      <c r="Z51" s="80">
        <v>0</v>
      </c>
      <c r="AA51" s="80">
        <v>0</v>
      </c>
      <c r="AB51" s="80">
        <v>0</v>
      </c>
      <c r="AC51" s="80">
        <v>0</v>
      </c>
      <c r="AD51" s="80">
        <v>0</v>
      </c>
      <c r="AE51" s="80">
        <v>0</v>
      </c>
      <c r="AF51" s="80">
        <v>0</v>
      </c>
      <c r="AG51" s="80">
        <v>0</v>
      </c>
      <c r="AH51" s="80">
        <v>0</v>
      </c>
      <c r="AI51" s="80">
        <v>0</v>
      </c>
      <c r="AJ51" s="80">
        <v>0</v>
      </c>
      <c r="AK51" s="80">
        <v>0</v>
      </c>
      <c r="AL51" s="80">
        <v>0</v>
      </c>
      <c r="AM51" s="80">
        <v>0</v>
      </c>
      <c r="AN51" s="80">
        <v>0</v>
      </c>
      <c r="AO51" s="80">
        <v>0</v>
      </c>
      <c r="AP51" s="80">
        <v>0</v>
      </c>
      <c r="AQ51" s="80">
        <v>0</v>
      </c>
      <c r="AR51" s="80">
        <v>0</v>
      </c>
      <c r="AS51" s="80">
        <v>0</v>
      </c>
      <c r="AT51" s="80">
        <v>0</v>
      </c>
      <c r="AU51" s="80">
        <v>0</v>
      </c>
      <c r="AV51" s="80">
        <v>0</v>
      </c>
      <c r="AW51" s="80">
        <v>0</v>
      </c>
      <c r="AX51" s="80">
        <v>0</v>
      </c>
      <c r="AY51" s="80">
        <v>0</v>
      </c>
      <c r="AZ51" s="80">
        <v>0</v>
      </c>
      <c r="BA51" s="80">
        <v>0</v>
      </c>
      <c r="BB51" s="80">
        <v>0</v>
      </c>
      <c r="BC51" s="80">
        <v>0</v>
      </c>
      <c r="BD51" s="80">
        <v>0</v>
      </c>
      <c r="BE51" s="80">
        <v>0</v>
      </c>
      <c r="BF51" s="80">
        <v>0</v>
      </c>
      <c r="BG51" s="80">
        <v>0</v>
      </c>
      <c r="BH51" s="80">
        <v>0</v>
      </c>
      <c r="BI51" s="80">
        <v>0</v>
      </c>
      <c r="BJ51" s="80">
        <v>0</v>
      </c>
      <c r="BK51" s="80">
        <v>9</v>
      </c>
      <c r="BL51" s="80">
        <f>BK51</f>
        <v>9</v>
      </c>
      <c r="BM51" s="80">
        <v>15</v>
      </c>
      <c r="BN51" s="80">
        <f>BM51</f>
        <v>15</v>
      </c>
      <c r="BO51" s="80">
        <v>15</v>
      </c>
      <c r="BP51" s="80">
        <v>20</v>
      </c>
      <c r="BQ51" s="80">
        <f>BP51</f>
        <v>20</v>
      </c>
      <c r="BR51" s="80">
        <v>23</v>
      </c>
      <c r="BS51" s="80">
        <f>BR51</f>
        <v>23</v>
      </c>
      <c r="BT51" s="80">
        <v>25</v>
      </c>
      <c r="BU51" s="80">
        <v>25</v>
      </c>
      <c r="BV51" s="80">
        <v>25</v>
      </c>
      <c r="BW51" s="80">
        <v>28</v>
      </c>
      <c r="BX51" s="80">
        <f>BW51</f>
        <v>28</v>
      </c>
      <c r="BY51" s="80">
        <v>28</v>
      </c>
      <c r="BZ51" s="80">
        <f>BY51</f>
        <v>28</v>
      </c>
      <c r="CA51" s="80">
        <v>37</v>
      </c>
      <c r="CB51" s="80">
        <f>CA51</f>
        <v>37</v>
      </c>
      <c r="CC51" s="80">
        <v>41</v>
      </c>
      <c r="CD51" s="80">
        <v>52</v>
      </c>
      <c r="CE51" s="80">
        <f>CD51</f>
        <v>52</v>
      </c>
      <c r="CF51" s="80">
        <v>52</v>
      </c>
      <c r="CG51" s="80">
        <f>CF51</f>
        <v>52</v>
      </c>
      <c r="CH51" s="80">
        <v>59</v>
      </c>
      <c r="CI51" s="80">
        <f>CH51</f>
        <v>59</v>
      </c>
      <c r="CJ51" s="80">
        <v>64</v>
      </c>
      <c r="CK51" s="80">
        <v>70</v>
      </c>
      <c r="CL51" s="80">
        <f>CK51</f>
        <v>70</v>
      </c>
      <c r="CM51" s="80">
        <v>76</v>
      </c>
      <c r="CN51" s="80">
        <f>CM51</f>
        <v>76</v>
      </c>
      <c r="CO51" s="80">
        <v>84</v>
      </c>
      <c r="CP51" s="80">
        <f>CO51</f>
        <v>84</v>
      </c>
      <c r="CQ51" s="80">
        <v>85</v>
      </c>
      <c r="CR51" s="80">
        <v>92</v>
      </c>
      <c r="CS51" s="80">
        <f>CR51</f>
        <v>92</v>
      </c>
      <c r="CT51" s="80">
        <v>90</v>
      </c>
      <c r="CU51" s="80">
        <f>CT51</f>
        <v>90</v>
      </c>
      <c r="CV51" s="80">
        <v>94</v>
      </c>
      <c r="CW51" s="80">
        <f>CV51</f>
        <v>94</v>
      </c>
      <c r="CX51" s="80">
        <v>94</v>
      </c>
      <c r="CY51" s="80">
        <v>97</v>
      </c>
      <c r="CZ51" s="80">
        <f>CY51</f>
        <v>97</v>
      </c>
      <c r="DA51" s="80">
        <v>96</v>
      </c>
      <c r="DB51" s="80">
        <f>DA51</f>
        <v>96</v>
      </c>
      <c r="DC51" s="80">
        <v>101</v>
      </c>
      <c r="DD51" s="80">
        <f>DC51</f>
        <v>101</v>
      </c>
      <c r="DE51" s="80">
        <v>98</v>
      </c>
      <c r="DF51" s="80">
        <f>DE51</f>
        <v>98</v>
      </c>
      <c r="DG51" s="80">
        <f>DF51</f>
        <v>98</v>
      </c>
      <c r="DH51" s="597">
        <v>100</v>
      </c>
      <c r="DI51" s="80">
        <f>DH51</f>
        <v>100</v>
      </c>
      <c r="DJ51" s="597">
        <v>100</v>
      </c>
      <c r="DK51" s="80">
        <f>DJ51</f>
        <v>100</v>
      </c>
    </row>
    <row r="52" spans="2:115" s="9" customFormat="1" ht="18" customHeight="1">
      <c r="B52" s="79" t="s">
        <v>1182</v>
      </c>
      <c r="C52" s="231" t="s">
        <v>1147</v>
      </c>
      <c r="D52" s="80">
        <v>0</v>
      </c>
      <c r="E52" s="80">
        <v>0</v>
      </c>
      <c r="F52" s="80">
        <v>0</v>
      </c>
      <c r="G52" s="80">
        <v>0</v>
      </c>
      <c r="H52" s="80">
        <v>0</v>
      </c>
      <c r="I52" s="80">
        <v>0</v>
      </c>
      <c r="J52" s="80">
        <v>0</v>
      </c>
      <c r="K52" s="80">
        <f>+K51-J51</f>
        <v>0</v>
      </c>
      <c r="L52" s="80">
        <f>+L51-K51</f>
        <v>0</v>
      </c>
      <c r="M52" s="80">
        <f>+M51-J51</f>
        <v>0</v>
      </c>
      <c r="N52" s="80">
        <f>+N51-M51</f>
        <v>0</v>
      </c>
      <c r="O52" s="80">
        <f>+O51-J51</f>
        <v>0</v>
      </c>
      <c r="P52" s="80">
        <f>+P51-O51</f>
        <v>0</v>
      </c>
      <c r="Q52" s="80">
        <f>+Q51-J51</f>
        <v>0</v>
      </c>
      <c r="R52" s="80">
        <f>+R51-Q51</f>
        <v>0</v>
      </c>
      <c r="S52" s="80">
        <f>+S51-R51</f>
        <v>0</v>
      </c>
      <c r="T52" s="80">
        <f>+T51-Q51</f>
        <v>0</v>
      </c>
      <c r="U52" s="80">
        <f>+U51-T51</f>
        <v>0</v>
      </c>
      <c r="V52" s="80">
        <f>+V51-Q51</f>
        <v>0</v>
      </c>
      <c r="W52" s="80">
        <f>+W51-V51</f>
        <v>0</v>
      </c>
      <c r="X52" s="80">
        <f>+X51-Q51</f>
        <v>0</v>
      </c>
      <c r="Y52" s="80">
        <f>+Y51-X51</f>
        <v>0</v>
      </c>
      <c r="Z52" s="80">
        <f>+Z51-Y51</f>
        <v>0</v>
      </c>
      <c r="AA52" s="80">
        <f>+AA51-X51</f>
        <v>0</v>
      </c>
      <c r="AB52" s="80">
        <f>+AB51-AA51</f>
        <v>0</v>
      </c>
      <c r="AC52" s="80">
        <f>+AC51-X51</f>
        <v>0</v>
      </c>
      <c r="AD52" s="80">
        <f>+AD51-AC51</f>
        <v>0</v>
      </c>
      <c r="AE52" s="80">
        <f>+AE51-X51</f>
        <v>0</v>
      </c>
      <c r="AF52" s="80">
        <f>+AF51-AE51</f>
        <v>0</v>
      </c>
      <c r="AG52" s="80">
        <f>+AG51-AF51</f>
        <v>0</v>
      </c>
      <c r="AH52" s="80">
        <f>+AH51-AE51</f>
        <v>0</v>
      </c>
      <c r="AI52" s="80">
        <f>+AI51-AH51</f>
        <v>0</v>
      </c>
      <c r="AJ52" s="80">
        <f>+AJ51-AE51</f>
        <v>0</v>
      </c>
      <c r="AK52" s="80">
        <f>+AK51-AJ51</f>
        <v>0</v>
      </c>
      <c r="AL52" s="80">
        <f>+AL51-AE51</f>
        <v>0</v>
      </c>
      <c r="AM52" s="80">
        <f>+AM51-AL51</f>
        <v>0</v>
      </c>
      <c r="AN52" s="80">
        <f>+AN51-AM51</f>
        <v>0</v>
      </c>
      <c r="AO52" s="80">
        <f>+AO51-AL51</f>
        <v>0</v>
      </c>
      <c r="AP52" s="80">
        <f>+AP51-AO51</f>
        <v>0</v>
      </c>
      <c r="AQ52" s="80">
        <f>+AQ51-AL51</f>
        <v>0</v>
      </c>
      <c r="AR52" s="80">
        <f>+AR51-AQ51</f>
        <v>0</v>
      </c>
      <c r="AS52" s="80">
        <f>+AS51-AL51</f>
        <v>0</v>
      </c>
      <c r="AT52" s="80">
        <f>+AT51-AS51</f>
        <v>0</v>
      </c>
      <c r="AU52" s="80">
        <f>+AU51-AT51</f>
        <v>0</v>
      </c>
      <c r="AV52" s="80">
        <f>+AV51-AS51</f>
        <v>0</v>
      </c>
      <c r="AW52" s="80">
        <f>+AW51-AV51</f>
        <v>0</v>
      </c>
      <c r="AX52" s="80">
        <f>+AX51-AS51</f>
        <v>0</v>
      </c>
      <c r="AY52" s="80">
        <f>+AY51-AX51</f>
        <v>0</v>
      </c>
      <c r="AZ52" s="80">
        <f>+AZ51-AS51</f>
        <v>0</v>
      </c>
      <c r="BA52" s="80">
        <f>+BA51-AZ51</f>
        <v>0</v>
      </c>
      <c r="BB52" s="80">
        <f>+BB51-BA51</f>
        <v>0</v>
      </c>
      <c r="BC52" s="80">
        <f>+BC51-AZ51</f>
        <v>0</v>
      </c>
      <c r="BD52" s="80">
        <f>+BD51-BC51</f>
        <v>0</v>
      </c>
      <c r="BE52" s="80">
        <f>+BE51-AZ51</f>
        <v>0</v>
      </c>
      <c r="BF52" s="80">
        <f>+BF51-BE51</f>
        <v>0</v>
      </c>
      <c r="BG52" s="80">
        <f>+BG51-AZ51</f>
        <v>0</v>
      </c>
      <c r="BH52" s="80">
        <f>+BH51-BG51</f>
        <v>0</v>
      </c>
      <c r="BI52" s="80">
        <f>+BI51-BH51</f>
        <v>0</v>
      </c>
      <c r="BJ52" s="80">
        <f>+BJ51-BG51</f>
        <v>0</v>
      </c>
      <c r="BK52" s="80">
        <f>+BK51-BJ51</f>
        <v>9</v>
      </c>
      <c r="BL52" s="80">
        <f>+BL51-BG51</f>
        <v>9</v>
      </c>
      <c r="BM52" s="80">
        <f>+BM51-BL51</f>
        <v>6</v>
      </c>
      <c r="BN52" s="80">
        <f>+BN51-BG51</f>
        <v>15</v>
      </c>
      <c r="BO52" s="80">
        <f>+BO51-BN51</f>
        <v>0</v>
      </c>
      <c r="BP52" s="80">
        <f>+BP51-BO51</f>
        <v>5</v>
      </c>
      <c r="BQ52" s="80">
        <f>+BQ51-BN51</f>
        <v>5</v>
      </c>
      <c r="BR52" s="80">
        <f>+BR51-BQ51</f>
        <v>3</v>
      </c>
      <c r="BS52" s="80">
        <f>+BS51-BN51</f>
        <v>8</v>
      </c>
      <c r="BT52" s="80">
        <f>+BT51-BS51</f>
        <v>2</v>
      </c>
      <c r="BU52" s="80">
        <f>+BU51-BN51</f>
        <v>10</v>
      </c>
      <c r="BV52" s="80">
        <f>+BV51-BU51</f>
        <v>0</v>
      </c>
      <c r="BW52" s="80">
        <f>+BW51-BV51</f>
        <v>3</v>
      </c>
      <c r="BX52" s="80">
        <f>+BX51-BU51</f>
        <v>3</v>
      </c>
      <c r="BY52" s="80">
        <f>+BY51-BX51</f>
        <v>0</v>
      </c>
      <c r="BZ52" s="80">
        <f>+BZ51-BU51</f>
        <v>3</v>
      </c>
      <c r="CA52" s="80">
        <f>+CA51-BZ51</f>
        <v>9</v>
      </c>
      <c r="CB52" s="80">
        <f>+CB51-BU51</f>
        <v>12</v>
      </c>
      <c r="CC52" s="80">
        <f>+CC51-CB51</f>
        <v>4</v>
      </c>
      <c r="CD52" s="80">
        <f>+CD51-CC51</f>
        <v>11</v>
      </c>
      <c r="CE52" s="80">
        <f>+CE51-CB51</f>
        <v>15</v>
      </c>
      <c r="CF52" s="80">
        <f>+CF51-CE51</f>
        <v>0</v>
      </c>
      <c r="CG52" s="80">
        <f>+CG51-CB51</f>
        <v>15</v>
      </c>
      <c r="CH52" s="80">
        <f>+CH51-CG51</f>
        <v>7</v>
      </c>
      <c r="CI52" s="80">
        <f>+CI51-CB51</f>
        <v>22</v>
      </c>
      <c r="CJ52" s="80">
        <f>+CJ51-CI51</f>
        <v>5</v>
      </c>
      <c r="CK52" s="80">
        <f>+CK51-CJ51</f>
        <v>6</v>
      </c>
      <c r="CL52" s="80">
        <f>+CL51-CI51</f>
        <v>11</v>
      </c>
      <c r="CM52" s="80">
        <f>+CM51-CL51</f>
        <v>6</v>
      </c>
      <c r="CN52" s="80">
        <f>+CN51-CI51</f>
        <v>17</v>
      </c>
      <c r="CO52" s="80">
        <f>+CO51-CN51</f>
        <v>8</v>
      </c>
      <c r="CP52" s="80">
        <f>+CP51-CI51</f>
        <v>25</v>
      </c>
      <c r="CQ52" s="80">
        <f>+CQ51-CP51</f>
        <v>1</v>
      </c>
      <c r="CR52" s="80">
        <f>+CR51-CQ51</f>
        <v>7</v>
      </c>
      <c r="CS52" s="80">
        <f>+CS51-CP51</f>
        <v>8</v>
      </c>
      <c r="CT52" s="80">
        <f>+CT51-CS51</f>
        <v>-2</v>
      </c>
      <c r="CU52" s="80">
        <f>CS52+CT52</f>
        <v>6</v>
      </c>
      <c r="CV52" s="80">
        <f>CV51-CT51</f>
        <v>4</v>
      </c>
      <c r="CW52" s="80">
        <f>CU52+CV52</f>
        <v>10</v>
      </c>
      <c r="CX52" s="80">
        <f>CX51-CV51</f>
        <v>0</v>
      </c>
      <c r="CY52" s="80">
        <f>CY51-CX51</f>
        <v>3</v>
      </c>
      <c r="CZ52" s="80">
        <f>+CZ51-CW51</f>
        <v>3</v>
      </c>
      <c r="DA52" s="80">
        <f>+DA51-CZ51</f>
        <v>-1</v>
      </c>
      <c r="DB52" s="80">
        <f>+DB51-CW51</f>
        <v>2</v>
      </c>
      <c r="DC52" s="80">
        <f>+DC51-DB51</f>
        <v>5</v>
      </c>
      <c r="DD52" s="80">
        <f>+DD51-CW51</f>
        <v>7</v>
      </c>
      <c r="DE52" s="80">
        <f>+DE51-DD51</f>
        <v>-3</v>
      </c>
      <c r="DF52" s="80">
        <f>DF51-DE51</f>
        <v>0</v>
      </c>
      <c r="DG52" s="80">
        <f>+DG51-DD51</f>
        <v>-3</v>
      </c>
      <c r="DH52" s="597">
        <f>DH51-DG51</f>
        <v>2</v>
      </c>
      <c r="DI52" s="80">
        <f>+DI51-DC51</f>
        <v>-1</v>
      </c>
      <c r="DJ52" s="597">
        <f>DJ51-DI51</f>
        <v>0</v>
      </c>
      <c r="DK52" s="80">
        <f>+DK51-DD51</f>
        <v>-1</v>
      </c>
    </row>
    <row r="53" spans="2:115" s="9" customFormat="1" ht="18" hidden="1" customHeight="1">
      <c r="B53" s="79" t="s">
        <v>1442</v>
      </c>
      <c r="C53" s="231"/>
      <c r="D53" s="234"/>
      <c r="E53" s="234"/>
      <c r="F53" s="234"/>
      <c r="G53" s="234"/>
      <c r="H53" s="234"/>
      <c r="I53" s="234"/>
      <c r="J53" s="234"/>
      <c r="K53" s="234"/>
      <c r="L53" s="234"/>
      <c r="M53" s="234"/>
      <c r="N53" s="234"/>
      <c r="O53" s="234"/>
      <c r="P53" s="234"/>
      <c r="Q53" s="234"/>
      <c r="R53" s="234"/>
      <c r="S53" s="235"/>
      <c r="T53" s="235"/>
      <c r="U53" s="235"/>
      <c r="V53" s="235"/>
      <c r="W53" s="235"/>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c r="BZ53" s="235"/>
      <c r="CA53" s="235"/>
      <c r="CB53" s="235"/>
      <c r="CC53" s="235"/>
      <c r="CD53" s="235"/>
      <c r="CE53" s="235"/>
      <c r="CF53" s="235"/>
      <c r="CG53" s="235"/>
      <c r="CH53" s="235"/>
      <c r="CI53" s="235"/>
      <c r="CJ53" s="235"/>
      <c r="CK53" s="235"/>
      <c r="CL53" s="235"/>
      <c r="CM53" s="235"/>
      <c r="CN53" s="235"/>
      <c r="CO53" s="235"/>
      <c r="CP53" s="235"/>
      <c r="CQ53" s="235"/>
      <c r="CR53" s="235"/>
      <c r="CS53" s="235"/>
      <c r="CT53" s="235"/>
      <c r="CU53" s="235"/>
      <c r="CV53" s="235"/>
      <c r="CW53" s="235"/>
      <c r="CX53" s="235"/>
      <c r="CY53" s="235"/>
      <c r="CZ53" s="235"/>
      <c r="DA53" s="235"/>
      <c r="DB53" s="235"/>
      <c r="DC53" s="235"/>
      <c r="DD53" s="235"/>
      <c r="DE53" s="235"/>
      <c r="DF53" s="235"/>
      <c r="DG53" s="235"/>
      <c r="DH53" s="591"/>
      <c r="DI53" s="235"/>
      <c r="DJ53" s="591"/>
      <c r="DK53" s="235"/>
    </row>
    <row r="54" spans="2:115" s="9" customFormat="1" ht="18" hidden="1" customHeight="1">
      <c r="B54" s="79" t="s">
        <v>1443</v>
      </c>
      <c r="C54" s="231"/>
      <c r="D54" s="234"/>
      <c r="E54" s="234"/>
      <c r="F54" s="234"/>
      <c r="G54" s="234"/>
      <c r="H54" s="234"/>
      <c r="I54" s="234"/>
      <c r="J54" s="234"/>
      <c r="K54" s="234"/>
      <c r="L54" s="234"/>
      <c r="M54" s="234"/>
      <c r="N54" s="234"/>
      <c r="O54" s="234"/>
      <c r="P54" s="234"/>
      <c r="Q54" s="234"/>
      <c r="R54" s="234"/>
      <c r="S54" s="235"/>
      <c r="T54" s="235"/>
      <c r="U54" s="235"/>
      <c r="V54" s="235"/>
      <c r="W54" s="235"/>
      <c r="X54" s="235"/>
      <c r="Y54" s="235"/>
      <c r="Z54" s="235"/>
      <c r="AA54" s="235"/>
      <c r="AB54" s="235"/>
      <c r="AC54" s="235"/>
      <c r="AD54" s="235"/>
      <c r="AE54" s="235"/>
      <c r="AF54" s="235"/>
      <c r="AG54" s="235"/>
      <c r="AH54" s="235"/>
      <c r="AI54" s="235"/>
      <c r="AJ54" s="235"/>
      <c r="AK54" s="235"/>
      <c r="AL54" s="235"/>
      <c r="AM54" s="235"/>
      <c r="AN54" s="235"/>
      <c r="AO54" s="235"/>
      <c r="AP54" s="235"/>
      <c r="AQ54" s="235"/>
      <c r="AR54" s="235"/>
      <c r="AS54" s="235"/>
      <c r="AT54" s="235"/>
      <c r="AU54" s="235"/>
      <c r="AV54" s="235"/>
      <c r="AW54" s="235"/>
      <c r="AX54" s="235"/>
      <c r="AY54" s="235"/>
      <c r="AZ54" s="235"/>
      <c r="BA54" s="235"/>
      <c r="BB54" s="235"/>
      <c r="BC54" s="235"/>
      <c r="BD54" s="235"/>
      <c r="BE54" s="235"/>
      <c r="BF54" s="235"/>
      <c r="BG54" s="235"/>
      <c r="BH54" s="235"/>
      <c r="BI54" s="235"/>
      <c r="BJ54" s="235"/>
      <c r="BK54" s="235"/>
      <c r="BL54" s="235"/>
      <c r="BM54" s="235"/>
      <c r="BN54" s="235"/>
      <c r="BO54" s="235"/>
      <c r="BP54" s="235"/>
      <c r="BQ54" s="235"/>
      <c r="BR54" s="235"/>
      <c r="BS54" s="235"/>
      <c r="BT54" s="235"/>
      <c r="BU54" s="235"/>
      <c r="BV54" s="235"/>
      <c r="BW54" s="235"/>
      <c r="BX54" s="235"/>
      <c r="BY54" s="235"/>
      <c r="BZ54" s="235"/>
      <c r="CA54" s="235"/>
      <c r="CB54" s="235"/>
      <c r="CC54" s="235"/>
      <c r="CD54" s="235"/>
      <c r="CE54" s="235"/>
      <c r="CF54" s="235"/>
      <c r="CG54" s="235"/>
      <c r="CH54" s="235"/>
      <c r="CI54" s="235"/>
      <c r="CJ54" s="235"/>
      <c r="CK54" s="235"/>
      <c r="CL54" s="235"/>
      <c r="CM54" s="235"/>
      <c r="CN54" s="235"/>
      <c r="CO54" s="235"/>
      <c r="CP54" s="235"/>
      <c r="CQ54" s="235"/>
      <c r="CR54" s="235"/>
      <c r="CS54" s="235"/>
      <c r="CT54" s="235"/>
      <c r="CU54" s="235"/>
      <c r="CV54" s="235"/>
      <c r="CW54" s="235"/>
      <c r="CX54" s="235"/>
      <c r="CY54" s="235"/>
      <c r="CZ54" s="235"/>
      <c r="DA54" s="235"/>
      <c r="DB54" s="235"/>
      <c r="DC54" s="235"/>
      <c r="DD54" s="235"/>
      <c r="DE54" s="235"/>
      <c r="DF54" s="235"/>
      <c r="DG54" s="235"/>
      <c r="DH54" s="591"/>
      <c r="DI54" s="235"/>
      <c r="DJ54" s="591"/>
      <c r="DK54" s="235"/>
    </row>
    <row r="55" spans="2:115" s="9" customFormat="1" ht="18" customHeight="1">
      <c r="B55" s="79" t="s">
        <v>414</v>
      </c>
      <c r="C55" s="231" t="s">
        <v>382</v>
      </c>
      <c r="D55" s="82">
        <v>0</v>
      </c>
      <c r="E55" s="82">
        <v>0</v>
      </c>
      <c r="F55" s="82">
        <v>0</v>
      </c>
      <c r="G55" s="82">
        <v>0</v>
      </c>
      <c r="H55" s="82">
        <v>0</v>
      </c>
      <c r="I55" s="82">
        <v>0</v>
      </c>
      <c r="J55" s="82">
        <v>0</v>
      </c>
      <c r="K55" s="82">
        <v>0</v>
      </c>
      <c r="L55" s="82">
        <v>0</v>
      </c>
      <c r="M55" s="82">
        <v>0</v>
      </c>
      <c r="N55" s="82">
        <v>0</v>
      </c>
      <c r="O55" s="82">
        <v>0</v>
      </c>
      <c r="P55" s="82">
        <v>0</v>
      </c>
      <c r="Q55" s="82">
        <v>0</v>
      </c>
      <c r="R55" s="82">
        <v>0</v>
      </c>
      <c r="S55" s="82">
        <v>0</v>
      </c>
      <c r="T55" s="82">
        <v>0</v>
      </c>
      <c r="U55" s="82">
        <v>0</v>
      </c>
      <c r="V55" s="82">
        <v>0</v>
      </c>
      <c r="W55" s="82">
        <v>0</v>
      </c>
      <c r="X55" s="82">
        <v>0</v>
      </c>
      <c r="Y55" s="82">
        <v>0</v>
      </c>
      <c r="Z55" s="82">
        <v>0</v>
      </c>
      <c r="AA55" s="82">
        <v>0</v>
      </c>
      <c r="AB55" s="82">
        <v>0</v>
      </c>
      <c r="AC55" s="82">
        <v>0</v>
      </c>
      <c r="AD55" s="82">
        <v>0</v>
      </c>
      <c r="AE55" s="82">
        <v>0</v>
      </c>
      <c r="AF55" s="82">
        <v>0</v>
      </c>
      <c r="AG55" s="82">
        <v>0</v>
      </c>
      <c r="AH55" s="82">
        <v>0</v>
      </c>
      <c r="AI55" s="82">
        <v>0</v>
      </c>
      <c r="AJ55" s="82">
        <v>0</v>
      </c>
      <c r="AK55" s="82">
        <v>0</v>
      </c>
      <c r="AL55" s="82">
        <v>0</v>
      </c>
      <c r="AM55" s="82">
        <v>0</v>
      </c>
      <c r="AN55" s="82">
        <v>0</v>
      </c>
      <c r="AO55" s="82">
        <v>0</v>
      </c>
      <c r="AP55" s="82">
        <v>0</v>
      </c>
      <c r="AQ55" s="82">
        <v>0</v>
      </c>
      <c r="AR55" s="82">
        <v>0</v>
      </c>
      <c r="AS55" s="82">
        <v>0</v>
      </c>
      <c r="AT55" s="82">
        <v>0</v>
      </c>
      <c r="AU55" s="82">
        <v>0</v>
      </c>
      <c r="AV55" s="82">
        <v>0</v>
      </c>
      <c r="AW55" s="82">
        <v>0</v>
      </c>
      <c r="AX55" s="82">
        <v>0</v>
      </c>
      <c r="AY55" s="82">
        <v>0</v>
      </c>
      <c r="AZ55" s="82">
        <v>0</v>
      </c>
      <c r="BA55" s="82">
        <v>0</v>
      </c>
      <c r="BB55" s="82">
        <v>0</v>
      </c>
      <c r="BC55" s="82">
        <v>0</v>
      </c>
      <c r="BD55" s="82">
        <v>0</v>
      </c>
      <c r="BE55" s="82">
        <v>0</v>
      </c>
      <c r="BF55" s="82">
        <v>0</v>
      </c>
      <c r="BG55" s="82">
        <v>0</v>
      </c>
      <c r="BH55" s="82">
        <v>0</v>
      </c>
      <c r="BI55" s="82">
        <v>0</v>
      </c>
      <c r="BJ55" s="82">
        <v>0</v>
      </c>
      <c r="BK55" s="82">
        <v>1.4</v>
      </c>
      <c r="BL55" s="82">
        <v>1.4</v>
      </c>
      <c r="BM55" s="82">
        <v>2.2000000000000002</v>
      </c>
      <c r="BN55" s="82">
        <v>2.2000000000000002</v>
      </c>
      <c r="BO55" s="82">
        <v>2.2000000000000002</v>
      </c>
      <c r="BP55" s="82">
        <v>2.5</v>
      </c>
      <c r="BQ55" s="82">
        <v>2.5</v>
      </c>
      <c r="BR55" s="82">
        <v>3</v>
      </c>
      <c r="BS55" s="82">
        <v>3</v>
      </c>
      <c r="BT55" s="82">
        <v>3.3</v>
      </c>
      <c r="BU55" s="82">
        <v>3.3</v>
      </c>
      <c r="BV55" s="82">
        <v>3.3</v>
      </c>
      <c r="BW55" s="82">
        <v>3.8010000000000002</v>
      </c>
      <c r="BX55" s="82">
        <f>BW55</f>
        <v>3.8010000000000002</v>
      </c>
      <c r="BY55" s="82">
        <v>3.8</v>
      </c>
      <c r="BZ55" s="82">
        <f>BY55</f>
        <v>3.8</v>
      </c>
      <c r="CA55" s="82">
        <v>5.3680000000000003</v>
      </c>
      <c r="CB55" s="82">
        <f>CA55</f>
        <v>5.3680000000000003</v>
      </c>
      <c r="CC55" s="82">
        <v>6.0901100000000001</v>
      </c>
      <c r="CD55" s="82">
        <v>8.0619999999999994</v>
      </c>
      <c r="CE55" s="82">
        <f>CD55</f>
        <v>8.0619999999999994</v>
      </c>
      <c r="CF55" s="82">
        <v>8.0617199999999993</v>
      </c>
      <c r="CG55" s="82">
        <f>CF55</f>
        <v>8.0617199999999993</v>
      </c>
      <c r="CH55" s="82">
        <v>8.6921900000000001</v>
      </c>
      <c r="CI55" s="82">
        <f>CH55</f>
        <v>8.6921900000000001</v>
      </c>
      <c r="CJ55" s="82">
        <v>9.3627800000000008</v>
      </c>
      <c r="CK55" s="82">
        <v>10.329000000000001</v>
      </c>
      <c r="CL55" s="82">
        <f>CK55</f>
        <v>10.329000000000001</v>
      </c>
      <c r="CM55" s="82">
        <v>11.573</v>
      </c>
      <c r="CN55" s="82">
        <v>11.573</v>
      </c>
      <c r="CO55" s="82">
        <v>13.0776</v>
      </c>
      <c r="CP55" s="82">
        <f>CO55</f>
        <v>13.0776</v>
      </c>
      <c r="CQ55" s="82">
        <v>13.54894</v>
      </c>
      <c r="CR55" s="82">
        <v>14.743770000000005</v>
      </c>
      <c r="CS55" s="82">
        <f>CR55</f>
        <v>14.743770000000005</v>
      </c>
      <c r="CT55" s="82">
        <v>14.572310000000005</v>
      </c>
      <c r="CU55" s="82">
        <v>14.572310000000005</v>
      </c>
      <c r="CV55" s="82">
        <v>15.461620000000005</v>
      </c>
      <c r="CW55" s="82">
        <f>CV55</f>
        <v>15.461620000000005</v>
      </c>
      <c r="CX55" s="82">
        <v>15.461620000000005</v>
      </c>
      <c r="CY55" s="82">
        <v>16.03603</v>
      </c>
      <c r="CZ55" s="82">
        <f>CY55</f>
        <v>16.03603</v>
      </c>
      <c r="DA55" s="82">
        <v>15.803179999999999</v>
      </c>
      <c r="DB55" s="82">
        <v>15.803179999999999</v>
      </c>
      <c r="DC55" s="82">
        <v>16.710180000000001</v>
      </c>
      <c r="DD55" s="82">
        <f>DC55</f>
        <v>16.710180000000001</v>
      </c>
      <c r="DE55" s="82">
        <v>16.322590000000005</v>
      </c>
      <c r="DF55" s="82">
        <f>DE55</f>
        <v>16.322590000000005</v>
      </c>
      <c r="DG55" s="82">
        <f>DF55</f>
        <v>16.322590000000005</v>
      </c>
      <c r="DH55" s="82">
        <v>16.699590000000004</v>
      </c>
      <c r="DI55" s="82">
        <f>DH55</f>
        <v>16.699590000000004</v>
      </c>
      <c r="DJ55" s="82">
        <v>16.894489999999998</v>
      </c>
      <c r="DK55" s="82">
        <f>DJ55</f>
        <v>16.894489999999998</v>
      </c>
    </row>
    <row r="56" spans="2:115" s="9" customFormat="1" ht="18" customHeight="1">
      <c r="B56" s="79" t="s">
        <v>1374</v>
      </c>
      <c r="C56" s="231" t="s">
        <v>409</v>
      </c>
      <c r="D56" s="82">
        <v>0</v>
      </c>
      <c r="E56" s="82">
        <v>0</v>
      </c>
      <c r="F56" s="82">
        <v>0</v>
      </c>
      <c r="G56" s="82">
        <v>0</v>
      </c>
      <c r="H56" s="82">
        <v>0</v>
      </c>
      <c r="I56" s="82">
        <v>0</v>
      </c>
      <c r="J56" s="82">
        <v>0</v>
      </c>
      <c r="K56" s="82">
        <v>0</v>
      </c>
      <c r="L56" s="82">
        <v>0</v>
      </c>
      <c r="M56" s="82">
        <v>0</v>
      </c>
      <c r="N56" s="82">
        <v>0</v>
      </c>
      <c r="O56" s="82">
        <v>0</v>
      </c>
      <c r="P56" s="82">
        <v>0</v>
      </c>
      <c r="Q56" s="82">
        <v>0</v>
      </c>
      <c r="R56" s="82">
        <v>0</v>
      </c>
      <c r="S56" s="82">
        <v>0</v>
      </c>
      <c r="T56" s="82">
        <v>0</v>
      </c>
      <c r="U56" s="82">
        <v>0</v>
      </c>
      <c r="V56" s="82">
        <v>0</v>
      </c>
      <c r="W56" s="82">
        <v>0</v>
      </c>
      <c r="X56" s="82">
        <v>0</v>
      </c>
      <c r="Y56" s="82">
        <v>0</v>
      </c>
      <c r="Z56" s="82">
        <v>0</v>
      </c>
      <c r="AA56" s="82">
        <v>0</v>
      </c>
      <c r="AB56" s="82">
        <v>0</v>
      </c>
      <c r="AC56" s="82">
        <v>0</v>
      </c>
      <c r="AD56" s="82">
        <v>0</v>
      </c>
      <c r="AE56" s="82">
        <v>0</v>
      </c>
      <c r="AF56" s="82">
        <v>0</v>
      </c>
      <c r="AG56" s="82">
        <v>0</v>
      </c>
      <c r="AH56" s="82">
        <v>0</v>
      </c>
      <c r="AI56" s="82">
        <v>0</v>
      </c>
      <c r="AJ56" s="82">
        <v>0</v>
      </c>
      <c r="AK56" s="82">
        <v>0</v>
      </c>
      <c r="AL56" s="82">
        <v>0</v>
      </c>
      <c r="AM56" s="82">
        <v>0</v>
      </c>
      <c r="AN56" s="82">
        <v>0</v>
      </c>
      <c r="AO56" s="82">
        <v>0</v>
      </c>
      <c r="AP56" s="82">
        <v>0</v>
      </c>
      <c r="AQ56" s="82">
        <v>0</v>
      </c>
      <c r="AR56" s="82">
        <v>0</v>
      </c>
      <c r="AS56" s="82">
        <v>0</v>
      </c>
      <c r="AT56" s="82">
        <v>0</v>
      </c>
      <c r="AU56" s="82">
        <v>0</v>
      </c>
      <c r="AV56" s="82">
        <v>0</v>
      </c>
      <c r="AW56" s="82">
        <v>0</v>
      </c>
      <c r="AX56" s="82">
        <v>0</v>
      </c>
      <c r="AY56" s="82">
        <v>0</v>
      </c>
      <c r="AZ56" s="82">
        <v>0</v>
      </c>
      <c r="BA56" s="82">
        <v>0</v>
      </c>
      <c r="BB56" s="82">
        <v>0</v>
      </c>
      <c r="BC56" s="82">
        <v>0</v>
      </c>
      <c r="BD56" s="82">
        <v>0</v>
      </c>
      <c r="BE56" s="82">
        <v>0</v>
      </c>
      <c r="BF56" s="82">
        <v>0</v>
      </c>
      <c r="BG56" s="82">
        <v>0</v>
      </c>
      <c r="BH56" s="82">
        <v>0</v>
      </c>
      <c r="BI56" s="82">
        <v>0</v>
      </c>
      <c r="BJ56" s="82">
        <v>0</v>
      </c>
      <c r="BK56" s="356">
        <f>+BK55/BK51</f>
        <v>0.15555555555555556</v>
      </c>
      <c r="BL56" s="356">
        <f t="shared" ref="BL56:CB56" si="108">+BL55/BL51</f>
        <v>0.15555555555555556</v>
      </c>
      <c r="BM56" s="356">
        <f t="shared" si="108"/>
        <v>0.14666666666666667</v>
      </c>
      <c r="BN56" s="356">
        <f t="shared" si="108"/>
        <v>0.14666666666666667</v>
      </c>
      <c r="BO56" s="356">
        <f t="shared" si="108"/>
        <v>0.14666666666666667</v>
      </c>
      <c r="BP56" s="356">
        <f t="shared" si="108"/>
        <v>0.125</v>
      </c>
      <c r="BQ56" s="356">
        <f t="shared" si="108"/>
        <v>0.125</v>
      </c>
      <c r="BR56" s="356">
        <f t="shared" si="108"/>
        <v>0.13043478260869565</v>
      </c>
      <c r="BS56" s="356">
        <f t="shared" si="108"/>
        <v>0.13043478260869565</v>
      </c>
      <c r="BT56" s="356">
        <f t="shared" si="108"/>
        <v>0.13200000000000001</v>
      </c>
      <c r="BU56" s="356">
        <f t="shared" si="108"/>
        <v>0.13200000000000001</v>
      </c>
      <c r="BV56" s="356">
        <f t="shared" si="108"/>
        <v>0.13200000000000001</v>
      </c>
      <c r="BW56" s="356">
        <f t="shared" si="108"/>
        <v>0.13575000000000001</v>
      </c>
      <c r="BX56" s="356">
        <f t="shared" si="108"/>
        <v>0.13575000000000001</v>
      </c>
      <c r="BY56" s="356">
        <f t="shared" si="108"/>
        <v>0.1357142857142857</v>
      </c>
      <c r="BZ56" s="356">
        <f t="shared" si="108"/>
        <v>0.1357142857142857</v>
      </c>
      <c r="CA56" s="356">
        <f t="shared" si="108"/>
        <v>0.14508108108108109</v>
      </c>
      <c r="CB56" s="356">
        <f t="shared" si="108"/>
        <v>0.14508108108108109</v>
      </c>
      <c r="CC56" s="356">
        <f>+CC55/CC51</f>
        <v>0.14853926829268294</v>
      </c>
      <c r="CD56" s="356">
        <f>+CD55/CD51</f>
        <v>0.15503846153846151</v>
      </c>
      <c r="CE56" s="356">
        <f t="shared" ref="CE56:CI56" si="109">+CE55/CE51</f>
        <v>0.15503846153846151</v>
      </c>
      <c r="CF56" s="356">
        <f>+CF55/CF51</f>
        <v>0.15503307692307691</v>
      </c>
      <c r="CG56" s="356">
        <f t="shared" si="109"/>
        <v>0.15503307692307691</v>
      </c>
      <c r="CH56" s="356">
        <f>+CH55/CH51</f>
        <v>0.14732525423728815</v>
      </c>
      <c r="CI56" s="356">
        <f t="shared" si="109"/>
        <v>0.14732525423728815</v>
      </c>
      <c r="CJ56" s="356">
        <f>+CJ55/CJ51</f>
        <v>0.14629343750000001</v>
      </c>
      <c r="CK56" s="356">
        <f>+CK55/CK51</f>
        <v>0.14755714285714286</v>
      </c>
      <c r="CL56" s="356">
        <f t="shared" ref="CL56:CN56" si="110">+CL55/CL51</f>
        <v>0.14755714285714286</v>
      </c>
      <c r="CM56" s="356">
        <f>+CM55/CM51</f>
        <v>0.15227631578947368</v>
      </c>
      <c r="CN56" s="356">
        <f t="shared" si="110"/>
        <v>0.15227631578947368</v>
      </c>
      <c r="CO56" s="356">
        <f>+CO55/CO51</f>
        <v>0.15568571428571429</v>
      </c>
      <c r="CP56" s="356">
        <f t="shared" ref="CP56" si="111">+CP55/CP51</f>
        <v>0.15568571428571429</v>
      </c>
      <c r="CQ56" s="356">
        <f>+CQ55/CQ51</f>
        <v>0.15939929411764706</v>
      </c>
      <c r="CR56" s="356">
        <f>+CR55/CR51</f>
        <v>0.16025836956521744</v>
      </c>
      <c r="CS56" s="356">
        <f t="shared" ref="CS56" si="112">+CS55/CS51</f>
        <v>0.16025836956521744</v>
      </c>
      <c r="CT56" s="356">
        <f t="shared" ref="CT56:CZ56" si="113">+CT55/CT51</f>
        <v>0.16191455555555562</v>
      </c>
      <c r="CU56" s="356">
        <f t="shared" si="113"/>
        <v>0.16191455555555562</v>
      </c>
      <c r="CV56" s="356">
        <f t="shared" si="113"/>
        <v>0.16448531914893622</v>
      </c>
      <c r="CW56" s="356">
        <f t="shared" si="113"/>
        <v>0.16448531914893622</v>
      </c>
      <c r="CX56" s="356">
        <f t="shared" si="113"/>
        <v>0.16448531914893622</v>
      </c>
      <c r="CY56" s="356">
        <f t="shared" si="113"/>
        <v>0.16531989690721649</v>
      </c>
      <c r="CZ56" s="356">
        <f t="shared" si="113"/>
        <v>0.16531989690721649</v>
      </c>
      <c r="DA56" s="356">
        <f>+DA55/DA51</f>
        <v>0.16461645833333333</v>
      </c>
      <c r="DB56" s="356">
        <f t="shared" ref="DB56:DD56" si="114">+DB55/DB51</f>
        <v>0.16461645833333333</v>
      </c>
      <c r="DC56" s="356">
        <f>+DC55/DC51</f>
        <v>0.16544732673267329</v>
      </c>
      <c r="DD56" s="356">
        <f t="shared" si="114"/>
        <v>0.16544732673267329</v>
      </c>
      <c r="DE56" s="356">
        <f>+DE55/DE51</f>
        <v>0.16655704081632658</v>
      </c>
      <c r="DF56" s="356">
        <f t="shared" ref="DF56:DG56" si="115">+DF55/DF51</f>
        <v>0.16655704081632658</v>
      </c>
      <c r="DG56" s="356">
        <f t="shared" si="115"/>
        <v>0.16655704081632658</v>
      </c>
      <c r="DH56" s="356">
        <f t="shared" ref="DH56:DI56" si="116">+DH55/DH51</f>
        <v>0.16699590000000003</v>
      </c>
      <c r="DI56" s="356">
        <f t="shared" si="116"/>
        <v>0.16699590000000003</v>
      </c>
      <c r="DJ56" s="356">
        <f t="shared" ref="DJ56:DK56" si="117">+DJ55/DJ51</f>
        <v>0.16894489999999998</v>
      </c>
      <c r="DK56" s="356">
        <f t="shared" si="117"/>
        <v>0.16894489999999998</v>
      </c>
    </row>
    <row r="57" spans="2:115" s="9" customFormat="1" ht="18" customHeight="1">
      <c r="B57" s="79" t="s">
        <v>1091</v>
      </c>
      <c r="C57" s="231" t="s">
        <v>431</v>
      </c>
      <c r="D57" s="82">
        <v>0</v>
      </c>
      <c r="E57" s="82">
        <v>0</v>
      </c>
      <c r="F57" s="82">
        <v>0</v>
      </c>
      <c r="G57" s="82">
        <v>0</v>
      </c>
      <c r="H57" s="82">
        <v>0</v>
      </c>
      <c r="I57" s="82">
        <v>0</v>
      </c>
      <c r="J57" s="82">
        <v>0</v>
      </c>
      <c r="K57" s="82">
        <v>0</v>
      </c>
      <c r="L57" s="82">
        <v>0</v>
      </c>
      <c r="M57" s="82">
        <v>0</v>
      </c>
      <c r="N57" s="82">
        <v>0</v>
      </c>
      <c r="O57" s="82">
        <v>0</v>
      </c>
      <c r="P57" s="82">
        <v>0</v>
      </c>
      <c r="Q57" s="82">
        <v>0</v>
      </c>
      <c r="R57" s="82">
        <v>0</v>
      </c>
      <c r="S57" s="82">
        <v>0</v>
      </c>
      <c r="T57" s="82">
        <v>0</v>
      </c>
      <c r="U57" s="82">
        <v>0</v>
      </c>
      <c r="V57" s="82">
        <v>0</v>
      </c>
      <c r="W57" s="82">
        <v>0</v>
      </c>
      <c r="X57" s="82">
        <v>0</v>
      </c>
      <c r="Y57" s="82">
        <v>0</v>
      </c>
      <c r="Z57" s="82">
        <v>0</v>
      </c>
      <c r="AA57" s="82">
        <v>0</v>
      </c>
      <c r="AB57" s="82">
        <v>0</v>
      </c>
      <c r="AC57" s="82">
        <v>0</v>
      </c>
      <c r="AD57" s="82">
        <v>0</v>
      </c>
      <c r="AE57" s="82">
        <v>0</v>
      </c>
      <c r="AF57" s="82">
        <v>0</v>
      </c>
      <c r="AG57" s="82">
        <v>0</v>
      </c>
      <c r="AH57" s="82">
        <v>0</v>
      </c>
      <c r="AI57" s="82">
        <v>0</v>
      </c>
      <c r="AJ57" s="82">
        <v>0</v>
      </c>
      <c r="AK57" s="82">
        <v>0</v>
      </c>
      <c r="AL57" s="82">
        <v>0</v>
      </c>
      <c r="AM57" s="82">
        <v>0</v>
      </c>
      <c r="AN57" s="82">
        <v>0</v>
      </c>
      <c r="AO57" s="82">
        <v>0</v>
      </c>
      <c r="AP57" s="82">
        <v>0</v>
      </c>
      <c r="AQ57" s="82">
        <v>0</v>
      </c>
      <c r="AR57" s="82">
        <v>0</v>
      </c>
      <c r="AS57" s="82">
        <v>0</v>
      </c>
      <c r="AT57" s="82">
        <v>0</v>
      </c>
      <c r="AU57" s="82">
        <v>0</v>
      </c>
      <c r="AV57" s="82">
        <v>0</v>
      </c>
      <c r="AW57" s="82">
        <v>0</v>
      </c>
      <c r="AX57" s="82">
        <v>0</v>
      </c>
      <c r="AY57" s="82">
        <v>0</v>
      </c>
      <c r="AZ57" s="82">
        <v>0</v>
      </c>
      <c r="BA57" s="82">
        <v>0</v>
      </c>
      <c r="BB57" s="82">
        <v>0</v>
      </c>
      <c r="BC57" s="82">
        <v>0</v>
      </c>
      <c r="BD57" s="82">
        <v>0</v>
      </c>
      <c r="BE57" s="82">
        <v>0</v>
      </c>
      <c r="BF57" s="82">
        <v>0</v>
      </c>
      <c r="BG57" s="82">
        <v>0</v>
      </c>
      <c r="BH57" s="82">
        <v>1.6397327399999999</v>
      </c>
      <c r="BI57" s="82">
        <v>2.2961037200000005</v>
      </c>
      <c r="BJ57" s="82">
        <v>3.9358364600000004</v>
      </c>
      <c r="BK57" s="82">
        <v>2.2859219299999984</v>
      </c>
      <c r="BL57" s="82">
        <v>6.2217583899999989</v>
      </c>
      <c r="BM57" s="82">
        <v>3.8810900300000002</v>
      </c>
      <c r="BN57" s="82">
        <v>10.103026109999998</v>
      </c>
      <c r="BO57" s="82">
        <v>2.3800158800000002</v>
      </c>
      <c r="BP57" s="82">
        <v>3.7154575600000008</v>
      </c>
      <c r="BQ57" s="82">
        <v>6.0954734400000001</v>
      </c>
      <c r="BR57" s="82">
        <v>4.6048006399999997</v>
      </c>
      <c r="BS57" s="82">
        <v>10.70027408</v>
      </c>
      <c r="BT57" s="82">
        <v>8.9905459099999998</v>
      </c>
      <c r="BU57" s="82">
        <v>19.130819989999999</v>
      </c>
      <c r="BV57" s="82">
        <v>5.5799252400000006</v>
      </c>
      <c r="BW57" s="82">
        <v>8.3310957999999999</v>
      </c>
      <c r="BX57" s="82">
        <v>13.91102104</v>
      </c>
      <c r="BY57" s="82">
        <v>9.2939566500000108</v>
      </c>
      <c r="BZ57" s="82">
        <v>23.20497769000001</v>
      </c>
      <c r="CA57" s="82">
        <v>18.517465940000001</v>
      </c>
      <c r="CB57" s="82">
        <v>41.722443630000051</v>
      </c>
      <c r="CC57" s="82">
        <v>10.106</v>
      </c>
      <c r="CD57" s="82">
        <v>19.824999999999999</v>
      </c>
      <c r="CE57" s="82">
        <v>29.931000000000001</v>
      </c>
      <c r="CF57" s="82">
        <v>17.725137639999993</v>
      </c>
      <c r="CG57" s="82">
        <v>47.65606369999999</v>
      </c>
      <c r="CH57" s="82">
        <v>34.332819830000005</v>
      </c>
      <c r="CI57" s="82">
        <v>81.988883529999995</v>
      </c>
      <c r="CJ57" s="82">
        <v>20.21</v>
      </c>
      <c r="CK57" s="82">
        <v>30.225999999999999</v>
      </c>
      <c r="CL57" s="82">
        <v>50.436</v>
      </c>
      <c r="CM57" s="82">
        <v>26.286999999999999</v>
      </c>
      <c r="CN57" s="82">
        <v>76.723922290000004</v>
      </c>
      <c r="CO57" s="82">
        <v>47.679047580000017</v>
      </c>
      <c r="CP57" s="82">
        <v>124.40248239000002</v>
      </c>
      <c r="CQ57" s="82">
        <v>28.698306660000004</v>
      </c>
      <c r="CR57" s="82">
        <v>39.08343854000001</v>
      </c>
      <c r="CS57" s="82">
        <v>67.781745200000003</v>
      </c>
      <c r="CT57" s="82">
        <v>38.505805120000005</v>
      </c>
      <c r="CU57" s="82">
        <v>106.28755032000001</v>
      </c>
      <c r="CV57" s="82">
        <v>73.271547820000009</v>
      </c>
      <c r="CW57" s="82">
        <v>179.55909814</v>
      </c>
      <c r="CX57" s="82">
        <v>39.27059302</v>
      </c>
      <c r="CY57" s="82">
        <v>48.551588269999996</v>
      </c>
      <c r="CZ57" s="82">
        <f>CY57+CX57</f>
        <v>87.822181290000003</v>
      </c>
      <c r="DA57" s="82">
        <v>47.755697840000003</v>
      </c>
      <c r="DB57" s="82">
        <v>135.57787912999999</v>
      </c>
      <c r="DC57" s="82">
        <v>85.733633600000019</v>
      </c>
      <c r="DD57" s="82">
        <v>221.31151273000006</v>
      </c>
      <c r="DE57" s="82">
        <v>37.210050809999998</v>
      </c>
      <c r="DF57" s="82">
        <v>9.6999999999999993</v>
      </c>
      <c r="DG57" s="82">
        <v>46.9</v>
      </c>
      <c r="DH57" s="82">
        <v>34.522097400000007</v>
      </c>
      <c r="DI57" s="82">
        <v>81.46942387</v>
      </c>
      <c r="DJ57" s="82">
        <v>91.192974559999996</v>
      </c>
      <c r="DK57" s="82">
        <f>DI57+DJ57</f>
        <v>172.66239843</v>
      </c>
    </row>
    <row r="58" spans="2:115" s="9" customFormat="1" ht="18" customHeight="1">
      <c r="B58" s="79" t="s">
        <v>434</v>
      </c>
      <c r="C58" s="231" t="s">
        <v>432</v>
      </c>
      <c r="D58" s="82">
        <v>0</v>
      </c>
      <c r="E58" s="82">
        <v>0</v>
      </c>
      <c r="F58" s="82">
        <v>0</v>
      </c>
      <c r="G58" s="82">
        <v>0</v>
      </c>
      <c r="H58" s="82">
        <v>0</v>
      </c>
      <c r="I58" s="82">
        <v>0</v>
      </c>
      <c r="J58" s="82">
        <v>0</v>
      </c>
      <c r="K58" s="82">
        <v>0</v>
      </c>
      <c r="L58" s="82">
        <v>0</v>
      </c>
      <c r="M58" s="82">
        <v>0</v>
      </c>
      <c r="N58" s="82">
        <v>0</v>
      </c>
      <c r="O58" s="82">
        <v>0</v>
      </c>
      <c r="P58" s="82">
        <v>0</v>
      </c>
      <c r="Q58" s="82">
        <v>0</v>
      </c>
      <c r="R58" s="82">
        <v>0</v>
      </c>
      <c r="S58" s="82">
        <v>0</v>
      </c>
      <c r="T58" s="82">
        <v>0</v>
      </c>
      <c r="U58" s="82">
        <v>0</v>
      </c>
      <c r="V58" s="82">
        <v>0</v>
      </c>
      <c r="W58" s="82">
        <v>0</v>
      </c>
      <c r="X58" s="82">
        <v>0</v>
      </c>
      <c r="Y58" s="82">
        <v>0</v>
      </c>
      <c r="Z58" s="82">
        <v>0</v>
      </c>
      <c r="AA58" s="82">
        <v>0</v>
      </c>
      <c r="AB58" s="82">
        <v>0</v>
      </c>
      <c r="AC58" s="82">
        <v>0</v>
      </c>
      <c r="AD58" s="82">
        <v>0</v>
      </c>
      <c r="AE58" s="82">
        <v>0</v>
      </c>
      <c r="AF58" s="82">
        <v>0</v>
      </c>
      <c r="AG58" s="82">
        <v>0</v>
      </c>
      <c r="AH58" s="82">
        <v>0</v>
      </c>
      <c r="AI58" s="82">
        <v>0</v>
      </c>
      <c r="AJ58" s="82">
        <v>0</v>
      </c>
      <c r="AK58" s="82">
        <v>0</v>
      </c>
      <c r="AL58" s="82">
        <v>0</v>
      </c>
      <c r="AM58" s="82">
        <v>0</v>
      </c>
      <c r="AN58" s="82">
        <v>0</v>
      </c>
      <c r="AO58" s="82">
        <v>0</v>
      </c>
      <c r="AP58" s="82">
        <v>0</v>
      </c>
      <c r="AQ58" s="82">
        <v>0</v>
      </c>
      <c r="AR58" s="82">
        <v>0</v>
      </c>
      <c r="AS58" s="82">
        <v>0</v>
      </c>
      <c r="AT58" s="82">
        <v>0</v>
      </c>
      <c r="AU58" s="82">
        <v>0</v>
      </c>
      <c r="AV58" s="82">
        <v>0</v>
      </c>
      <c r="AW58" s="82">
        <v>0</v>
      </c>
      <c r="AX58" s="82">
        <v>0</v>
      </c>
      <c r="AY58" s="82">
        <v>0</v>
      </c>
      <c r="AZ58" s="82">
        <v>0</v>
      </c>
      <c r="BA58" s="82">
        <v>0</v>
      </c>
      <c r="BB58" s="82">
        <v>0</v>
      </c>
      <c r="BC58" s="82">
        <v>0</v>
      </c>
      <c r="BD58" s="82">
        <v>0</v>
      </c>
      <c r="BE58" s="82">
        <v>0</v>
      </c>
      <c r="BF58" s="82">
        <v>0</v>
      </c>
      <c r="BG58" s="82">
        <v>0</v>
      </c>
      <c r="BH58" s="82">
        <v>0</v>
      </c>
      <c r="BI58" s="82">
        <v>0</v>
      </c>
      <c r="BJ58" s="82">
        <v>0</v>
      </c>
      <c r="BK58" s="82">
        <v>0</v>
      </c>
      <c r="BL58" s="82">
        <v>0</v>
      </c>
      <c r="BM58" s="82">
        <v>0</v>
      </c>
      <c r="BN58" s="82">
        <v>0</v>
      </c>
      <c r="BO58" s="236">
        <f>+BO57/BH57-1</f>
        <v>0.45146573093368891</v>
      </c>
      <c r="BP58" s="236">
        <f>+BP57/BI57-1</f>
        <v>0.61815754560077107</v>
      </c>
      <c r="BQ58" s="236">
        <f>+BQ57/BJ57-1</f>
        <v>0.54871105594666902</v>
      </c>
      <c r="BR58" s="236">
        <f>+BR57/BK57-1</f>
        <v>1.0144172815210721</v>
      </c>
      <c r="BS58" s="236">
        <f t="shared" ref="BS58:CA58" si="118">+BS57/BL57-1</f>
        <v>0.7198151084102129</v>
      </c>
      <c r="BT58" s="236">
        <f t="shared" si="118"/>
        <v>1.3165002204290528</v>
      </c>
      <c r="BU58" s="236">
        <f t="shared" si="118"/>
        <v>0.89357325040111202</v>
      </c>
      <c r="BV58" s="236">
        <f>+BV57/BO57-1</f>
        <v>1.3444907602885405</v>
      </c>
      <c r="BW58" s="236">
        <f>+BW57/BP57-1</f>
        <v>1.24227989836062</v>
      </c>
      <c r="BX58" s="236">
        <f>+BX57/BQ57-1</f>
        <v>1.2821887712138071</v>
      </c>
      <c r="BY58" s="236">
        <f>+BY57/BR57-1</f>
        <v>1.0183190058799183</v>
      </c>
      <c r="BZ58" s="236">
        <f>+BZ57/BS57-1</f>
        <v>1.1686339542809181</v>
      </c>
      <c r="CA58" s="236">
        <f t="shared" si="118"/>
        <v>1.0596597943405643</v>
      </c>
      <c r="CB58" s="236">
        <f t="shared" ref="CB58:CG58" si="119">+CB57/BU57-1</f>
        <v>1.180902002726965</v>
      </c>
      <c r="CC58" s="236">
        <f t="shared" si="119"/>
        <v>0.81113537643024025</v>
      </c>
      <c r="CD58" s="236">
        <f t="shared" si="119"/>
        <v>1.3796389425746369</v>
      </c>
      <c r="CE58" s="236">
        <f t="shared" si="119"/>
        <v>1.1516033879853871</v>
      </c>
      <c r="CF58" s="236">
        <f t="shared" si="119"/>
        <v>0.90716809939069076</v>
      </c>
      <c r="CG58" s="236">
        <f t="shared" si="119"/>
        <v>1.0537000438719217</v>
      </c>
      <c r="CH58" s="236">
        <f t="shared" ref="CH58" si="120">+CH57/CA57-1</f>
        <v>0.85407765518482193</v>
      </c>
      <c r="CI58" s="236">
        <f t="shared" ref="CI58:CK58" si="121">+CI57/CB57-1</f>
        <v>0.96510262574953343</v>
      </c>
      <c r="CJ58" s="236">
        <f t="shared" si="121"/>
        <v>0.99980209776370477</v>
      </c>
      <c r="CK58" s="236">
        <f t="shared" si="121"/>
        <v>0.52464060529634304</v>
      </c>
      <c r="CL58" s="236">
        <f t="shared" ref="CL58:CN58" si="122">+CL57/CE57-1</f>
        <v>0.68507567405031566</v>
      </c>
      <c r="CM58" s="236">
        <f t="shared" ref="CM58" si="123">+CM57/CF57-1</f>
        <v>0.4830350282120579</v>
      </c>
      <c r="CN58" s="236">
        <f t="shared" si="122"/>
        <v>0.60995089256606017</v>
      </c>
      <c r="CO58" s="236">
        <f t="shared" ref="CO58" si="124">+CO57/CH57-1</f>
        <v>0.38873089411485173</v>
      </c>
      <c r="CP58" s="236">
        <f t="shared" ref="CP58:CW58" si="125">+CP57/CI57-1</f>
        <v>0.51730914038463216</v>
      </c>
      <c r="CQ58" s="236">
        <f t="shared" si="125"/>
        <v>0.420005277585354</v>
      </c>
      <c r="CR58" s="236">
        <f t="shared" si="125"/>
        <v>0.29304038046714775</v>
      </c>
      <c r="CS58" s="236">
        <f t="shared" si="125"/>
        <v>0.34391595685621379</v>
      </c>
      <c r="CT58" s="236">
        <f t="shared" si="125"/>
        <v>0.46482311104348173</v>
      </c>
      <c r="CU58" s="236">
        <f t="shared" si="125"/>
        <v>0.38532477417220434</v>
      </c>
      <c r="CV58" s="236">
        <f t="shared" si="125"/>
        <v>0.53676618009323041</v>
      </c>
      <c r="CW58" s="236">
        <f t="shared" si="125"/>
        <v>0.44337230809498451</v>
      </c>
      <c r="CX58" s="236">
        <f>CX57/CQ57-1</f>
        <v>0.36839408280265395</v>
      </c>
      <c r="CY58" s="236">
        <f>CY57/CR57-1</f>
        <v>0.24225477807715912</v>
      </c>
      <c r="CZ58" s="236">
        <f t="shared" ref="CZ58" si="126">+CZ57/CS57-1</f>
        <v>0.2956612585124172</v>
      </c>
      <c r="DA58" s="236">
        <f t="shared" ref="DA58" si="127">+DA57/CT57-1</f>
        <v>0.24022073272259892</v>
      </c>
      <c r="DB58" s="236">
        <f t="shared" ref="DB58" si="128">+DB57/CU57-1</f>
        <v>0.27557629018465057</v>
      </c>
      <c r="DC58" s="236">
        <f t="shared" ref="DC58:DE58" si="129">+DC57/CV57-1</f>
        <v>0.17008083152023157</v>
      </c>
      <c r="DD58" s="236">
        <f t="shared" ref="DD58" si="130">+DD57/CW57-1</f>
        <v>0.2325274242436115</v>
      </c>
      <c r="DE58" s="236">
        <f t="shared" si="129"/>
        <v>-5.2470361447065295E-2</v>
      </c>
      <c r="DF58" s="236">
        <f>DF57/CY57-1</f>
        <v>-0.80021250909326846</v>
      </c>
      <c r="DG58" s="236">
        <f t="shared" ref="DG58" si="131">+DG57/CZ57-1</f>
        <v>-0.46596635028763134</v>
      </c>
      <c r="DH58" s="236">
        <f>DH57/DA57-1</f>
        <v>-0.27711039810029914</v>
      </c>
      <c r="DI58" s="236">
        <f t="shared" ref="DI58" si="132">+DI57/DB57-1</f>
        <v>-0.39909501171734396</v>
      </c>
      <c r="DJ58" s="236">
        <f>DJ57/DC57-1</f>
        <v>6.3677937476336988E-2</v>
      </c>
      <c r="DK58" s="236">
        <f t="shared" ref="DK58" si="133">+DK57/DD57-1</f>
        <v>-0.21982188680510251</v>
      </c>
    </row>
    <row r="59" spans="2:115" s="9" customFormat="1" ht="18" customHeight="1">
      <c r="B59" s="79" t="s">
        <v>435</v>
      </c>
      <c r="C59" s="231" t="s">
        <v>433</v>
      </c>
      <c r="D59" s="82">
        <v>0</v>
      </c>
      <c r="E59" s="82">
        <v>0</v>
      </c>
      <c r="F59" s="82">
        <v>0</v>
      </c>
      <c r="G59" s="82">
        <v>0</v>
      </c>
      <c r="H59" s="82">
        <v>0</v>
      </c>
      <c r="I59" s="82">
        <v>0</v>
      </c>
      <c r="J59" s="82">
        <v>0</v>
      </c>
      <c r="K59" s="82">
        <v>0</v>
      </c>
      <c r="L59" s="82">
        <v>0</v>
      </c>
      <c r="M59" s="82">
        <v>0</v>
      </c>
      <c r="N59" s="82">
        <v>0</v>
      </c>
      <c r="O59" s="82">
        <v>0</v>
      </c>
      <c r="P59" s="82">
        <v>0</v>
      </c>
      <c r="Q59" s="82">
        <v>0</v>
      </c>
      <c r="R59" s="82">
        <v>0</v>
      </c>
      <c r="S59" s="82">
        <v>0</v>
      </c>
      <c r="T59" s="82">
        <v>0</v>
      </c>
      <c r="U59" s="82">
        <v>0</v>
      </c>
      <c r="V59" s="82">
        <v>0</v>
      </c>
      <c r="W59" s="82">
        <v>0</v>
      </c>
      <c r="X59" s="82">
        <v>0</v>
      </c>
      <c r="Y59" s="82">
        <v>0</v>
      </c>
      <c r="Z59" s="82">
        <v>0</v>
      </c>
      <c r="AA59" s="82">
        <v>0</v>
      </c>
      <c r="AB59" s="82">
        <v>0</v>
      </c>
      <c r="AC59" s="82">
        <v>0</v>
      </c>
      <c r="AD59" s="82">
        <v>0</v>
      </c>
      <c r="AE59" s="82">
        <v>0</v>
      </c>
      <c r="AF59" s="82">
        <v>0</v>
      </c>
      <c r="AG59" s="82">
        <v>0</v>
      </c>
      <c r="AH59" s="82">
        <v>0</v>
      </c>
      <c r="AI59" s="82">
        <v>0</v>
      </c>
      <c r="AJ59" s="82">
        <v>0</v>
      </c>
      <c r="AK59" s="82">
        <v>0</v>
      </c>
      <c r="AL59" s="82">
        <v>0</v>
      </c>
      <c r="AM59" s="82">
        <v>0</v>
      </c>
      <c r="AN59" s="82">
        <v>0</v>
      </c>
      <c r="AO59" s="82">
        <v>0</v>
      </c>
      <c r="AP59" s="82">
        <v>0</v>
      </c>
      <c r="AQ59" s="82">
        <v>0</v>
      </c>
      <c r="AR59" s="82">
        <v>0</v>
      </c>
      <c r="AS59" s="82">
        <v>0</v>
      </c>
      <c r="AT59" s="82">
        <v>0</v>
      </c>
      <c r="AU59" s="82">
        <v>0</v>
      </c>
      <c r="AV59" s="82">
        <v>0</v>
      </c>
      <c r="AW59" s="82">
        <v>0</v>
      </c>
      <c r="AX59" s="82">
        <v>0</v>
      </c>
      <c r="AY59" s="82">
        <v>0</v>
      </c>
      <c r="AZ59" s="82">
        <v>0</v>
      </c>
      <c r="BA59" s="82">
        <v>0</v>
      </c>
      <c r="BB59" s="82">
        <v>0</v>
      </c>
      <c r="BC59" s="82">
        <v>0</v>
      </c>
      <c r="BD59" s="82">
        <v>0</v>
      </c>
      <c r="BE59" s="82">
        <v>0</v>
      </c>
      <c r="BF59" s="82">
        <v>0</v>
      </c>
      <c r="BG59" s="82">
        <v>0</v>
      </c>
      <c r="BH59" s="84">
        <v>0.59575031111472476</v>
      </c>
      <c r="BI59" s="84">
        <v>0.61500541883186344</v>
      </c>
      <c r="BJ59" s="84">
        <v>0.60698343142031874</v>
      </c>
      <c r="BK59" s="84">
        <v>0.50358485339873393</v>
      </c>
      <c r="BL59" s="84">
        <v>0.56899399785275184</v>
      </c>
      <c r="BM59" s="84">
        <v>0.50600000000000001</v>
      </c>
      <c r="BN59" s="84">
        <v>0.54483917096399559</v>
      </c>
      <c r="BO59" s="84">
        <v>0.39900000000000002</v>
      </c>
      <c r="BP59" s="84">
        <v>0.49562742145815264</v>
      </c>
      <c r="BQ59" s="84">
        <v>0.45782389464402279</v>
      </c>
      <c r="BR59" s="84">
        <v>0.50622456914877412</v>
      </c>
      <c r="BS59" s="84">
        <v>0.47865284306810935</v>
      </c>
      <c r="BT59" s="84">
        <v>0.56951288511911968</v>
      </c>
      <c r="BU59" s="84">
        <v>0.53536379284074798</v>
      </c>
      <c r="BV59" s="84">
        <v>0.54566486091487498</v>
      </c>
      <c r="BW59" s="84">
        <v>0.59600310561786973</v>
      </c>
      <c r="BX59" s="84">
        <v>0.57581165875369811</v>
      </c>
      <c r="BY59" s="84">
        <v>0.5607976125001618</v>
      </c>
      <c r="BZ59" s="84">
        <v>0.56979829830640083</v>
      </c>
      <c r="CA59" s="84">
        <v>0.60445053638910518</v>
      </c>
      <c r="CB59" s="84">
        <v>0.58517782986336508</v>
      </c>
      <c r="CC59" s="84">
        <v>0.57499999999999996</v>
      </c>
      <c r="CD59" s="84">
        <v>0.61499999999999999</v>
      </c>
      <c r="CE59" s="84">
        <v>0.60199999999999998</v>
      </c>
      <c r="CF59" s="84">
        <v>0.5817490007372369</v>
      </c>
      <c r="CG59" s="84">
        <v>0.59417896363102252</v>
      </c>
      <c r="CH59" s="84">
        <v>0.59750924630066971</v>
      </c>
      <c r="CI59" s="84">
        <v>0.59557351847745033</v>
      </c>
      <c r="CJ59" s="84">
        <v>0.53500000000000003</v>
      </c>
      <c r="CK59" s="84">
        <v>0.61599999999999999</v>
      </c>
      <c r="CL59" s="84">
        <v>0.58399999999999996</v>
      </c>
      <c r="CM59" s="84">
        <v>0.57951033389816042</v>
      </c>
      <c r="CN59" s="84">
        <v>0.58243455250227738</v>
      </c>
      <c r="CO59" s="84">
        <v>0.63672218198281394</v>
      </c>
      <c r="CP59" s="84">
        <v>0.60324107034083119</v>
      </c>
      <c r="CQ59" s="84">
        <v>0.55997514419200922</v>
      </c>
      <c r="CR59" s="84">
        <v>0.59960000000000002</v>
      </c>
      <c r="CS59" s="84">
        <v>0.58283568788960594</v>
      </c>
      <c r="CT59" s="84">
        <v>0.57196518450566514</v>
      </c>
      <c r="CU59" s="84">
        <v>0.57889752689522689</v>
      </c>
      <c r="CV59" s="84">
        <v>0.6076359056775279</v>
      </c>
      <c r="CW59" s="84">
        <v>0.59062461573132075</v>
      </c>
      <c r="CX59" s="84">
        <v>0.58610174586052122</v>
      </c>
      <c r="CY59" s="84">
        <v>0.62313871735261361</v>
      </c>
      <c r="CZ59" s="84">
        <v>0.60657725403212892</v>
      </c>
      <c r="DA59" s="84">
        <v>0.60427317399242508</v>
      </c>
      <c r="DB59" s="84">
        <v>0.60576566920072894</v>
      </c>
      <c r="DC59" s="84">
        <v>0.62566676026198431</v>
      </c>
      <c r="DD59" s="84">
        <v>0.61347513188633007</v>
      </c>
      <c r="DE59" s="84">
        <v>0.60084789010800055</v>
      </c>
      <c r="DF59" s="84">
        <v>0.53800000000000003</v>
      </c>
      <c r="DG59" s="84">
        <v>0.58799999999999997</v>
      </c>
      <c r="DH59" s="84">
        <v>0.4675553774435503</v>
      </c>
      <c r="DI59" s="84">
        <v>0.53687476641290277</v>
      </c>
      <c r="DJ59" s="84">
        <v>0.58499999999999996</v>
      </c>
      <c r="DK59" s="84">
        <v>0.56240207412251453</v>
      </c>
    </row>
    <row r="60" spans="2:115" ht="6.75" customHeight="1"/>
    <row r="61" spans="2:115" ht="6.75" customHeight="1"/>
    <row r="62" spans="2:115" s="9" customFormat="1">
      <c r="B62" s="20" t="s">
        <v>335</v>
      </c>
      <c r="Y62" s="15"/>
      <c r="Z62" s="15"/>
      <c r="AA62" s="15"/>
      <c r="AB62" s="15"/>
      <c r="AC62" s="15"/>
      <c r="AD62" s="15"/>
      <c r="AE62" s="15"/>
      <c r="AF62" s="15"/>
      <c r="AG62" s="15"/>
      <c r="AH62" s="15"/>
      <c r="AI62" s="15"/>
      <c r="AJ62" s="15"/>
      <c r="AK62" s="15"/>
      <c r="AL62" s="15"/>
      <c r="AM62" s="15"/>
      <c r="AN62" s="15"/>
      <c r="AO62" s="15"/>
      <c r="AP62" s="15"/>
      <c r="AQ62" s="15"/>
      <c r="BT62" s="244"/>
      <c r="BU62" s="244"/>
      <c r="BV62" s="244"/>
      <c r="BW62" s="244"/>
      <c r="BX62" s="244"/>
      <c r="BY62" s="244"/>
      <c r="BZ62" s="244"/>
      <c r="CA62" s="244"/>
      <c r="CB62" s="241"/>
      <c r="CC62" s="244"/>
      <c r="CD62" s="244"/>
      <c r="CJ62" s="244"/>
      <c r="CQ62" s="244"/>
      <c r="CR62" s="416"/>
      <c r="CS62" s="416"/>
      <c r="CT62" s="416"/>
      <c r="CU62" s="416"/>
      <c r="CV62" s="416"/>
      <c r="CW62" s="416"/>
      <c r="CX62" s="416"/>
      <c r="CY62" s="416"/>
      <c r="CZ62" s="416"/>
      <c r="DF62" s="416"/>
      <c r="DG62" s="416"/>
      <c r="DH62" s="416"/>
      <c r="DI62" s="416"/>
      <c r="DJ62" s="416"/>
      <c r="DK62" s="416"/>
    </row>
    <row r="63" spans="2:115" s="9" customFormat="1">
      <c r="B63" s="20" t="s">
        <v>368</v>
      </c>
      <c r="Y63" s="15"/>
      <c r="Z63" s="15"/>
      <c r="AA63" s="15"/>
      <c r="AB63" s="15"/>
      <c r="AC63" s="15"/>
      <c r="AD63" s="15"/>
      <c r="AE63" s="15"/>
      <c r="AF63" s="15"/>
      <c r="AG63" s="15"/>
      <c r="AH63" s="15"/>
      <c r="AI63" s="15"/>
      <c r="AJ63" s="15"/>
      <c r="AK63" s="15"/>
      <c r="AL63" s="15"/>
      <c r="AM63" s="15"/>
      <c r="AN63" s="15"/>
      <c r="AO63" s="15"/>
      <c r="AP63" s="15"/>
      <c r="AQ63" s="15"/>
      <c r="BU63" s="520">
        <f>BU33+BU44+BU55</f>
        <v>486.6</v>
      </c>
      <c r="BZ63" s="228"/>
      <c r="CB63" s="241"/>
      <c r="CR63" s="416"/>
      <c r="CS63" s="416"/>
      <c r="CT63" s="416"/>
      <c r="CU63" s="416"/>
      <c r="CV63" s="416"/>
      <c r="CW63" s="416"/>
      <c r="CX63" s="416"/>
      <c r="CY63" s="416"/>
      <c r="CZ63" s="416"/>
      <c r="DD63" s="520"/>
      <c r="DF63" s="416"/>
      <c r="DG63" s="416"/>
      <c r="DH63" s="416"/>
      <c r="DI63" s="416"/>
      <c r="DJ63" s="416"/>
      <c r="DK63" s="416"/>
    </row>
    <row r="64" spans="2:115" s="9" customFormat="1">
      <c r="Y64" s="15"/>
      <c r="Z64" s="15"/>
      <c r="AA64" s="15"/>
      <c r="AB64" s="15"/>
      <c r="AC64" s="15"/>
      <c r="AD64" s="15"/>
      <c r="AE64" s="15"/>
      <c r="AF64" s="15"/>
      <c r="AG64" s="15"/>
      <c r="AH64" s="15"/>
      <c r="AI64" s="15"/>
      <c r="AJ64" s="15"/>
      <c r="AK64" s="15"/>
      <c r="AL64" s="15"/>
      <c r="AM64" s="15"/>
      <c r="AN64" s="15"/>
      <c r="AO64" s="15"/>
      <c r="AP64" s="15"/>
      <c r="AQ64" s="15"/>
      <c r="CB64" s="241"/>
      <c r="CR64" s="416"/>
      <c r="CS64" s="416"/>
      <c r="CT64" s="416"/>
      <c r="CU64" s="416"/>
      <c r="CV64" s="416"/>
      <c r="CW64" s="416"/>
      <c r="CX64" s="416"/>
      <c r="CY64" s="416"/>
      <c r="CZ64" s="416"/>
      <c r="DF64" s="416"/>
      <c r="DG64" s="416"/>
      <c r="DH64" s="416"/>
      <c r="DI64" s="416"/>
      <c r="DJ64" s="416"/>
      <c r="DK64" s="416"/>
    </row>
    <row r="65" spans="18:115" s="9" customFormat="1">
      <c r="Y65" s="15"/>
      <c r="Z65" s="15"/>
      <c r="AA65" s="15"/>
      <c r="AB65" s="15"/>
      <c r="AC65" s="15"/>
      <c r="AD65" s="15"/>
      <c r="AE65" s="15"/>
      <c r="AF65" s="15"/>
      <c r="AG65" s="15"/>
      <c r="AH65" s="15"/>
      <c r="AI65" s="15"/>
      <c r="AJ65" s="15"/>
      <c r="AK65" s="15"/>
      <c r="AL65" s="15"/>
      <c r="AM65" s="15"/>
      <c r="AN65" s="15"/>
      <c r="AO65" s="15"/>
      <c r="AP65" s="15"/>
      <c r="AQ65" s="15"/>
      <c r="CR65" s="416"/>
      <c r="CS65" s="416"/>
      <c r="CT65" s="416"/>
      <c r="CU65" s="416"/>
      <c r="CV65" s="416"/>
      <c r="CW65" s="416"/>
      <c r="CX65" s="416"/>
      <c r="CY65" s="416"/>
      <c r="CZ65" s="416"/>
      <c r="DF65" s="416"/>
      <c r="DG65" s="416"/>
      <c r="DH65" s="416"/>
      <c r="DI65" s="416"/>
      <c r="DJ65" s="416"/>
      <c r="DK65" s="416"/>
    </row>
    <row r="66" spans="18:115" s="9" customFormat="1">
      <c r="Y66" s="15"/>
      <c r="Z66" s="15"/>
      <c r="AA66" s="15"/>
      <c r="AB66" s="15"/>
      <c r="AC66" s="15"/>
      <c r="AD66" s="15"/>
      <c r="AE66" s="15"/>
      <c r="AF66" s="15"/>
      <c r="AG66" s="15"/>
      <c r="AH66" s="15"/>
      <c r="AI66" s="15"/>
      <c r="AJ66" s="15"/>
      <c r="AK66" s="15"/>
      <c r="AL66" s="15"/>
      <c r="AM66" s="15"/>
      <c r="AN66" s="15"/>
      <c r="AO66" s="15"/>
      <c r="AP66" s="15"/>
      <c r="AQ66" s="15"/>
      <c r="CR66" s="416"/>
      <c r="CS66" s="416"/>
      <c r="CT66" s="416"/>
      <c r="CU66" s="416"/>
      <c r="CV66" s="416"/>
      <c r="CW66" s="416"/>
      <c r="CX66" s="416"/>
      <c r="CY66" s="416"/>
      <c r="CZ66" s="416"/>
      <c r="DF66" s="416"/>
      <c r="DG66" s="416"/>
      <c r="DH66" s="416"/>
      <c r="DI66" s="416"/>
      <c r="DJ66" s="416"/>
      <c r="DK66" s="416"/>
    </row>
    <row r="67" spans="18:115" s="9" customFormat="1">
      <c r="Y67" s="15"/>
      <c r="Z67" s="15"/>
      <c r="AA67" s="15"/>
      <c r="AB67" s="15"/>
      <c r="AC67" s="15"/>
      <c r="AD67" s="15"/>
      <c r="AE67" s="15"/>
      <c r="AF67" s="15"/>
      <c r="AG67" s="15"/>
      <c r="AH67" s="15"/>
      <c r="AI67" s="15"/>
      <c r="AJ67" s="15"/>
      <c r="AK67" s="15"/>
      <c r="AL67" s="15"/>
      <c r="AM67" s="15"/>
      <c r="AN67" s="15"/>
      <c r="AO67" s="15"/>
      <c r="AP67" s="15"/>
      <c r="AQ67" s="15"/>
      <c r="CR67" s="416"/>
      <c r="CS67" s="416"/>
      <c r="CT67" s="416"/>
      <c r="CU67" s="416"/>
      <c r="CV67" s="416"/>
      <c r="CW67" s="416"/>
      <c r="CX67" s="416"/>
      <c r="CY67" s="416"/>
      <c r="CZ67" s="416"/>
      <c r="DF67" s="416"/>
      <c r="DG67" s="416"/>
      <c r="DH67" s="416"/>
      <c r="DI67" s="416"/>
      <c r="DJ67" s="416"/>
      <c r="DK67" s="416"/>
    </row>
    <row r="68" spans="18:115" s="9" customFormat="1">
      <c r="Y68" s="15"/>
      <c r="Z68" s="15"/>
      <c r="AA68" s="15"/>
      <c r="AB68" s="15"/>
      <c r="AC68" s="15"/>
      <c r="AD68" s="15"/>
      <c r="AE68" s="15"/>
      <c r="AF68" s="15"/>
      <c r="AG68" s="15"/>
      <c r="AH68" s="15"/>
      <c r="AI68" s="15"/>
      <c r="AJ68" s="15"/>
      <c r="AK68" s="15"/>
      <c r="AL68" s="15"/>
      <c r="AM68" s="15"/>
      <c r="AN68" s="15"/>
      <c r="AO68" s="15"/>
      <c r="AP68" s="15"/>
      <c r="AQ68" s="15"/>
      <c r="CR68" s="416"/>
      <c r="CS68" s="416"/>
      <c r="CT68" s="416"/>
      <c r="CU68" s="416"/>
      <c r="CV68" s="416"/>
      <c r="CW68" s="416"/>
      <c r="CX68" s="416"/>
      <c r="CY68" s="416"/>
      <c r="CZ68" s="416"/>
      <c r="DF68" s="416"/>
      <c r="DG68" s="416"/>
      <c r="DH68" s="416"/>
      <c r="DI68" s="416"/>
      <c r="DJ68" s="416"/>
      <c r="DK68" s="416"/>
    </row>
    <row r="69" spans="18:115" s="9" customFormat="1">
      <c r="Y69" s="15"/>
      <c r="Z69" s="15"/>
      <c r="AA69" s="15"/>
      <c r="AB69" s="15"/>
      <c r="AC69" s="15"/>
      <c r="AD69" s="15"/>
      <c r="AE69" s="15"/>
      <c r="AF69" s="15"/>
      <c r="AG69" s="15"/>
      <c r="AH69" s="15"/>
      <c r="AI69" s="15"/>
      <c r="AJ69" s="15"/>
      <c r="AK69" s="15"/>
      <c r="AL69" s="15"/>
      <c r="AM69" s="15"/>
      <c r="AN69" s="15"/>
      <c r="AO69" s="15"/>
      <c r="AP69" s="15"/>
      <c r="AQ69" s="15"/>
      <c r="CR69" s="416"/>
      <c r="CS69" s="416"/>
      <c r="CT69" s="416"/>
      <c r="CU69" s="416"/>
      <c r="CV69" s="416"/>
      <c r="CW69" s="416"/>
      <c r="CX69" s="416"/>
      <c r="CY69" s="416"/>
      <c r="CZ69" s="416"/>
      <c r="DF69" s="416"/>
      <c r="DG69" s="416"/>
      <c r="DH69" s="416"/>
      <c r="DI69" s="416"/>
      <c r="DJ69" s="416"/>
      <c r="DK69" s="416"/>
    </row>
    <row r="70" spans="18:115" s="9" customFormat="1">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CR70" s="416"/>
      <c r="CS70" s="416"/>
      <c r="CT70" s="416"/>
      <c r="CU70" s="416"/>
      <c r="CV70" s="416"/>
      <c r="CW70" s="416"/>
      <c r="CX70" s="416"/>
      <c r="CY70" s="416"/>
      <c r="CZ70" s="416"/>
      <c r="DF70" s="416"/>
      <c r="DG70" s="416"/>
      <c r="DH70" s="416"/>
      <c r="DI70" s="416"/>
      <c r="DJ70" s="416"/>
      <c r="DK70" s="416"/>
    </row>
    <row r="71" spans="18:115" s="9" customFormat="1">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CR71" s="416"/>
      <c r="CS71" s="416"/>
      <c r="CT71" s="416"/>
      <c r="CU71" s="416"/>
      <c r="CV71" s="416"/>
      <c r="CW71" s="416"/>
      <c r="CX71" s="416"/>
      <c r="CY71" s="416"/>
      <c r="CZ71" s="416"/>
      <c r="DF71" s="416"/>
      <c r="DG71" s="416"/>
      <c r="DH71" s="416"/>
      <c r="DI71" s="416"/>
      <c r="DJ71" s="416"/>
      <c r="DK71" s="416"/>
    </row>
    <row r="72" spans="18:115" s="9" customFormat="1">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CR72" s="416"/>
      <c r="CS72" s="416"/>
      <c r="CT72" s="416"/>
      <c r="CU72" s="416"/>
      <c r="CV72" s="416"/>
      <c r="CW72" s="416"/>
      <c r="CX72" s="416"/>
      <c r="CY72" s="416"/>
      <c r="CZ72" s="416"/>
      <c r="DF72" s="416"/>
      <c r="DG72" s="416"/>
      <c r="DH72" s="416"/>
      <c r="DI72" s="416"/>
      <c r="DJ72" s="416"/>
      <c r="DK72" s="416"/>
    </row>
    <row r="73" spans="18:115" s="9" customFormat="1">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CR73" s="416"/>
      <c r="CS73" s="416"/>
      <c r="CT73" s="416"/>
      <c r="CU73" s="416"/>
      <c r="CV73" s="416"/>
      <c r="CW73" s="416"/>
      <c r="CX73" s="416"/>
      <c r="CY73" s="416"/>
      <c r="CZ73" s="416"/>
      <c r="DF73" s="416"/>
      <c r="DG73" s="416"/>
      <c r="DH73" s="416"/>
      <c r="DI73" s="416"/>
      <c r="DJ73" s="416"/>
      <c r="DK73" s="416"/>
    </row>
    <row r="74" spans="18:115" s="9" customFormat="1">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CR74" s="416"/>
      <c r="CS74" s="416"/>
      <c r="CT74" s="416"/>
      <c r="CU74" s="416"/>
      <c r="CV74" s="416"/>
      <c r="CW74" s="416"/>
      <c r="CX74" s="416"/>
      <c r="CY74" s="416"/>
      <c r="CZ74" s="416"/>
      <c r="DF74" s="416"/>
      <c r="DG74" s="416"/>
      <c r="DH74" s="416"/>
      <c r="DI74" s="416"/>
      <c r="DJ74" s="416"/>
      <c r="DK74" s="416"/>
    </row>
    <row r="75" spans="18:115" s="9" customFormat="1">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CR75" s="416"/>
      <c r="CS75" s="416"/>
      <c r="CT75" s="416"/>
      <c r="CU75" s="416"/>
      <c r="CV75" s="416"/>
      <c r="CW75" s="416"/>
      <c r="CX75" s="416"/>
      <c r="CY75" s="416"/>
      <c r="CZ75" s="416"/>
      <c r="DF75" s="416"/>
      <c r="DG75" s="416"/>
      <c r="DH75" s="416"/>
      <c r="DI75" s="416"/>
      <c r="DJ75" s="416"/>
      <c r="DK75" s="416"/>
    </row>
    <row r="76" spans="18:115" s="9" customFormat="1">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CR76" s="416"/>
      <c r="CS76" s="416"/>
      <c r="CT76" s="416"/>
      <c r="CU76" s="416"/>
      <c r="CV76" s="416"/>
      <c r="CW76" s="416"/>
      <c r="CX76" s="416"/>
      <c r="CY76" s="416"/>
      <c r="CZ76" s="416"/>
      <c r="DF76" s="416"/>
      <c r="DG76" s="416"/>
      <c r="DH76" s="416"/>
      <c r="DI76" s="416"/>
      <c r="DJ76" s="416"/>
      <c r="DK76" s="416"/>
    </row>
    <row r="77" spans="18:115" s="9" customFormat="1">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CR77" s="416"/>
      <c r="CS77" s="416"/>
      <c r="CT77" s="416"/>
      <c r="CU77" s="416"/>
      <c r="CV77" s="416"/>
      <c r="CW77" s="416"/>
      <c r="CX77" s="416"/>
      <c r="CY77" s="416"/>
      <c r="CZ77" s="416"/>
      <c r="DF77" s="416"/>
      <c r="DG77" s="416"/>
      <c r="DH77" s="416"/>
      <c r="DI77" s="416"/>
      <c r="DJ77" s="416"/>
      <c r="DK77" s="416"/>
    </row>
    <row r="78" spans="18:115" s="9" customFormat="1">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CR78" s="416"/>
      <c r="CS78" s="416"/>
      <c r="CT78" s="416"/>
      <c r="CU78" s="416"/>
      <c r="CV78" s="416"/>
      <c r="CW78" s="416"/>
      <c r="CX78" s="416"/>
      <c r="CY78" s="416"/>
      <c r="CZ78" s="416"/>
      <c r="DF78" s="416"/>
      <c r="DG78" s="416"/>
      <c r="DH78" s="416"/>
      <c r="DI78" s="416"/>
      <c r="DJ78" s="416"/>
      <c r="DK78" s="416"/>
    </row>
    <row r="79" spans="18:115" s="9" customFormat="1">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CR79" s="416"/>
      <c r="CS79" s="416"/>
      <c r="CT79" s="416"/>
      <c r="CU79" s="416"/>
      <c r="CV79" s="416"/>
      <c r="CW79" s="416"/>
      <c r="CX79" s="416"/>
      <c r="CY79" s="416"/>
      <c r="CZ79" s="416"/>
      <c r="DF79" s="416"/>
      <c r="DG79" s="416"/>
      <c r="DH79" s="416"/>
      <c r="DI79" s="416"/>
      <c r="DJ79" s="416"/>
      <c r="DK79" s="416"/>
    </row>
    <row r="80" spans="18:115" s="9" customFormat="1">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CR80" s="416"/>
      <c r="CS80" s="416"/>
      <c r="CT80" s="416"/>
      <c r="CU80" s="416"/>
      <c r="CV80" s="416"/>
      <c r="CW80" s="416"/>
      <c r="CX80" s="416"/>
      <c r="CY80" s="416"/>
      <c r="CZ80" s="416"/>
      <c r="DF80" s="416"/>
      <c r="DG80" s="416"/>
      <c r="DH80" s="416"/>
      <c r="DI80" s="416"/>
      <c r="DJ80" s="416"/>
      <c r="DK80" s="416"/>
    </row>
    <row r="81" spans="18:115" s="9" customFormat="1">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CR81" s="416"/>
      <c r="CS81" s="416"/>
      <c r="CT81" s="416"/>
      <c r="CU81" s="416"/>
      <c r="CV81" s="416"/>
      <c r="CW81" s="416"/>
      <c r="CX81" s="416"/>
      <c r="CY81" s="416"/>
      <c r="CZ81" s="416"/>
      <c r="DF81" s="416"/>
      <c r="DG81" s="416"/>
      <c r="DH81" s="416"/>
      <c r="DI81" s="416"/>
      <c r="DJ81" s="416"/>
      <c r="DK81" s="416"/>
    </row>
    <row r="82" spans="18:115" s="9" customFormat="1">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CR82" s="416"/>
      <c r="CS82" s="416"/>
      <c r="CT82" s="416"/>
      <c r="CU82" s="416"/>
      <c r="CV82" s="416"/>
      <c r="CW82" s="416"/>
      <c r="CX82" s="416"/>
      <c r="CY82" s="416"/>
      <c r="CZ82" s="416"/>
      <c r="DF82" s="416"/>
      <c r="DG82" s="416"/>
      <c r="DH82" s="416"/>
      <c r="DI82" s="416"/>
      <c r="DJ82" s="416"/>
      <c r="DK82" s="416"/>
    </row>
    <row r="83" spans="18:115" s="9" customFormat="1">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CR83" s="416"/>
      <c r="CS83" s="416"/>
      <c r="CT83" s="416"/>
      <c r="CU83" s="416"/>
      <c r="CV83" s="416"/>
      <c r="CW83" s="416"/>
      <c r="CX83" s="416"/>
      <c r="CY83" s="416"/>
      <c r="CZ83" s="416"/>
      <c r="DF83" s="416"/>
      <c r="DG83" s="416"/>
      <c r="DH83" s="416"/>
      <c r="DI83" s="416"/>
      <c r="DJ83" s="416"/>
      <c r="DK83" s="416"/>
    </row>
    <row r="84" spans="18:115" s="9" customFormat="1">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CR84" s="416"/>
      <c r="CS84" s="416"/>
      <c r="CT84" s="416"/>
      <c r="CU84" s="416"/>
      <c r="CV84" s="416"/>
      <c r="CW84" s="416"/>
      <c r="CX84" s="416"/>
      <c r="CY84" s="416"/>
      <c r="CZ84" s="416"/>
      <c r="DF84" s="416"/>
      <c r="DG84" s="416"/>
      <c r="DH84" s="416"/>
      <c r="DI84" s="416"/>
      <c r="DJ84" s="416"/>
      <c r="DK84" s="416"/>
    </row>
    <row r="85" spans="18:115" s="9" customFormat="1">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CR85" s="416"/>
      <c r="CS85" s="416"/>
      <c r="CT85" s="416"/>
      <c r="CU85" s="416"/>
      <c r="CV85" s="416"/>
      <c r="CW85" s="416"/>
      <c r="CX85" s="416"/>
      <c r="CY85" s="416"/>
      <c r="CZ85" s="416"/>
      <c r="DF85" s="416"/>
      <c r="DG85" s="416"/>
      <c r="DH85" s="416"/>
      <c r="DI85" s="416"/>
      <c r="DJ85" s="416"/>
      <c r="DK85" s="416"/>
    </row>
    <row r="86" spans="18:115" s="9" customFormat="1">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CR86" s="416"/>
      <c r="CS86" s="416"/>
      <c r="CT86" s="416"/>
      <c r="CU86" s="416"/>
      <c r="CV86" s="416"/>
      <c r="CW86" s="416"/>
      <c r="CX86" s="416"/>
      <c r="CY86" s="416"/>
      <c r="CZ86" s="416"/>
      <c r="DF86" s="416"/>
      <c r="DG86" s="416"/>
      <c r="DH86" s="416"/>
      <c r="DI86" s="416"/>
      <c r="DJ86" s="416"/>
      <c r="DK86" s="416"/>
    </row>
    <row r="87" spans="18:115" s="9" customFormat="1">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CR87" s="416"/>
      <c r="CS87" s="416"/>
      <c r="CT87" s="416"/>
      <c r="CU87" s="416"/>
      <c r="CV87" s="416"/>
      <c r="CW87" s="416"/>
      <c r="CX87" s="416"/>
      <c r="CY87" s="416"/>
      <c r="CZ87" s="416"/>
      <c r="DF87" s="416"/>
      <c r="DG87" s="416"/>
      <c r="DH87" s="416"/>
      <c r="DI87" s="416"/>
      <c r="DJ87" s="416"/>
      <c r="DK87" s="416"/>
    </row>
    <row r="88" spans="18:115" s="9" customFormat="1">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CR88" s="416"/>
      <c r="CS88" s="416"/>
      <c r="CT88" s="416"/>
      <c r="CU88" s="416"/>
      <c r="CV88" s="416"/>
      <c r="CW88" s="416"/>
      <c r="CX88" s="416"/>
      <c r="CY88" s="416"/>
      <c r="CZ88" s="416"/>
      <c r="DF88" s="416"/>
      <c r="DG88" s="416"/>
      <c r="DH88" s="416"/>
      <c r="DI88" s="416"/>
      <c r="DJ88" s="416"/>
      <c r="DK88" s="416"/>
    </row>
    <row r="89" spans="18:115" s="9" customFormat="1">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CR89" s="416"/>
      <c r="CS89" s="416"/>
      <c r="CT89" s="416"/>
      <c r="CU89" s="416"/>
      <c r="CV89" s="416"/>
      <c r="CW89" s="416"/>
      <c r="CX89" s="416"/>
      <c r="CY89" s="416"/>
      <c r="CZ89" s="416"/>
      <c r="DF89" s="416"/>
      <c r="DG89" s="416"/>
      <c r="DH89" s="416"/>
      <c r="DI89" s="416"/>
      <c r="DJ89" s="416"/>
      <c r="DK89" s="416"/>
    </row>
    <row r="90" spans="18:115" s="9" customFormat="1">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CR90" s="416"/>
      <c r="CS90" s="416"/>
      <c r="CT90" s="416"/>
      <c r="CU90" s="416"/>
      <c r="CV90" s="416"/>
      <c r="CW90" s="416"/>
      <c r="CX90" s="416"/>
      <c r="CY90" s="416"/>
      <c r="CZ90" s="416"/>
      <c r="DF90" s="416"/>
      <c r="DG90" s="416"/>
      <c r="DH90" s="416"/>
      <c r="DI90" s="416"/>
      <c r="DJ90" s="416"/>
      <c r="DK90" s="416"/>
    </row>
    <row r="91" spans="18:115" s="9" customFormat="1">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CR91" s="416"/>
      <c r="CS91" s="416"/>
      <c r="CT91" s="416"/>
      <c r="CU91" s="416"/>
      <c r="CV91" s="416"/>
      <c r="CW91" s="416"/>
      <c r="CX91" s="416"/>
      <c r="CY91" s="416"/>
      <c r="CZ91" s="416"/>
      <c r="DF91" s="416"/>
      <c r="DG91" s="416"/>
      <c r="DH91" s="416"/>
      <c r="DI91" s="416"/>
      <c r="DJ91" s="416"/>
      <c r="DK91" s="416"/>
    </row>
    <row r="92" spans="18:115" s="9" customFormat="1">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CR92" s="416"/>
      <c r="CS92" s="416"/>
      <c r="CT92" s="416"/>
      <c r="CU92" s="416"/>
      <c r="CV92" s="416"/>
      <c r="CW92" s="416"/>
      <c r="CX92" s="416"/>
      <c r="CY92" s="416"/>
      <c r="CZ92" s="416"/>
      <c r="DF92" s="416"/>
      <c r="DG92" s="416"/>
      <c r="DH92" s="416"/>
      <c r="DI92" s="416"/>
      <c r="DJ92" s="416"/>
      <c r="DK92" s="416"/>
    </row>
    <row r="93" spans="18:115" s="9" customFormat="1">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CR93" s="416"/>
      <c r="CS93" s="416"/>
      <c r="CT93" s="416"/>
      <c r="CU93" s="416"/>
      <c r="CV93" s="416"/>
      <c r="CW93" s="416"/>
      <c r="CX93" s="416"/>
      <c r="CY93" s="416"/>
      <c r="CZ93" s="416"/>
      <c r="DF93" s="416"/>
      <c r="DG93" s="416"/>
      <c r="DH93" s="416"/>
      <c r="DI93" s="416"/>
      <c r="DJ93" s="416"/>
      <c r="DK93" s="416"/>
    </row>
    <row r="94" spans="18:115" s="9" customFormat="1">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CR94" s="416"/>
      <c r="CS94" s="416"/>
      <c r="CT94" s="416"/>
      <c r="CU94" s="416"/>
      <c r="CV94" s="416"/>
      <c r="CW94" s="416"/>
      <c r="CX94" s="416"/>
      <c r="CY94" s="416"/>
      <c r="CZ94" s="416"/>
      <c r="DF94" s="416"/>
      <c r="DG94" s="416"/>
      <c r="DH94" s="416"/>
      <c r="DI94" s="416"/>
      <c r="DJ94" s="416"/>
      <c r="DK94" s="416"/>
    </row>
    <row r="95" spans="18:115" s="9" customFormat="1">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CR95" s="416"/>
      <c r="CS95" s="416"/>
      <c r="CT95" s="416"/>
      <c r="CU95" s="416"/>
      <c r="CV95" s="416"/>
      <c r="CW95" s="416"/>
      <c r="CX95" s="416"/>
      <c r="CY95" s="416"/>
      <c r="CZ95" s="416"/>
      <c r="DF95" s="416"/>
      <c r="DG95" s="416"/>
      <c r="DH95" s="416"/>
      <c r="DI95" s="416"/>
      <c r="DJ95" s="416"/>
      <c r="DK95" s="416"/>
    </row>
    <row r="96" spans="18:115" s="9" customFormat="1">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CR96" s="416"/>
      <c r="CS96" s="416"/>
      <c r="CT96" s="416"/>
      <c r="CU96" s="416"/>
      <c r="CV96" s="416"/>
      <c r="CW96" s="416"/>
      <c r="CX96" s="416"/>
      <c r="CY96" s="416"/>
      <c r="CZ96" s="416"/>
      <c r="DF96" s="416"/>
      <c r="DG96" s="416"/>
      <c r="DH96" s="416"/>
      <c r="DI96" s="416"/>
      <c r="DJ96" s="416"/>
      <c r="DK96" s="416"/>
    </row>
    <row r="97" spans="18:115" s="9" customFormat="1">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CR97" s="416"/>
      <c r="CS97" s="416"/>
      <c r="CT97" s="416"/>
      <c r="CU97" s="416"/>
      <c r="CV97" s="416"/>
      <c r="CW97" s="416"/>
      <c r="CX97" s="416"/>
      <c r="CY97" s="416"/>
      <c r="CZ97" s="416"/>
      <c r="DF97" s="416"/>
      <c r="DG97" s="416"/>
      <c r="DH97" s="416"/>
      <c r="DI97" s="416"/>
      <c r="DJ97" s="416"/>
      <c r="DK97" s="416"/>
    </row>
    <row r="98" spans="18:115" s="9" customFormat="1">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CR98" s="416"/>
      <c r="CS98" s="416"/>
      <c r="CT98" s="416"/>
      <c r="CU98" s="416"/>
      <c r="CV98" s="416"/>
      <c r="CW98" s="416"/>
      <c r="CX98" s="416"/>
      <c r="CY98" s="416"/>
      <c r="CZ98" s="416"/>
      <c r="DF98" s="416"/>
      <c r="DG98" s="416"/>
      <c r="DH98" s="416"/>
      <c r="DI98" s="416"/>
      <c r="DJ98" s="416"/>
      <c r="DK98" s="416"/>
    </row>
    <row r="99" spans="18:115" s="9" customFormat="1">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CR99" s="416"/>
      <c r="CS99" s="416"/>
      <c r="CT99" s="416"/>
      <c r="CU99" s="416"/>
      <c r="CV99" s="416"/>
      <c r="CW99" s="416"/>
      <c r="CX99" s="416"/>
      <c r="CY99" s="416"/>
      <c r="CZ99" s="416"/>
      <c r="DF99" s="416"/>
      <c r="DG99" s="416"/>
      <c r="DH99" s="416"/>
      <c r="DI99" s="416"/>
      <c r="DJ99" s="416"/>
      <c r="DK99" s="416"/>
    </row>
    <row r="100" spans="18:115" s="9" customFormat="1">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CR100" s="416"/>
      <c r="CS100" s="416"/>
      <c r="CT100" s="416"/>
      <c r="CU100" s="416"/>
      <c r="CV100" s="416"/>
      <c r="CW100" s="416"/>
      <c r="CX100" s="416"/>
      <c r="CY100" s="416"/>
      <c r="CZ100" s="416"/>
      <c r="DF100" s="416"/>
      <c r="DG100" s="416"/>
      <c r="DH100" s="416"/>
      <c r="DI100" s="416"/>
      <c r="DJ100" s="416"/>
      <c r="DK100" s="416"/>
    </row>
    <row r="101" spans="18:115" s="9" customFormat="1">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CR101" s="416"/>
      <c r="CS101" s="416"/>
      <c r="CT101" s="416"/>
      <c r="CU101" s="416"/>
      <c r="CV101" s="416"/>
      <c r="CW101" s="416"/>
      <c r="CX101" s="416"/>
      <c r="CY101" s="416"/>
      <c r="CZ101" s="416"/>
      <c r="DF101" s="416"/>
      <c r="DG101" s="416"/>
      <c r="DH101" s="416"/>
      <c r="DI101" s="416"/>
      <c r="DJ101" s="416"/>
      <c r="DK101" s="416"/>
    </row>
    <row r="102" spans="18:115" s="9" customFormat="1">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CR102" s="416"/>
      <c r="CS102" s="416"/>
      <c r="CT102" s="416"/>
      <c r="CU102" s="416"/>
      <c r="CV102" s="416"/>
      <c r="CW102" s="416"/>
      <c r="CX102" s="416"/>
      <c r="CY102" s="416"/>
      <c r="CZ102" s="416"/>
      <c r="DF102" s="416"/>
      <c r="DG102" s="416"/>
      <c r="DH102" s="416"/>
      <c r="DI102" s="416"/>
      <c r="DJ102" s="416"/>
      <c r="DK102" s="416"/>
    </row>
    <row r="103" spans="18:115" s="9" customFormat="1">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CR103" s="416"/>
      <c r="CS103" s="416"/>
      <c r="CT103" s="416"/>
      <c r="CU103" s="416"/>
      <c r="CV103" s="416"/>
      <c r="CW103" s="416"/>
      <c r="CX103" s="416"/>
      <c r="CY103" s="416"/>
      <c r="CZ103" s="416"/>
      <c r="DF103" s="416"/>
      <c r="DG103" s="416"/>
      <c r="DH103" s="416"/>
      <c r="DI103" s="416"/>
      <c r="DJ103" s="416"/>
      <c r="DK103" s="416"/>
    </row>
    <row r="104" spans="18:115" s="9" customFormat="1">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CR104" s="416"/>
      <c r="CS104" s="416"/>
      <c r="CT104" s="416"/>
      <c r="CU104" s="416"/>
      <c r="CV104" s="416"/>
      <c r="CW104" s="416"/>
      <c r="CX104" s="416"/>
      <c r="CY104" s="416"/>
      <c r="CZ104" s="416"/>
      <c r="DF104" s="416"/>
      <c r="DG104" s="416"/>
      <c r="DH104" s="416"/>
      <c r="DI104" s="416"/>
      <c r="DJ104" s="416"/>
      <c r="DK104" s="416"/>
    </row>
    <row r="105" spans="18:115" s="9" customFormat="1">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CR105" s="416"/>
      <c r="CS105" s="416"/>
      <c r="CT105" s="416"/>
      <c r="CU105" s="416"/>
      <c r="CV105" s="416"/>
      <c r="CW105" s="416"/>
      <c r="CX105" s="416"/>
      <c r="CY105" s="416"/>
      <c r="CZ105" s="416"/>
      <c r="DF105" s="416"/>
      <c r="DG105" s="416"/>
      <c r="DH105" s="416"/>
      <c r="DI105" s="416"/>
      <c r="DJ105" s="416"/>
      <c r="DK105" s="416"/>
    </row>
    <row r="106" spans="18:115" s="9" customFormat="1">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CR106" s="416"/>
      <c r="CS106" s="416"/>
      <c r="CT106" s="416"/>
      <c r="CU106" s="416"/>
      <c r="CV106" s="416"/>
      <c r="CW106" s="416"/>
      <c r="CX106" s="416"/>
      <c r="CY106" s="416"/>
      <c r="CZ106" s="416"/>
      <c r="DF106" s="416"/>
      <c r="DG106" s="416"/>
      <c r="DH106" s="416"/>
      <c r="DI106" s="416"/>
      <c r="DJ106" s="416"/>
      <c r="DK106" s="416"/>
    </row>
    <row r="107" spans="18:115" s="9" customFormat="1">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CR107" s="416"/>
      <c r="CS107" s="416"/>
      <c r="CT107" s="416"/>
      <c r="CU107" s="416"/>
      <c r="CV107" s="416"/>
      <c r="CW107" s="416"/>
      <c r="CX107" s="416"/>
      <c r="CY107" s="416"/>
      <c r="CZ107" s="416"/>
      <c r="DF107" s="416"/>
      <c r="DG107" s="416"/>
      <c r="DH107" s="416"/>
      <c r="DI107" s="416"/>
      <c r="DJ107" s="416"/>
      <c r="DK107" s="416"/>
    </row>
    <row r="108" spans="18:115" s="9" customFormat="1">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CR108" s="416"/>
      <c r="CS108" s="416"/>
      <c r="CT108" s="416"/>
      <c r="CU108" s="416"/>
      <c r="CV108" s="416"/>
      <c r="CW108" s="416"/>
      <c r="CX108" s="416"/>
      <c r="CY108" s="416"/>
      <c r="CZ108" s="416"/>
      <c r="DF108" s="416"/>
      <c r="DG108" s="416"/>
      <c r="DH108" s="416"/>
      <c r="DI108" s="416"/>
      <c r="DJ108" s="416"/>
      <c r="DK108" s="416"/>
    </row>
    <row r="109" spans="18:115" s="9" customFormat="1">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CR109" s="416"/>
      <c r="CS109" s="416"/>
      <c r="CT109" s="416"/>
      <c r="CU109" s="416"/>
      <c r="CV109" s="416"/>
      <c r="CW109" s="416"/>
      <c r="CX109" s="416"/>
      <c r="CY109" s="416"/>
      <c r="CZ109" s="416"/>
      <c r="DF109" s="416"/>
      <c r="DG109" s="416"/>
      <c r="DH109" s="416"/>
      <c r="DI109" s="416"/>
      <c r="DJ109" s="416"/>
      <c r="DK109" s="416"/>
    </row>
    <row r="110" spans="18:115" s="9" customFormat="1">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CR110" s="416"/>
      <c r="CS110" s="416"/>
      <c r="CT110" s="416"/>
      <c r="CU110" s="416"/>
      <c r="CV110" s="416"/>
      <c r="CW110" s="416"/>
      <c r="CX110" s="416"/>
      <c r="CY110" s="416"/>
      <c r="CZ110" s="416"/>
      <c r="DF110" s="416"/>
      <c r="DG110" s="416"/>
      <c r="DH110" s="416"/>
      <c r="DI110" s="416"/>
      <c r="DJ110" s="416"/>
      <c r="DK110" s="416"/>
    </row>
    <row r="111" spans="18:115" s="9" customFormat="1">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CR111" s="416"/>
      <c r="CS111" s="416"/>
      <c r="CT111" s="416"/>
      <c r="CU111" s="416"/>
      <c r="CV111" s="416"/>
      <c r="CW111" s="416"/>
      <c r="CX111" s="416"/>
      <c r="CY111" s="416"/>
      <c r="CZ111" s="416"/>
      <c r="DF111" s="416"/>
      <c r="DG111" s="416"/>
      <c r="DH111" s="416"/>
      <c r="DI111" s="416"/>
      <c r="DJ111" s="416"/>
      <c r="DK111" s="416"/>
    </row>
    <row r="112" spans="18:115" s="9" customFormat="1">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CR112" s="416"/>
      <c r="CS112" s="416"/>
      <c r="CT112" s="416"/>
      <c r="CU112" s="416"/>
      <c r="CV112" s="416"/>
      <c r="CW112" s="416"/>
      <c r="CX112" s="416"/>
      <c r="CY112" s="416"/>
      <c r="CZ112" s="416"/>
      <c r="DF112" s="416"/>
      <c r="DG112" s="416"/>
      <c r="DH112" s="416"/>
      <c r="DI112" s="416"/>
      <c r="DJ112" s="416"/>
      <c r="DK112" s="416"/>
    </row>
    <row r="113" spans="18:115" s="9" customFormat="1">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CR113" s="416"/>
      <c r="CS113" s="416"/>
      <c r="CT113" s="416"/>
      <c r="CU113" s="416"/>
      <c r="CV113" s="416"/>
      <c r="CW113" s="416"/>
      <c r="CX113" s="416"/>
      <c r="CY113" s="416"/>
      <c r="CZ113" s="416"/>
      <c r="DF113" s="416"/>
      <c r="DG113" s="416"/>
      <c r="DH113" s="416"/>
      <c r="DI113" s="416"/>
      <c r="DJ113" s="416"/>
      <c r="DK113" s="416"/>
    </row>
    <row r="114" spans="18:115" s="9" customFormat="1">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CR114" s="416"/>
      <c r="CS114" s="416"/>
      <c r="CT114" s="416"/>
      <c r="CU114" s="416"/>
      <c r="CV114" s="416"/>
      <c r="CW114" s="416"/>
      <c r="CX114" s="416"/>
      <c r="CY114" s="416"/>
      <c r="CZ114" s="416"/>
      <c r="DF114" s="416"/>
      <c r="DG114" s="416"/>
      <c r="DH114" s="416"/>
      <c r="DI114" s="416"/>
      <c r="DJ114" s="416"/>
      <c r="DK114" s="416"/>
    </row>
    <row r="115" spans="18:115" s="9" customFormat="1">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CR115" s="416"/>
      <c r="CS115" s="416"/>
      <c r="CT115" s="416"/>
      <c r="CU115" s="416"/>
      <c r="CV115" s="416"/>
      <c r="CW115" s="416"/>
      <c r="CX115" s="416"/>
      <c r="CY115" s="416"/>
      <c r="CZ115" s="416"/>
      <c r="DF115" s="416"/>
      <c r="DG115" s="416"/>
      <c r="DH115" s="416"/>
      <c r="DI115" s="416"/>
      <c r="DJ115" s="416"/>
      <c r="DK115" s="416"/>
    </row>
    <row r="116" spans="18:115" s="9" customFormat="1">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CR116" s="416"/>
      <c r="CS116" s="416"/>
      <c r="CT116" s="416"/>
      <c r="CU116" s="416"/>
      <c r="CV116" s="416"/>
      <c r="CW116" s="416"/>
      <c r="CX116" s="416"/>
      <c r="CY116" s="416"/>
      <c r="CZ116" s="416"/>
      <c r="DF116" s="416"/>
      <c r="DG116" s="416"/>
      <c r="DH116" s="416"/>
      <c r="DI116" s="416"/>
      <c r="DJ116" s="416"/>
      <c r="DK116" s="416"/>
    </row>
    <row r="117" spans="18:115" s="9" customFormat="1">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CR117" s="416"/>
      <c r="CS117" s="416"/>
      <c r="CT117" s="416"/>
      <c r="CU117" s="416"/>
      <c r="CV117" s="416"/>
      <c r="CW117" s="416"/>
      <c r="CX117" s="416"/>
      <c r="CY117" s="416"/>
      <c r="CZ117" s="416"/>
      <c r="DF117" s="416"/>
      <c r="DG117" s="416"/>
      <c r="DH117" s="416"/>
      <c r="DI117" s="416"/>
      <c r="DJ117" s="416"/>
      <c r="DK117" s="416"/>
    </row>
    <row r="118" spans="18:115" s="9" customFormat="1">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CR118" s="416"/>
      <c r="CS118" s="416"/>
      <c r="CT118" s="416"/>
      <c r="CU118" s="416"/>
      <c r="CV118" s="416"/>
      <c r="CW118" s="416"/>
      <c r="CX118" s="416"/>
      <c r="CY118" s="416"/>
      <c r="CZ118" s="416"/>
      <c r="DF118" s="416"/>
      <c r="DG118" s="416"/>
      <c r="DH118" s="416"/>
      <c r="DI118" s="416"/>
      <c r="DJ118" s="416"/>
      <c r="DK118" s="416"/>
    </row>
    <row r="119" spans="18:115" s="9" customFormat="1">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CR119" s="416"/>
      <c r="CS119" s="416"/>
      <c r="CT119" s="416"/>
      <c r="CU119" s="416"/>
      <c r="CV119" s="416"/>
      <c r="CW119" s="416"/>
      <c r="CX119" s="416"/>
      <c r="CY119" s="416"/>
      <c r="CZ119" s="416"/>
      <c r="DF119" s="416"/>
      <c r="DG119" s="416"/>
      <c r="DH119" s="416"/>
      <c r="DI119" s="416"/>
      <c r="DJ119" s="416"/>
      <c r="DK119" s="416"/>
    </row>
    <row r="120" spans="18:115" s="9" customFormat="1">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CR120" s="416"/>
      <c r="CS120" s="416"/>
      <c r="CT120" s="416"/>
      <c r="CU120" s="416"/>
      <c r="CV120" s="416"/>
      <c r="CW120" s="416"/>
      <c r="CX120" s="416"/>
      <c r="CY120" s="416"/>
      <c r="CZ120" s="416"/>
      <c r="DF120" s="416"/>
      <c r="DG120" s="416"/>
      <c r="DH120" s="416"/>
      <c r="DI120" s="416"/>
      <c r="DJ120" s="416"/>
      <c r="DK120" s="416"/>
    </row>
    <row r="121" spans="18:115" s="9" customFormat="1">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CR121" s="416"/>
      <c r="CS121" s="416"/>
      <c r="CT121" s="416"/>
      <c r="CU121" s="416"/>
      <c r="CV121" s="416"/>
      <c r="CW121" s="416"/>
      <c r="CX121" s="416"/>
      <c r="CY121" s="416"/>
      <c r="CZ121" s="416"/>
      <c r="DF121" s="416"/>
      <c r="DG121" s="416"/>
      <c r="DH121" s="416"/>
      <c r="DI121" s="416"/>
      <c r="DJ121" s="416"/>
      <c r="DK121" s="416"/>
    </row>
    <row r="122" spans="18:115" s="9" customFormat="1">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CR122" s="416"/>
      <c r="CS122" s="416"/>
      <c r="CT122" s="416"/>
      <c r="CU122" s="416"/>
      <c r="CV122" s="416"/>
      <c r="CW122" s="416"/>
      <c r="CX122" s="416"/>
      <c r="CY122" s="416"/>
      <c r="CZ122" s="416"/>
      <c r="DF122" s="416"/>
      <c r="DG122" s="416"/>
      <c r="DH122" s="416"/>
      <c r="DI122" s="416"/>
      <c r="DJ122" s="416"/>
      <c r="DK122" s="416"/>
    </row>
    <row r="123" spans="18:115" s="9" customFormat="1">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CR123" s="416"/>
      <c r="CS123" s="416"/>
      <c r="CT123" s="416"/>
      <c r="CU123" s="416"/>
      <c r="CV123" s="416"/>
      <c r="CW123" s="416"/>
      <c r="CX123" s="416"/>
      <c r="CY123" s="416"/>
      <c r="CZ123" s="416"/>
      <c r="DF123" s="416"/>
      <c r="DG123" s="416"/>
      <c r="DH123" s="416"/>
      <c r="DI123" s="416"/>
      <c r="DJ123" s="416"/>
      <c r="DK123" s="416"/>
    </row>
    <row r="124" spans="18:115" s="9" customFormat="1">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CR124" s="416"/>
      <c r="CS124" s="416"/>
      <c r="CT124" s="416"/>
      <c r="CU124" s="416"/>
      <c r="CV124" s="416"/>
      <c r="CW124" s="416"/>
      <c r="CX124" s="416"/>
      <c r="CY124" s="416"/>
      <c r="CZ124" s="416"/>
      <c r="DF124" s="416"/>
      <c r="DG124" s="416"/>
      <c r="DH124" s="416"/>
      <c r="DI124" s="416"/>
      <c r="DJ124" s="416"/>
      <c r="DK124" s="416"/>
    </row>
    <row r="125" spans="18:115" s="9" customFormat="1">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CR125" s="416"/>
      <c r="CS125" s="416"/>
      <c r="CT125" s="416"/>
      <c r="CU125" s="416"/>
      <c r="CV125" s="416"/>
      <c r="CW125" s="416"/>
      <c r="CX125" s="416"/>
      <c r="CY125" s="416"/>
      <c r="CZ125" s="416"/>
      <c r="DF125" s="416"/>
      <c r="DG125" s="416"/>
      <c r="DH125" s="416"/>
      <c r="DI125" s="416"/>
      <c r="DJ125" s="416"/>
      <c r="DK125" s="416"/>
    </row>
    <row r="126" spans="18:115" s="9" customFormat="1">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CR126" s="416"/>
      <c r="CS126" s="416"/>
      <c r="CT126" s="416"/>
      <c r="CU126" s="416"/>
      <c r="CV126" s="416"/>
      <c r="CW126" s="416"/>
      <c r="CX126" s="416"/>
      <c r="CY126" s="416"/>
      <c r="CZ126" s="416"/>
      <c r="DF126" s="416"/>
      <c r="DG126" s="416"/>
      <c r="DH126" s="416"/>
      <c r="DI126" s="416"/>
      <c r="DJ126" s="416"/>
      <c r="DK126" s="416"/>
    </row>
    <row r="127" spans="18:115" s="9" customFormat="1">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CR127" s="416"/>
      <c r="CS127" s="416"/>
      <c r="CT127" s="416"/>
      <c r="CU127" s="416"/>
      <c r="CV127" s="416"/>
      <c r="CW127" s="416"/>
      <c r="CX127" s="416"/>
      <c r="CY127" s="416"/>
      <c r="CZ127" s="416"/>
      <c r="DF127" s="416"/>
      <c r="DG127" s="416"/>
      <c r="DH127" s="416"/>
      <c r="DI127" s="416"/>
      <c r="DJ127" s="416"/>
      <c r="DK127" s="416"/>
    </row>
    <row r="128" spans="18:115" s="9" customFormat="1">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CR128" s="416"/>
      <c r="CS128" s="416"/>
      <c r="CT128" s="416"/>
      <c r="CU128" s="416"/>
      <c r="CV128" s="416"/>
      <c r="CW128" s="416"/>
      <c r="CX128" s="416"/>
      <c r="CY128" s="416"/>
      <c r="CZ128" s="416"/>
      <c r="DF128" s="416"/>
      <c r="DG128" s="416"/>
      <c r="DH128" s="416"/>
      <c r="DI128" s="416"/>
      <c r="DJ128" s="416"/>
      <c r="DK128" s="416"/>
    </row>
    <row r="129" spans="18:115" s="9" customFormat="1">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CR129" s="416"/>
      <c r="CS129" s="416"/>
      <c r="CT129" s="416"/>
      <c r="CU129" s="416"/>
      <c r="CV129" s="416"/>
      <c r="CW129" s="416"/>
      <c r="CX129" s="416"/>
      <c r="CY129" s="416"/>
      <c r="CZ129" s="416"/>
      <c r="DF129" s="416"/>
      <c r="DG129" s="416"/>
      <c r="DH129" s="416"/>
      <c r="DI129" s="416"/>
      <c r="DJ129" s="416"/>
      <c r="DK129" s="416"/>
    </row>
    <row r="130" spans="18:115" s="9" customFormat="1">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CR130" s="416"/>
      <c r="CS130" s="416"/>
      <c r="CT130" s="416"/>
      <c r="CU130" s="416"/>
      <c r="CV130" s="416"/>
      <c r="CW130" s="416"/>
      <c r="CX130" s="416"/>
      <c r="CY130" s="416"/>
      <c r="CZ130" s="416"/>
      <c r="DF130" s="416"/>
      <c r="DG130" s="416"/>
      <c r="DH130" s="416"/>
      <c r="DI130" s="416"/>
      <c r="DJ130" s="416"/>
      <c r="DK130" s="416"/>
    </row>
    <row r="131" spans="18:115" s="9" customFormat="1">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CR131" s="416"/>
      <c r="CS131" s="416"/>
      <c r="CT131" s="416"/>
      <c r="CU131" s="416"/>
      <c r="CV131" s="416"/>
      <c r="CW131" s="416"/>
      <c r="CX131" s="416"/>
      <c r="CY131" s="416"/>
      <c r="CZ131" s="416"/>
      <c r="DF131" s="416"/>
      <c r="DG131" s="416"/>
      <c r="DH131" s="416"/>
      <c r="DI131" s="416"/>
      <c r="DJ131" s="416"/>
      <c r="DK131" s="416"/>
    </row>
    <row r="132" spans="18:115" s="9" customFormat="1">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CR132" s="416"/>
      <c r="CS132" s="416"/>
      <c r="CT132" s="416"/>
      <c r="CU132" s="416"/>
      <c r="CV132" s="416"/>
      <c r="CW132" s="416"/>
      <c r="CX132" s="416"/>
      <c r="CY132" s="416"/>
      <c r="CZ132" s="416"/>
      <c r="DF132" s="416"/>
      <c r="DG132" s="416"/>
      <c r="DH132" s="416"/>
      <c r="DI132" s="416"/>
      <c r="DJ132" s="416"/>
      <c r="DK132" s="416"/>
    </row>
    <row r="133" spans="18:115" s="9" customFormat="1">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CR133" s="416"/>
      <c r="CS133" s="416"/>
      <c r="CT133" s="416"/>
      <c r="CU133" s="416"/>
      <c r="CV133" s="416"/>
      <c r="CW133" s="416"/>
      <c r="CX133" s="416"/>
      <c r="CY133" s="416"/>
      <c r="CZ133" s="416"/>
      <c r="DF133" s="416"/>
      <c r="DG133" s="416"/>
      <c r="DH133" s="416"/>
      <c r="DI133" s="416"/>
      <c r="DJ133" s="416"/>
      <c r="DK133" s="416"/>
    </row>
    <row r="134" spans="18:115" s="9" customFormat="1">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CR134" s="416"/>
      <c r="CS134" s="416"/>
      <c r="CT134" s="416"/>
      <c r="CU134" s="416"/>
      <c r="CV134" s="416"/>
      <c r="CW134" s="416"/>
      <c r="CX134" s="416"/>
      <c r="CY134" s="416"/>
      <c r="CZ134" s="416"/>
      <c r="DF134" s="416"/>
      <c r="DG134" s="416"/>
      <c r="DH134" s="416"/>
      <c r="DI134" s="416"/>
      <c r="DJ134" s="416"/>
      <c r="DK134" s="416"/>
    </row>
    <row r="135" spans="18:115" s="9" customFormat="1">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CR135" s="416"/>
      <c r="CS135" s="416"/>
      <c r="CT135" s="416"/>
      <c r="CU135" s="416"/>
      <c r="CV135" s="416"/>
      <c r="CW135" s="416"/>
      <c r="CX135" s="416"/>
      <c r="CY135" s="416"/>
      <c r="CZ135" s="416"/>
      <c r="DF135" s="416"/>
      <c r="DG135" s="416"/>
      <c r="DH135" s="416"/>
      <c r="DI135" s="416"/>
      <c r="DJ135" s="416"/>
      <c r="DK135" s="416"/>
    </row>
    <row r="136" spans="18:115" s="9" customFormat="1">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CR136" s="416"/>
      <c r="CS136" s="416"/>
      <c r="CT136" s="416"/>
      <c r="CU136" s="416"/>
      <c r="CV136" s="416"/>
      <c r="CW136" s="416"/>
      <c r="CX136" s="416"/>
      <c r="CY136" s="416"/>
      <c r="CZ136" s="416"/>
      <c r="DF136" s="416"/>
      <c r="DG136" s="416"/>
      <c r="DH136" s="416"/>
      <c r="DI136" s="416"/>
      <c r="DJ136" s="416"/>
      <c r="DK136" s="416"/>
    </row>
    <row r="137" spans="18:115" s="9" customFormat="1">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CR137" s="416"/>
      <c r="CS137" s="416"/>
      <c r="CT137" s="416"/>
      <c r="CU137" s="416"/>
      <c r="CV137" s="416"/>
      <c r="CW137" s="416"/>
      <c r="CX137" s="416"/>
      <c r="CY137" s="416"/>
      <c r="CZ137" s="416"/>
      <c r="DF137" s="416"/>
      <c r="DG137" s="416"/>
      <c r="DH137" s="416"/>
      <c r="DI137" s="416"/>
      <c r="DJ137" s="416"/>
      <c r="DK137" s="416"/>
    </row>
    <row r="138" spans="18:115" s="9" customFormat="1">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CR138" s="416"/>
      <c r="CS138" s="416"/>
      <c r="CT138" s="416"/>
      <c r="CU138" s="416"/>
      <c r="CV138" s="416"/>
      <c r="CW138" s="416"/>
      <c r="CX138" s="416"/>
      <c r="CY138" s="416"/>
      <c r="CZ138" s="416"/>
      <c r="DF138" s="416"/>
      <c r="DG138" s="416"/>
      <c r="DH138" s="416"/>
      <c r="DI138" s="416"/>
      <c r="DJ138" s="416"/>
      <c r="DK138" s="416"/>
    </row>
    <row r="139" spans="18:115" s="9" customFormat="1">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CR139" s="416"/>
      <c r="CS139" s="416"/>
      <c r="CT139" s="416"/>
      <c r="CU139" s="416"/>
      <c r="CV139" s="416"/>
      <c r="CW139" s="416"/>
      <c r="CX139" s="416"/>
      <c r="CY139" s="416"/>
      <c r="CZ139" s="416"/>
      <c r="DF139" s="416"/>
      <c r="DG139" s="416"/>
      <c r="DH139" s="416"/>
      <c r="DI139" s="416"/>
      <c r="DJ139" s="416"/>
      <c r="DK139" s="416"/>
    </row>
    <row r="140" spans="18:115" s="9" customFormat="1">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CR140" s="416"/>
      <c r="CS140" s="416"/>
      <c r="CT140" s="416"/>
      <c r="CU140" s="416"/>
      <c r="CV140" s="416"/>
      <c r="CW140" s="416"/>
      <c r="CX140" s="416"/>
      <c r="CY140" s="416"/>
      <c r="CZ140" s="416"/>
      <c r="DF140" s="416"/>
      <c r="DG140" s="416"/>
      <c r="DH140" s="416"/>
      <c r="DI140" s="416"/>
      <c r="DJ140" s="416"/>
      <c r="DK140" s="416"/>
    </row>
    <row r="141" spans="18:115" s="9" customFormat="1">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CR141" s="416"/>
      <c r="CS141" s="416"/>
      <c r="CT141" s="416"/>
      <c r="CU141" s="416"/>
      <c r="CV141" s="416"/>
      <c r="CW141" s="416"/>
      <c r="CX141" s="416"/>
      <c r="CY141" s="416"/>
      <c r="CZ141" s="416"/>
      <c r="DF141" s="416"/>
      <c r="DG141" s="416"/>
      <c r="DH141" s="416"/>
      <c r="DI141" s="416"/>
      <c r="DJ141" s="416"/>
      <c r="DK141" s="416"/>
    </row>
    <row r="142" spans="18:115" s="9" customFormat="1">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CR142" s="416"/>
      <c r="CS142" s="416"/>
      <c r="CT142" s="416"/>
      <c r="CU142" s="416"/>
      <c r="CV142" s="416"/>
      <c r="CW142" s="416"/>
      <c r="CX142" s="416"/>
      <c r="CY142" s="416"/>
      <c r="CZ142" s="416"/>
      <c r="DF142" s="416"/>
      <c r="DG142" s="416"/>
      <c r="DH142" s="416"/>
      <c r="DI142" s="416"/>
      <c r="DJ142" s="416"/>
      <c r="DK142" s="416"/>
    </row>
    <row r="143" spans="18:115" s="9" customFormat="1">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CR143" s="416"/>
      <c r="CS143" s="416"/>
      <c r="CT143" s="416"/>
      <c r="CU143" s="416"/>
      <c r="CV143" s="416"/>
      <c r="CW143" s="416"/>
      <c r="CX143" s="416"/>
      <c r="CY143" s="416"/>
      <c r="CZ143" s="416"/>
      <c r="DF143" s="416"/>
      <c r="DG143" s="416"/>
      <c r="DH143" s="416"/>
      <c r="DI143" s="416"/>
      <c r="DJ143" s="416"/>
      <c r="DK143" s="416"/>
    </row>
    <row r="144" spans="18:115" s="9" customFormat="1">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CR144" s="416"/>
      <c r="CS144" s="416"/>
      <c r="CT144" s="416"/>
      <c r="CU144" s="416"/>
      <c r="CV144" s="416"/>
      <c r="CW144" s="416"/>
      <c r="CX144" s="416"/>
      <c r="CY144" s="416"/>
      <c r="CZ144" s="416"/>
      <c r="DF144" s="416"/>
      <c r="DG144" s="416"/>
      <c r="DH144" s="416"/>
      <c r="DI144" s="416"/>
      <c r="DJ144" s="416"/>
      <c r="DK144" s="416"/>
    </row>
    <row r="145" spans="18:115" s="9" customFormat="1">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CR145" s="416"/>
      <c r="CS145" s="416"/>
      <c r="CT145" s="416"/>
      <c r="CU145" s="416"/>
      <c r="CV145" s="416"/>
      <c r="CW145" s="416"/>
      <c r="CX145" s="416"/>
      <c r="CY145" s="416"/>
      <c r="CZ145" s="416"/>
      <c r="DF145" s="416"/>
      <c r="DG145" s="416"/>
      <c r="DH145" s="416"/>
      <c r="DI145" s="416"/>
      <c r="DJ145" s="416"/>
      <c r="DK145" s="416"/>
    </row>
    <row r="146" spans="18:115" s="9" customFormat="1">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CR146" s="416"/>
      <c r="CS146" s="416"/>
      <c r="CT146" s="416"/>
      <c r="CU146" s="416"/>
      <c r="CV146" s="416"/>
      <c r="CW146" s="416"/>
      <c r="CX146" s="416"/>
      <c r="CY146" s="416"/>
      <c r="CZ146" s="416"/>
      <c r="DF146" s="416"/>
      <c r="DG146" s="416"/>
      <c r="DH146" s="416"/>
      <c r="DI146" s="416"/>
      <c r="DJ146" s="416"/>
      <c r="DK146" s="416"/>
    </row>
    <row r="147" spans="18:115" s="9" customFormat="1">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CR147" s="416"/>
      <c r="CS147" s="416"/>
      <c r="CT147" s="416"/>
      <c r="CU147" s="416"/>
      <c r="CV147" s="416"/>
      <c r="CW147" s="416"/>
      <c r="CX147" s="416"/>
      <c r="CY147" s="416"/>
      <c r="CZ147" s="416"/>
      <c r="DF147" s="416"/>
      <c r="DG147" s="416"/>
      <c r="DH147" s="416"/>
      <c r="DI147" s="416"/>
      <c r="DJ147" s="416"/>
      <c r="DK147" s="416"/>
    </row>
    <row r="148" spans="18:115" s="9" customFormat="1">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CR148" s="416"/>
      <c r="CS148" s="416"/>
      <c r="CT148" s="416"/>
      <c r="CU148" s="416"/>
      <c r="CV148" s="416"/>
      <c r="CW148" s="416"/>
      <c r="CX148" s="416"/>
      <c r="CY148" s="416"/>
      <c r="CZ148" s="416"/>
      <c r="DF148" s="416"/>
      <c r="DG148" s="416"/>
      <c r="DH148" s="416"/>
      <c r="DI148" s="416"/>
      <c r="DJ148" s="416"/>
      <c r="DK148" s="416"/>
    </row>
    <row r="149" spans="18:115" s="9" customFormat="1">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CR149" s="416"/>
      <c r="CS149" s="416"/>
      <c r="CT149" s="416"/>
      <c r="CU149" s="416"/>
      <c r="CV149" s="416"/>
      <c r="CW149" s="416"/>
      <c r="CX149" s="416"/>
      <c r="CY149" s="416"/>
      <c r="CZ149" s="416"/>
      <c r="DF149" s="416"/>
      <c r="DG149" s="416"/>
      <c r="DH149" s="416"/>
      <c r="DI149" s="416"/>
      <c r="DJ149" s="416"/>
      <c r="DK149" s="416"/>
    </row>
    <row r="150" spans="18:115" s="9" customFormat="1">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CR150" s="416"/>
      <c r="CS150" s="416"/>
      <c r="CT150" s="416"/>
      <c r="CU150" s="416"/>
      <c r="CV150" s="416"/>
      <c r="CW150" s="416"/>
      <c r="CX150" s="416"/>
      <c r="CY150" s="416"/>
      <c r="CZ150" s="416"/>
      <c r="DF150" s="416"/>
      <c r="DG150" s="416"/>
      <c r="DH150" s="416"/>
      <c r="DI150" s="416"/>
      <c r="DJ150" s="416"/>
      <c r="DK150" s="416"/>
    </row>
    <row r="151" spans="18:115" s="9" customFormat="1">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CR151" s="416"/>
      <c r="CS151" s="416"/>
      <c r="CT151" s="416"/>
      <c r="CU151" s="416"/>
      <c r="CV151" s="416"/>
      <c r="CW151" s="416"/>
      <c r="CX151" s="416"/>
      <c r="CY151" s="416"/>
      <c r="CZ151" s="416"/>
      <c r="DF151" s="416"/>
      <c r="DG151" s="416"/>
      <c r="DH151" s="416"/>
      <c r="DI151" s="416"/>
      <c r="DJ151" s="416"/>
      <c r="DK151" s="416"/>
    </row>
    <row r="152" spans="18:115" s="9" customFormat="1">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CR152" s="416"/>
      <c r="CS152" s="416"/>
      <c r="CT152" s="416"/>
      <c r="CU152" s="416"/>
      <c r="CV152" s="416"/>
      <c r="CW152" s="416"/>
      <c r="CX152" s="416"/>
      <c r="CY152" s="416"/>
      <c r="CZ152" s="416"/>
      <c r="DF152" s="416"/>
      <c r="DG152" s="416"/>
      <c r="DH152" s="416"/>
      <c r="DI152" s="416"/>
      <c r="DJ152" s="416"/>
      <c r="DK152" s="416"/>
    </row>
    <row r="153" spans="18:115" s="9" customFormat="1">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CR153" s="416"/>
      <c r="CS153" s="416"/>
      <c r="CT153" s="416"/>
      <c r="CU153" s="416"/>
      <c r="CV153" s="416"/>
      <c r="CW153" s="416"/>
      <c r="CX153" s="416"/>
      <c r="CY153" s="416"/>
      <c r="CZ153" s="416"/>
      <c r="DF153" s="416"/>
      <c r="DG153" s="416"/>
      <c r="DH153" s="416"/>
      <c r="DI153" s="416"/>
      <c r="DJ153" s="416"/>
      <c r="DK153" s="416"/>
    </row>
    <row r="154" spans="18:115" s="9" customFormat="1">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CR154" s="416"/>
      <c r="CS154" s="416"/>
      <c r="CT154" s="416"/>
      <c r="CU154" s="416"/>
      <c r="CV154" s="416"/>
      <c r="CW154" s="416"/>
      <c r="CX154" s="416"/>
      <c r="CY154" s="416"/>
      <c r="CZ154" s="416"/>
      <c r="DF154" s="416"/>
      <c r="DG154" s="416"/>
      <c r="DH154" s="416"/>
      <c r="DI154" s="416"/>
      <c r="DJ154" s="416"/>
      <c r="DK154" s="416"/>
    </row>
    <row r="155" spans="18:115" s="9" customFormat="1">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CR155" s="416"/>
      <c r="CS155" s="416"/>
      <c r="CT155" s="416"/>
      <c r="CU155" s="416"/>
      <c r="CV155" s="416"/>
      <c r="CW155" s="416"/>
      <c r="CX155" s="416"/>
      <c r="CY155" s="416"/>
      <c r="CZ155" s="416"/>
      <c r="DF155" s="416"/>
      <c r="DG155" s="416"/>
      <c r="DH155" s="416"/>
      <c r="DI155" s="416"/>
      <c r="DJ155" s="416"/>
      <c r="DK155" s="416"/>
    </row>
    <row r="156" spans="18:115" s="9" customFormat="1">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CR156" s="416"/>
      <c r="CS156" s="416"/>
      <c r="CT156" s="416"/>
      <c r="CU156" s="416"/>
      <c r="CV156" s="416"/>
      <c r="CW156" s="416"/>
      <c r="CX156" s="416"/>
      <c r="CY156" s="416"/>
      <c r="CZ156" s="416"/>
      <c r="DF156" s="416"/>
      <c r="DG156" s="416"/>
      <c r="DH156" s="416"/>
      <c r="DI156" s="416"/>
      <c r="DJ156" s="416"/>
      <c r="DK156" s="416"/>
    </row>
    <row r="157" spans="18:115" s="9" customFormat="1">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CR157" s="416"/>
      <c r="CS157" s="416"/>
      <c r="CT157" s="416"/>
      <c r="CU157" s="416"/>
      <c r="CV157" s="416"/>
      <c r="CW157" s="416"/>
      <c r="CX157" s="416"/>
      <c r="CY157" s="416"/>
      <c r="CZ157" s="416"/>
      <c r="DF157" s="416"/>
      <c r="DG157" s="416"/>
      <c r="DH157" s="416"/>
      <c r="DI157" s="416"/>
      <c r="DJ157" s="416"/>
      <c r="DK157" s="416"/>
    </row>
    <row r="158" spans="18:115" s="9" customFormat="1">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CR158" s="416"/>
      <c r="CS158" s="416"/>
      <c r="CT158" s="416"/>
      <c r="CU158" s="416"/>
      <c r="CV158" s="416"/>
      <c r="CW158" s="416"/>
      <c r="CX158" s="416"/>
      <c r="CY158" s="416"/>
      <c r="CZ158" s="416"/>
      <c r="DF158" s="416"/>
      <c r="DG158" s="416"/>
      <c r="DH158" s="416"/>
      <c r="DI158" s="416"/>
      <c r="DJ158" s="416"/>
      <c r="DK158" s="416"/>
    </row>
    <row r="159" spans="18:115" s="9" customFormat="1">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CR159" s="416"/>
      <c r="CS159" s="416"/>
      <c r="CT159" s="416"/>
      <c r="CU159" s="416"/>
      <c r="CV159" s="416"/>
      <c r="CW159" s="416"/>
      <c r="CX159" s="416"/>
      <c r="CY159" s="416"/>
      <c r="CZ159" s="416"/>
      <c r="DF159" s="416"/>
      <c r="DG159" s="416"/>
      <c r="DH159" s="416"/>
      <c r="DI159" s="416"/>
      <c r="DJ159" s="416"/>
      <c r="DK159" s="416"/>
    </row>
    <row r="160" spans="18:115" s="9" customFormat="1">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CR160" s="416"/>
      <c r="CS160" s="416"/>
      <c r="CT160" s="416"/>
      <c r="CU160" s="416"/>
      <c r="CV160" s="416"/>
      <c r="CW160" s="416"/>
      <c r="CX160" s="416"/>
      <c r="CY160" s="416"/>
      <c r="CZ160" s="416"/>
      <c r="DF160" s="416"/>
      <c r="DG160" s="416"/>
      <c r="DH160" s="416"/>
      <c r="DI160" s="416"/>
      <c r="DJ160" s="416"/>
      <c r="DK160" s="416"/>
    </row>
    <row r="161" spans="18:115" s="9" customFormat="1">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CR161" s="416"/>
      <c r="CS161" s="416"/>
      <c r="CT161" s="416"/>
      <c r="CU161" s="416"/>
      <c r="CV161" s="416"/>
      <c r="CW161" s="416"/>
      <c r="CX161" s="416"/>
      <c r="CY161" s="416"/>
      <c r="CZ161" s="416"/>
      <c r="DF161" s="416"/>
      <c r="DG161" s="416"/>
      <c r="DH161" s="416"/>
      <c r="DI161" s="416"/>
      <c r="DJ161" s="416"/>
      <c r="DK161" s="416"/>
    </row>
    <row r="162" spans="18:115" s="9" customFormat="1">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CR162" s="416"/>
      <c r="CS162" s="416"/>
      <c r="CT162" s="416"/>
      <c r="CU162" s="416"/>
      <c r="CV162" s="416"/>
      <c r="CW162" s="416"/>
      <c r="CX162" s="416"/>
      <c r="CY162" s="416"/>
      <c r="CZ162" s="416"/>
      <c r="DF162" s="416"/>
      <c r="DG162" s="416"/>
      <c r="DH162" s="416"/>
      <c r="DI162" s="416"/>
      <c r="DJ162" s="416"/>
      <c r="DK162" s="416"/>
    </row>
    <row r="163" spans="18:115" s="9" customFormat="1">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CR163" s="416"/>
      <c r="CS163" s="416"/>
      <c r="CT163" s="416"/>
      <c r="CU163" s="416"/>
      <c r="CV163" s="416"/>
      <c r="CW163" s="416"/>
      <c r="CX163" s="416"/>
      <c r="CY163" s="416"/>
      <c r="CZ163" s="416"/>
      <c r="DF163" s="416"/>
      <c r="DG163" s="416"/>
      <c r="DH163" s="416"/>
      <c r="DI163" s="416"/>
      <c r="DJ163" s="416"/>
      <c r="DK163" s="416"/>
    </row>
    <row r="164" spans="18:115" s="9" customFormat="1">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CR164" s="416"/>
      <c r="CS164" s="416"/>
      <c r="CT164" s="416"/>
      <c r="CU164" s="416"/>
      <c r="CV164" s="416"/>
      <c r="CW164" s="416"/>
      <c r="CX164" s="416"/>
      <c r="CY164" s="416"/>
      <c r="CZ164" s="416"/>
      <c r="DF164" s="416"/>
      <c r="DG164" s="416"/>
      <c r="DH164" s="416"/>
      <c r="DI164" s="416"/>
      <c r="DJ164" s="416"/>
      <c r="DK164" s="416"/>
    </row>
    <row r="165" spans="18:115" s="9" customFormat="1">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CR165" s="416"/>
      <c r="CS165" s="416"/>
      <c r="CT165" s="416"/>
      <c r="CU165" s="416"/>
      <c r="CV165" s="416"/>
      <c r="CW165" s="416"/>
      <c r="CX165" s="416"/>
      <c r="CY165" s="416"/>
      <c r="CZ165" s="416"/>
      <c r="DF165" s="416"/>
      <c r="DG165" s="416"/>
      <c r="DH165" s="416"/>
      <c r="DI165" s="416"/>
      <c r="DJ165" s="416"/>
      <c r="DK165" s="416"/>
    </row>
    <row r="166" spans="18:115" s="9" customFormat="1">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CR166" s="416"/>
      <c r="CS166" s="416"/>
      <c r="CT166" s="416"/>
      <c r="CU166" s="416"/>
      <c r="CV166" s="416"/>
      <c r="CW166" s="416"/>
      <c r="CX166" s="416"/>
      <c r="CY166" s="416"/>
      <c r="CZ166" s="416"/>
      <c r="DF166" s="416"/>
      <c r="DG166" s="416"/>
      <c r="DH166" s="416"/>
      <c r="DI166" s="416"/>
      <c r="DJ166" s="416"/>
      <c r="DK166" s="416"/>
    </row>
    <row r="167" spans="18:115" s="9" customFormat="1">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CR167" s="416"/>
      <c r="CS167" s="416"/>
      <c r="CT167" s="416"/>
      <c r="CU167" s="416"/>
      <c r="CV167" s="416"/>
      <c r="CW167" s="416"/>
      <c r="CX167" s="416"/>
      <c r="CY167" s="416"/>
      <c r="CZ167" s="416"/>
      <c r="DF167" s="416"/>
      <c r="DG167" s="416"/>
      <c r="DH167" s="416"/>
      <c r="DI167" s="416"/>
      <c r="DJ167" s="416"/>
      <c r="DK167" s="416"/>
    </row>
    <row r="168" spans="18:115" s="9" customFormat="1">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CR168" s="416"/>
      <c r="CS168" s="416"/>
      <c r="CT168" s="416"/>
      <c r="CU168" s="416"/>
      <c r="CV168" s="416"/>
      <c r="CW168" s="416"/>
      <c r="CX168" s="416"/>
      <c r="CY168" s="416"/>
      <c r="CZ168" s="416"/>
      <c r="DF168" s="416"/>
      <c r="DG168" s="416"/>
      <c r="DH168" s="416"/>
      <c r="DI168" s="416"/>
      <c r="DJ168" s="416"/>
      <c r="DK168" s="416"/>
    </row>
    <row r="169" spans="18:115" s="9" customFormat="1">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CR169" s="416"/>
      <c r="CS169" s="416"/>
      <c r="CT169" s="416"/>
      <c r="CU169" s="416"/>
      <c r="CV169" s="416"/>
      <c r="CW169" s="416"/>
      <c r="CX169" s="416"/>
      <c r="CY169" s="416"/>
      <c r="CZ169" s="416"/>
      <c r="DF169" s="416"/>
      <c r="DG169" s="416"/>
      <c r="DH169" s="416"/>
      <c r="DI169" s="416"/>
      <c r="DJ169" s="416"/>
      <c r="DK169" s="416"/>
    </row>
    <row r="170" spans="18:115" s="9" customFormat="1">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CR170" s="416"/>
      <c r="CS170" s="416"/>
      <c r="CT170" s="416"/>
      <c r="CU170" s="416"/>
      <c r="CV170" s="416"/>
      <c r="CW170" s="416"/>
      <c r="CX170" s="416"/>
      <c r="CY170" s="416"/>
      <c r="CZ170" s="416"/>
      <c r="DF170" s="416"/>
      <c r="DG170" s="416"/>
      <c r="DH170" s="416"/>
      <c r="DI170" s="416"/>
      <c r="DJ170" s="416"/>
      <c r="DK170" s="416"/>
    </row>
    <row r="171" spans="18:115" s="9" customFormat="1">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CR171" s="416"/>
      <c r="CS171" s="416"/>
      <c r="CT171" s="416"/>
      <c r="CU171" s="416"/>
      <c r="CV171" s="416"/>
      <c r="CW171" s="416"/>
      <c r="CX171" s="416"/>
      <c r="CY171" s="416"/>
      <c r="CZ171" s="416"/>
      <c r="DF171" s="416"/>
      <c r="DG171" s="416"/>
      <c r="DH171" s="416"/>
      <c r="DI171" s="416"/>
      <c r="DJ171" s="416"/>
      <c r="DK171" s="416"/>
    </row>
    <row r="172" spans="18:115" s="9" customFormat="1">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CR172" s="416"/>
      <c r="CS172" s="416"/>
      <c r="CT172" s="416"/>
      <c r="CU172" s="416"/>
      <c r="CV172" s="416"/>
      <c r="CW172" s="416"/>
      <c r="CX172" s="416"/>
      <c r="CY172" s="416"/>
      <c r="CZ172" s="416"/>
      <c r="DF172" s="416"/>
      <c r="DG172" s="416"/>
      <c r="DH172" s="416"/>
      <c r="DI172" s="416"/>
      <c r="DJ172" s="416"/>
      <c r="DK172" s="416"/>
    </row>
    <row r="173" spans="18:115" s="9" customFormat="1">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CR173" s="416"/>
      <c r="CS173" s="416"/>
      <c r="CT173" s="416"/>
      <c r="CU173" s="416"/>
      <c r="CV173" s="416"/>
      <c r="CW173" s="416"/>
      <c r="CX173" s="416"/>
      <c r="CY173" s="416"/>
      <c r="CZ173" s="416"/>
      <c r="DF173" s="416"/>
      <c r="DG173" s="416"/>
      <c r="DH173" s="416"/>
      <c r="DI173" s="416"/>
      <c r="DJ173" s="416"/>
      <c r="DK173" s="416"/>
    </row>
    <row r="174" spans="18:115" s="9" customFormat="1">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CR174" s="416"/>
      <c r="CS174" s="416"/>
      <c r="CT174" s="416"/>
      <c r="CU174" s="416"/>
      <c r="CV174" s="416"/>
      <c r="CW174" s="416"/>
      <c r="CX174" s="416"/>
      <c r="CY174" s="416"/>
      <c r="CZ174" s="416"/>
      <c r="DF174" s="416"/>
      <c r="DG174" s="416"/>
      <c r="DH174" s="416"/>
      <c r="DI174" s="416"/>
      <c r="DJ174" s="416"/>
      <c r="DK174" s="416"/>
    </row>
    <row r="175" spans="18:115" s="9" customFormat="1">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CR175" s="416"/>
      <c r="CS175" s="416"/>
      <c r="CT175" s="416"/>
      <c r="CU175" s="416"/>
      <c r="CV175" s="416"/>
      <c r="CW175" s="416"/>
      <c r="CX175" s="416"/>
      <c r="CY175" s="416"/>
      <c r="CZ175" s="416"/>
      <c r="DF175" s="416"/>
      <c r="DG175" s="416"/>
      <c r="DH175" s="416"/>
      <c r="DI175" s="416"/>
      <c r="DJ175" s="416"/>
      <c r="DK175" s="416"/>
    </row>
    <row r="176" spans="18:115" s="9" customFormat="1">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CR176" s="416"/>
      <c r="CS176" s="416"/>
      <c r="CT176" s="416"/>
      <c r="CU176" s="416"/>
      <c r="CV176" s="416"/>
      <c r="CW176" s="416"/>
      <c r="CX176" s="416"/>
      <c r="CY176" s="416"/>
      <c r="CZ176" s="416"/>
      <c r="DF176" s="416"/>
      <c r="DG176" s="416"/>
      <c r="DH176" s="416"/>
      <c r="DI176" s="416"/>
      <c r="DJ176" s="416"/>
      <c r="DK176" s="416"/>
    </row>
    <row r="177" spans="18:115" s="9" customFormat="1">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CR177" s="416"/>
      <c r="CS177" s="416"/>
      <c r="CT177" s="416"/>
      <c r="CU177" s="416"/>
      <c r="CV177" s="416"/>
      <c r="CW177" s="416"/>
      <c r="CX177" s="416"/>
      <c r="CY177" s="416"/>
      <c r="CZ177" s="416"/>
      <c r="DF177" s="416"/>
      <c r="DG177" s="416"/>
      <c r="DH177" s="416"/>
      <c r="DI177" s="416"/>
      <c r="DJ177" s="416"/>
      <c r="DK177" s="416"/>
    </row>
    <row r="178" spans="18:115" s="9" customFormat="1">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CR178" s="416"/>
      <c r="CS178" s="416"/>
      <c r="CT178" s="416"/>
      <c r="CU178" s="416"/>
      <c r="CV178" s="416"/>
      <c r="CW178" s="416"/>
      <c r="CX178" s="416"/>
      <c r="CY178" s="416"/>
      <c r="CZ178" s="416"/>
      <c r="DF178" s="416"/>
      <c r="DG178" s="416"/>
      <c r="DH178" s="416"/>
      <c r="DI178" s="416"/>
      <c r="DJ178" s="416"/>
      <c r="DK178" s="416"/>
    </row>
    <row r="179" spans="18:115" s="9" customFormat="1">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CR179" s="416"/>
      <c r="CS179" s="416"/>
      <c r="CT179" s="416"/>
      <c r="CU179" s="416"/>
      <c r="CV179" s="416"/>
      <c r="CW179" s="416"/>
      <c r="CX179" s="416"/>
      <c r="CY179" s="416"/>
      <c r="CZ179" s="416"/>
      <c r="DF179" s="416"/>
      <c r="DG179" s="416"/>
      <c r="DH179" s="416"/>
      <c r="DI179" s="416"/>
      <c r="DJ179" s="416"/>
      <c r="DK179" s="416"/>
    </row>
    <row r="180" spans="18:115" s="9" customFormat="1">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CR180" s="416"/>
      <c r="CS180" s="416"/>
      <c r="CT180" s="416"/>
      <c r="CU180" s="416"/>
      <c r="CV180" s="416"/>
      <c r="CW180" s="416"/>
      <c r="CX180" s="416"/>
      <c r="CY180" s="416"/>
      <c r="CZ180" s="416"/>
      <c r="DF180" s="416"/>
      <c r="DG180" s="416"/>
      <c r="DH180" s="416"/>
      <c r="DI180" s="416"/>
      <c r="DJ180" s="416"/>
      <c r="DK180" s="416"/>
    </row>
    <row r="181" spans="18:115" s="9" customFormat="1">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CR181" s="416"/>
      <c r="CS181" s="416"/>
      <c r="CT181" s="416"/>
      <c r="CU181" s="416"/>
      <c r="CV181" s="416"/>
      <c r="CW181" s="416"/>
      <c r="CX181" s="416"/>
      <c r="CY181" s="416"/>
      <c r="CZ181" s="416"/>
      <c r="DF181" s="416"/>
      <c r="DG181" s="416"/>
      <c r="DH181" s="416"/>
      <c r="DI181" s="416"/>
      <c r="DJ181" s="416"/>
      <c r="DK181" s="416"/>
    </row>
    <row r="182" spans="18:115" s="9" customFormat="1">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CR182" s="416"/>
      <c r="CS182" s="416"/>
      <c r="CT182" s="416"/>
      <c r="CU182" s="416"/>
      <c r="CV182" s="416"/>
      <c r="CW182" s="416"/>
      <c r="CX182" s="416"/>
      <c r="CY182" s="416"/>
      <c r="CZ182" s="416"/>
      <c r="DF182" s="416"/>
      <c r="DG182" s="416"/>
      <c r="DH182" s="416"/>
      <c r="DI182" s="416"/>
      <c r="DJ182" s="416"/>
      <c r="DK182" s="416"/>
    </row>
    <row r="183" spans="18:115" s="9" customFormat="1">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CR183" s="416"/>
      <c r="CS183" s="416"/>
      <c r="CT183" s="416"/>
      <c r="CU183" s="416"/>
      <c r="CV183" s="416"/>
      <c r="CW183" s="416"/>
      <c r="CX183" s="416"/>
      <c r="CY183" s="416"/>
      <c r="CZ183" s="416"/>
      <c r="DF183" s="416"/>
      <c r="DG183" s="416"/>
      <c r="DH183" s="416"/>
      <c r="DI183" s="416"/>
      <c r="DJ183" s="416"/>
      <c r="DK183" s="416"/>
    </row>
    <row r="184" spans="18:115" s="9" customFormat="1">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CR184" s="416"/>
      <c r="CS184" s="416"/>
      <c r="CT184" s="416"/>
      <c r="CU184" s="416"/>
      <c r="CV184" s="416"/>
      <c r="CW184" s="416"/>
      <c r="CX184" s="416"/>
      <c r="CY184" s="416"/>
      <c r="CZ184" s="416"/>
      <c r="DF184" s="416"/>
      <c r="DG184" s="416"/>
      <c r="DH184" s="416"/>
      <c r="DI184" s="416"/>
      <c r="DJ184" s="416"/>
      <c r="DK184" s="416"/>
    </row>
    <row r="185" spans="18:115" s="9" customFormat="1">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CR185" s="416"/>
      <c r="CS185" s="416"/>
      <c r="CT185" s="416"/>
      <c r="CU185" s="416"/>
      <c r="CV185" s="416"/>
      <c r="CW185" s="416"/>
      <c r="CX185" s="416"/>
      <c r="CY185" s="416"/>
      <c r="CZ185" s="416"/>
      <c r="DF185" s="416"/>
      <c r="DG185" s="416"/>
      <c r="DH185" s="416"/>
      <c r="DI185" s="416"/>
      <c r="DJ185" s="416"/>
      <c r="DK185" s="416"/>
    </row>
    <row r="186" spans="18:115" s="9" customFormat="1">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CR186" s="416"/>
      <c r="CS186" s="416"/>
      <c r="CT186" s="416"/>
      <c r="CU186" s="416"/>
      <c r="CV186" s="416"/>
      <c r="CW186" s="416"/>
      <c r="CX186" s="416"/>
      <c r="CY186" s="416"/>
      <c r="CZ186" s="416"/>
      <c r="DF186" s="416"/>
      <c r="DG186" s="416"/>
      <c r="DH186" s="416"/>
      <c r="DI186" s="416"/>
      <c r="DJ186" s="416"/>
      <c r="DK186" s="416"/>
    </row>
    <row r="187" spans="18:115" s="9" customFormat="1">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CR187" s="416"/>
      <c r="CS187" s="416"/>
      <c r="CT187" s="416"/>
      <c r="CU187" s="416"/>
      <c r="CV187" s="416"/>
      <c r="CW187" s="416"/>
      <c r="CX187" s="416"/>
      <c r="CY187" s="416"/>
      <c r="CZ187" s="416"/>
      <c r="DF187" s="416"/>
      <c r="DG187" s="416"/>
      <c r="DH187" s="416"/>
      <c r="DI187" s="416"/>
      <c r="DJ187" s="416"/>
      <c r="DK187" s="416"/>
    </row>
    <row r="188" spans="18:115" s="9" customFormat="1">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CR188" s="416"/>
      <c r="CS188" s="416"/>
      <c r="CT188" s="416"/>
      <c r="CU188" s="416"/>
      <c r="CV188" s="416"/>
      <c r="CW188" s="416"/>
      <c r="CX188" s="416"/>
      <c r="CY188" s="416"/>
      <c r="CZ188" s="416"/>
      <c r="DF188" s="416"/>
      <c r="DG188" s="416"/>
      <c r="DH188" s="416"/>
      <c r="DI188" s="416"/>
      <c r="DJ188" s="416"/>
      <c r="DK188" s="416"/>
    </row>
    <row r="189" spans="18:115" s="9" customFormat="1">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CR189" s="416"/>
      <c r="CS189" s="416"/>
      <c r="CT189" s="416"/>
      <c r="CU189" s="416"/>
      <c r="CV189" s="416"/>
      <c r="CW189" s="416"/>
      <c r="CX189" s="416"/>
      <c r="CY189" s="416"/>
      <c r="CZ189" s="416"/>
      <c r="DF189" s="416"/>
      <c r="DG189" s="416"/>
      <c r="DH189" s="416"/>
      <c r="DI189" s="416"/>
      <c r="DJ189" s="416"/>
      <c r="DK189" s="416"/>
    </row>
    <row r="190" spans="18:115" s="9" customFormat="1">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CR190" s="416"/>
      <c r="CS190" s="416"/>
      <c r="CT190" s="416"/>
      <c r="CU190" s="416"/>
      <c r="CV190" s="416"/>
      <c r="CW190" s="416"/>
      <c r="CX190" s="416"/>
      <c r="CY190" s="416"/>
      <c r="CZ190" s="416"/>
      <c r="DF190" s="416"/>
      <c r="DG190" s="416"/>
      <c r="DH190" s="416"/>
      <c r="DI190" s="416"/>
      <c r="DJ190" s="416"/>
      <c r="DK190" s="416"/>
    </row>
    <row r="191" spans="18:115" s="9" customFormat="1">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CR191" s="416"/>
      <c r="CS191" s="416"/>
      <c r="CT191" s="416"/>
      <c r="CU191" s="416"/>
      <c r="CV191" s="416"/>
      <c r="CW191" s="416"/>
      <c r="CX191" s="416"/>
      <c r="CY191" s="416"/>
      <c r="CZ191" s="416"/>
      <c r="DF191" s="416"/>
      <c r="DG191" s="416"/>
      <c r="DH191" s="416"/>
      <c r="DI191" s="416"/>
      <c r="DJ191" s="416"/>
      <c r="DK191" s="416"/>
    </row>
    <row r="192" spans="18:115" s="9" customFormat="1">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CR192" s="416"/>
      <c r="CS192" s="416"/>
      <c r="CT192" s="416"/>
      <c r="CU192" s="416"/>
      <c r="CV192" s="416"/>
      <c r="CW192" s="416"/>
      <c r="CX192" s="416"/>
      <c r="CY192" s="416"/>
      <c r="CZ192" s="416"/>
      <c r="DF192" s="416"/>
      <c r="DG192" s="416"/>
      <c r="DH192" s="416"/>
      <c r="DI192" s="416"/>
      <c r="DJ192" s="416"/>
      <c r="DK192" s="416"/>
    </row>
    <row r="193" spans="18:115" s="9" customFormat="1">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CR193" s="416"/>
      <c r="CS193" s="416"/>
      <c r="CT193" s="416"/>
      <c r="CU193" s="416"/>
      <c r="CV193" s="416"/>
      <c r="CW193" s="416"/>
      <c r="CX193" s="416"/>
      <c r="CY193" s="416"/>
      <c r="CZ193" s="416"/>
      <c r="DF193" s="416"/>
      <c r="DG193" s="416"/>
      <c r="DH193" s="416"/>
      <c r="DI193" s="416"/>
      <c r="DJ193" s="416"/>
      <c r="DK193" s="416"/>
    </row>
    <row r="194" spans="18:115" s="9" customFormat="1">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CR194" s="416"/>
      <c r="CS194" s="416"/>
      <c r="CT194" s="416"/>
      <c r="CU194" s="416"/>
      <c r="CV194" s="416"/>
      <c r="CW194" s="416"/>
      <c r="CX194" s="416"/>
      <c r="CY194" s="416"/>
      <c r="CZ194" s="416"/>
      <c r="DF194" s="416"/>
      <c r="DG194" s="416"/>
      <c r="DH194" s="416"/>
      <c r="DI194" s="416"/>
      <c r="DJ194" s="416"/>
      <c r="DK194" s="416"/>
    </row>
    <row r="195" spans="18:115" s="9" customFormat="1">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CR195" s="416"/>
      <c r="CS195" s="416"/>
      <c r="CT195" s="416"/>
      <c r="CU195" s="416"/>
      <c r="CV195" s="416"/>
      <c r="CW195" s="416"/>
      <c r="CX195" s="416"/>
      <c r="CY195" s="416"/>
      <c r="CZ195" s="416"/>
      <c r="DF195" s="416"/>
      <c r="DG195" s="416"/>
      <c r="DH195" s="416"/>
      <c r="DI195" s="416"/>
      <c r="DJ195" s="416"/>
      <c r="DK195" s="416"/>
    </row>
    <row r="196" spans="18:115" s="9" customFormat="1">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CR196" s="416"/>
      <c r="CS196" s="416"/>
      <c r="CT196" s="416"/>
      <c r="CU196" s="416"/>
      <c r="CV196" s="416"/>
      <c r="CW196" s="416"/>
      <c r="CX196" s="416"/>
      <c r="CY196" s="416"/>
      <c r="CZ196" s="416"/>
      <c r="DF196" s="416"/>
      <c r="DG196" s="416"/>
      <c r="DH196" s="416"/>
      <c r="DI196" s="416"/>
      <c r="DJ196" s="416"/>
      <c r="DK196" s="416"/>
    </row>
    <row r="197" spans="18:115" s="9" customFormat="1">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CR197" s="416"/>
      <c r="CS197" s="416"/>
      <c r="CT197" s="416"/>
      <c r="CU197" s="416"/>
      <c r="CV197" s="416"/>
      <c r="CW197" s="416"/>
      <c r="CX197" s="416"/>
      <c r="CY197" s="416"/>
      <c r="CZ197" s="416"/>
      <c r="DF197" s="416"/>
      <c r="DG197" s="416"/>
      <c r="DH197" s="416"/>
      <c r="DI197" s="416"/>
      <c r="DJ197" s="416"/>
      <c r="DK197" s="416"/>
    </row>
    <row r="198" spans="18:115" s="9" customFormat="1">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CR198" s="416"/>
      <c r="CS198" s="416"/>
      <c r="CT198" s="416"/>
      <c r="CU198" s="416"/>
      <c r="CV198" s="416"/>
      <c r="CW198" s="416"/>
      <c r="CX198" s="416"/>
      <c r="CY198" s="416"/>
      <c r="CZ198" s="416"/>
      <c r="DF198" s="416"/>
      <c r="DG198" s="416"/>
      <c r="DH198" s="416"/>
      <c r="DI198" s="416"/>
      <c r="DJ198" s="416"/>
      <c r="DK198" s="416"/>
    </row>
    <row r="199" spans="18:115" s="9" customFormat="1">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CR199" s="416"/>
      <c r="CS199" s="416"/>
      <c r="CT199" s="416"/>
      <c r="CU199" s="416"/>
      <c r="CV199" s="416"/>
      <c r="CW199" s="416"/>
      <c r="CX199" s="416"/>
      <c r="CY199" s="416"/>
      <c r="CZ199" s="416"/>
      <c r="DF199" s="416"/>
      <c r="DG199" s="416"/>
      <c r="DH199" s="416"/>
      <c r="DI199" s="416"/>
      <c r="DJ199" s="416"/>
      <c r="DK199" s="416"/>
    </row>
    <row r="200" spans="18:115" s="9" customFormat="1">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CR200" s="416"/>
      <c r="CS200" s="416"/>
      <c r="CT200" s="416"/>
      <c r="CU200" s="416"/>
      <c r="CV200" s="416"/>
      <c r="CW200" s="416"/>
      <c r="CX200" s="416"/>
      <c r="CY200" s="416"/>
      <c r="CZ200" s="416"/>
      <c r="DF200" s="416"/>
      <c r="DG200" s="416"/>
      <c r="DH200" s="416"/>
      <c r="DI200" s="416"/>
      <c r="DJ200" s="416"/>
      <c r="DK200" s="416"/>
    </row>
    <row r="201" spans="18:115" s="9" customFormat="1">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CR201" s="416"/>
      <c r="CS201" s="416"/>
      <c r="CT201" s="416"/>
      <c r="CU201" s="416"/>
      <c r="CV201" s="416"/>
      <c r="CW201" s="416"/>
      <c r="CX201" s="416"/>
      <c r="CY201" s="416"/>
      <c r="CZ201" s="416"/>
      <c r="DF201" s="416"/>
      <c r="DG201" s="416"/>
      <c r="DH201" s="416"/>
      <c r="DI201" s="416"/>
      <c r="DJ201" s="416"/>
      <c r="DK201" s="416"/>
    </row>
    <row r="202" spans="18:115" s="9" customFormat="1">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CR202" s="416"/>
      <c r="CS202" s="416"/>
      <c r="CT202" s="416"/>
      <c r="CU202" s="416"/>
      <c r="CV202" s="416"/>
      <c r="CW202" s="416"/>
      <c r="CX202" s="416"/>
      <c r="CY202" s="416"/>
      <c r="CZ202" s="416"/>
      <c r="DF202" s="416"/>
      <c r="DG202" s="416"/>
      <c r="DH202" s="416"/>
      <c r="DI202" s="416"/>
      <c r="DJ202" s="416"/>
      <c r="DK202" s="416"/>
    </row>
    <row r="203" spans="18:115" s="9" customFormat="1">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CR203" s="416"/>
      <c r="CS203" s="416"/>
      <c r="CT203" s="416"/>
      <c r="CU203" s="416"/>
      <c r="CV203" s="416"/>
      <c r="CW203" s="416"/>
      <c r="CX203" s="416"/>
      <c r="CY203" s="416"/>
      <c r="CZ203" s="416"/>
      <c r="DF203" s="416"/>
      <c r="DG203" s="416"/>
      <c r="DH203" s="416"/>
      <c r="DI203" s="416"/>
      <c r="DJ203" s="416"/>
      <c r="DK203" s="416"/>
    </row>
    <row r="204" spans="18:115" s="9" customFormat="1">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CR204" s="416"/>
      <c r="CS204" s="416"/>
      <c r="CT204" s="416"/>
      <c r="CU204" s="416"/>
      <c r="CV204" s="416"/>
      <c r="CW204" s="416"/>
      <c r="CX204" s="416"/>
      <c r="CY204" s="416"/>
      <c r="CZ204" s="416"/>
      <c r="DF204" s="416"/>
      <c r="DG204" s="416"/>
      <c r="DH204" s="416"/>
      <c r="DI204" s="416"/>
      <c r="DJ204" s="416"/>
      <c r="DK204" s="416"/>
    </row>
    <row r="205" spans="18:115" s="9" customFormat="1">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CR205" s="416"/>
      <c r="CS205" s="416"/>
      <c r="CT205" s="416"/>
      <c r="CU205" s="416"/>
      <c r="CV205" s="416"/>
      <c r="CW205" s="416"/>
      <c r="CX205" s="416"/>
      <c r="CY205" s="416"/>
      <c r="CZ205" s="416"/>
      <c r="DF205" s="416"/>
      <c r="DG205" s="416"/>
      <c r="DH205" s="416"/>
      <c r="DI205" s="416"/>
      <c r="DJ205" s="416"/>
      <c r="DK205" s="416"/>
    </row>
    <row r="206" spans="18:115" s="9" customFormat="1">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CR206" s="416"/>
      <c r="CS206" s="416"/>
      <c r="CT206" s="416"/>
      <c r="CU206" s="416"/>
      <c r="CV206" s="416"/>
      <c r="CW206" s="416"/>
      <c r="CX206" s="416"/>
      <c r="CY206" s="416"/>
      <c r="CZ206" s="416"/>
      <c r="DF206" s="416"/>
      <c r="DG206" s="416"/>
      <c r="DH206" s="416"/>
      <c r="DI206" s="416"/>
      <c r="DJ206" s="416"/>
      <c r="DK206" s="416"/>
    </row>
    <row r="207" spans="18:115" s="9" customFormat="1">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CR207" s="416"/>
      <c r="CS207" s="416"/>
      <c r="CT207" s="416"/>
      <c r="CU207" s="416"/>
      <c r="CV207" s="416"/>
      <c r="CW207" s="416"/>
      <c r="CX207" s="416"/>
      <c r="CY207" s="416"/>
      <c r="CZ207" s="416"/>
      <c r="DF207" s="416"/>
      <c r="DG207" s="416"/>
      <c r="DH207" s="416"/>
      <c r="DI207" s="416"/>
      <c r="DJ207" s="416"/>
      <c r="DK207" s="416"/>
    </row>
    <row r="208" spans="18:115" s="9" customFormat="1">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CR208" s="416"/>
      <c r="CS208" s="416"/>
      <c r="CT208" s="416"/>
      <c r="CU208" s="416"/>
      <c r="CV208" s="416"/>
      <c r="CW208" s="416"/>
      <c r="CX208" s="416"/>
      <c r="CY208" s="416"/>
      <c r="CZ208" s="416"/>
      <c r="DF208" s="416"/>
      <c r="DG208" s="416"/>
      <c r="DH208" s="416"/>
      <c r="DI208" s="416"/>
      <c r="DJ208" s="416"/>
      <c r="DK208" s="416"/>
    </row>
    <row r="209" spans="18:115" s="9" customFormat="1">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CR209" s="416"/>
      <c r="CS209" s="416"/>
      <c r="CT209" s="416"/>
      <c r="CU209" s="416"/>
      <c r="CV209" s="416"/>
      <c r="CW209" s="416"/>
      <c r="CX209" s="416"/>
      <c r="CY209" s="416"/>
      <c r="CZ209" s="416"/>
      <c r="DF209" s="416"/>
      <c r="DG209" s="416"/>
      <c r="DH209" s="416"/>
      <c r="DI209" s="416"/>
      <c r="DJ209" s="416"/>
      <c r="DK209" s="416"/>
    </row>
    <row r="210" spans="18:115" s="9" customFormat="1">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CR210" s="416"/>
      <c r="CS210" s="416"/>
      <c r="CT210" s="416"/>
      <c r="CU210" s="416"/>
      <c r="CV210" s="416"/>
      <c r="CW210" s="416"/>
      <c r="CX210" s="416"/>
      <c r="CY210" s="416"/>
      <c r="CZ210" s="416"/>
      <c r="DF210" s="416"/>
      <c r="DG210" s="416"/>
      <c r="DH210" s="416"/>
      <c r="DI210" s="416"/>
      <c r="DJ210" s="416"/>
      <c r="DK210" s="416"/>
    </row>
    <row r="211" spans="18:115" s="9" customFormat="1">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CR211" s="416"/>
      <c r="CS211" s="416"/>
      <c r="CT211" s="416"/>
      <c r="CU211" s="416"/>
      <c r="CV211" s="416"/>
      <c r="CW211" s="416"/>
      <c r="CX211" s="416"/>
      <c r="CY211" s="416"/>
      <c r="CZ211" s="416"/>
      <c r="DF211" s="416"/>
      <c r="DG211" s="416"/>
      <c r="DH211" s="416"/>
      <c r="DI211" s="416"/>
      <c r="DJ211" s="416"/>
      <c r="DK211" s="416"/>
    </row>
    <row r="212" spans="18:115" s="9" customFormat="1">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CR212" s="416"/>
      <c r="CS212" s="416"/>
      <c r="CT212" s="416"/>
      <c r="CU212" s="416"/>
      <c r="CV212" s="416"/>
      <c r="CW212" s="416"/>
      <c r="CX212" s="416"/>
      <c r="CY212" s="416"/>
      <c r="CZ212" s="416"/>
      <c r="DF212" s="416"/>
      <c r="DG212" s="416"/>
      <c r="DH212" s="416"/>
      <c r="DI212" s="416"/>
      <c r="DJ212" s="416"/>
      <c r="DK212" s="416"/>
    </row>
    <row r="213" spans="18:115" s="9" customFormat="1">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CR213" s="416"/>
      <c r="CS213" s="416"/>
      <c r="CT213" s="416"/>
      <c r="CU213" s="416"/>
      <c r="CV213" s="416"/>
      <c r="CW213" s="416"/>
      <c r="CX213" s="416"/>
      <c r="CY213" s="416"/>
      <c r="CZ213" s="416"/>
      <c r="DF213" s="416"/>
      <c r="DG213" s="416"/>
      <c r="DH213" s="416"/>
      <c r="DI213" s="416"/>
      <c r="DJ213" s="416"/>
      <c r="DK213" s="416"/>
    </row>
    <row r="214" spans="18:115" s="9" customFormat="1">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CR214" s="416"/>
      <c r="CS214" s="416"/>
      <c r="CT214" s="416"/>
      <c r="CU214" s="416"/>
      <c r="CV214" s="416"/>
      <c r="CW214" s="416"/>
      <c r="CX214" s="416"/>
      <c r="CY214" s="416"/>
      <c r="CZ214" s="416"/>
      <c r="DF214" s="416"/>
      <c r="DG214" s="416"/>
      <c r="DH214" s="416"/>
      <c r="DI214" s="416"/>
      <c r="DJ214" s="416"/>
      <c r="DK214" s="416"/>
    </row>
    <row r="215" spans="18:115" s="9" customFormat="1">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CR215" s="416"/>
      <c r="CS215" s="416"/>
      <c r="CT215" s="416"/>
      <c r="CU215" s="416"/>
      <c r="CV215" s="416"/>
      <c r="CW215" s="416"/>
      <c r="CX215" s="416"/>
      <c r="CY215" s="416"/>
      <c r="CZ215" s="416"/>
      <c r="DF215" s="416"/>
      <c r="DG215" s="416"/>
      <c r="DH215" s="416"/>
      <c r="DI215" s="416"/>
      <c r="DJ215" s="416"/>
      <c r="DK215" s="416"/>
    </row>
    <row r="216" spans="18:115" s="9" customFormat="1">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CR216" s="416"/>
      <c r="CS216" s="416"/>
      <c r="CT216" s="416"/>
      <c r="CU216" s="416"/>
      <c r="CV216" s="416"/>
      <c r="CW216" s="416"/>
      <c r="CX216" s="416"/>
      <c r="CY216" s="416"/>
      <c r="CZ216" s="416"/>
      <c r="DF216" s="416"/>
      <c r="DG216" s="416"/>
      <c r="DH216" s="416"/>
      <c r="DI216" s="416"/>
      <c r="DJ216" s="416"/>
      <c r="DK216" s="416"/>
    </row>
    <row r="217" spans="18:115" s="9" customFormat="1">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CR217" s="416"/>
      <c r="CS217" s="416"/>
      <c r="CT217" s="416"/>
      <c r="CU217" s="416"/>
      <c r="CV217" s="416"/>
      <c r="CW217" s="416"/>
      <c r="CX217" s="416"/>
      <c r="CY217" s="416"/>
      <c r="CZ217" s="416"/>
      <c r="DF217" s="416"/>
      <c r="DG217" s="416"/>
      <c r="DH217" s="416"/>
      <c r="DI217" s="416"/>
      <c r="DJ217" s="416"/>
      <c r="DK217" s="416"/>
    </row>
    <row r="218" spans="18:115" s="9" customFormat="1">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CR218" s="416"/>
      <c r="CS218" s="416"/>
      <c r="CT218" s="416"/>
      <c r="CU218" s="416"/>
      <c r="CV218" s="416"/>
      <c r="CW218" s="416"/>
      <c r="CX218" s="416"/>
      <c r="CY218" s="416"/>
      <c r="CZ218" s="416"/>
      <c r="DF218" s="416"/>
      <c r="DG218" s="416"/>
      <c r="DH218" s="416"/>
      <c r="DI218" s="416"/>
      <c r="DJ218" s="416"/>
      <c r="DK218" s="416"/>
    </row>
    <row r="219" spans="18:115" s="9" customFormat="1">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CR219" s="416"/>
      <c r="CS219" s="416"/>
      <c r="CT219" s="416"/>
      <c r="CU219" s="416"/>
      <c r="CV219" s="416"/>
      <c r="CW219" s="416"/>
      <c r="CX219" s="416"/>
      <c r="CY219" s="416"/>
      <c r="CZ219" s="416"/>
      <c r="DF219" s="416"/>
      <c r="DG219" s="416"/>
      <c r="DH219" s="416"/>
      <c r="DI219" s="416"/>
      <c r="DJ219" s="416"/>
      <c r="DK219" s="416"/>
    </row>
    <row r="220" spans="18:115" s="9" customFormat="1">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CR220" s="416"/>
      <c r="CS220" s="416"/>
      <c r="CT220" s="416"/>
      <c r="CU220" s="416"/>
      <c r="CV220" s="416"/>
      <c r="CW220" s="416"/>
      <c r="CX220" s="416"/>
      <c r="CY220" s="416"/>
      <c r="CZ220" s="416"/>
      <c r="DF220" s="416"/>
      <c r="DG220" s="416"/>
      <c r="DH220" s="416"/>
      <c r="DI220" s="416"/>
      <c r="DJ220" s="416"/>
      <c r="DK220" s="416"/>
    </row>
    <row r="221" spans="18:115" s="9" customFormat="1">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CR221" s="416"/>
      <c r="CS221" s="416"/>
      <c r="CT221" s="416"/>
      <c r="CU221" s="416"/>
      <c r="CV221" s="416"/>
      <c r="CW221" s="416"/>
      <c r="CX221" s="416"/>
      <c r="CY221" s="416"/>
      <c r="CZ221" s="416"/>
      <c r="DF221" s="416"/>
      <c r="DG221" s="416"/>
      <c r="DH221" s="416"/>
      <c r="DI221" s="416"/>
      <c r="DJ221" s="416"/>
      <c r="DK221" s="416"/>
    </row>
    <row r="222" spans="18:115" s="9" customFormat="1">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CR222" s="416"/>
      <c r="CS222" s="416"/>
      <c r="CT222" s="416"/>
      <c r="CU222" s="416"/>
      <c r="CV222" s="416"/>
      <c r="CW222" s="416"/>
      <c r="CX222" s="416"/>
      <c r="CY222" s="416"/>
      <c r="CZ222" s="416"/>
      <c r="DF222" s="416"/>
      <c r="DG222" s="416"/>
      <c r="DH222" s="416"/>
      <c r="DI222" s="416"/>
      <c r="DJ222" s="416"/>
      <c r="DK222" s="416"/>
    </row>
    <row r="223" spans="18:115" s="9" customFormat="1">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CR223" s="416"/>
      <c r="CS223" s="416"/>
      <c r="CT223" s="416"/>
      <c r="CU223" s="416"/>
      <c r="CV223" s="416"/>
      <c r="CW223" s="416"/>
      <c r="CX223" s="416"/>
      <c r="CY223" s="416"/>
      <c r="CZ223" s="416"/>
      <c r="DF223" s="416"/>
      <c r="DG223" s="416"/>
      <c r="DH223" s="416"/>
      <c r="DI223" s="416"/>
      <c r="DJ223" s="416"/>
      <c r="DK223" s="416"/>
    </row>
    <row r="224" spans="18:115" s="9" customFormat="1">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CR224" s="416"/>
      <c r="CS224" s="416"/>
      <c r="CT224" s="416"/>
      <c r="CU224" s="416"/>
      <c r="CV224" s="416"/>
      <c r="CW224" s="416"/>
      <c r="CX224" s="416"/>
      <c r="CY224" s="416"/>
      <c r="CZ224" s="416"/>
      <c r="DF224" s="416"/>
      <c r="DG224" s="416"/>
      <c r="DH224" s="416"/>
      <c r="DI224" s="416"/>
      <c r="DJ224" s="416"/>
      <c r="DK224" s="416"/>
    </row>
    <row r="225" spans="18:115" s="9" customFormat="1">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CR225" s="416"/>
      <c r="CS225" s="416"/>
      <c r="CT225" s="416"/>
      <c r="CU225" s="416"/>
      <c r="CV225" s="416"/>
      <c r="CW225" s="416"/>
      <c r="CX225" s="416"/>
      <c r="CY225" s="416"/>
      <c r="CZ225" s="416"/>
      <c r="DF225" s="416"/>
      <c r="DG225" s="416"/>
      <c r="DH225" s="416"/>
      <c r="DI225" s="416"/>
      <c r="DJ225" s="416"/>
      <c r="DK225" s="416"/>
    </row>
    <row r="226" spans="18:115" s="9" customFormat="1">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CR226" s="416"/>
      <c r="CS226" s="416"/>
      <c r="CT226" s="416"/>
      <c r="CU226" s="416"/>
      <c r="CV226" s="416"/>
      <c r="CW226" s="416"/>
      <c r="CX226" s="416"/>
      <c r="CY226" s="416"/>
      <c r="CZ226" s="416"/>
      <c r="DF226" s="416"/>
      <c r="DG226" s="416"/>
      <c r="DH226" s="416"/>
      <c r="DI226" s="416"/>
      <c r="DJ226" s="416"/>
      <c r="DK226" s="416"/>
    </row>
    <row r="227" spans="18:115" s="9" customFormat="1">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CR227" s="416"/>
      <c r="CS227" s="416"/>
      <c r="CT227" s="416"/>
      <c r="CU227" s="416"/>
      <c r="CV227" s="416"/>
      <c r="CW227" s="416"/>
      <c r="CX227" s="416"/>
      <c r="CY227" s="416"/>
      <c r="CZ227" s="416"/>
      <c r="DF227" s="416"/>
      <c r="DG227" s="416"/>
      <c r="DH227" s="416"/>
      <c r="DI227" s="416"/>
      <c r="DJ227" s="416"/>
      <c r="DK227" s="416"/>
    </row>
    <row r="228" spans="18:115" s="9" customFormat="1">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CR228" s="416"/>
      <c r="CS228" s="416"/>
      <c r="CT228" s="416"/>
      <c r="CU228" s="416"/>
      <c r="CV228" s="416"/>
      <c r="CW228" s="416"/>
      <c r="CX228" s="416"/>
      <c r="CY228" s="416"/>
      <c r="CZ228" s="416"/>
      <c r="DF228" s="416"/>
      <c r="DG228" s="416"/>
      <c r="DH228" s="416"/>
      <c r="DI228" s="416"/>
      <c r="DJ228" s="416"/>
      <c r="DK228" s="416"/>
    </row>
    <row r="229" spans="18:115" s="9" customFormat="1">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CR229" s="416"/>
      <c r="CS229" s="416"/>
      <c r="CT229" s="416"/>
      <c r="CU229" s="416"/>
      <c r="CV229" s="416"/>
      <c r="CW229" s="416"/>
      <c r="CX229" s="416"/>
      <c r="CY229" s="416"/>
      <c r="CZ229" s="416"/>
      <c r="DF229" s="416"/>
      <c r="DG229" s="416"/>
      <c r="DH229" s="416"/>
      <c r="DI229" s="416"/>
      <c r="DJ229" s="416"/>
      <c r="DK229" s="416"/>
    </row>
    <row r="230" spans="18:115" s="9" customFormat="1">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CR230" s="416"/>
      <c r="CS230" s="416"/>
      <c r="CT230" s="416"/>
      <c r="CU230" s="416"/>
      <c r="CV230" s="416"/>
      <c r="CW230" s="416"/>
      <c r="CX230" s="416"/>
      <c r="CY230" s="416"/>
      <c r="CZ230" s="416"/>
      <c r="DF230" s="416"/>
      <c r="DG230" s="416"/>
      <c r="DH230" s="416"/>
      <c r="DI230" s="416"/>
      <c r="DJ230" s="416"/>
      <c r="DK230" s="416"/>
    </row>
    <row r="231" spans="18:115" s="9" customFormat="1">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CR231" s="416"/>
      <c r="CS231" s="416"/>
      <c r="CT231" s="416"/>
      <c r="CU231" s="416"/>
      <c r="CV231" s="416"/>
      <c r="CW231" s="416"/>
      <c r="CX231" s="416"/>
      <c r="CY231" s="416"/>
      <c r="CZ231" s="416"/>
      <c r="DF231" s="416"/>
      <c r="DG231" s="416"/>
      <c r="DH231" s="416"/>
      <c r="DI231" s="416"/>
      <c r="DJ231" s="416"/>
      <c r="DK231" s="416"/>
    </row>
    <row r="232" spans="18:115" s="9" customFormat="1">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CR232" s="416"/>
      <c r="CS232" s="416"/>
      <c r="CT232" s="416"/>
      <c r="CU232" s="416"/>
      <c r="CV232" s="416"/>
      <c r="CW232" s="416"/>
      <c r="CX232" s="416"/>
      <c r="CY232" s="416"/>
      <c r="CZ232" s="416"/>
      <c r="DF232" s="416"/>
      <c r="DG232" s="416"/>
      <c r="DH232" s="416"/>
      <c r="DI232" s="416"/>
      <c r="DJ232" s="416"/>
      <c r="DK232" s="416"/>
    </row>
    <row r="233" spans="18:115" s="9" customFormat="1">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CR233" s="416"/>
      <c r="CS233" s="416"/>
      <c r="CT233" s="416"/>
      <c r="CU233" s="416"/>
      <c r="CV233" s="416"/>
      <c r="CW233" s="416"/>
      <c r="CX233" s="416"/>
      <c r="CY233" s="416"/>
      <c r="CZ233" s="416"/>
      <c r="DF233" s="416"/>
      <c r="DG233" s="416"/>
      <c r="DH233" s="416"/>
      <c r="DI233" s="416"/>
      <c r="DJ233" s="416"/>
      <c r="DK233" s="416"/>
    </row>
    <row r="234" spans="18:115" s="9" customFormat="1">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CR234" s="416"/>
      <c r="CS234" s="416"/>
      <c r="CT234" s="416"/>
      <c r="CU234" s="416"/>
      <c r="CV234" s="416"/>
      <c r="CW234" s="416"/>
      <c r="CX234" s="416"/>
      <c r="CY234" s="416"/>
      <c r="CZ234" s="416"/>
      <c r="DF234" s="416"/>
      <c r="DG234" s="416"/>
      <c r="DH234" s="416"/>
      <c r="DI234" s="416"/>
      <c r="DJ234" s="416"/>
      <c r="DK234" s="416"/>
    </row>
    <row r="235" spans="18:115" s="9" customFormat="1">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CR235" s="416"/>
      <c r="CS235" s="416"/>
      <c r="CT235" s="416"/>
      <c r="CU235" s="416"/>
      <c r="CV235" s="416"/>
      <c r="CW235" s="416"/>
      <c r="CX235" s="416"/>
      <c r="CY235" s="416"/>
      <c r="CZ235" s="416"/>
      <c r="DF235" s="416"/>
      <c r="DG235" s="416"/>
      <c r="DH235" s="416"/>
      <c r="DI235" s="416"/>
      <c r="DJ235" s="416"/>
      <c r="DK235" s="416"/>
    </row>
    <row r="236" spans="18:115" s="9" customFormat="1">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CR236" s="416"/>
      <c r="CS236" s="416"/>
      <c r="CT236" s="416"/>
      <c r="CU236" s="416"/>
      <c r="CV236" s="416"/>
      <c r="CW236" s="416"/>
      <c r="CX236" s="416"/>
      <c r="CY236" s="416"/>
      <c r="CZ236" s="416"/>
      <c r="DF236" s="416"/>
      <c r="DG236" s="416"/>
      <c r="DH236" s="416"/>
      <c r="DI236" s="416"/>
      <c r="DJ236" s="416"/>
      <c r="DK236" s="416"/>
    </row>
    <row r="237" spans="18:115" s="9" customFormat="1">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CR237" s="416"/>
      <c r="CS237" s="416"/>
      <c r="CT237" s="416"/>
      <c r="CU237" s="416"/>
      <c r="CV237" s="416"/>
      <c r="CW237" s="416"/>
      <c r="CX237" s="416"/>
      <c r="CY237" s="416"/>
      <c r="CZ237" s="416"/>
      <c r="DF237" s="416"/>
      <c r="DG237" s="416"/>
      <c r="DH237" s="416"/>
      <c r="DI237" s="416"/>
      <c r="DJ237" s="416"/>
      <c r="DK237" s="416"/>
    </row>
    <row r="238" spans="18:115" s="9" customFormat="1">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CR238" s="416"/>
      <c r="CS238" s="416"/>
      <c r="CT238" s="416"/>
      <c r="CU238" s="416"/>
      <c r="CV238" s="416"/>
      <c r="CW238" s="416"/>
      <c r="CX238" s="416"/>
      <c r="CY238" s="416"/>
      <c r="CZ238" s="416"/>
      <c r="DF238" s="416"/>
      <c r="DG238" s="416"/>
      <c r="DH238" s="416"/>
      <c r="DI238" s="416"/>
      <c r="DJ238" s="416"/>
      <c r="DK238" s="416"/>
    </row>
    <row r="239" spans="18:115" s="9" customFormat="1">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CR239" s="416"/>
      <c r="CS239" s="416"/>
      <c r="CT239" s="416"/>
      <c r="CU239" s="416"/>
      <c r="CV239" s="416"/>
      <c r="CW239" s="416"/>
      <c r="CX239" s="416"/>
      <c r="CY239" s="416"/>
      <c r="CZ239" s="416"/>
      <c r="DF239" s="416"/>
      <c r="DG239" s="416"/>
      <c r="DH239" s="416"/>
      <c r="DI239" s="416"/>
      <c r="DJ239" s="416"/>
      <c r="DK239" s="416"/>
    </row>
    <row r="240" spans="18:115" s="9" customFormat="1">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CR240" s="416"/>
      <c r="CS240" s="416"/>
      <c r="CT240" s="416"/>
      <c r="CU240" s="416"/>
      <c r="CV240" s="416"/>
      <c r="CW240" s="416"/>
      <c r="CX240" s="416"/>
      <c r="CY240" s="416"/>
      <c r="CZ240" s="416"/>
      <c r="DF240" s="416"/>
      <c r="DG240" s="416"/>
      <c r="DH240" s="416"/>
      <c r="DI240" s="416"/>
      <c r="DJ240" s="416"/>
      <c r="DK240" s="416"/>
    </row>
    <row r="241" spans="18:115" s="9" customFormat="1">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CR241" s="416"/>
      <c r="CS241" s="416"/>
      <c r="CT241" s="416"/>
      <c r="CU241" s="416"/>
      <c r="CV241" s="416"/>
      <c r="CW241" s="416"/>
      <c r="CX241" s="416"/>
      <c r="CY241" s="416"/>
      <c r="CZ241" s="416"/>
      <c r="DF241" s="416"/>
      <c r="DG241" s="416"/>
      <c r="DH241" s="416"/>
      <c r="DI241" s="416"/>
      <c r="DJ241" s="416"/>
      <c r="DK241" s="416"/>
    </row>
    <row r="242" spans="18:115" s="9" customFormat="1">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CR242" s="416"/>
      <c r="CS242" s="416"/>
      <c r="CT242" s="416"/>
      <c r="CU242" s="416"/>
      <c r="CV242" s="416"/>
      <c r="CW242" s="416"/>
      <c r="CX242" s="416"/>
      <c r="CY242" s="416"/>
      <c r="CZ242" s="416"/>
      <c r="DF242" s="416"/>
      <c r="DG242" s="416"/>
      <c r="DH242" s="416"/>
      <c r="DI242" s="416"/>
      <c r="DJ242" s="416"/>
      <c r="DK242" s="416"/>
    </row>
    <row r="243" spans="18:115" s="9" customFormat="1">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CR243" s="416"/>
      <c r="CS243" s="416"/>
      <c r="CT243" s="416"/>
      <c r="CU243" s="416"/>
      <c r="CV243" s="416"/>
      <c r="CW243" s="416"/>
      <c r="CX243" s="416"/>
      <c r="CY243" s="416"/>
      <c r="CZ243" s="416"/>
      <c r="DF243" s="416"/>
      <c r="DG243" s="416"/>
      <c r="DH243" s="416"/>
      <c r="DI243" s="416"/>
      <c r="DJ243" s="416"/>
      <c r="DK243" s="416"/>
    </row>
    <row r="244" spans="18:115" s="9" customFormat="1">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CR244" s="416"/>
      <c r="CS244" s="416"/>
      <c r="CT244" s="416"/>
      <c r="CU244" s="416"/>
      <c r="CV244" s="416"/>
      <c r="CW244" s="416"/>
      <c r="CX244" s="416"/>
      <c r="CY244" s="416"/>
      <c r="CZ244" s="416"/>
      <c r="DF244" s="416"/>
      <c r="DG244" s="416"/>
      <c r="DH244" s="416"/>
      <c r="DI244" s="416"/>
      <c r="DJ244" s="416"/>
      <c r="DK244" s="416"/>
    </row>
    <row r="245" spans="18:115" s="9" customFormat="1">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CR245" s="416"/>
      <c r="CS245" s="416"/>
      <c r="CT245" s="416"/>
      <c r="CU245" s="416"/>
      <c r="CV245" s="416"/>
      <c r="CW245" s="416"/>
      <c r="CX245" s="416"/>
      <c r="CY245" s="416"/>
      <c r="CZ245" s="416"/>
      <c r="DF245" s="416"/>
      <c r="DG245" s="416"/>
      <c r="DH245" s="416"/>
      <c r="DI245" s="416"/>
      <c r="DJ245" s="416"/>
      <c r="DK245" s="416"/>
    </row>
    <row r="246" spans="18:115" s="9" customFormat="1">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CR246" s="416"/>
      <c r="CS246" s="416"/>
      <c r="CT246" s="416"/>
      <c r="CU246" s="416"/>
      <c r="CV246" s="416"/>
      <c r="CW246" s="416"/>
      <c r="CX246" s="416"/>
      <c r="CY246" s="416"/>
      <c r="CZ246" s="416"/>
      <c r="DF246" s="416"/>
      <c r="DG246" s="416"/>
      <c r="DH246" s="416"/>
      <c r="DI246" s="416"/>
      <c r="DJ246" s="416"/>
      <c r="DK246" s="416"/>
    </row>
    <row r="247" spans="18:115" s="9" customFormat="1">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CR247" s="416"/>
      <c r="CS247" s="416"/>
      <c r="CT247" s="416"/>
      <c r="CU247" s="416"/>
      <c r="CV247" s="416"/>
      <c r="CW247" s="416"/>
      <c r="CX247" s="416"/>
      <c r="CY247" s="416"/>
      <c r="CZ247" s="416"/>
      <c r="DF247" s="416"/>
      <c r="DG247" s="416"/>
      <c r="DH247" s="416"/>
      <c r="DI247" s="416"/>
      <c r="DJ247" s="416"/>
      <c r="DK247" s="416"/>
    </row>
    <row r="248" spans="18:115" s="9" customFormat="1">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CR248" s="416"/>
      <c r="CS248" s="416"/>
      <c r="CT248" s="416"/>
      <c r="CU248" s="416"/>
      <c r="CV248" s="416"/>
      <c r="CW248" s="416"/>
      <c r="CX248" s="416"/>
      <c r="CY248" s="416"/>
      <c r="CZ248" s="416"/>
      <c r="DF248" s="416"/>
      <c r="DG248" s="416"/>
      <c r="DH248" s="416"/>
      <c r="DI248" s="416"/>
      <c r="DJ248" s="416"/>
      <c r="DK248" s="416"/>
    </row>
    <row r="249" spans="18:115" s="9" customFormat="1">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CR249" s="416"/>
      <c r="CS249" s="416"/>
      <c r="CT249" s="416"/>
      <c r="CU249" s="416"/>
      <c r="CV249" s="416"/>
      <c r="CW249" s="416"/>
      <c r="CX249" s="416"/>
      <c r="CY249" s="416"/>
      <c r="CZ249" s="416"/>
      <c r="DF249" s="416"/>
      <c r="DG249" s="416"/>
      <c r="DH249" s="416"/>
      <c r="DI249" s="416"/>
      <c r="DJ249" s="416"/>
      <c r="DK249" s="416"/>
    </row>
    <row r="250" spans="18:115" s="9" customFormat="1">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CR250" s="416"/>
      <c r="CS250" s="416"/>
      <c r="CT250" s="416"/>
      <c r="CU250" s="416"/>
      <c r="CV250" s="416"/>
      <c r="CW250" s="416"/>
      <c r="CX250" s="416"/>
      <c r="CY250" s="416"/>
      <c r="CZ250" s="416"/>
      <c r="DF250" s="416"/>
      <c r="DG250" s="416"/>
      <c r="DH250" s="416"/>
      <c r="DI250" s="416"/>
      <c r="DJ250" s="416"/>
      <c r="DK250" s="416"/>
    </row>
    <row r="251" spans="18:115" s="9" customFormat="1">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CR251" s="416"/>
      <c r="CS251" s="416"/>
      <c r="CT251" s="416"/>
      <c r="CU251" s="416"/>
      <c r="CV251" s="416"/>
      <c r="CW251" s="416"/>
      <c r="CX251" s="416"/>
      <c r="CY251" s="416"/>
      <c r="CZ251" s="416"/>
      <c r="DF251" s="416"/>
      <c r="DG251" s="416"/>
      <c r="DH251" s="416"/>
      <c r="DI251" s="416"/>
      <c r="DJ251" s="416"/>
      <c r="DK251" s="416"/>
    </row>
    <row r="252" spans="18:115" s="9" customFormat="1">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CR252" s="416"/>
      <c r="CS252" s="416"/>
      <c r="CT252" s="416"/>
      <c r="CU252" s="416"/>
      <c r="CV252" s="416"/>
      <c r="CW252" s="416"/>
      <c r="CX252" s="416"/>
      <c r="CY252" s="416"/>
      <c r="CZ252" s="416"/>
      <c r="DF252" s="416"/>
      <c r="DG252" s="416"/>
      <c r="DH252" s="416"/>
      <c r="DI252" s="416"/>
      <c r="DJ252" s="416"/>
      <c r="DK252" s="416"/>
    </row>
    <row r="253" spans="18:115" s="9" customFormat="1">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CR253" s="416"/>
      <c r="CS253" s="416"/>
      <c r="CT253" s="416"/>
      <c r="CU253" s="416"/>
      <c r="CV253" s="416"/>
      <c r="CW253" s="416"/>
      <c r="CX253" s="416"/>
      <c r="CY253" s="416"/>
      <c r="CZ253" s="416"/>
      <c r="DF253" s="416"/>
      <c r="DG253" s="416"/>
      <c r="DH253" s="416"/>
      <c r="DI253" s="416"/>
      <c r="DJ253" s="416"/>
      <c r="DK253" s="416"/>
    </row>
    <row r="254" spans="18:115" s="9" customFormat="1">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CR254" s="416"/>
      <c r="CS254" s="416"/>
      <c r="CT254" s="416"/>
      <c r="CU254" s="416"/>
      <c r="CV254" s="416"/>
      <c r="CW254" s="416"/>
      <c r="CX254" s="416"/>
      <c r="CY254" s="416"/>
      <c r="CZ254" s="416"/>
      <c r="DF254" s="416"/>
      <c r="DG254" s="416"/>
      <c r="DH254" s="416"/>
      <c r="DI254" s="416"/>
      <c r="DJ254" s="416"/>
      <c r="DK254" s="416"/>
    </row>
    <row r="255" spans="18:115" s="9" customFormat="1">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CR255" s="416"/>
      <c r="CS255" s="416"/>
      <c r="CT255" s="416"/>
      <c r="CU255" s="416"/>
      <c r="CV255" s="416"/>
      <c r="CW255" s="416"/>
      <c r="CX255" s="416"/>
      <c r="CY255" s="416"/>
      <c r="CZ255" s="416"/>
      <c r="DF255" s="416"/>
      <c r="DG255" s="416"/>
      <c r="DH255" s="416"/>
      <c r="DI255" s="416"/>
      <c r="DJ255" s="416"/>
      <c r="DK255" s="416"/>
    </row>
    <row r="256" spans="18:115" s="9" customFormat="1">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CR256" s="416"/>
      <c r="CS256" s="416"/>
      <c r="CT256" s="416"/>
      <c r="CU256" s="416"/>
      <c r="CV256" s="416"/>
      <c r="CW256" s="416"/>
      <c r="CX256" s="416"/>
      <c r="CY256" s="416"/>
      <c r="CZ256" s="416"/>
      <c r="DF256" s="416"/>
      <c r="DG256" s="416"/>
      <c r="DH256" s="416"/>
      <c r="DI256" s="416"/>
      <c r="DJ256" s="416"/>
      <c r="DK256" s="416"/>
    </row>
    <row r="257" spans="18:115" s="9" customFormat="1">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CR257" s="416"/>
      <c r="CS257" s="416"/>
      <c r="CT257" s="416"/>
      <c r="CU257" s="416"/>
      <c r="CV257" s="416"/>
      <c r="CW257" s="416"/>
      <c r="CX257" s="416"/>
      <c r="CY257" s="416"/>
      <c r="CZ257" s="416"/>
      <c r="DF257" s="416"/>
      <c r="DG257" s="416"/>
      <c r="DH257" s="416"/>
      <c r="DI257" s="416"/>
      <c r="DJ257" s="416"/>
      <c r="DK257" s="416"/>
    </row>
    <row r="258" spans="18:115" s="9" customFormat="1">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CR258" s="416"/>
      <c r="CS258" s="416"/>
      <c r="CT258" s="416"/>
      <c r="CU258" s="416"/>
      <c r="CV258" s="416"/>
      <c r="CW258" s="416"/>
      <c r="CX258" s="416"/>
      <c r="CY258" s="416"/>
      <c r="CZ258" s="416"/>
      <c r="DF258" s="416"/>
      <c r="DG258" s="416"/>
      <c r="DH258" s="416"/>
      <c r="DI258" s="416"/>
      <c r="DJ258" s="416"/>
      <c r="DK258" s="416"/>
    </row>
    <row r="259" spans="18:115" s="9" customFormat="1">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CR259" s="416"/>
      <c r="CS259" s="416"/>
      <c r="CT259" s="416"/>
      <c r="CU259" s="416"/>
      <c r="CV259" s="416"/>
      <c r="CW259" s="416"/>
      <c r="CX259" s="416"/>
      <c r="CY259" s="416"/>
      <c r="CZ259" s="416"/>
      <c r="DF259" s="416"/>
      <c r="DG259" s="416"/>
      <c r="DH259" s="416"/>
      <c r="DI259" s="416"/>
      <c r="DJ259" s="416"/>
      <c r="DK259" s="416"/>
    </row>
    <row r="260" spans="18:115" s="9" customFormat="1">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CR260" s="416"/>
      <c r="CS260" s="416"/>
      <c r="CT260" s="416"/>
      <c r="CU260" s="416"/>
      <c r="CV260" s="416"/>
      <c r="CW260" s="416"/>
      <c r="CX260" s="416"/>
      <c r="CY260" s="416"/>
      <c r="CZ260" s="416"/>
      <c r="DF260" s="416"/>
      <c r="DG260" s="416"/>
      <c r="DH260" s="416"/>
      <c r="DI260" s="416"/>
      <c r="DJ260" s="416"/>
      <c r="DK260" s="416"/>
    </row>
    <row r="261" spans="18:115" s="9" customFormat="1">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CR261" s="416"/>
      <c r="CS261" s="416"/>
      <c r="CT261" s="416"/>
      <c r="CU261" s="416"/>
      <c r="CV261" s="416"/>
      <c r="CW261" s="416"/>
      <c r="CX261" s="416"/>
      <c r="CY261" s="416"/>
      <c r="CZ261" s="416"/>
      <c r="DF261" s="416"/>
      <c r="DG261" s="416"/>
      <c r="DH261" s="416"/>
      <c r="DI261" s="416"/>
      <c r="DJ261" s="416"/>
      <c r="DK261" s="416"/>
    </row>
    <row r="262" spans="18:115" s="9" customFormat="1">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CR262" s="416"/>
      <c r="CS262" s="416"/>
      <c r="CT262" s="416"/>
      <c r="CU262" s="416"/>
      <c r="CV262" s="416"/>
      <c r="CW262" s="416"/>
      <c r="CX262" s="416"/>
      <c r="CY262" s="416"/>
      <c r="CZ262" s="416"/>
      <c r="DF262" s="416"/>
      <c r="DG262" s="416"/>
      <c r="DH262" s="416"/>
      <c r="DI262" s="416"/>
      <c r="DJ262" s="416"/>
      <c r="DK262" s="416"/>
    </row>
    <row r="263" spans="18:115" s="9" customFormat="1">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CR263" s="416"/>
      <c r="CS263" s="416"/>
      <c r="CT263" s="416"/>
      <c r="CU263" s="416"/>
      <c r="CV263" s="416"/>
      <c r="CW263" s="416"/>
      <c r="CX263" s="416"/>
      <c r="CY263" s="416"/>
      <c r="CZ263" s="416"/>
      <c r="DF263" s="416"/>
      <c r="DG263" s="416"/>
      <c r="DH263" s="416"/>
      <c r="DI263" s="416"/>
      <c r="DJ263" s="416"/>
      <c r="DK263" s="416"/>
    </row>
    <row r="264" spans="18:115" s="9" customFormat="1">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CR264" s="416"/>
      <c r="CS264" s="416"/>
      <c r="CT264" s="416"/>
      <c r="CU264" s="416"/>
      <c r="CV264" s="416"/>
      <c r="CW264" s="416"/>
      <c r="CX264" s="416"/>
      <c r="CY264" s="416"/>
      <c r="CZ264" s="416"/>
      <c r="DF264" s="416"/>
      <c r="DG264" s="416"/>
      <c r="DH264" s="416"/>
      <c r="DI264" s="416"/>
      <c r="DJ264" s="416"/>
      <c r="DK264" s="416"/>
    </row>
    <row r="265" spans="18:115" s="9" customFormat="1">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CR265" s="416"/>
      <c r="CS265" s="416"/>
      <c r="CT265" s="416"/>
      <c r="CU265" s="416"/>
      <c r="CV265" s="416"/>
      <c r="CW265" s="416"/>
      <c r="CX265" s="416"/>
      <c r="CY265" s="416"/>
      <c r="CZ265" s="416"/>
      <c r="DF265" s="416"/>
      <c r="DG265" s="416"/>
      <c r="DH265" s="416"/>
      <c r="DI265" s="416"/>
      <c r="DJ265" s="416"/>
      <c r="DK265" s="416"/>
    </row>
    <row r="266" spans="18:115" s="9" customFormat="1">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CR266" s="416"/>
      <c r="CS266" s="416"/>
      <c r="CT266" s="416"/>
      <c r="CU266" s="416"/>
      <c r="CV266" s="416"/>
      <c r="CW266" s="416"/>
      <c r="CX266" s="416"/>
      <c r="CY266" s="416"/>
      <c r="CZ266" s="416"/>
      <c r="DF266" s="416"/>
      <c r="DG266" s="416"/>
      <c r="DH266" s="416"/>
      <c r="DI266" s="416"/>
      <c r="DJ266" s="416"/>
      <c r="DK266" s="416"/>
    </row>
    <row r="267" spans="18:115" s="9" customFormat="1">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CR267" s="416"/>
      <c r="CS267" s="416"/>
      <c r="CT267" s="416"/>
      <c r="CU267" s="416"/>
      <c r="CV267" s="416"/>
      <c r="CW267" s="416"/>
      <c r="CX267" s="416"/>
      <c r="CY267" s="416"/>
      <c r="CZ267" s="416"/>
      <c r="DF267" s="416"/>
      <c r="DG267" s="416"/>
      <c r="DH267" s="416"/>
      <c r="DI267" s="416"/>
      <c r="DJ267" s="416"/>
      <c r="DK267" s="416"/>
    </row>
    <row r="268" spans="18:115" s="9" customFormat="1">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CR268" s="416"/>
      <c r="CS268" s="416"/>
      <c r="CT268" s="416"/>
      <c r="CU268" s="416"/>
      <c r="CV268" s="416"/>
      <c r="CW268" s="416"/>
      <c r="CX268" s="416"/>
      <c r="CY268" s="416"/>
      <c r="CZ268" s="416"/>
      <c r="DF268" s="416"/>
      <c r="DG268" s="416"/>
      <c r="DH268" s="416"/>
      <c r="DI268" s="416"/>
      <c r="DJ268" s="416"/>
      <c r="DK268" s="416"/>
    </row>
    <row r="269" spans="18:115" s="9" customFormat="1">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CR269" s="416"/>
      <c r="CS269" s="416"/>
      <c r="CT269" s="416"/>
      <c r="CU269" s="416"/>
      <c r="CV269" s="416"/>
      <c r="CW269" s="416"/>
      <c r="CX269" s="416"/>
      <c r="CY269" s="416"/>
      <c r="CZ269" s="416"/>
      <c r="DF269" s="416"/>
      <c r="DG269" s="416"/>
      <c r="DH269" s="416"/>
      <c r="DI269" s="416"/>
      <c r="DJ269" s="416"/>
      <c r="DK269" s="416"/>
    </row>
    <row r="270" spans="18:115" s="9" customFormat="1">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CR270" s="416"/>
      <c r="CS270" s="416"/>
      <c r="CT270" s="416"/>
      <c r="CU270" s="416"/>
      <c r="CV270" s="416"/>
      <c r="CW270" s="416"/>
      <c r="CX270" s="416"/>
      <c r="CY270" s="416"/>
      <c r="CZ270" s="416"/>
      <c r="DF270" s="416"/>
      <c r="DG270" s="416"/>
      <c r="DH270" s="416"/>
      <c r="DI270" s="416"/>
      <c r="DJ270" s="416"/>
      <c r="DK270" s="416"/>
    </row>
    <row r="271" spans="18:115" s="9" customFormat="1">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CR271" s="416"/>
      <c r="CS271" s="416"/>
      <c r="CT271" s="416"/>
      <c r="CU271" s="416"/>
      <c r="CV271" s="416"/>
      <c r="CW271" s="416"/>
      <c r="CX271" s="416"/>
      <c r="CY271" s="416"/>
      <c r="CZ271" s="416"/>
      <c r="DF271" s="416"/>
      <c r="DG271" s="416"/>
      <c r="DH271" s="416"/>
      <c r="DI271" s="416"/>
      <c r="DJ271" s="416"/>
      <c r="DK271" s="416"/>
    </row>
    <row r="272" spans="18:115" s="9" customFormat="1">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CR272" s="416"/>
      <c r="CS272" s="416"/>
      <c r="CT272" s="416"/>
      <c r="CU272" s="416"/>
      <c r="CV272" s="416"/>
      <c r="CW272" s="416"/>
      <c r="CX272" s="416"/>
      <c r="CY272" s="416"/>
      <c r="CZ272" s="416"/>
      <c r="DF272" s="416"/>
      <c r="DG272" s="416"/>
      <c r="DH272" s="416"/>
      <c r="DI272" s="416"/>
      <c r="DJ272" s="416"/>
      <c r="DK272" s="416"/>
    </row>
    <row r="273" spans="18:115" s="9" customFormat="1">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CR273" s="416"/>
      <c r="CS273" s="416"/>
      <c r="CT273" s="416"/>
      <c r="CU273" s="416"/>
      <c r="CV273" s="416"/>
      <c r="CW273" s="416"/>
      <c r="CX273" s="416"/>
      <c r="CY273" s="416"/>
      <c r="CZ273" s="416"/>
      <c r="DF273" s="416"/>
      <c r="DG273" s="416"/>
      <c r="DH273" s="416"/>
      <c r="DI273" s="416"/>
      <c r="DJ273" s="416"/>
      <c r="DK273" s="416"/>
    </row>
    <row r="274" spans="18:115" s="9" customFormat="1">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CR274" s="416"/>
      <c r="CS274" s="416"/>
      <c r="CT274" s="416"/>
      <c r="CU274" s="416"/>
      <c r="CV274" s="416"/>
      <c r="CW274" s="416"/>
      <c r="CX274" s="416"/>
      <c r="CY274" s="416"/>
      <c r="CZ274" s="416"/>
      <c r="DF274" s="416"/>
      <c r="DG274" s="416"/>
      <c r="DH274" s="416"/>
      <c r="DI274" s="416"/>
      <c r="DJ274" s="416"/>
      <c r="DK274" s="416"/>
    </row>
    <row r="275" spans="18:115" s="9" customFormat="1">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CR275" s="416"/>
      <c r="CS275" s="416"/>
      <c r="CT275" s="416"/>
      <c r="CU275" s="416"/>
      <c r="CV275" s="416"/>
      <c r="CW275" s="416"/>
      <c r="CX275" s="416"/>
      <c r="CY275" s="416"/>
      <c r="CZ275" s="416"/>
      <c r="DF275" s="416"/>
      <c r="DG275" s="416"/>
      <c r="DH275" s="416"/>
      <c r="DI275" s="416"/>
      <c r="DJ275" s="416"/>
      <c r="DK275" s="416"/>
    </row>
    <row r="276" spans="18:115" s="9" customFormat="1">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CR276" s="416"/>
      <c r="CS276" s="416"/>
      <c r="CT276" s="416"/>
      <c r="CU276" s="416"/>
      <c r="CV276" s="416"/>
      <c r="CW276" s="416"/>
      <c r="CX276" s="416"/>
      <c r="CY276" s="416"/>
      <c r="CZ276" s="416"/>
      <c r="DF276" s="416"/>
      <c r="DG276" s="416"/>
      <c r="DH276" s="416"/>
      <c r="DI276" s="416"/>
      <c r="DJ276" s="416"/>
      <c r="DK276" s="416"/>
    </row>
    <row r="277" spans="18:115" s="9" customFormat="1">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CR277" s="416"/>
      <c r="CS277" s="416"/>
      <c r="CT277" s="416"/>
      <c r="CU277" s="416"/>
      <c r="CV277" s="416"/>
      <c r="CW277" s="416"/>
      <c r="CX277" s="416"/>
      <c r="CY277" s="416"/>
      <c r="CZ277" s="416"/>
      <c r="DF277" s="416"/>
      <c r="DG277" s="416"/>
      <c r="DH277" s="416"/>
      <c r="DI277" s="416"/>
      <c r="DJ277" s="416"/>
      <c r="DK277" s="416"/>
    </row>
    <row r="278" spans="18:115" s="9" customFormat="1">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CR278" s="416"/>
      <c r="CS278" s="416"/>
      <c r="CT278" s="416"/>
      <c r="CU278" s="416"/>
      <c r="CV278" s="416"/>
      <c r="CW278" s="416"/>
      <c r="CX278" s="416"/>
      <c r="CY278" s="416"/>
      <c r="CZ278" s="416"/>
      <c r="DF278" s="416"/>
      <c r="DG278" s="416"/>
      <c r="DH278" s="416"/>
      <c r="DI278" s="416"/>
      <c r="DJ278" s="416"/>
      <c r="DK278" s="416"/>
    </row>
    <row r="279" spans="18:115" s="9" customFormat="1">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CR279" s="416"/>
      <c r="CS279" s="416"/>
      <c r="CT279" s="416"/>
      <c r="CU279" s="416"/>
      <c r="CV279" s="416"/>
      <c r="CW279" s="416"/>
      <c r="CX279" s="416"/>
      <c r="CY279" s="416"/>
      <c r="CZ279" s="416"/>
      <c r="DF279" s="416"/>
      <c r="DG279" s="416"/>
      <c r="DH279" s="416"/>
      <c r="DI279" s="416"/>
      <c r="DJ279" s="416"/>
      <c r="DK279" s="416"/>
    </row>
    <row r="280" spans="18:115" s="9" customFormat="1">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CR280" s="416"/>
      <c r="CS280" s="416"/>
      <c r="CT280" s="416"/>
      <c r="CU280" s="416"/>
      <c r="CV280" s="416"/>
      <c r="CW280" s="416"/>
      <c r="CX280" s="416"/>
      <c r="CY280" s="416"/>
      <c r="CZ280" s="416"/>
      <c r="DF280" s="416"/>
      <c r="DG280" s="416"/>
      <c r="DH280" s="416"/>
      <c r="DI280" s="416"/>
      <c r="DJ280" s="416"/>
      <c r="DK280" s="416"/>
    </row>
    <row r="281" spans="18:115" s="9" customFormat="1">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CR281" s="416"/>
      <c r="CS281" s="416"/>
      <c r="CT281" s="416"/>
      <c r="CU281" s="416"/>
      <c r="CV281" s="416"/>
      <c r="CW281" s="416"/>
      <c r="CX281" s="416"/>
      <c r="CY281" s="416"/>
      <c r="CZ281" s="416"/>
      <c r="DF281" s="416"/>
      <c r="DG281" s="416"/>
      <c r="DH281" s="416"/>
      <c r="DI281" s="416"/>
      <c r="DJ281" s="416"/>
      <c r="DK281" s="416"/>
    </row>
    <row r="282" spans="18:115" s="9" customFormat="1">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CR282" s="416"/>
      <c r="CS282" s="416"/>
      <c r="CT282" s="416"/>
      <c r="CU282" s="416"/>
      <c r="CV282" s="416"/>
      <c r="CW282" s="416"/>
      <c r="CX282" s="416"/>
      <c r="CY282" s="416"/>
      <c r="CZ282" s="416"/>
      <c r="DF282" s="416"/>
      <c r="DG282" s="416"/>
      <c r="DH282" s="416"/>
      <c r="DI282" s="416"/>
      <c r="DJ282" s="416"/>
      <c r="DK282" s="416"/>
    </row>
    <row r="283" spans="18:115" s="9" customFormat="1">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CR283" s="416"/>
      <c r="CS283" s="416"/>
      <c r="CT283" s="416"/>
      <c r="CU283" s="416"/>
      <c r="CV283" s="416"/>
      <c r="CW283" s="416"/>
      <c r="CX283" s="416"/>
      <c r="CY283" s="416"/>
      <c r="CZ283" s="416"/>
      <c r="DF283" s="416"/>
      <c r="DG283" s="416"/>
      <c r="DH283" s="416"/>
      <c r="DI283" s="416"/>
      <c r="DJ283" s="416"/>
      <c r="DK283" s="416"/>
    </row>
    <row r="284" spans="18:115" s="9" customFormat="1">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CR284" s="416"/>
      <c r="CS284" s="416"/>
      <c r="CT284" s="416"/>
      <c r="CU284" s="416"/>
      <c r="CV284" s="416"/>
      <c r="CW284" s="416"/>
      <c r="CX284" s="416"/>
      <c r="CY284" s="416"/>
      <c r="CZ284" s="416"/>
      <c r="DF284" s="416"/>
      <c r="DG284" s="416"/>
      <c r="DH284" s="416"/>
      <c r="DI284" s="416"/>
      <c r="DJ284" s="416"/>
      <c r="DK284" s="416"/>
    </row>
    <row r="285" spans="18:115" s="9" customFormat="1">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CR285" s="416"/>
      <c r="CS285" s="416"/>
      <c r="CT285" s="416"/>
      <c r="CU285" s="416"/>
      <c r="CV285" s="416"/>
      <c r="CW285" s="416"/>
      <c r="CX285" s="416"/>
      <c r="CY285" s="416"/>
      <c r="CZ285" s="416"/>
      <c r="DF285" s="416"/>
      <c r="DG285" s="416"/>
      <c r="DH285" s="416"/>
      <c r="DI285" s="416"/>
      <c r="DJ285" s="416"/>
      <c r="DK285" s="416"/>
    </row>
    <row r="286" spans="18:115" s="9" customFormat="1">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CR286" s="416"/>
      <c r="CS286" s="416"/>
      <c r="CT286" s="416"/>
      <c r="CU286" s="416"/>
      <c r="CV286" s="416"/>
      <c r="CW286" s="416"/>
      <c r="CX286" s="416"/>
      <c r="CY286" s="416"/>
      <c r="CZ286" s="416"/>
      <c r="DF286" s="416"/>
      <c r="DG286" s="416"/>
      <c r="DH286" s="416"/>
      <c r="DI286" s="416"/>
      <c r="DJ286" s="416"/>
      <c r="DK286" s="416"/>
    </row>
    <row r="287" spans="18:115" s="9" customFormat="1">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CR287" s="416"/>
      <c r="CS287" s="416"/>
      <c r="CT287" s="416"/>
      <c r="CU287" s="416"/>
      <c r="CV287" s="416"/>
      <c r="CW287" s="416"/>
      <c r="CX287" s="416"/>
      <c r="CY287" s="416"/>
      <c r="CZ287" s="416"/>
      <c r="DF287" s="416"/>
      <c r="DG287" s="416"/>
      <c r="DH287" s="416"/>
      <c r="DI287" s="416"/>
      <c r="DJ287" s="416"/>
      <c r="DK287" s="416"/>
    </row>
    <row r="288" spans="18:115" s="9" customFormat="1">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CR288" s="416"/>
      <c r="CS288" s="416"/>
      <c r="CT288" s="416"/>
      <c r="CU288" s="416"/>
      <c r="CV288" s="416"/>
      <c r="CW288" s="416"/>
      <c r="CX288" s="416"/>
      <c r="CY288" s="416"/>
      <c r="CZ288" s="416"/>
      <c r="DF288" s="416"/>
      <c r="DG288" s="416"/>
      <c r="DH288" s="416"/>
      <c r="DI288" s="416"/>
      <c r="DJ288" s="416"/>
      <c r="DK288" s="416"/>
    </row>
    <row r="289" spans="18:115" s="9" customFormat="1">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CR289" s="416"/>
      <c r="CS289" s="416"/>
      <c r="CT289" s="416"/>
      <c r="CU289" s="416"/>
      <c r="CV289" s="416"/>
      <c r="CW289" s="416"/>
      <c r="CX289" s="416"/>
      <c r="CY289" s="416"/>
      <c r="CZ289" s="416"/>
      <c r="DF289" s="416"/>
      <c r="DG289" s="416"/>
      <c r="DH289" s="416"/>
      <c r="DI289" s="416"/>
      <c r="DJ289" s="416"/>
      <c r="DK289" s="416"/>
    </row>
    <row r="290" spans="18:115" s="9" customFormat="1">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CR290" s="416"/>
      <c r="CS290" s="416"/>
      <c r="CT290" s="416"/>
      <c r="CU290" s="416"/>
      <c r="CV290" s="416"/>
      <c r="CW290" s="416"/>
      <c r="CX290" s="416"/>
      <c r="CY290" s="416"/>
      <c r="CZ290" s="416"/>
      <c r="DF290" s="416"/>
      <c r="DG290" s="416"/>
      <c r="DH290" s="416"/>
      <c r="DI290" s="416"/>
      <c r="DJ290" s="416"/>
      <c r="DK290" s="416"/>
    </row>
    <row r="291" spans="18:115" s="9" customFormat="1">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CR291" s="416"/>
      <c r="CS291" s="416"/>
      <c r="CT291" s="416"/>
      <c r="CU291" s="416"/>
      <c r="CV291" s="416"/>
      <c r="CW291" s="416"/>
      <c r="CX291" s="416"/>
      <c r="CY291" s="416"/>
      <c r="CZ291" s="416"/>
      <c r="DF291" s="416"/>
      <c r="DG291" s="416"/>
      <c r="DH291" s="416"/>
      <c r="DI291" s="416"/>
      <c r="DJ291" s="416"/>
      <c r="DK291" s="416"/>
    </row>
    <row r="292" spans="18:115" s="9" customFormat="1">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CR292" s="416"/>
      <c r="CS292" s="416"/>
      <c r="CT292" s="416"/>
      <c r="CU292" s="416"/>
      <c r="CV292" s="416"/>
      <c r="CW292" s="416"/>
      <c r="CX292" s="416"/>
      <c r="CY292" s="416"/>
      <c r="CZ292" s="416"/>
      <c r="DF292" s="416"/>
      <c r="DG292" s="416"/>
      <c r="DH292" s="416"/>
      <c r="DI292" s="416"/>
      <c r="DJ292" s="416"/>
      <c r="DK292" s="416"/>
    </row>
    <row r="293" spans="18:115" s="9" customFormat="1">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CR293" s="416"/>
      <c r="CS293" s="416"/>
      <c r="CT293" s="416"/>
      <c r="CU293" s="416"/>
      <c r="CV293" s="416"/>
      <c r="CW293" s="416"/>
      <c r="CX293" s="416"/>
      <c r="CY293" s="416"/>
      <c r="CZ293" s="416"/>
      <c r="DF293" s="416"/>
      <c r="DG293" s="416"/>
      <c r="DH293" s="416"/>
      <c r="DI293" s="416"/>
      <c r="DJ293" s="416"/>
      <c r="DK293" s="416"/>
    </row>
    <row r="294" spans="18:115" s="9" customFormat="1">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CR294" s="416"/>
      <c r="CS294" s="416"/>
      <c r="CT294" s="416"/>
      <c r="CU294" s="416"/>
      <c r="CV294" s="416"/>
      <c r="CW294" s="416"/>
      <c r="CX294" s="416"/>
      <c r="CY294" s="416"/>
      <c r="CZ294" s="416"/>
      <c r="DF294" s="416"/>
      <c r="DG294" s="416"/>
      <c r="DH294" s="416"/>
      <c r="DI294" s="416"/>
      <c r="DJ294" s="416"/>
      <c r="DK294" s="416"/>
    </row>
    <row r="295" spans="18:115" s="9" customFormat="1">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CR295" s="416"/>
      <c r="CS295" s="416"/>
      <c r="CT295" s="416"/>
      <c r="CU295" s="416"/>
      <c r="CV295" s="416"/>
      <c r="CW295" s="416"/>
      <c r="CX295" s="416"/>
      <c r="CY295" s="416"/>
      <c r="CZ295" s="416"/>
      <c r="DF295" s="416"/>
      <c r="DG295" s="416"/>
      <c r="DH295" s="416"/>
      <c r="DI295" s="416"/>
      <c r="DJ295" s="416"/>
      <c r="DK295" s="416"/>
    </row>
    <row r="296" spans="18:115" s="9" customFormat="1">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CR296" s="416"/>
      <c r="CS296" s="416"/>
      <c r="CT296" s="416"/>
      <c r="CU296" s="416"/>
      <c r="CV296" s="416"/>
      <c r="CW296" s="416"/>
      <c r="CX296" s="416"/>
      <c r="CY296" s="416"/>
      <c r="CZ296" s="416"/>
      <c r="DF296" s="416"/>
      <c r="DG296" s="416"/>
      <c r="DH296" s="416"/>
      <c r="DI296" s="416"/>
      <c r="DJ296" s="416"/>
      <c r="DK296" s="416"/>
    </row>
    <row r="297" spans="18:115" s="9" customFormat="1">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CR297" s="416"/>
      <c r="CS297" s="416"/>
      <c r="CT297" s="416"/>
      <c r="CU297" s="416"/>
      <c r="CV297" s="416"/>
      <c r="CW297" s="416"/>
      <c r="CX297" s="416"/>
      <c r="CY297" s="416"/>
      <c r="CZ297" s="416"/>
      <c r="DF297" s="416"/>
      <c r="DG297" s="416"/>
      <c r="DH297" s="416"/>
      <c r="DI297" s="416"/>
      <c r="DJ297" s="416"/>
      <c r="DK297" s="416"/>
    </row>
    <row r="298" spans="18:115" s="9" customFormat="1">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CR298" s="416"/>
      <c r="CS298" s="416"/>
      <c r="CT298" s="416"/>
      <c r="CU298" s="416"/>
      <c r="CV298" s="416"/>
      <c r="CW298" s="416"/>
      <c r="CX298" s="416"/>
      <c r="CY298" s="416"/>
      <c r="CZ298" s="416"/>
      <c r="DF298" s="416"/>
      <c r="DG298" s="416"/>
      <c r="DH298" s="416"/>
      <c r="DI298" s="416"/>
      <c r="DJ298" s="416"/>
      <c r="DK298" s="416"/>
    </row>
    <row r="299" spans="18:115" s="9" customFormat="1">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CR299" s="416"/>
      <c r="CS299" s="416"/>
      <c r="CT299" s="416"/>
      <c r="CU299" s="416"/>
      <c r="CV299" s="416"/>
      <c r="CW299" s="416"/>
      <c r="CX299" s="416"/>
      <c r="CY299" s="416"/>
      <c r="CZ299" s="416"/>
      <c r="DF299" s="416"/>
      <c r="DG299" s="416"/>
      <c r="DH299" s="416"/>
      <c r="DI299" s="416"/>
      <c r="DJ299" s="416"/>
      <c r="DK299" s="416"/>
    </row>
    <row r="300" spans="18:115" s="9" customFormat="1">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CR300" s="416"/>
      <c r="CS300" s="416"/>
      <c r="CT300" s="416"/>
      <c r="CU300" s="416"/>
      <c r="CV300" s="416"/>
      <c r="CW300" s="416"/>
      <c r="CX300" s="416"/>
      <c r="CY300" s="416"/>
      <c r="CZ300" s="416"/>
      <c r="DF300" s="416"/>
      <c r="DG300" s="416"/>
      <c r="DH300" s="416"/>
      <c r="DI300" s="416"/>
      <c r="DJ300" s="416"/>
      <c r="DK300" s="416"/>
    </row>
    <row r="301" spans="18:115" s="9" customFormat="1">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CR301" s="416"/>
      <c r="CS301" s="416"/>
      <c r="CT301" s="416"/>
      <c r="CU301" s="416"/>
      <c r="CV301" s="416"/>
      <c r="CW301" s="416"/>
      <c r="CX301" s="416"/>
      <c r="CY301" s="416"/>
      <c r="CZ301" s="416"/>
      <c r="DF301" s="416"/>
      <c r="DG301" s="416"/>
      <c r="DH301" s="416"/>
      <c r="DI301" s="416"/>
      <c r="DJ301" s="416"/>
      <c r="DK301" s="416"/>
    </row>
    <row r="302" spans="18:115" s="9" customFormat="1">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CR302" s="416"/>
      <c r="CS302" s="416"/>
      <c r="CT302" s="416"/>
      <c r="CU302" s="416"/>
      <c r="CV302" s="416"/>
      <c r="CW302" s="416"/>
      <c r="CX302" s="416"/>
      <c r="CY302" s="416"/>
      <c r="CZ302" s="416"/>
      <c r="DF302" s="416"/>
      <c r="DG302" s="416"/>
      <c r="DH302" s="416"/>
      <c r="DI302" s="416"/>
      <c r="DJ302" s="416"/>
      <c r="DK302" s="416"/>
    </row>
    <row r="303" spans="18:115" s="9" customFormat="1">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CR303" s="416"/>
      <c r="CS303" s="416"/>
      <c r="CT303" s="416"/>
      <c r="CU303" s="416"/>
      <c r="CV303" s="416"/>
      <c r="CW303" s="416"/>
      <c r="CX303" s="416"/>
      <c r="CY303" s="416"/>
      <c r="CZ303" s="416"/>
      <c r="DF303" s="416"/>
      <c r="DG303" s="416"/>
      <c r="DH303" s="416"/>
      <c r="DI303" s="416"/>
      <c r="DJ303" s="416"/>
      <c r="DK303" s="416"/>
    </row>
    <row r="304" spans="18:115" s="9" customFormat="1">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CR304" s="416"/>
      <c r="CS304" s="416"/>
      <c r="CT304" s="416"/>
      <c r="CU304" s="416"/>
      <c r="CV304" s="416"/>
      <c r="CW304" s="416"/>
      <c r="CX304" s="416"/>
      <c r="CY304" s="416"/>
      <c r="CZ304" s="416"/>
      <c r="DF304" s="416"/>
      <c r="DG304" s="416"/>
      <c r="DH304" s="416"/>
      <c r="DI304" s="416"/>
      <c r="DJ304" s="416"/>
      <c r="DK304" s="416"/>
    </row>
    <row r="305" spans="18:115" s="9" customFormat="1">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CR305" s="416"/>
      <c r="CS305" s="416"/>
      <c r="CT305" s="416"/>
      <c r="CU305" s="416"/>
      <c r="CV305" s="416"/>
      <c r="CW305" s="416"/>
      <c r="CX305" s="416"/>
      <c r="CY305" s="416"/>
      <c r="CZ305" s="416"/>
      <c r="DF305" s="416"/>
      <c r="DG305" s="416"/>
      <c r="DH305" s="416"/>
      <c r="DI305" s="416"/>
      <c r="DJ305" s="416"/>
      <c r="DK305" s="416"/>
    </row>
    <row r="306" spans="18:115" s="9" customFormat="1">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CR306" s="416"/>
      <c r="CS306" s="416"/>
      <c r="CT306" s="416"/>
      <c r="CU306" s="416"/>
      <c r="CV306" s="416"/>
      <c r="CW306" s="416"/>
      <c r="CX306" s="416"/>
      <c r="CY306" s="416"/>
      <c r="CZ306" s="416"/>
      <c r="DF306" s="416"/>
      <c r="DG306" s="416"/>
      <c r="DH306" s="416"/>
      <c r="DI306" s="416"/>
      <c r="DJ306" s="416"/>
      <c r="DK306" s="416"/>
    </row>
    <row r="307" spans="18:115" s="9" customFormat="1">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CR307" s="416"/>
      <c r="CS307" s="416"/>
      <c r="CT307" s="416"/>
      <c r="CU307" s="416"/>
      <c r="CV307" s="416"/>
      <c r="CW307" s="416"/>
      <c r="CX307" s="416"/>
      <c r="CY307" s="416"/>
      <c r="CZ307" s="416"/>
      <c r="DF307" s="416"/>
      <c r="DG307" s="416"/>
      <c r="DH307" s="416"/>
      <c r="DI307" s="416"/>
      <c r="DJ307" s="416"/>
      <c r="DK307" s="416"/>
    </row>
    <row r="308" spans="18:115" s="9" customFormat="1">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CR308" s="416"/>
      <c r="CS308" s="416"/>
      <c r="CT308" s="416"/>
      <c r="CU308" s="416"/>
      <c r="CV308" s="416"/>
      <c r="CW308" s="416"/>
      <c r="CX308" s="416"/>
      <c r="CY308" s="416"/>
      <c r="CZ308" s="416"/>
      <c r="DF308" s="416"/>
      <c r="DG308" s="416"/>
      <c r="DH308" s="416"/>
      <c r="DI308" s="416"/>
      <c r="DJ308" s="416"/>
      <c r="DK308" s="416"/>
    </row>
    <row r="309" spans="18:115" s="9" customFormat="1">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CR309" s="416"/>
      <c r="CS309" s="416"/>
      <c r="CT309" s="416"/>
      <c r="CU309" s="416"/>
      <c r="CV309" s="416"/>
      <c r="CW309" s="416"/>
      <c r="CX309" s="416"/>
      <c r="CY309" s="416"/>
      <c r="CZ309" s="416"/>
      <c r="DF309" s="416"/>
      <c r="DG309" s="416"/>
      <c r="DH309" s="416"/>
      <c r="DI309" s="416"/>
      <c r="DJ309" s="416"/>
      <c r="DK309" s="416"/>
    </row>
    <row r="310" spans="18:115" s="9" customFormat="1">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CR310" s="416"/>
      <c r="CS310" s="416"/>
      <c r="CT310" s="416"/>
      <c r="CU310" s="416"/>
      <c r="CV310" s="416"/>
      <c r="CW310" s="416"/>
      <c r="CX310" s="416"/>
      <c r="CY310" s="416"/>
      <c r="CZ310" s="416"/>
      <c r="DF310" s="416"/>
      <c r="DG310" s="416"/>
      <c r="DH310" s="416"/>
      <c r="DI310" s="416"/>
      <c r="DJ310" s="416"/>
      <c r="DK310" s="416"/>
    </row>
    <row r="311" spans="18:115" s="9" customFormat="1">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CR311" s="416"/>
      <c r="CS311" s="416"/>
      <c r="CT311" s="416"/>
      <c r="CU311" s="416"/>
      <c r="CV311" s="416"/>
      <c r="CW311" s="416"/>
      <c r="CX311" s="416"/>
      <c r="CY311" s="416"/>
      <c r="CZ311" s="416"/>
      <c r="DF311" s="416"/>
      <c r="DG311" s="416"/>
      <c r="DH311" s="416"/>
      <c r="DI311" s="416"/>
      <c r="DJ311" s="416"/>
      <c r="DK311" s="416"/>
    </row>
    <row r="312" spans="18:115" s="9" customFormat="1">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CR312" s="416"/>
      <c r="CS312" s="416"/>
      <c r="CT312" s="416"/>
      <c r="CU312" s="416"/>
      <c r="CV312" s="416"/>
      <c r="CW312" s="416"/>
      <c r="CX312" s="416"/>
      <c r="CY312" s="416"/>
      <c r="CZ312" s="416"/>
      <c r="DF312" s="416"/>
      <c r="DG312" s="416"/>
      <c r="DH312" s="416"/>
      <c r="DI312" s="416"/>
      <c r="DJ312" s="416"/>
      <c r="DK312" s="416"/>
    </row>
    <row r="313" spans="18:115" s="9" customFormat="1">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CR313" s="416"/>
      <c r="CS313" s="416"/>
      <c r="CT313" s="416"/>
      <c r="CU313" s="416"/>
      <c r="CV313" s="416"/>
      <c r="CW313" s="416"/>
      <c r="CX313" s="416"/>
      <c r="CY313" s="416"/>
      <c r="CZ313" s="416"/>
      <c r="DF313" s="416"/>
      <c r="DG313" s="416"/>
      <c r="DH313" s="416"/>
      <c r="DI313" s="416"/>
      <c r="DJ313" s="416"/>
      <c r="DK313" s="416"/>
    </row>
    <row r="314" spans="18:115" s="9" customFormat="1">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CR314" s="416"/>
      <c r="CS314" s="416"/>
      <c r="CT314" s="416"/>
      <c r="CU314" s="416"/>
      <c r="CV314" s="416"/>
      <c r="CW314" s="416"/>
      <c r="CX314" s="416"/>
      <c r="CY314" s="416"/>
      <c r="CZ314" s="416"/>
      <c r="DF314" s="416"/>
      <c r="DG314" s="416"/>
      <c r="DH314" s="416"/>
      <c r="DI314" s="416"/>
      <c r="DJ314" s="416"/>
      <c r="DK314" s="416"/>
    </row>
    <row r="315" spans="18:115" s="9" customFormat="1">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CR315" s="416"/>
      <c r="CS315" s="416"/>
      <c r="CT315" s="416"/>
      <c r="CU315" s="416"/>
      <c r="CV315" s="416"/>
      <c r="CW315" s="416"/>
      <c r="CX315" s="416"/>
      <c r="CY315" s="416"/>
      <c r="CZ315" s="416"/>
      <c r="DF315" s="416"/>
      <c r="DG315" s="416"/>
      <c r="DH315" s="416"/>
      <c r="DI315" s="416"/>
      <c r="DJ315" s="416"/>
      <c r="DK315" s="416"/>
    </row>
    <row r="316" spans="18:115" s="9" customFormat="1">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CR316" s="416"/>
      <c r="CS316" s="416"/>
      <c r="CT316" s="416"/>
      <c r="CU316" s="416"/>
      <c r="CV316" s="416"/>
      <c r="CW316" s="416"/>
      <c r="CX316" s="416"/>
      <c r="CY316" s="416"/>
      <c r="CZ316" s="416"/>
      <c r="DF316" s="416"/>
      <c r="DG316" s="416"/>
      <c r="DH316" s="416"/>
      <c r="DI316" s="416"/>
      <c r="DJ316" s="416"/>
      <c r="DK316" s="416"/>
    </row>
    <row r="317" spans="18:115" s="9" customFormat="1">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CR317" s="416"/>
      <c r="CS317" s="416"/>
      <c r="CT317" s="416"/>
      <c r="CU317" s="416"/>
      <c r="CV317" s="416"/>
      <c r="CW317" s="416"/>
      <c r="CX317" s="416"/>
      <c r="CY317" s="416"/>
      <c r="CZ317" s="416"/>
      <c r="DF317" s="416"/>
      <c r="DG317" s="416"/>
      <c r="DH317" s="416"/>
      <c r="DI317" s="416"/>
      <c r="DJ317" s="416"/>
      <c r="DK317" s="416"/>
    </row>
    <row r="318" spans="18:115" s="9" customFormat="1">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CR318" s="416"/>
      <c r="CS318" s="416"/>
      <c r="CT318" s="416"/>
      <c r="CU318" s="416"/>
      <c r="CV318" s="416"/>
      <c r="CW318" s="416"/>
      <c r="CX318" s="416"/>
      <c r="CY318" s="416"/>
      <c r="CZ318" s="416"/>
      <c r="DF318" s="416"/>
      <c r="DG318" s="416"/>
      <c r="DH318" s="416"/>
      <c r="DI318" s="416"/>
      <c r="DJ318" s="416"/>
      <c r="DK318" s="416"/>
    </row>
    <row r="319" spans="18:115" s="9" customFormat="1">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CR319" s="416"/>
      <c r="CS319" s="416"/>
      <c r="CT319" s="416"/>
      <c r="CU319" s="416"/>
      <c r="CV319" s="416"/>
      <c r="CW319" s="416"/>
      <c r="CX319" s="416"/>
      <c r="CY319" s="416"/>
      <c r="CZ319" s="416"/>
      <c r="DF319" s="416"/>
      <c r="DG319" s="416"/>
      <c r="DH319" s="416"/>
      <c r="DI319" s="416"/>
      <c r="DJ319" s="416"/>
      <c r="DK319" s="416"/>
    </row>
    <row r="320" spans="18:115" s="9" customFormat="1">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CR320" s="416"/>
      <c r="CS320" s="416"/>
      <c r="CT320" s="416"/>
      <c r="CU320" s="416"/>
      <c r="CV320" s="416"/>
      <c r="CW320" s="416"/>
      <c r="CX320" s="416"/>
      <c r="CY320" s="416"/>
      <c r="CZ320" s="416"/>
      <c r="DF320" s="416"/>
      <c r="DG320" s="416"/>
      <c r="DH320" s="416"/>
      <c r="DI320" s="416"/>
      <c r="DJ320" s="416"/>
      <c r="DK320" s="416"/>
    </row>
    <row r="321" spans="18:115" s="9" customFormat="1">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CR321" s="416"/>
      <c r="CS321" s="416"/>
      <c r="CT321" s="416"/>
      <c r="CU321" s="416"/>
      <c r="CV321" s="416"/>
      <c r="CW321" s="416"/>
      <c r="CX321" s="416"/>
      <c r="CY321" s="416"/>
      <c r="CZ321" s="416"/>
      <c r="DF321" s="416"/>
      <c r="DG321" s="416"/>
      <c r="DH321" s="416"/>
      <c r="DI321" s="416"/>
      <c r="DJ321" s="416"/>
      <c r="DK321" s="416"/>
    </row>
    <row r="322" spans="18:115" s="9" customFormat="1">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CR322" s="416"/>
      <c r="CS322" s="416"/>
      <c r="CT322" s="416"/>
      <c r="CU322" s="416"/>
      <c r="CV322" s="416"/>
      <c r="CW322" s="416"/>
      <c r="CX322" s="416"/>
      <c r="CY322" s="416"/>
      <c r="CZ322" s="416"/>
      <c r="DF322" s="416"/>
      <c r="DG322" s="416"/>
      <c r="DH322" s="416"/>
      <c r="DI322" s="416"/>
      <c r="DJ322" s="416"/>
      <c r="DK322" s="416"/>
    </row>
    <row r="323" spans="18:115" s="9" customFormat="1">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CR323" s="416"/>
      <c r="CS323" s="416"/>
      <c r="CT323" s="416"/>
      <c r="CU323" s="416"/>
      <c r="CV323" s="416"/>
      <c r="CW323" s="416"/>
      <c r="CX323" s="416"/>
      <c r="CY323" s="416"/>
      <c r="CZ323" s="416"/>
      <c r="DF323" s="416"/>
      <c r="DG323" s="416"/>
      <c r="DH323" s="416"/>
      <c r="DI323" s="416"/>
      <c r="DJ323" s="416"/>
      <c r="DK323" s="416"/>
    </row>
    <row r="324" spans="18:115" s="9" customFormat="1">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CR324" s="416"/>
      <c r="CS324" s="416"/>
      <c r="CT324" s="416"/>
      <c r="CU324" s="416"/>
      <c r="CV324" s="416"/>
      <c r="CW324" s="416"/>
      <c r="CX324" s="416"/>
      <c r="CY324" s="416"/>
      <c r="CZ324" s="416"/>
      <c r="DF324" s="416"/>
      <c r="DG324" s="416"/>
      <c r="DH324" s="416"/>
      <c r="DI324" s="416"/>
      <c r="DJ324" s="416"/>
      <c r="DK324" s="416"/>
    </row>
    <row r="325" spans="18:115" s="9" customFormat="1">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CR325" s="416"/>
      <c r="CS325" s="416"/>
      <c r="CT325" s="416"/>
      <c r="CU325" s="416"/>
      <c r="CV325" s="416"/>
      <c r="CW325" s="416"/>
      <c r="CX325" s="416"/>
      <c r="CY325" s="416"/>
      <c r="CZ325" s="416"/>
      <c r="DF325" s="416"/>
      <c r="DG325" s="416"/>
      <c r="DH325" s="416"/>
      <c r="DI325" s="416"/>
      <c r="DJ325" s="416"/>
      <c r="DK325" s="416"/>
    </row>
    <row r="326" spans="18:115" s="9" customFormat="1">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CR326" s="416"/>
      <c r="CS326" s="416"/>
      <c r="CT326" s="416"/>
      <c r="CU326" s="416"/>
      <c r="CV326" s="416"/>
      <c r="CW326" s="416"/>
      <c r="CX326" s="416"/>
      <c r="CY326" s="416"/>
      <c r="CZ326" s="416"/>
      <c r="DF326" s="416"/>
      <c r="DG326" s="416"/>
      <c r="DH326" s="416"/>
      <c r="DI326" s="416"/>
      <c r="DJ326" s="416"/>
      <c r="DK326" s="416"/>
    </row>
    <row r="327" spans="18:115" s="9" customFormat="1">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CR327" s="416"/>
      <c r="CS327" s="416"/>
      <c r="CT327" s="416"/>
      <c r="CU327" s="416"/>
      <c r="CV327" s="416"/>
      <c r="CW327" s="416"/>
      <c r="CX327" s="416"/>
      <c r="CY327" s="416"/>
      <c r="CZ327" s="416"/>
      <c r="DF327" s="416"/>
      <c r="DG327" s="416"/>
      <c r="DH327" s="416"/>
      <c r="DI327" s="416"/>
      <c r="DJ327" s="416"/>
      <c r="DK327" s="416"/>
    </row>
    <row r="328" spans="18:115" s="9" customFormat="1">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CR328" s="416"/>
      <c r="CS328" s="416"/>
      <c r="CT328" s="416"/>
      <c r="CU328" s="416"/>
      <c r="CV328" s="416"/>
      <c r="CW328" s="416"/>
      <c r="CX328" s="416"/>
      <c r="CY328" s="416"/>
      <c r="CZ328" s="416"/>
      <c r="DF328" s="416"/>
      <c r="DG328" s="416"/>
      <c r="DH328" s="416"/>
      <c r="DI328" s="416"/>
      <c r="DJ328" s="416"/>
      <c r="DK328" s="416"/>
    </row>
    <row r="329" spans="18:115" s="9" customFormat="1">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CR329" s="416"/>
      <c r="CS329" s="416"/>
      <c r="CT329" s="416"/>
      <c r="CU329" s="416"/>
      <c r="CV329" s="416"/>
      <c r="CW329" s="416"/>
      <c r="CX329" s="416"/>
      <c r="CY329" s="416"/>
      <c r="CZ329" s="416"/>
      <c r="DF329" s="416"/>
      <c r="DG329" s="416"/>
      <c r="DH329" s="416"/>
      <c r="DI329" s="416"/>
      <c r="DJ329" s="416"/>
      <c r="DK329" s="416"/>
    </row>
    <row r="330" spans="18:115" s="9" customFormat="1">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CR330" s="416"/>
      <c r="CS330" s="416"/>
      <c r="CT330" s="416"/>
      <c r="CU330" s="416"/>
      <c r="CV330" s="416"/>
      <c r="CW330" s="416"/>
      <c r="CX330" s="416"/>
      <c r="CY330" s="416"/>
      <c r="CZ330" s="416"/>
      <c r="DF330" s="416"/>
      <c r="DG330" s="416"/>
      <c r="DH330" s="416"/>
      <c r="DI330" s="416"/>
      <c r="DJ330" s="416"/>
      <c r="DK330" s="416"/>
    </row>
    <row r="331" spans="18:115" s="9" customFormat="1">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CR331" s="416"/>
      <c r="CS331" s="416"/>
      <c r="CT331" s="416"/>
      <c r="CU331" s="416"/>
      <c r="CV331" s="416"/>
      <c r="CW331" s="416"/>
      <c r="CX331" s="416"/>
      <c r="CY331" s="416"/>
      <c r="CZ331" s="416"/>
      <c r="DF331" s="416"/>
      <c r="DG331" s="416"/>
      <c r="DH331" s="416"/>
      <c r="DI331" s="416"/>
      <c r="DJ331" s="416"/>
      <c r="DK331" s="416"/>
    </row>
    <row r="332" spans="18:115" s="9" customFormat="1">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CR332" s="416"/>
      <c r="CS332" s="416"/>
      <c r="CT332" s="416"/>
      <c r="CU332" s="416"/>
      <c r="CV332" s="416"/>
      <c r="CW332" s="416"/>
      <c r="CX332" s="416"/>
      <c r="CY332" s="416"/>
      <c r="CZ332" s="416"/>
      <c r="DF332" s="416"/>
      <c r="DG332" s="416"/>
      <c r="DH332" s="416"/>
      <c r="DI332" s="416"/>
      <c r="DJ332" s="416"/>
      <c r="DK332" s="416"/>
    </row>
    <row r="333" spans="18:115" s="9" customFormat="1">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CR333" s="416"/>
      <c r="CS333" s="416"/>
      <c r="CT333" s="416"/>
      <c r="CU333" s="416"/>
      <c r="CV333" s="416"/>
      <c r="CW333" s="416"/>
      <c r="CX333" s="416"/>
      <c r="CY333" s="416"/>
      <c r="CZ333" s="416"/>
      <c r="DF333" s="416"/>
      <c r="DG333" s="416"/>
      <c r="DH333" s="416"/>
      <c r="DI333" s="416"/>
      <c r="DJ333" s="416"/>
      <c r="DK333" s="416"/>
    </row>
    <row r="334" spans="18:115" s="9" customFormat="1">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CR334" s="416"/>
      <c r="CS334" s="416"/>
      <c r="CT334" s="416"/>
      <c r="CU334" s="416"/>
      <c r="CV334" s="416"/>
      <c r="CW334" s="416"/>
      <c r="CX334" s="416"/>
      <c r="CY334" s="416"/>
      <c r="CZ334" s="416"/>
      <c r="DF334" s="416"/>
      <c r="DG334" s="416"/>
      <c r="DH334" s="416"/>
      <c r="DI334" s="416"/>
      <c r="DJ334" s="416"/>
      <c r="DK334" s="416"/>
    </row>
    <row r="335" spans="18:115" s="9" customFormat="1">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CR335" s="416"/>
      <c r="CS335" s="416"/>
      <c r="CT335" s="416"/>
      <c r="CU335" s="416"/>
      <c r="CV335" s="416"/>
      <c r="CW335" s="416"/>
      <c r="CX335" s="416"/>
      <c r="CY335" s="416"/>
      <c r="CZ335" s="416"/>
      <c r="DF335" s="416"/>
      <c r="DG335" s="416"/>
      <c r="DH335" s="416"/>
      <c r="DI335" s="416"/>
      <c r="DJ335" s="416"/>
      <c r="DK335" s="416"/>
    </row>
    <row r="336" spans="18:115" s="9" customFormat="1">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CR336" s="416"/>
      <c r="CS336" s="416"/>
      <c r="CT336" s="416"/>
      <c r="CU336" s="416"/>
      <c r="CV336" s="416"/>
      <c r="CW336" s="416"/>
      <c r="CX336" s="416"/>
      <c r="CY336" s="416"/>
      <c r="CZ336" s="416"/>
      <c r="DF336" s="416"/>
      <c r="DG336" s="416"/>
      <c r="DH336" s="416"/>
      <c r="DI336" s="416"/>
      <c r="DJ336" s="416"/>
      <c r="DK336" s="416"/>
    </row>
    <row r="337" spans="18:115" s="9" customFormat="1">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CR337" s="416"/>
      <c r="CS337" s="416"/>
      <c r="CT337" s="416"/>
      <c r="CU337" s="416"/>
      <c r="CV337" s="416"/>
      <c r="CW337" s="416"/>
      <c r="CX337" s="416"/>
      <c r="CY337" s="416"/>
      <c r="CZ337" s="416"/>
      <c r="DF337" s="416"/>
      <c r="DG337" s="416"/>
      <c r="DH337" s="416"/>
      <c r="DI337" s="416"/>
      <c r="DJ337" s="416"/>
      <c r="DK337" s="416"/>
    </row>
    <row r="338" spans="18:115" s="9" customFormat="1">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CR338" s="416"/>
      <c r="CS338" s="416"/>
      <c r="CT338" s="416"/>
      <c r="CU338" s="416"/>
      <c r="CV338" s="416"/>
      <c r="CW338" s="416"/>
      <c r="CX338" s="416"/>
      <c r="CY338" s="416"/>
      <c r="CZ338" s="416"/>
      <c r="DF338" s="416"/>
      <c r="DG338" s="416"/>
      <c r="DH338" s="416"/>
      <c r="DI338" s="416"/>
      <c r="DJ338" s="416"/>
      <c r="DK338" s="416"/>
    </row>
    <row r="339" spans="18:115" s="9" customFormat="1">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CR339" s="416"/>
      <c r="CS339" s="416"/>
      <c r="CT339" s="416"/>
      <c r="CU339" s="416"/>
      <c r="CV339" s="416"/>
      <c r="CW339" s="416"/>
      <c r="CX339" s="416"/>
      <c r="CY339" s="416"/>
      <c r="CZ339" s="416"/>
      <c r="DF339" s="416"/>
      <c r="DG339" s="416"/>
      <c r="DH339" s="416"/>
      <c r="DI339" s="416"/>
      <c r="DJ339" s="416"/>
      <c r="DK339" s="416"/>
    </row>
    <row r="340" spans="18:115" s="9" customFormat="1">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CR340" s="416"/>
      <c r="CS340" s="416"/>
      <c r="CT340" s="416"/>
      <c r="CU340" s="416"/>
      <c r="CV340" s="416"/>
      <c r="CW340" s="416"/>
      <c r="CX340" s="416"/>
      <c r="CY340" s="416"/>
      <c r="CZ340" s="416"/>
      <c r="DF340" s="416"/>
      <c r="DG340" s="416"/>
      <c r="DH340" s="416"/>
      <c r="DI340" s="416"/>
      <c r="DJ340" s="416"/>
      <c r="DK340" s="416"/>
    </row>
    <row r="341" spans="18:115" s="9" customFormat="1">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CR341" s="416"/>
      <c r="CS341" s="416"/>
      <c r="CT341" s="416"/>
      <c r="CU341" s="416"/>
      <c r="CV341" s="416"/>
      <c r="CW341" s="416"/>
      <c r="CX341" s="416"/>
      <c r="CY341" s="416"/>
      <c r="CZ341" s="416"/>
      <c r="DF341" s="416"/>
      <c r="DG341" s="416"/>
      <c r="DH341" s="416"/>
      <c r="DI341" s="416"/>
      <c r="DJ341" s="416"/>
      <c r="DK341" s="416"/>
    </row>
    <row r="342" spans="18:115" s="9" customFormat="1">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CR342" s="416"/>
      <c r="CS342" s="416"/>
      <c r="CT342" s="416"/>
      <c r="CU342" s="416"/>
      <c r="CV342" s="416"/>
      <c r="CW342" s="416"/>
      <c r="CX342" s="416"/>
      <c r="CY342" s="416"/>
      <c r="CZ342" s="416"/>
      <c r="DF342" s="416"/>
      <c r="DG342" s="416"/>
      <c r="DH342" s="416"/>
      <c r="DI342" s="416"/>
      <c r="DJ342" s="416"/>
      <c r="DK342" s="416"/>
    </row>
    <row r="343" spans="18:115" s="9" customFormat="1">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CR343" s="416"/>
      <c r="CS343" s="416"/>
      <c r="CT343" s="416"/>
      <c r="CU343" s="416"/>
      <c r="CV343" s="416"/>
      <c r="CW343" s="416"/>
      <c r="CX343" s="416"/>
      <c r="CY343" s="416"/>
      <c r="CZ343" s="416"/>
      <c r="DF343" s="416"/>
      <c r="DG343" s="416"/>
      <c r="DH343" s="416"/>
      <c r="DI343" s="416"/>
      <c r="DJ343" s="416"/>
      <c r="DK343" s="416"/>
    </row>
    <row r="344" spans="18:115" s="9" customFormat="1">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CR344" s="416"/>
      <c r="CS344" s="416"/>
      <c r="CT344" s="416"/>
      <c r="CU344" s="416"/>
      <c r="CV344" s="416"/>
      <c r="CW344" s="416"/>
      <c r="CX344" s="416"/>
      <c r="CY344" s="416"/>
      <c r="CZ344" s="416"/>
      <c r="DF344" s="416"/>
      <c r="DG344" s="416"/>
      <c r="DH344" s="416"/>
      <c r="DI344" s="416"/>
      <c r="DJ344" s="416"/>
      <c r="DK344" s="416"/>
    </row>
    <row r="345" spans="18:115" s="9" customFormat="1">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CR345" s="416"/>
      <c r="CS345" s="416"/>
      <c r="CT345" s="416"/>
      <c r="CU345" s="416"/>
      <c r="CV345" s="416"/>
      <c r="CW345" s="416"/>
      <c r="CX345" s="416"/>
      <c r="CY345" s="416"/>
      <c r="CZ345" s="416"/>
      <c r="DF345" s="416"/>
      <c r="DG345" s="416"/>
      <c r="DH345" s="416"/>
      <c r="DI345" s="416"/>
      <c r="DJ345" s="416"/>
      <c r="DK345" s="416"/>
    </row>
    <row r="346" spans="18:115" s="9" customFormat="1">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CR346" s="416"/>
      <c r="CS346" s="416"/>
      <c r="CT346" s="416"/>
      <c r="CU346" s="416"/>
      <c r="CV346" s="416"/>
      <c r="CW346" s="416"/>
      <c r="CX346" s="416"/>
      <c r="CY346" s="416"/>
      <c r="CZ346" s="416"/>
      <c r="DF346" s="416"/>
      <c r="DG346" s="416"/>
      <c r="DH346" s="416"/>
      <c r="DI346" s="416"/>
      <c r="DJ346" s="416"/>
      <c r="DK346" s="416"/>
    </row>
    <row r="347" spans="18:115" s="9" customFormat="1">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CR347" s="416"/>
      <c r="CS347" s="416"/>
      <c r="CT347" s="416"/>
      <c r="CU347" s="416"/>
      <c r="CV347" s="416"/>
      <c r="CW347" s="416"/>
      <c r="CX347" s="416"/>
      <c r="CY347" s="416"/>
      <c r="CZ347" s="416"/>
      <c r="DF347" s="416"/>
      <c r="DG347" s="416"/>
      <c r="DH347" s="416"/>
      <c r="DI347" s="416"/>
      <c r="DJ347" s="416"/>
      <c r="DK347" s="416"/>
    </row>
    <row r="348" spans="18:115" s="9" customFormat="1">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CR348" s="416"/>
      <c r="CS348" s="416"/>
      <c r="CT348" s="416"/>
      <c r="CU348" s="416"/>
      <c r="CV348" s="416"/>
      <c r="CW348" s="416"/>
      <c r="CX348" s="416"/>
      <c r="CY348" s="416"/>
      <c r="CZ348" s="416"/>
      <c r="DF348" s="416"/>
      <c r="DG348" s="416"/>
      <c r="DH348" s="416"/>
      <c r="DI348" s="416"/>
      <c r="DJ348" s="416"/>
      <c r="DK348" s="416"/>
    </row>
    <row r="349" spans="18:115" s="9" customFormat="1">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CR349" s="416"/>
      <c r="CS349" s="416"/>
      <c r="CT349" s="416"/>
      <c r="CU349" s="416"/>
      <c r="CV349" s="416"/>
      <c r="CW349" s="416"/>
      <c r="CX349" s="416"/>
      <c r="CY349" s="416"/>
      <c r="CZ349" s="416"/>
      <c r="DF349" s="416"/>
      <c r="DG349" s="416"/>
      <c r="DH349" s="416"/>
      <c r="DI349" s="416"/>
      <c r="DJ349" s="416"/>
      <c r="DK349" s="416"/>
    </row>
    <row r="350" spans="18:115" s="9" customFormat="1">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CR350" s="416"/>
      <c r="CS350" s="416"/>
      <c r="CT350" s="416"/>
      <c r="CU350" s="416"/>
      <c r="CV350" s="416"/>
      <c r="CW350" s="416"/>
      <c r="CX350" s="416"/>
      <c r="CY350" s="416"/>
      <c r="CZ350" s="416"/>
      <c r="DF350" s="416"/>
      <c r="DG350" s="416"/>
      <c r="DH350" s="416"/>
      <c r="DI350" s="416"/>
      <c r="DJ350" s="416"/>
      <c r="DK350" s="416"/>
    </row>
    <row r="351" spans="18:115" s="9" customFormat="1">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CR351" s="416"/>
      <c r="CS351" s="416"/>
      <c r="CT351" s="416"/>
      <c r="CU351" s="416"/>
      <c r="CV351" s="416"/>
      <c r="CW351" s="416"/>
      <c r="CX351" s="416"/>
      <c r="CY351" s="416"/>
      <c r="CZ351" s="416"/>
      <c r="DF351" s="416"/>
      <c r="DG351" s="416"/>
      <c r="DH351" s="416"/>
      <c r="DI351" s="416"/>
      <c r="DJ351" s="416"/>
      <c r="DK351" s="416"/>
    </row>
    <row r="352" spans="18:115" s="9" customFormat="1">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CR352" s="416"/>
      <c r="CS352" s="416"/>
      <c r="CT352" s="416"/>
      <c r="CU352" s="416"/>
      <c r="CV352" s="416"/>
      <c r="CW352" s="416"/>
      <c r="CX352" s="416"/>
      <c r="CY352" s="416"/>
      <c r="CZ352" s="416"/>
      <c r="DF352" s="416"/>
      <c r="DG352" s="416"/>
      <c r="DH352" s="416"/>
      <c r="DI352" s="416"/>
      <c r="DJ352" s="416"/>
      <c r="DK352" s="416"/>
    </row>
    <row r="353" spans="18:115" s="9" customFormat="1">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CR353" s="416"/>
      <c r="CS353" s="416"/>
      <c r="CT353" s="416"/>
      <c r="CU353" s="416"/>
      <c r="CV353" s="416"/>
      <c r="CW353" s="416"/>
      <c r="CX353" s="416"/>
      <c r="CY353" s="416"/>
      <c r="CZ353" s="416"/>
      <c r="DF353" s="416"/>
      <c r="DG353" s="416"/>
      <c r="DH353" s="416"/>
      <c r="DI353" s="416"/>
      <c r="DJ353" s="416"/>
      <c r="DK353" s="416"/>
    </row>
    <row r="354" spans="18:115" s="9" customFormat="1">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CR354" s="416"/>
      <c r="CS354" s="416"/>
      <c r="CT354" s="416"/>
      <c r="CU354" s="416"/>
      <c r="CV354" s="416"/>
      <c r="CW354" s="416"/>
      <c r="CX354" s="416"/>
      <c r="CY354" s="416"/>
      <c r="CZ354" s="416"/>
      <c r="DF354" s="416"/>
      <c r="DG354" s="416"/>
      <c r="DH354" s="416"/>
      <c r="DI354" s="416"/>
      <c r="DJ354" s="416"/>
      <c r="DK354" s="416"/>
    </row>
    <row r="355" spans="18:115" s="9" customFormat="1">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CR355" s="416"/>
      <c r="CS355" s="416"/>
      <c r="CT355" s="416"/>
      <c r="CU355" s="416"/>
      <c r="CV355" s="416"/>
      <c r="CW355" s="416"/>
      <c r="CX355" s="416"/>
      <c r="CY355" s="416"/>
      <c r="CZ355" s="416"/>
      <c r="DF355" s="416"/>
      <c r="DG355" s="416"/>
      <c r="DH355" s="416"/>
      <c r="DI355" s="416"/>
      <c r="DJ355" s="416"/>
      <c r="DK355" s="416"/>
    </row>
    <row r="356" spans="18:115" s="9" customFormat="1">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CR356" s="416"/>
      <c r="CS356" s="416"/>
      <c r="CT356" s="416"/>
      <c r="CU356" s="416"/>
      <c r="CV356" s="416"/>
      <c r="CW356" s="416"/>
      <c r="CX356" s="416"/>
      <c r="CY356" s="416"/>
      <c r="CZ356" s="416"/>
      <c r="DF356" s="416"/>
      <c r="DG356" s="416"/>
      <c r="DH356" s="416"/>
      <c r="DI356" s="416"/>
      <c r="DJ356" s="416"/>
      <c r="DK356" s="416"/>
    </row>
    <row r="357" spans="18:115" s="9" customFormat="1">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CR357" s="416"/>
      <c r="CS357" s="416"/>
      <c r="CT357" s="416"/>
      <c r="CU357" s="416"/>
      <c r="CV357" s="416"/>
      <c r="CW357" s="416"/>
      <c r="CX357" s="416"/>
      <c r="CY357" s="416"/>
      <c r="CZ357" s="416"/>
      <c r="DF357" s="416"/>
      <c r="DG357" s="416"/>
      <c r="DH357" s="416"/>
      <c r="DI357" s="416"/>
      <c r="DJ357" s="416"/>
      <c r="DK357" s="416"/>
    </row>
    <row r="358" spans="18:115" s="9" customFormat="1">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CR358" s="416"/>
      <c r="CS358" s="416"/>
      <c r="CT358" s="416"/>
      <c r="CU358" s="416"/>
      <c r="CV358" s="416"/>
      <c r="CW358" s="416"/>
      <c r="CX358" s="416"/>
      <c r="CY358" s="416"/>
      <c r="CZ358" s="416"/>
      <c r="DF358" s="416"/>
      <c r="DG358" s="416"/>
      <c r="DH358" s="416"/>
      <c r="DI358" s="416"/>
      <c r="DJ358" s="416"/>
      <c r="DK358" s="416"/>
    </row>
    <row r="359" spans="18:115" s="9" customFormat="1">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CR359" s="416"/>
      <c r="CS359" s="416"/>
      <c r="CT359" s="416"/>
      <c r="CU359" s="416"/>
      <c r="CV359" s="416"/>
      <c r="CW359" s="416"/>
      <c r="CX359" s="416"/>
      <c r="CY359" s="416"/>
      <c r="CZ359" s="416"/>
      <c r="DF359" s="416"/>
      <c r="DG359" s="416"/>
      <c r="DH359" s="416"/>
      <c r="DI359" s="416"/>
      <c r="DJ359" s="416"/>
      <c r="DK359" s="416"/>
    </row>
    <row r="360" spans="18:115" s="9" customFormat="1">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CR360" s="416"/>
      <c r="CS360" s="416"/>
      <c r="CT360" s="416"/>
      <c r="CU360" s="416"/>
      <c r="CV360" s="416"/>
      <c r="CW360" s="416"/>
      <c r="CX360" s="416"/>
      <c r="CY360" s="416"/>
      <c r="CZ360" s="416"/>
      <c r="DF360" s="416"/>
      <c r="DG360" s="416"/>
      <c r="DH360" s="416"/>
      <c r="DI360" s="416"/>
      <c r="DJ360" s="416"/>
      <c r="DK360" s="416"/>
    </row>
    <row r="361" spans="18:115" s="9" customFormat="1">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CR361" s="416"/>
      <c r="CS361" s="416"/>
      <c r="CT361" s="416"/>
      <c r="CU361" s="416"/>
      <c r="CV361" s="416"/>
      <c r="CW361" s="416"/>
      <c r="CX361" s="416"/>
      <c r="CY361" s="416"/>
      <c r="CZ361" s="416"/>
      <c r="DF361" s="416"/>
      <c r="DG361" s="416"/>
      <c r="DH361" s="416"/>
      <c r="DI361" s="416"/>
      <c r="DJ361" s="416"/>
      <c r="DK361" s="416"/>
    </row>
    <row r="362" spans="18:115" s="9" customFormat="1">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CR362" s="416"/>
      <c r="CS362" s="416"/>
      <c r="CT362" s="416"/>
      <c r="CU362" s="416"/>
      <c r="CV362" s="416"/>
      <c r="CW362" s="416"/>
      <c r="CX362" s="416"/>
      <c r="CY362" s="416"/>
      <c r="CZ362" s="416"/>
      <c r="DF362" s="416"/>
      <c r="DG362" s="416"/>
      <c r="DH362" s="416"/>
      <c r="DI362" s="416"/>
      <c r="DJ362" s="416"/>
      <c r="DK362" s="416"/>
    </row>
    <row r="363" spans="18:115" s="9" customFormat="1">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CR363" s="416"/>
      <c r="CS363" s="416"/>
      <c r="CT363" s="416"/>
      <c r="CU363" s="416"/>
      <c r="CV363" s="416"/>
      <c r="CW363" s="416"/>
      <c r="CX363" s="416"/>
      <c r="CY363" s="416"/>
      <c r="CZ363" s="416"/>
      <c r="DF363" s="416"/>
      <c r="DG363" s="416"/>
      <c r="DH363" s="416"/>
      <c r="DI363" s="416"/>
      <c r="DJ363" s="416"/>
      <c r="DK363" s="416"/>
    </row>
    <row r="364" spans="18:115" s="9" customFormat="1">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CR364" s="416"/>
      <c r="CS364" s="416"/>
      <c r="CT364" s="416"/>
      <c r="CU364" s="416"/>
      <c r="CV364" s="416"/>
      <c r="CW364" s="416"/>
      <c r="CX364" s="416"/>
      <c r="CY364" s="416"/>
      <c r="CZ364" s="416"/>
      <c r="DF364" s="416"/>
      <c r="DG364" s="416"/>
      <c r="DH364" s="416"/>
      <c r="DI364" s="416"/>
      <c r="DJ364" s="416"/>
      <c r="DK364" s="416"/>
    </row>
    <row r="365" spans="18:115" s="9" customFormat="1">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CR365" s="416"/>
      <c r="CS365" s="416"/>
      <c r="CT365" s="416"/>
      <c r="CU365" s="416"/>
      <c r="CV365" s="416"/>
      <c r="CW365" s="416"/>
      <c r="CX365" s="416"/>
      <c r="CY365" s="416"/>
      <c r="CZ365" s="416"/>
      <c r="DF365" s="416"/>
      <c r="DG365" s="416"/>
      <c r="DH365" s="416"/>
      <c r="DI365" s="416"/>
      <c r="DJ365" s="416"/>
      <c r="DK365" s="416"/>
    </row>
    <row r="366" spans="18:115" s="9" customFormat="1">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CR366" s="416"/>
      <c r="CS366" s="416"/>
      <c r="CT366" s="416"/>
      <c r="CU366" s="416"/>
      <c r="CV366" s="416"/>
      <c r="CW366" s="416"/>
      <c r="CX366" s="416"/>
      <c r="CY366" s="416"/>
      <c r="CZ366" s="416"/>
      <c r="DF366" s="416"/>
      <c r="DG366" s="416"/>
      <c r="DH366" s="416"/>
      <c r="DI366" s="416"/>
      <c r="DJ366" s="416"/>
      <c r="DK366" s="416"/>
    </row>
    <row r="367" spans="18:115" s="9" customFormat="1">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CR367" s="416"/>
      <c r="CS367" s="416"/>
      <c r="CT367" s="416"/>
      <c r="CU367" s="416"/>
      <c r="CV367" s="416"/>
      <c r="CW367" s="416"/>
      <c r="CX367" s="416"/>
      <c r="CY367" s="416"/>
      <c r="CZ367" s="416"/>
      <c r="DF367" s="416"/>
      <c r="DG367" s="416"/>
      <c r="DH367" s="416"/>
      <c r="DI367" s="416"/>
      <c r="DJ367" s="416"/>
      <c r="DK367" s="416"/>
    </row>
    <row r="368" spans="18:115" s="9" customFormat="1">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CR368" s="416"/>
      <c r="CS368" s="416"/>
      <c r="CT368" s="416"/>
      <c r="CU368" s="416"/>
      <c r="CV368" s="416"/>
      <c r="CW368" s="416"/>
      <c r="CX368" s="416"/>
      <c r="CY368" s="416"/>
      <c r="CZ368" s="416"/>
      <c r="DF368" s="416"/>
      <c r="DG368" s="416"/>
      <c r="DH368" s="416"/>
      <c r="DI368" s="416"/>
      <c r="DJ368" s="416"/>
      <c r="DK368" s="416"/>
    </row>
    <row r="369" spans="18:115" s="9" customFormat="1">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CR369" s="416"/>
      <c r="CS369" s="416"/>
      <c r="CT369" s="416"/>
      <c r="CU369" s="416"/>
      <c r="CV369" s="416"/>
      <c r="CW369" s="416"/>
      <c r="CX369" s="416"/>
      <c r="CY369" s="416"/>
      <c r="CZ369" s="416"/>
      <c r="DF369" s="416"/>
      <c r="DG369" s="416"/>
      <c r="DH369" s="416"/>
      <c r="DI369" s="416"/>
      <c r="DJ369" s="416"/>
      <c r="DK369" s="416"/>
    </row>
    <row r="370" spans="18:115" s="9" customFormat="1">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CR370" s="416"/>
      <c r="CS370" s="416"/>
      <c r="CT370" s="416"/>
      <c r="CU370" s="416"/>
      <c r="CV370" s="416"/>
      <c r="CW370" s="416"/>
      <c r="CX370" s="416"/>
      <c r="CY370" s="416"/>
      <c r="CZ370" s="416"/>
      <c r="DF370" s="416"/>
      <c r="DG370" s="416"/>
      <c r="DH370" s="416"/>
      <c r="DI370" s="416"/>
      <c r="DJ370" s="416"/>
      <c r="DK370" s="416"/>
    </row>
    <row r="371" spans="18:115" s="9" customFormat="1">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CR371" s="416"/>
      <c r="CS371" s="416"/>
      <c r="CT371" s="416"/>
      <c r="CU371" s="416"/>
      <c r="CV371" s="416"/>
      <c r="CW371" s="416"/>
      <c r="CX371" s="416"/>
      <c r="CY371" s="416"/>
      <c r="CZ371" s="416"/>
      <c r="DF371" s="416"/>
      <c r="DG371" s="416"/>
      <c r="DH371" s="416"/>
      <c r="DI371" s="416"/>
      <c r="DJ371" s="416"/>
      <c r="DK371" s="416"/>
    </row>
    <row r="372" spans="18:115" s="9" customFormat="1">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CR372" s="416"/>
      <c r="CS372" s="416"/>
      <c r="CT372" s="416"/>
      <c r="CU372" s="416"/>
      <c r="CV372" s="416"/>
      <c r="CW372" s="416"/>
      <c r="CX372" s="416"/>
      <c r="CY372" s="416"/>
      <c r="CZ372" s="416"/>
      <c r="DF372" s="416"/>
      <c r="DG372" s="416"/>
      <c r="DH372" s="416"/>
      <c r="DI372" s="416"/>
      <c r="DJ372" s="416"/>
      <c r="DK372" s="416"/>
    </row>
    <row r="373" spans="18:115" s="9" customFormat="1">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CR373" s="416"/>
      <c r="CS373" s="416"/>
      <c r="CT373" s="416"/>
      <c r="CU373" s="416"/>
      <c r="CV373" s="416"/>
      <c r="CW373" s="416"/>
      <c r="CX373" s="416"/>
      <c r="CY373" s="416"/>
      <c r="CZ373" s="416"/>
      <c r="DF373" s="416"/>
      <c r="DG373" s="416"/>
      <c r="DH373" s="416"/>
      <c r="DI373" s="416"/>
      <c r="DJ373" s="416"/>
      <c r="DK373" s="416"/>
    </row>
    <row r="374" spans="18:115" s="9" customFormat="1">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CR374" s="416"/>
      <c r="CS374" s="416"/>
      <c r="CT374" s="416"/>
      <c r="CU374" s="416"/>
      <c r="CV374" s="416"/>
      <c r="CW374" s="416"/>
      <c r="CX374" s="416"/>
      <c r="CY374" s="416"/>
      <c r="CZ374" s="416"/>
      <c r="DF374" s="416"/>
      <c r="DG374" s="416"/>
      <c r="DH374" s="416"/>
      <c r="DI374" s="416"/>
      <c r="DJ374" s="416"/>
      <c r="DK374" s="416"/>
    </row>
    <row r="375" spans="18:115" s="9" customFormat="1">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CR375" s="416"/>
      <c r="CS375" s="416"/>
      <c r="CT375" s="416"/>
      <c r="CU375" s="416"/>
      <c r="CV375" s="416"/>
      <c r="CW375" s="416"/>
      <c r="CX375" s="416"/>
      <c r="CY375" s="416"/>
      <c r="CZ375" s="416"/>
      <c r="DF375" s="416"/>
      <c r="DG375" s="416"/>
      <c r="DH375" s="416"/>
      <c r="DI375" s="416"/>
      <c r="DJ375" s="416"/>
      <c r="DK375" s="416"/>
    </row>
    <row r="376" spans="18:115" s="9" customFormat="1">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CR376" s="416"/>
      <c r="CS376" s="416"/>
      <c r="CT376" s="416"/>
      <c r="CU376" s="416"/>
      <c r="CV376" s="416"/>
      <c r="CW376" s="416"/>
      <c r="CX376" s="416"/>
      <c r="CY376" s="416"/>
      <c r="CZ376" s="416"/>
      <c r="DF376" s="416"/>
      <c r="DG376" s="416"/>
      <c r="DH376" s="416"/>
      <c r="DI376" s="416"/>
      <c r="DJ376" s="416"/>
      <c r="DK376" s="416"/>
    </row>
    <row r="377" spans="18:115" s="9" customFormat="1">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CR377" s="416"/>
      <c r="CS377" s="416"/>
      <c r="CT377" s="416"/>
      <c r="CU377" s="416"/>
      <c r="CV377" s="416"/>
      <c r="CW377" s="416"/>
      <c r="CX377" s="416"/>
      <c r="CY377" s="416"/>
      <c r="CZ377" s="416"/>
      <c r="DF377" s="416"/>
      <c r="DG377" s="416"/>
      <c r="DH377" s="416"/>
      <c r="DI377" s="416"/>
      <c r="DJ377" s="416"/>
      <c r="DK377" s="416"/>
    </row>
    <row r="378" spans="18:115" s="9" customFormat="1">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CR378" s="416"/>
      <c r="CS378" s="416"/>
      <c r="CT378" s="416"/>
      <c r="CU378" s="416"/>
      <c r="CV378" s="416"/>
      <c r="CW378" s="416"/>
      <c r="CX378" s="416"/>
      <c r="CY378" s="416"/>
      <c r="CZ378" s="416"/>
      <c r="DF378" s="416"/>
      <c r="DG378" s="416"/>
      <c r="DH378" s="416"/>
      <c r="DI378" s="416"/>
      <c r="DJ378" s="416"/>
      <c r="DK378" s="416"/>
    </row>
    <row r="379" spans="18:115" s="9" customFormat="1">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CR379" s="416"/>
      <c r="CS379" s="416"/>
      <c r="CT379" s="416"/>
      <c r="CU379" s="416"/>
      <c r="CV379" s="416"/>
      <c r="CW379" s="416"/>
      <c r="CX379" s="416"/>
      <c r="CY379" s="416"/>
      <c r="CZ379" s="416"/>
      <c r="DF379" s="416"/>
      <c r="DG379" s="416"/>
      <c r="DH379" s="416"/>
      <c r="DI379" s="416"/>
      <c r="DJ379" s="416"/>
      <c r="DK379" s="416"/>
    </row>
    <row r="380" spans="18:115" s="9" customFormat="1">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CR380" s="416"/>
      <c r="CS380" s="416"/>
      <c r="CT380" s="416"/>
      <c r="CU380" s="416"/>
      <c r="CV380" s="416"/>
      <c r="CW380" s="416"/>
      <c r="CX380" s="416"/>
      <c r="CY380" s="416"/>
      <c r="CZ380" s="416"/>
      <c r="DF380" s="416"/>
      <c r="DG380" s="416"/>
      <c r="DH380" s="416"/>
      <c r="DI380" s="416"/>
      <c r="DJ380" s="416"/>
      <c r="DK380" s="416"/>
    </row>
    <row r="381" spans="18:115" s="9" customFormat="1">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CR381" s="416"/>
      <c r="CS381" s="416"/>
      <c r="CT381" s="416"/>
      <c r="CU381" s="416"/>
      <c r="CV381" s="416"/>
      <c r="CW381" s="416"/>
      <c r="CX381" s="416"/>
      <c r="CY381" s="416"/>
      <c r="CZ381" s="416"/>
      <c r="DF381" s="416"/>
      <c r="DG381" s="416"/>
      <c r="DH381" s="416"/>
      <c r="DI381" s="416"/>
      <c r="DJ381" s="416"/>
      <c r="DK381" s="416"/>
    </row>
    <row r="382" spans="18:115" s="9" customFormat="1">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CR382" s="416"/>
      <c r="CS382" s="416"/>
      <c r="CT382" s="416"/>
      <c r="CU382" s="416"/>
      <c r="CV382" s="416"/>
      <c r="CW382" s="416"/>
      <c r="CX382" s="416"/>
      <c r="CY382" s="416"/>
      <c r="CZ382" s="416"/>
      <c r="DF382" s="416"/>
      <c r="DG382" s="416"/>
      <c r="DH382" s="416"/>
      <c r="DI382" s="416"/>
      <c r="DJ382" s="416"/>
      <c r="DK382" s="416"/>
    </row>
    <row r="383" spans="18:115" s="9" customFormat="1">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CR383" s="416"/>
      <c r="CS383" s="416"/>
      <c r="CT383" s="416"/>
      <c r="CU383" s="416"/>
      <c r="CV383" s="416"/>
      <c r="CW383" s="416"/>
      <c r="CX383" s="416"/>
      <c r="CY383" s="416"/>
      <c r="CZ383" s="416"/>
      <c r="DF383" s="416"/>
      <c r="DG383" s="416"/>
      <c r="DH383" s="416"/>
      <c r="DI383" s="416"/>
      <c r="DJ383" s="416"/>
      <c r="DK383" s="416"/>
    </row>
    <row r="384" spans="18:115" s="9" customFormat="1">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CR384" s="416"/>
      <c r="CS384" s="416"/>
      <c r="CT384" s="416"/>
      <c r="CU384" s="416"/>
      <c r="CV384" s="416"/>
      <c r="CW384" s="416"/>
      <c r="CX384" s="416"/>
      <c r="CY384" s="416"/>
      <c r="CZ384" s="416"/>
      <c r="DF384" s="416"/>
      <c r="DG384" s="416"/>
      <c r="DH384" s="416"/>
      <c r="DI384" s="416"/>
      <c r="DJ384" s="416"/>
      <c r="DK384" s="416"/>
    </row>
    <row r="385" spans="18:115" s="9" customFormat="1">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CR385" s="416"/>
      <c r="CS385" s="416"/>
      <c r="CT385" s="416"/>
      <c r="CU385" s="416"/>
      <c r="CV385" s="416"/>
      <c r="CW385" s="416"/>
      <c r="CX385" s="416"/>
      <c r="CY385" s="416"/>
      <c r="CZ385" s="416"/>
      <c r="DF385" s="416"/>
      <c r="DG385" s="416"/>
      <c r="DH385" s="416"/>
      <c r="DI385" s="416"/>
      <c r="DJ385" s="416"/>
      <c r="DK385" s="416"/>
    </row>
    <row r="386" spans="18:115" s="9" customFormat="1">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CR386" s="416"/>
      <c r="CS386" s="416"/>
      <c r="CT386" s="416"/>
      <c r="CU386" s="416"/>
      <c r="CV386" s="416"/>
      <c r="CW386" s="416"/>
      <c r="CX386" s="416"/>
      <c r="CY386" s="416"/>
      <c r="CZ386" s="416"/>
      <c r="DF386" s="416"/>
      <c r="DG386" s="416"/>
      <c r="DH386" s="416"/>
      <c r="DI386" s="416"/>
      <c r="DJ386" s="416"/>
      <c r="DK386" s="416"/>
    </row>
    <row r="387" spans="18:115" s="9" customFormat="1">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CR387" s="416"/>
      <c r="CS387" s="416"/>
      <c r="CT387" s="416"/>
      <c r="CU387" s="416"/>
      <c r="CV387" s="416"/>
      <c r="CW387" s="416"/>
      <c r="CX387" s="416"/>
      <c r="CY387" s="416"/>
      <c r="CZ387" s="416"/>
      <c r="DF387" s="416"/>
      <c r="DG387" s="416"/>
      <c r="DH387" s="416"/>
      <c r="DI387" s="416"/>
      <c r="DJ387" s="416"/>
      <c r="DK387" s="416"/>
    </row>
    <row r="388" spans="18:115" s="9" customFormat="1">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CR388" s="416"/>
      <c r="CS388" s="416"/>
      <c r="CT388" s="416"/>
      <c r="CU388" s="416"/>
      <c r="CV388" s="416"/>
      <c r="CW388" s="416"/>
      <c r="CX388" s="416"/>
      <c r="CY388" s="416"/>
      <c r="CZ388" s="416"/>
      <c r="DF388" s="416"/>
      <c r="DG388" s="416"/>
      <c r="DH388" s="416"/>
      <c r="DI388" s="416"/>
      <c r="DJ388" s="416"/>
      <c r="DK388" s="416"/>
    </row>
    <row r="389" spans="18:115" s="9" customFormat="1">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CR389" s="416"/>
      <c r="CS389" s="416"/>
      <c r="CT389" s="416"/>
      <c r="CU389" s="416"/>
      <c r="CV389" s="416"/>
      <c r="CW389" s="416"/>
      <c r="CX389" s="416"/>
      <c r="CY389" s="416"/>
      <c r="CZ389" s="416"/>
      <c r="DF389" s="416"/>
      <c r="DG389" s="416"/>
      <c r="DH389" s="416"/>
      <c r="DI389" s="416"/>
      <c r="DJ389" s="416"/>
      <c r="DK389" s="416"/>
    </row>
    <row r="390" spans="18:115" s="9" customFormat="1">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CR390" s="416"/>
      <c r="CS390" s="416"/>
      <c r="CT390" s="416"/>
      <c r="CU390" s="416"/>
      <c r="CV390" s="416"/>
      <c r="CW390" s="416"/>
      <c r="CX390" s="416"/>
      <c r="CY390" s="416"/>
      <c r="CZ390" s="416"/>
      <c r="DF390" s="416"/>
      <c r="DG390" s="416"/>
      <c r="DH390" s="416"/>
      <c r="DI390" s="416"/>
      <c r="DJ390" s="416"/>
      <c r="DK390" s="416"/>
    </row>
    <row r="391" spans="18:115" s="9" customFormat="1">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CR391" s="416"/>
      <c r="CS391" s="416"/>
      <c r="CT391" s="416"/>
      <c r="CU391" s="416"/>
      <c r="CV391" s="416"/>
      <c r="CW391" s="416"/>
      <c r="CX391" s="416"/>
      <c r="CY391" s="416"/>
      <c r="CZ391" s="416"/>
      <c r="DF391" s="416"/>
      <c r="DG391" s="416"/>
      <c r="DH391" s="416"/>
      <c r="DI391" s="416"/>
      <c r="DJ391" s="416"/>
      <c r="DK391" s="416"/>
    </row>
    <row r="392" spans="18:115" s="9" customFormat="1">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CR392" s="416"/>
      <c r="CS392" s="416"/>
      <c r="CT392" s="416"/>
      <c r="CU392" s="416"/>
      <c r="CV392" s="416"/>
      <c r="CW392" s="416"/>
      <c r="CX392" s="416"/>
      <c r="CY392" s="416"/>
      <c r="CZ392" s="416"/>
      <c r="DF392" s="416"/>
      <c r="DG392" s="416"/>
      <c r="DH392" s="416"/>
      <c r="DI392" s="416"/>
      <c r="DJ392" s="416"/>
      <c r="DK392" s="416"/>
    </row>
    <row r="393" spans="18:115" s="9" customFormat="1">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CR393" s="416"/>
      <c r="CS393" s="416"/>
      <c r="CT393" s="416"/>
      <c r="CU393" s="416"/>
      <c r="CV393" s="416"/>
      <c r="CW393" s="416"/>
      <c r="CX393" s="416"/>
      <c r="CY393" s="416"/>
      <c r="CZ393" s="416"/>
      <c r="DF393" s="416"/>
      <c r="DG393" s="416"/>
      <c r="DH393" s="416"/>
      <c r="DI393" s="416"/>
      <c r="DJ393" s="416"/>
      <c r="DK393" s="416"/>
    </row>
    <row r="394" spans="18:115" s="9" customFormat="1">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CR394" s="416"/>
      <c r="CS394" s="416"/>
      <c r="CT394" s="416"/>
      <c r="CU394" s="416"/>
      <c r="CV394" s="416"/>
      <c r="CW394" s="416"/>
      <c r="CX394" s="416"/>
      <c r="CY394" s="416"/>
      <c r="CZ394" s="416"/>
      <c r="DF394" s="416"/>
      <c r="DG394" s="416"/>
      <c r="DH394" s="416"/>
      <c r="DI394" s="416"/>
      <c r="DJ394" s="416"/>
      <c r="DK394" s="416"/>
    </row>
    <row r="395" spans="18:115" s="9" customFormat="1">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CR395" s="416"/>
      <c r="CS395" s="416"/>
      <c r="CT395" s="416"/>
      <c r="CU395" s="416"/>
      <c r="CV395" s="416"/>
      <c r="CW395" s="416"/>
      <c r="CX395" s="416"/>
      <c r="CY395" s="416"/>
      <c r="CZ395" s="416"/>
      <c r="DF395" s="416"/>
      <c r="DG395" s="416"/>
      <c r="DH395" s="416"/>
      <c r="DI395" s="416"/>
      <c r="DJ395" s="416"/>
      <c r="DK395" s="416"/>
    </row>
    <row r="396" spans="18:115" s="9" customFormat="1">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CR396" s="416"/>
      <c r="CS396" s="416"/>
      <c r="CT396" s="416"/>
      <c r="CU396" s="416"/>
      <c r="CV396" s="416"/>
      <c r="CW396" s="416"/>
      <c r="CX396" s="416"/>
      <c r="CY396" s="416"/>
      <c r="CZ396" s="416"/>
      <c r="DF396" s="416"/>
      <c r="DG396" s="416"/>
      <c r="DH396" s="416"/>
      <c r="DI396" s="416"/>
      <c r="DJ396" s="416"/>
      <c r="DK396" s="416"/>
    </row>
    <row r="397" spans="18:115" s="9" customFormat="1">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CR397" s="416"/>
      <c r="CS397" s="416"/>
      <c r="CT397" s="416"/>
      <c r="CU397" s="416"/>
      <c r="CV397" s="416"/>
      <c r="CW397" s="416"/>
      <c r="CX397" s="416"/>
      <c r="CY397" s="416"/>
      <c r="CZ397" s="416"/>
      <c r="DF397" s="416"/>
      <c r="DG397" s="416"/>
      <c r="DH397" s="416"/>
      <c r="DI397" s="416"/>
      <c r="DJ397" s="416"/>
      <c r="DK397" s="416"/>
    </row>
    <row r="398" spans="18:115" s="9" customFormat="1">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CR398" s="416"/>
      <c r="CS398" s="416"/>
      <c r="CT398" s="416"/>
      <c r="CU398" s="416"/>
      <c r="CV398" s="416"/>
      <c r="CW398" s="416"/>
      <c r="CX398" s="416"/>
      <c r="CY398" s="416"/>
      <c r="CZ398" s="416"/>
      <c r="DF398" s="416"/>
      <c r="DG398" s="416"/>
      <c r="DH398" s="416"/>
      <c r="DI398" s="416"/>
      <c r="DJ398" s="416"/>
      <c r="DK398" s="416"/>
    </row>
    <row r="399" spans="18:115" s="9" customFormat="1">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CR399" s="416"/>
      <c r="CS399" s="416"/>
      <c r="CT399" s="416"/>
      <c r="CU399" s="416"/>
      <c r="CV399" s="416"/>
      <c r="CW399" s="416"/>
      <c r="CX399" s="416"/>
      <c r="CY399" s="416"/>
      <c r="CZ399" s="416"/>
      <c r="DF399" s="416"/>
      <c r="DG399" s="416"/>
      <c r="DH399" s="416"/>
      <c r="DI399" s="416"/>
      <c r="DJ399" s="416"/>
      <c r="DK399" s="416"/>
    </row>
    <row r="400" spans="18:115" s="9" customFormat="1">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CR400" s="416"/>
      <c r="CS400" s="416"/>
      <c r="CT400" s="416"/>
      <c r="CU400" s="416"/>
      <c r="CV400" s="416"/>
      <c r="CW400" s="416"/>
      <c r="CX400" s="416"/>
      <c r="CY400" s="416"/>
      <c r="CZ400" s="416"/>
      <c r="DF400" s="416"/>
      <c r="DG400" s="416"/>
      <c r="DH400" s="416"/>
      <c r="DI400" s="416"/>
      <c r="DJ400" s="416"/>
      <c r="DK400" s="416"/>
    </row>
    <row r="401" spans="18:115" s="9" customFormat="1">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CR401" s="416"/>
      <c r="CS401" s="416"/>
      <c r="CT401" s="416"/>
      <c r="CU401" s="416"/>
      <c r="CV401" s="416"/>
      <c r="CW401" s="416"/>
      <c r="CX401" s="416"/>
      <c r="CY401" s="416"/>
      <c r="CZ401" s="416"/>
      <c r="DF401" s="416"/>
      <c r="DG401" s="416"/>
      <c r="DH401" s="416"/>
      <c r="DI401" s="416"/>
      <c r="DJ401" s="416"/>
      <c r="DK401" s="416"/>
    </row>
    <row r="402" spans="18:115" s="9" customFormat="1">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CR402" s="416"/>
      <c r="CS402" s="416"/>
      <c r="CT402" s="416"/>
      <c r="CU402" s="416"/>
      <c r="CV402" s="416"/>
      <c r="CW402" s="416"/>
      <c r="CX402" s="416"/>
      <c r="CY402" s="416"/>
      <c r="CZ402" s="416"/>
      <c r="DF402" s="416"/>
      <c r="DG402" s="416"/>
      <c r="DH402" s="416"/>
      <c r="DI402" s="416"/>
      <c r="DJ402" s="416"/>
      <c r="DK402" s="416"/>
    </row>
    <row r="403" spans="18:115" s="9" customFormat="1">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CR403" s="416"/>
      <c r="CS403" s="416"/>
      <c r="CT403" s="416"/>
      <c r="CU403" s="416"/>
      <c r="CV403" s="416"/>
      <c r="CW403" s="416"/>
      <c r="CX403" s="416"/>
      <c r="CY403" s="416"/>
      <c r="CZ403" s="416"/>
      <c r="DF403" s="416"/>
      <c r="DG403" s="416"/>
      <c r="DH403" s="416"/>
      <c r="DI403" s="416"/>
      <c r="DJ403" s="416"/>
      <c r="DK403" s="416"/>
    </row>
    <row r="404" spans="18:115" s="9" customFormat="1">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CR404" s="416"/>
      <c r="CS404" s="416"/>
      <c r="CT404" s="416"/>
      <c r="CU404" s="416"/>
      <c r="CV404" s="416"/>
      <c r="CW404" s="416"/>
      <c r="CX404" s="416"/>
      <c r="CY404" s="416"/>
      <c r="CZ404" s="416"/>
      <c r="DF404" s="416"/>
      <c r="DG404" s="416"/>
      <c r="DH404" s="416"/>
      <c r="DI404" s="416"/>
      <c r="DJ404" s="416"/>
      <c r="DK404" s="416"/>
    </row>
    <row r="405" spans="18:115" s="9" customFormat="1">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CR405" s="416"/>
      <c r="CS405" s="416"/>
      <c r="CT405" s="416"/>
      <c r="CU405" s="416"/>
      <c r="CV405" s="416"/>
      <c r="CW405" s="416"/>
      <c r="CX405" s="416"/>
      <c r="CY405" s="416"/>
      <c r="CZ405" s="416"/>
      <c r="DF405" s="416"/>
      <c r="DG405" s="416"/>
      <c r="DH405" s="416"/>
      <c r="DI405" s="416"/>
      <c r="DJ405" s="416"/>
      <c r="DK405" s="416"/>
    </row>
    <row r="406" spans="18:115" s="9" customFormat="1">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CR406" s="416"/>
      <c r="CS406" s="416"/>
      <c r="CT406" s="416"/>
      <c r="CU406" s="416"/>
      <c r="CV406" s="416"/>
      <c r="CW406" s="416"/>
      <c r="CX406" s="416"/>
      <c r="CY406" s="416"/>
      <c r="CZ406" s="416"/>
      <c r="DF406" s="416"/>
      <c r="DG406" s="416"/>
      <c r="DH406" s="416"/>
      <c r="DI406" s="416"/>
      <c r="DJ406" s="416"/>
      <c r="DK406" s="416"/>
    </row>
    <row r="407" spans="18:115" s="9" customFormat="1">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CR407" s="416"/>
      <c r="CS407" s="416"/>
      <c r="CT407" s="416"/>
      <c r="CU407" s="416"/>
      <c r="CV407" s="416"/>
      <c r="CW407" s="416"/>
      <c r="CX407" s="416"/>
      <c r="CY407" s="416"/>
      <c r="CZ407" s="416"/>
      <c r="DF407" s="416"/>
      <c r="DG407" s="416"/>
      <c r="DH407" s="416"/>
      <c r="DI407" s="416"/>
      <c r="DJ407" s="416"/>
      <c r="DK407" s="416"/>
    </row>
    <row r="408" spans="18:115" s="9" customFormat="1">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CR408" s="416"/>
      <c r="CS408" s="416"/>
      <c r="CT408" s="416"/>
      <c r="CU408" s="416"/>
      <c r="CV408" s="416"/>
      <c r="CW408" s="416"/>
      <c r="CX408" s="416"/>
      <c r="CY408" s="416"/>
      <c r="CZ408" s="416"/>
      <c r="DF408" s="416"/>
      <c r="DG408" s="416"/>
      <c r="DH408" s="416"/>
      <c r="DI408" s="416"/>
      <c r="DJ408" s="416"/>
      <c r="DK408" s="416"/>
    </row>
    <row r="409" spans="18:115" s="9" customFormat="1">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CR409" s="416"/>
      <c r="CS409" s="416"/>
      <c r="CT409" s="416"/>
      <c r="CU409" s="416"/>
      <c r="CV409" s="416"/>
      <c r="CW409" s="416"/>
      <c r="CX409" s="416"/>
      <c r="CY409" s="416"/>
      <c r="CZ409" s="416"/>
      <c r="DF409" s="416"/>
      <c r="DG409" s="416"/>
      <c r="DH409" s="416"/>
      <c r="DI409" s="416"/>
      <c r="DJ409" s="416"/>
      <c r="DK409" s="416"/>
    </row>
    <row r="410" spans="18:115" s="9" customFormat="1">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CR410" s="416"/>
      <c r="CS410" s="416"/>
      <c r="CT410" s="416"/>
      <c r="CU410" s="416"/>
      <c r="CV410" s="416"/>
      <c r="CW410" s="416"/>
      <c r="CX410" s="416"/>
      <c r="CY410" s="416"/>
      <c r="CZ410" s="416"/>
      <c r="DF410" s="416"/>
      <c r="DG410" s="416"/>
      <c r="DH410" s="416"/>
      <c r="DI410" s="416"/>
      <c r="DJ410" s="416"/>
      <c r="DK410" s="416"/>
    </row>
    <row r="411" spans="18:115" s="9" customFormat="1">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CR411" s="416"/>
      <c r="CS411" s="416"/>
      <c r="CT411" s="416"/>
      <c r="CU411" s="416"/>
      <c r="CV411" s="416"/>
      <c r="CW411" s="416"/>
      <c r="CX411" s="416"/>
      <c r="CY411" s="416"/>
      <c r="CZ411" s="416"/>
      <c r="DF411" s="416"/>
      <c r="DG411" s="416"/>
      <c r="DH411" s="416"/>
      <c r="DI411" s="416"/>
      <c r="DJ411" s="416"/>
      <c r="DK411" s="416"/>
    </row>
    <row r="412" spans="18:115" s="9" customFormat="1">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CR412" s="416"/>
      <c r="CS412" s="416"/>
      <c r="CT412" s="416"/>
      <c r="CU412" s="416"/>
      <c r="CV412" s="416"/>
      <c r="CW412" s="416"/>
      <c r="CX412" s="416"/>
      <c r="CY412" s="416"/>
      <c r="CZ412" s="416"/>
      <c r="DF412" s="416"/>
      <c r="DG412" s="416"/>
      <c r="DH412" s="416"/>
      <c r="DI412" s="416"/>
      <c r="DJ412" s="416"/>
      <c r="DK412" s="416"/>
    </row>
    <row r="413" spans="18:115" s="9" customFormat="1">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CR413" s="416"/>
      <c r="CS413" s="416"/>
      <c r="CT413" s="416"/>
      <c r="CU413" s="416"/>
      <c r="CV413" s="416"/>
      <c r="CW413" s="416"/>
      <c r="CX413" s="416"/>
      <c r="CY413" s="416"/>
      <c r="CZ413" s="416"/>
      <c r="DF413" s="416"/>
      <c r="DG413" s="416"/>
      <c r="DH413" s="416"/>
      <c r="DI413" s="416"/>
      <c r="DJ413" s="416"/>
      <c r="DK413" s="416"/>
    </row>
    <row r="414" spans="18:115" s="9" customFormat="1">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CR414" s="416"/>
      <c r="CS414" s="416"/>
      <c r="CT414" s="416"/>
      <c r="CU414" s="416"/>
      <c r="CV414" s="416"/>
      <c r="CW414" s="416"/>
      <c r="CX414" s="416"/>
      <c r="CY414" s="416"/>
      <c r="CZ414" s="416"/>
      <c r="DF414" s="416"/>
      <c r="DG414" s="416"/>
      <c r="DH414" s="416"/>
      <c r="DI414" s="416"/>
      <c r="DJ414" s="416"/>
      <c r="DK414" s="416"/>
    </row>
    <row r="415" spans="18:115" s="9" customFormat="1">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CR415" s="416"/>
      <c r="CS415" s="416"/>
      <c r="CT415" s="416"/>
      <c r="CU415" s="416"/>
      <c r="CV415" s="416"/>
      <c r="CW415" s="416"/>
      <c r="CX415" s="416"/>
      <c r="CY415" s="416"/>
      <c r="CZ415" s="416"/>
      <c r="DF415" s="416"/>
      <c r="DG415" s="416"/>
      <c r="DH415" s="416"/>
      <c r="DI415" s="416"/>
      <c r="DJ415" s="416"/>
      <c r="DK415" s="416"/>
    </row>
    <row r="416" spans="18:115" s="9" customFormat="1">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CR416" s="416"/>
      <c r="CS416" s="416"/>
      <c r="CT416" s="416"/>
      <c r="CU416" s="416"/>
      <c r="CV416" s="416"/>
      <c r="CW416" s="416"/>
      <c r="CX416" s="416"/>
      <c r="CY416" s="416"/>
      <c r="CZ416" s="416"/>
      <c r="DF416" s="416"/>
      <c r="DG416" s="416"/>
      <c r="DH416" s="416"/>
      <c r="DI416" s="416"/>
      <c r="DJ416" s="416"/>
      <c r="DK416" s="416"/>
    </row>
    <row r="417" spans="18:115" s="9" customFormat="1">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CR417" s="416"/>
      <c r="CS417" s="416"/>
      <c r="CT417" s="416"/>
      <c r="CU417" s="416"/>
      <c r="CV417" s="416"/>
      <c r="CW417" s="416"/>
      <c r="CX417" s="416"/>
      <c r="CY417" s="416"/>
      <c r="CZ417" s="416"/>
      <c r="DF417" s="416"/>
      <c r="DG417" s="416"/>
      <c r="DH417" s="416"/>
      <c r="DI417" s="416"/>
      <c r="DJ417" s="416"/>
      <c r="DK417" s="416"/>
    </row>
    <row r="418" spans="18:115" s="9" customFormat="1">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CR418" s="416"/>
      <c r="CS418" s="416"/>
      <c r="CT418" s="416"/>
      <c r="CU418" s="416"/>
      <c r="CV418" s="416"/>
      <c r="CW418" s="416"/>
      <c r="CX418" s="416"/>
      <c r="CY418" s="416"/>
      <c r="CZ418" s="416"/>
      <c r="DF418" s="416"/>
      <c r="DG418" s="416"/>
      <c r="DH418" s="416"/>
      <c r="DI418" s="416"/>
      <c r="DJ418" s="416"/>
      <c r="DK418" s="416"/>
    </row>
    <row r="419" spans="18:115" s="9" customFormat="1">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CR419" s="416"/>
      <c r="CS419" s="416"/>
      <c r="CT419" s="416"/>
      <c r="CU419" s="416"/>
      <c r="CV419" s="416"/>
      <c r="CW419" s="416"/>
      <c r="CX419" s="416"/>
      <c r="CY419" s="416"/>
      <c r="CZ419" s="416"/>
      <c r="DF419" s="416"/>
      <c r="DG419" s="416"/>
      <c r="DH419" s="416"/>
      <c r="DI419" s="416"/>
      <c r="DJ419" s="416"/>
      <c r="DK419" s="416"/>
    </row>
    <row r="420" spans="18:115" s="9" customFormat="1">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CR420" s="416"/>
      <c r="CS420" s="416"/>
      <c r="CT420" s="416"/>
      <c r="CU420" s="416"/>
      <c r="CV420" s="416"/>
      <c r="CW420" s="416"/>
      <c r="CX420" s="416"/>
      <c r="CY420" s="416"/>
      <c r="CZ420" s="416"/>
      <c r="DF420" s="416"/>
      <c r="DG420" s="416"/>
      <c r="DH420" s="416"/>
      <c r="DI420" s="416"/>
      <c r="DJ420" s="416"/>
      <c r="DK420" s="416"/>
    </row>
    <row r="421" spans="18:115" s="9" customFormat="1">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CR421" s="416"/>
      <c r="CS421" s="416"/>
      <c r="CT421" s="416"/>
      <c r="CU421" s="416"/>
      <c r="CV421" s="416"/>
      <c r="CW421" s="416"/>
      <c r="CX421" s="416"/>
      <c r="CY421" s="416"/>
      <c r="CZ421" s="416"/>
      <c r="DF421" s="416"/>
      <c r="DG421" s="416"/>
      <c r="DH421" s="416"/>
      <c r="DI421" s="416"/>
      <c r="DJ421" s="416"/>
      <c r="DK421" s="416"/>
    </row>
    <row r="422" spans="18:115" s="9" customFormat="1">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CR422" s="416"/>
      <c r="CS422" s="416"/>
      <c r="CT422" s="416"/>
      <c r="CU422" s="416"/>
      <c r="CV422" s="416"/>
      <c r="CW422" s="416"/>
      <c r="CX422" s="416"/>
      <c r="CY422" s="416"/>
      <c r="CZ422" s="416"/>
      <c r="DF422" s="416"/>
      <c r="DG422" s="416"/>
      <c r="DH422" s="416"/>
      <c r="DI422" s="416"/>
      <c r="DJ422" s="416"/>
      <c r="DK422" s="416"/>
    </row>
    <row r="423" spans="18:115" s="9" customFormat="1">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CR423" s="416"/>
      <c r="CS423" s="416"/>
      <c r="CT423" s="416"/>
      <c r="CU423" s="416"/>
      <c r="CV423" s="416"/>
      <c r="CW423" s="416"/>
      <c r="CX423" s="416"/>
      <c r="CY423" s="416"/>
      <c r="CZ423" s="416"/>
      <c r="DF423" s="416"/>
      <c r="DG423" s="416"/>
      <c r="DH423" s="416"/>
      <c r="DI423" s="416"/>
      <c r="DJ423" s="416"/>
      <c r="DK423" s="416"/>
    </row>
    <row r="424" spans="18:115" s="9" customFormat="1">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CR424" s="416"/>
      <c r="CS424" s="416"/>
      <c r="CT424" s="416"/>
      <c r="CU424" s="416"/>
      <c r="CV424" s="416"/>
      <c r="CW424" s="416"/>
      <c r="CX424" s="416"/>
      <c r="CY424" s="416"/>
      <c r="CZ424" s="416"/>
      <c r="DF424" s="416"/>
      <c r="DG424" s="416"/>
      <c r="DH424" s="416"/>
      <c r="DI424" s="416"/>
      <c r="DJ424" s="416"/>
      <c r="DK424" s="416"/>
    </row>
    <row r="425" spans="18:115" s="9" customFormat="1">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CR425" s="416"/>
      <c r="CS425" s="416"/>
      <c r="CT425" s="416"/>
      <c r="CU425" s="416"/>
      <c r="CV425" s="416"/>
      <c r="CW425" s="416"/>
      <c r="CX425" s="416"/>
      <c r="CY425" s="416"/>
      <c r="CZ425" s="416"/>
      <c r="DF425" s="416"/>
      <c r="DG425" s="416"/>
      <c r="DH425" s="416"/>
      <c r="DI425" s="416"/>
      <c r="DJ425" s="416"/>
      <c r="DK425" s="416"/>
    </row>
    <row r="426" spans="18:115" s="9" customFormat="1">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CR426" s="416"/>
      <c r="CS426" s="416"/>
      <c r="CT426" s="416"/>
      <c r="CU426" s="416"/>
      <c r="CV426" s="416"/>
      <c r="CW426" s="416"/>
      <c r="CX426" s="416"/>
      <c r="CY426" s="416"/>
      <c r="CZ426" s="416"/>
      <c r="DF426" s="416"/>
      <c r="DG426" s="416"/>
      <c r="DH426" s="416"/>
      <c r="DI426" s="416"/>
      <c r="DJ426" s="416"/>
      <c r="DK426" s="416"/>
    </row>
    <row r="427" spans="18:115" s="9" customFormat="1">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CR427" s="416"/>
      <c r="CS427" s="416"/>
      <c r="CT427" s="416"/>
      <c r="CU427" s="416"/>
      <c r="CV427" s="416"/>
      <c r="CW427" s="416"/>
      <c r="CX427" s="416"/>
      <c r="CY427" s="416"/>
      <c r="CZ427" s="416"/>
      <c r="DF427" s="416"/>
      <c r="DG427" s="416"/>
      <c r="DH427" s="416"/>
      <c r="DI427" s="416"/>
      <c r="DJ427" s="416"/>
      <c r="DK427" s="416"/>
    </row>
    <row r="428" spans="18:115" s="9" customFormat="1">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CR428" s="416"/>
      <c r="CS428" s="416"/>
      <c r="CT428" s="416"/>
      <c r="CU428" s="416"/>
      <c r="CV428" s="416"/>
      <c r="CW428" s="416"/>
      <c r="CX428" s="416"/>
      <c r="CY428" s="416"/>
      <c r="CZ428" s="416"/>
      <c r="DF428" s="416"/>
      <c r="DG428" s="416"/>
      <c r="DH428" s="416"/>
      <c r="DI428" s="416"/>
      <c r="DJ428" s="416"/>
      <c r="DK428" s="416"/>
    </row>
    <row r="429" spans="18:115" s="9" customFormat="1">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CR429" s="416"/>
      <c r="CS429" s="416"/>
      <c r="CT429" s="416"/>
      <c r="CU429" s="416"/>
      <c r="CV429" s="416"/>
      <c r="CW429" s="416"/>
      <c r="CX429" s="416"/>
      <c r="CY429" s="416"/>
      <c r="CZ429" s="416"/>
      <c r="DF429" s="416"/>
      <c r="DG429" s="416"/>
      <c r="DH429" s="416"/>
      <c r="DI429" s="416"/>
      <c r="DJ429" s="416"/>
      <c r="DK429" s="416"/>
    </row>
    <row r="430" spans="18:115" s="9" customFormat="1">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CR430" s="416"/>
      <c r="CS430" s="416"/>
      <c r="CT430" s="416"/>
      <c r="CU430" s="416"/>
      <c r="CV430" s="416"/>
      <c r="CW430" s="416"/>
      <c r="CX430" s="416"/>
      <c r="CY430" s="416"/>
      <c r="CZ430" s="416"/>
      <c r="DF430" s="416"/>
      <c r="DG430" s="416"/>
      <c r="DH430" s="416"/>
      <c r="DI430" s="416"/>
      <c r="DJ430" s="416"/>
      <c r="DK430" s="416"/>
    </row>
    <row r="431" spans="18:115" s="9" customFormat="1">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CR431" s="416"/>
      <c r="CS431" s="416"/>
      <c r="CT431" s="416"/>
      <c r="CU431" s="416"/>
      <c r="CV431" s="416"/>
      <c r="CW431" s="416"/>
      <c r="CX431" s="416"/>
      <c r="CY431" s="416"/>
      <c r="CZ431" s="416"/>
      <c r="DF431" s="416"/>
      <c r="DG431" s="416"/>
      <c r="DH431" s="416"/>
      <c r="DI431" s="416"/>
      <c r="DJ431" s="416"/>
      <c r="DK431" s="416"/>
    </row>
    <row r="432" spans="18:115" s="9" customFormat="1">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CR432" s="416"/>
      <c r="CS432" s="416"/>
      <c r="CT432" s="416"/>
      <c r="CU432" s="416"/>
      <c r="CV432" s="416"/>
      <c r="CW432" s="416"/>
      <c r="CX432" s="416"/>
      <c r="CY432" s="416"/>
      <c r="CZ432" s="416"/>
      <c r="DF432" s="416"/>
      <c r="DG432" s="416"/>
      <c r="DH432" s="416"/>
      <c r="DI432" s="416"/>
      <c r="DJ432" s="416"/>
      <c r="DK432" s="416"/>
    </row>
    <row r="433" spans="18:115" s="9" customFormat="1">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CR433" s="416"/>
      <c r="CS433" s="416"/>
      <c r="CT433" s="416"/>
      <c r="CU433" s="416"/>
      <c r="CV433" s="416"/>
      <c r="CW433" s="416"/>
      <c r="CX433" s="416"/>
      <c r="CY433" s="416"/>
      <c r="CZ433" s="416"/>
      <c r="DF433" s="416"/>
      <c r="DG433" s="416"/>
      <c r="DH433" s="416"/>
      <c r="DI433" s="416"/>
      <c r="DJ433" s="416"/>
      <c r="DK433" s="416"/>
    </row>
    <row r="434" spans="18:115" s="9" customFormat="1">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CR434" s="416"/>
      <c r="CS434" s="416"/>
      <c r="CT434" s="416"/>
      <c r="CU434" s="416"/>
      <c r="CV434" s="416"/>
      <c r="CW434" s="416"/>
      <c r="CX434" s="416"/>
      <c r="CY434" s="416"/>
      <c r="CZ434" s="416"/>
      <c r="DF434" s="416"/>
      <c r="DG434" s="416"/>
      <c r="DH434" s="416"/>
      <c r="DI434" s="416"/>
      <c r="DJ434" s="416"/>
      <c r="DK434" s="416"/>
    </row>
    <row r="435" spans="18:115" s="9" customFormat="1">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CR435" s="416"/>
      <c r="CS435" s="416"/>
      <c r="CT435" s="416"/>
      <c r="CU435" s="416"/>
      <c r="CV435" s="416"/>
      <c r="CW435" s="416"/>
      <c r="CX435" s="416"/>
      <c r="CY435" s="416"/>
      <c r="CZ435" s="416"/>
      <c r="DF435" s="416"/>
      <c r="DG435" s="416"/>
      <c r="DH435" s="416"/>
      <c r="DI435" s="416"/>
      <c r="DJ435" s="416"/>
      <c r="DK435" s="416"/>
    </row>
    <row r="436" spans="18:115" s="9" customFormat="1">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CR436" s="416"/>
      <c r="CS436" s="416"/>
      <c r="CT436" s="416"/>
      <c r="CU436" s="416"/>
      <c r="CV436" s="416"/>
      <c r="CW436" s="416"/>
      <c r="CX436" s="416"/>
      <c r="CY436" s="416"/>
      <c r="CZ436" s="416"/>
      <c r="DF436" s="416"/>
      <c r="DG436" s="416"/>
      <c r="DH436" s="416"/>
      <c r="DI436" s="416"/>
      <c r="DJ436" s="416"/>
      <c r="DK436" s="416"/>
    </row>
    <row r="437" spans="18:115" s="9" customFormat="1">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CR437" s="416"/>
      <c r="CS437" s="416"/>
      <c r="CT437" s="416"/>
      <c r="CU437" s="416"/>
      <c r="CV437" s="416"/>
      <c r="CW437" s="416"/>
      <c r="CX437" s="416"/>
      <c r="CY437" s="416"/>
      <c r="CZ437" s="416"/>
      <c r="DF437" s="416"/>
      <c r="DG437" s="416"/>
      <c r="DH437" s="416"/>
      <c r="DI437" s="416"/>
      <c r="DJ437" s="416"/>
      <c r="DK437" s="416"/>
    </row>
    <row r="438" spans="18:115" s="9" customFormat="1">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CR438" s="416"/>
      <c r="CS438" s="416"/>
      <c r="CT438" s="416"/>
      <c r="CU438" s="416"/>
      <c r="CV438" s="416"/>
      <c r="CW438" s="416"/>
      <c r="CX438" s="416"/>
      <c r="CY438" s="416"/>
      <c r="CZ438" s="416"/>
      <c r="DF438" s="416"/>
      <c r="DG438" s="416"/>
      <c r="DH438" s="416"/>
      <c r="DI438" s="416"/>
      <c r="DJ438" s="416"/>
      <c r="DK438" s="416"/>
    </row>
    <row r="439" spans="18:115" s="9" customFormat="1">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CR439" s="416"/>
      <c r="CS439" s="416"/>
      <c r="CT439" s="416"/>
      <c r="CU439" s="416"/>
      <c r="CV439" s="416"/>
      <c r="CW439" s="416"/>
      <c r="CX439" s="416"/>
      <c r="CY439" s="416"/>
      <c r="CZ439" s="416"/>
      <c r="DF439" s="416"/>
      <c r="DG439" s="416"/>
      <c r="DH439" s="416"/>
      <c r="DI439" s="416"/>
      <c r="DJ439" s="416"/>
      <c r="DK439" s="416"/>
    </row>
    <row r="440" spans="18:115" s="9" customFormat="1">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CR440" s="416"/>
      <c r="CS440" s="416"/>
      <c r="CT440" s="416"/>
      <c r="CU440" s="416"/>
      <c r="CV440" s="416"/>
      <c r="CW440" s="416"/>
      <c r="CX440" s="416"/>
      <c r="CY440" s="416"/>
      <c r="CZ440" s="416"/>
      <c r="DF440" s="416"/>
      <c r="DG440" s="416"/>
      <c r="DH440" s="416"/>
      <c r="DI440" s="416"/>
      <c r="DJ440" s="416"/>
      <c r="DK440" s="416"/>
    </row>
    <row r="441" spans="18:115" s="9" customFormat="1">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CR441" s="416"/>
      <c r="CS441" s="416"/>
      <c r="CT441" s="416"/>
      <c r="CU441" s="416"/>
      <c r="CV441" s="416"/>
      <c r="CW441" s="416"/>
      <c r="CX441" s="416"/>
      <c r="CY441" s="416"/>
      <c r="CZ441" s="416"/>
      <c r="DF441" s="416"/>
      <c r="DG441" s="416"/>
      <c r="DH441" s="416"/>
      <c r="DI441" s="416"/>
      <c r="DJ441" s="416"/>
      <c r="DK441" s="416"/>
    </row>
    <row r="442" spans="18:115" s="9" customFormat="1">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CR442" s="416"/>
      <c r="CS442" s="416"/>
      <c r="CT442" s="416"/>
      <c r="CU442" s="416"/>
      <c r="CV442" s="416"/>
      <c r="CW442" s="416"/>
      <c r="CX442" s="416"/>
      <c r="CY442" s="416"/>
      <c r="CZ442" s="416"/>
      <c r="DF442" s="416"/>
      <c r="DG442" s="416"/>
      <c r="DH442" s="416"/>
      <c r="DI442" s="416"/>
      <c r="DJ442" s="416"/>
      <c r="DK442" s="416"/>
    </row>
    <row r="443" spans="18:115" s="9" customFormat="1">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CR443" s="416"/>
      <c r="CS443" s="416"/>
      <c r="CT443" s="416"/>
      <c r="CU443" s="416"/>
      <c r="CV443" s="416"/>
      <c r="CW443" s="416"/>
      <c r="CX443" s="416"/>
      <c r="CY443" s="416"/>
      <c r="CZ443" s="416"/>
      <c r="DF443" s="416"/>
      <c r="DG443" s="416"/>
      <c r="DH443" s="416"/>
      <c r="DI443" s="416"/>
      <c r="DJ443" s="416"/>
      <c r="DK443" s="416"/>
    </row>
    <row r="444" spans="18:115" s="9" customFormat="1">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CR444" s="416"/>
      <c r="CS444" s="416"/>
      <c r="CT444" s="416"/>
      <c r="CU444" s="416"/>
      <c r="CV444" s="416"/>
      <c r="CW444" s="416"/>
      <c r="CX444" s="416"/>
      <c r="CY444" s="416"/>
      <c r="CZ444" s="416"/>
      <c r="DF444" s="416"/>
      <c r="DG444" s="416"/>
      <c r="DH444" s="416"/>
      <c r="DI444" s="416"/>
      <c r="DJ444" s="416"/>
      <c r="DK444" s="416"/>
    </row>
    <row r="445" spans="18:115" s="9" customFormat="1">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CR445" s="416"/>
      <c r="CS445" s="416"/>
      <c r="CT445" s="416"/>
      <c r="CU445" s="416"/>
      <c r="CV445" s="416"/>
      <c r="CW445" s="416"/>
      <c r="CX445" s="416"/>
      <c r="CY445" s="416"/>
      <c r="CZ445" s="416"/>
      <c r="DF445" s="416"/>
      <c r="DG445" s="416"/>
      <c r="DH445" s="416"/>
      <c r="DI445" s="416"/>
      <c r="DJ445" s="416"/>
      <c r="DK445" s="416"/>
    </row>
    <row r="446" spans="18:115" s="9" customFormat="1">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CR446" s="416"/>
      <c r="CS446" s="416"/>
      <c r="CT446" s="416"/>
      <c r="CU446" s="416"/>
      <c r="CV446" s="416"/>
      <c r="CW446" s="416"/>
      <c r="CX446" s="416"/>
      <c r="CY446" s="416"/>
      <c r="CZ446" s="416"/>
      <c r="DF446" s="416"/>
      <c r="DG446" s="416"/>
      <c r="DH446" s="416"/>
      <c r="DI446" s="416"/>
      <c r="DJ446" s="416"/>
      <c r="DK446" s="416"/>
    </row>
    <row r="447" spans="18:115" s="9" customFormat="1">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CR447" s="416"/>
      <c r="CS447" s="416"/>
      <c r="CT447" s="416"/>
      <c r="CU447" s="416"/>
      <c r="CV447" s="416"/>
      <c r="CW447" s="416"/>
      <c r="CX447" s="416"/>
      <c r="CY447" s="416"/>
      <c r="CZ447" s="416"/>
      <c r="DF447" s="416"/>
      <c r="DG447" s="416"/>
      <c r="DH447" s="416"/>
      <c r="DI447" s="416"/>
      <c r="DJ447" s="416"/>
      <c r="DK447" s="416"/>
    </row>
    <row r="448" spans="18:115" s="9" customFormat="1">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CR448" s="416"/>
      <c r="CS448" s="416"/>
      <c r="CT448" s="416"/>
      <c r="CU448" s="416"/>
      <c r="CV448" s="416"/>
      <c r="CW448" s="416"/>
      <c r="CX448" s="416"/>
      <c r="CY448" s="416"/>
      <c r="CZ448" s="416"/>
      <c r="DF448" s="416"/>
      <c r="DG448" s="416"/>
      <c r="DH448" s="416"/>
      <c r="DI448" s="416"/>
      <c r="DJ448" s="416"/>
      <c r="DK448" s="416"/>
    </row>
    <row r="449" spans="18:115" s="9" customFormat="1">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CR449" s="416"/>
      <c r="CS449" s="416"/>
      <c r="CT449" s="416"/>
      <c r="CU449" s="416"/>
      <c r="CV449" s="416"/>
      <c r="CW449" s="416"/>
      <c r="CX449" s="416"/>
      <c r="CY449" s="416"/>
      <c r="CZ449" s="416"/>
      <c r="DF449" s="416"/>
      <c r="DG449" s="416"/>
      <c r="DH449" s="416"/>
      <c r="DI449" s="416"/>
      <c r="DJ449" s="416"/>
      <c r="DK449" s="416"/>
    </row>
    <row r="450" spans="18:115" s="9" customFormat="1">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CR450" s="416"/>
      <c r="CS450" s="416"/>
      <c r="CT450" s="416"/>
      <c r="CU450" s="416"/>
      <c r="CV450" s="416"/>
      <c r="CW450" s="416"/>
      <c r="CX450" s="416"/>
      <c r="CY450" s="416"/>
      <c r="CZ450" s="416"/>
      <c r="DF450" s="416"/>
      <c r="DG450" s="416"/>
      <c r="DH450" s="416"/>
      <c r="DI450" s="416"/>
      <c r="DJ450" s="416"/>
      <c r="DK450" s="416"/>
    </row>
    <row r="451" spans="18:115" s="9" customFormat="1">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CR451" s="416"/>
      <c r="CS451" s="416"/>
      <c r="CT451" s="416"/>
      <c r="CU451" s="416"/>
      <c r="CV451" s="416"/>
      <c r="CW451" s="416"/>
      <c r="CX451" s="416"/>
      <c r="CY451" s="416"/>
      <c r="CZ451" s="416"/>
      <c r="DF451" s="416"/>
      <c r="DG451" s="416"/>
      <c r="DH451" s="416"/>
      <c r="DI451" s="416"/>
      <c r="DJ451" s="416"/>
      <c r="DK451" s="416"/>
    </row>
    <row r="452" spans="18:115" s="9" customFormat="1">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CR452" s="416"/>
      <c r="CS452" s="416"/>
      <c r="CT452" s="416"/>
      <c r="CU452" s="416"/>
      <c r="CV452" s="416"/>
      <c r="CW452" s="416"/>
      <c r="CX452" s="416"/>
      <c r="CY452" s="416"/>
      <c r="CZ452" s="416"/>
      <c r="DF452" s="416"/>
      <c r="DG452" s="416"/>
      <c r="DH452" s="416"/>
      <c r="DI452" s="416"/>
      <c r="DJ452" s="416"/>
      <c r="DK452" s="416"/>
    </row>
    <row r="453" spans="18:115" s="9" customFormat="1">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CR453" s="416"/>
      <c r="CS453" s="416"/>
      <c r="CT453" s="416"/>
      <c r="CU453" s="416"/>
      <c r="CV453" s="416"/>
      <c r="CW453" s="416"/>
      <c r="CX453" s="416"/>
      <c r="CY453" s="416"/>
      <c r="CZ453" s="416"/>
      <c r="DF453" s="416"/>
      <c r="DG453" s="416"/>
      <c r="DH453" s="416"/>
      <c r="DI453" s="416"/>
      <c r="DJ453" s="416"/>
      <c r="DK453" s="416"/>
    </row>
    <row r="454" spans="18:115" s="9" customFormat="1">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CR454" s="416"/>
      <c r="CS454" s="416"/>
      <c r="CT454" s="416"/>
      <c r="CU454" s="416"/>
      <c r="CV454" s="416"/>
      <c r="CW454" s="416"/>
      <c r="CX454" s="416"/>
      <c r="CY454" s="416"/>
      <c r="CZ454" s="416"/>
      <c r="DF454" s="416"/>
      <c r="DG454" s="416"/>
      <c r="DH454" s="416"/>
      <c r="DI454" s="416"/>
      <c r="DJ454" s="416"/>
      <c r="DK454" s="416"/>
    </row>
    <row r="455" spans="18:115" s="9" customFormat="1">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CR455" s="416"/>
      <c r="CS455" s="416"/>
      <c r="CT455" s="416"/>
      <c r="CU455" s="416"/>
      <c r="CV455" s="416"/>
      <c r="CW455" s="416"/>
      <c r="CX455" s="416"/>
      <c r="CY455" s="416"/>
      <c r="CZ455" s="416"/>
      <c r="DF455" s="416"/>
      <c r="DG455" s="416"/>
      <c r="DH455" s="416"/>
      <c r="DI455" s="416"/>
      <c r="DJ455" s="416"/>
      <c r="DK455" s="416"/>
    </row>
    <row r="456" spans="18:115" s="9" customFormat="1">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CR456" s="416"/>
      <c r="CS456" s="416"/>
      <c r="CT456" s="416"/>
      <c r="CU456" s="416"/>
      <c r="CV456" s="416"/>
      <c r="CW456" s="416"/>
      <c r="CX456" s="416"/>
      <c r="CY456" s="416"/>
      <c r="CZ456" s="416"/>
      <c r="DF456" s="416"/>
      <c r="DG456" s="416"/>
      <c r="DH456" s="416"/>
      <c r="DI456" s="416"/>
      <c r="DJ456" s="416"/>
      <c r="DK456" s="416"/>
    </row>
    <row r="457" spans="18:115" s="9" customFormat="1">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CR457" s="416"/>
      <c r="CS457" s="416"/>
      <c r="CT457" s="416"/>
      <c r="CU457" s="416"/>
      <c r="CV457" s="416"/>
      <c r="CW457" s="416"/>
      <c r="CX457" s="416"/>
      <c r="CY457" s="416"/>
      <c r="CZ457" s="416"/>
      <c r="DF457" s="416"/>
      <c r="DG457" s="416"/>
      <c r="DH457" s="416"/>
      <c r="DI457" s="416"/>
      <c r="DJ457" s="416"/>
      <c r="DK457" s="416"/>
    </row>
    <row r="458" spans="18:115" s="9" customFormat="1">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CR458" s="416"/>
      <c r="CS458" s="416"/>
      <c r="CT458" s="416"/>
      <c r="CU458" s="416"/>
      <c r="CV458" s="416"/>
      <c r="CW458" s="416"/>
      <c r="CX458" s="416"/>
      <c r="CY458" s="416"/>
      <c r="CZ458" s="416"/>
      <c r="DF458" s="416"/>
      <c r="DG458" s="416"/>
      <c r="DH458" s="416"/>
      <c r="DI458" s="416"/>
      <c r="DJ458" s="416"/>
      <c r="DK458" s="416"/>
    </row>
    <row r="459" spans="18:115" s="9" customFormat="1">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CR459" s="416"/>
      <c r="CS459" s="416"/>
      <c r="CT459" s="416"/>
      <c r="CU459" s="416"/>
      <c r="CV459" s="416"/>
      <c r="CW459" s="416"/>
      <c r="CX459" s="416"/>
      <c r="CY459" s="416"/>
      <c r="CZ459" s="416"/>
      <c r="DF459" s="416"/>
      <c r="DG459" s="416"/>
      <c r="DH459" s="416"/>
      <c r="DI459" s="416"/>
      <c r="DJ459" s="416"/>
      <c r="DK459" s="416"/>
    </row>
    <row r="460" spans="18:115" s="9" customFormat="1">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CR460" s="416"/>
      <c r="CS460" s="416"/>
      <c r="CT460" s="416"/>
      <c r="CU460" s="416"/>
      <c r="CV460" s="416"/>
      <c r="CW460" s="416"/>
      <c r="CX460" s="416"/>
      <c r="CY460" s="416"/>
      <c r="CZ460" s="416"/>
      <c r="DF460" s="416"/>
      <c r="DG460" s="416"/>
      <c r="DH460" s="416"/>
      <c r="DI460" s="416"/>
      <c r="DJ460" s="416"/>
      <c r="DK460" s="416"/>
    </row>
    <row r="461" spans="18:115" s="9" customFormat="1">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CR461" s="416"/>
      <c r="CS461" s="416"/>
      <c r="CT461" s="416"/>
      <c r="CU461" s="416"/>
      <c r="CV461" s="416"/>
      <c r="CW461" s="416"/>
      <c r="CX461" s="416"/>
      <c r="CY461" s="416"/>
      <c r="CZ461" s="416"/>
      <c r="DF461" s="416"/>
      <c r="DG461" s="416"/>
      <c r="DH461" s="416"/>
      <c r="DI461" s="416"/>
      <c r="DJ461" s="416"/>
      <c r="DK461" s="416"/>
    </row>
    <row r="462" spans="18:115" s="9" customFormat="1">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CR462" s="416"/>
      <c r="CS462" s="416"/>
      <c r="CT462" s="416"/>
      <c r="CU462" s="416"/>
      <c r="CV462" s="416"/>
      <c r="CW462" s="416"/>
      <c r="CX462" s="416"/>
      <c r="CY462" s="416"/>
      <c r="CZ462" s="416"/>
      <c r="DF462" s="416"/>
      <c r="DG462" s="416"/>
      <c r="DH462" s="416"/>
      <c r="DI462" s="416"/>
      <c r="DJ462" s="416"/>
      <c r="DK462" s="416"/>
    </row>
    <row r="463" spans="18:115" s="9" customFormat="1">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CR463" s="416"/>
      <c r="CS463" s="416"/>
      <c r="CT463" s="416"/>
      <c r="CU463" s="416"/>
      <c r="CV463" s="416"/>
      <c r="CW463" s="416"/>
      <c r="CX463" s="416"/>
      <c r="CY463" s="416"/>
      <c r="CZ463" s="416"/>
      <c r="DF463" s="416"/>
      <c r="DG463" s="416"/>
      <c r="DH463" s="416"/>
      <c r="DI463" s="416"/>
      <c r="DJ463" s="416"/>
      <c r="DK463" s="416"/>
    </row>
    <row r="464" spans="18:115" s="9" customFormat="1">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CR464" s="416"/>
      <c r="CS464" s="416"/>
      <c r="CT464" s="416"/>
      <c r="CU464" s="416"/>
      <c r="CV464" s="416"/>
      <c r="CW464" s="416"/>
      <c r="CX464" s="416"/>
      <c r="CY464" s="416"/>
      <c r="CZ464" s="416"/>
      <c r="DF464" s="416"/>
      <c r="DG464" s="416"/>
      <c r="DH464" s="416"/>
      <c r="DI464" s="416"/>
      <c r="DJ464" s="416"/>
      <c r="DK464" s="416"/>
    </row>
    <row r="465" spans="18:115" s="9" customFormat="1">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CR465" s="416"/>
      <c r="CS465" s="416"/>
      <c r="CT465" s="416"/>
      <c r="CU465" s="416"/>
      <c r="CV465" s="416"/>
      <c r="CW465" s="416"/>
      <c r="CX465" s="416"/>
      <c r="CY465" s="416"/>
      <c r="CZ465" s="416"/>
      <c r="DF465" s="416"/>
      <c r="DG465" s="416"/>
      <c r="DH465" s="416"/>
      <c r="DI465" s="416"/>
      <c r="DJ465" s="416"/>
      <c r="DK465" s="416"/>
    </row>
    <row r="466" spans="18:115" s="9" customFormat="1">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CR466" s="416"/>
      <c r="CS466" s="416"/>
      <c r="CT466" s="416"/>
      <c r="CU466" s="416"/>
      <c r="CV466" s="416"/>
      <c r="CW466" s="416"/>
      <c r="CX466" s="416"/>
      <c r="CY466" s="416"/>
      <c r="CZ466" s="416"/>
      <c r="DF466" s="416"/>
      <c r="DG466" s="416"/>
      <c r="DH466" s="416"/>
      <c r="DI466" s="416"/>
      <c r="DJ466" s="416"/>
      <c r="DK466" s="416"/>
    </row>
    <row r="467" spans="18:115" s="9" customFormat="1">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CR467" s="416"/>
      <c r="CS467" s="416"/>
      <c r="CT467" s="416"/>
      <c r="CU467" s="416"/>
      <c r="CV467" s="416"/>
      <c r="CW467" s="416"/>
      <c r="CX467" s="416"/>
      <c r="CY467" s="416"/>
      <c r="CZ467" s="416"/>
      <c r="DF467" s="416"/>
      <c r="DG467" s="416"/>
      <c r="DH467" s="416"/>
      <c r="DI467" s="416"/>
      <c r="DJ467" s="416"/>
      <c r="DK467" s="416"/>
    </row>
    <row r="468" spans="18:115" s="9" customFormat="1">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CR468" s="416"/>
      <c r="CS468" s="416"/>
      <c r="CT468" s="416"/>
      <c r="CU468" s="416"/>
      <c r="CV468" s="416"/>
      <c r="CW468" s="416"/>
      <c r="CX468" s="416"/>
      <c r="CY468" s="416"/>
      <c r="CZ468" s="416"/>
      <c r="DF468" s="416"/>
      <c r="DG468" s="416"/>
      <c r="DH468" s="416"/>
      <c r="DI468" s="416"/>
      <c r="DJ468" s="416"/>
      <c r="DK468" s="416"/>
    </row>
    <row r="469" spans="18:115" s="9" customFormat="1">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CR469" s="416"/>
      <c r="CS469" s="416"/>
      <c r="CT469" s="416"/>
      <c r="CU469" s="416"/>
      <c r="CV469" s="416"/>
      <c r="CW469" s="416"/>
      <c r="CX469" s="416"/>
      <c r="CY469" s="416"/>
      <c r="CZ469" s="416"/>
      <c r="DF469" s="416"/>
      <c r="DG469" s="416"/>
      <c r="DH469" s="416"/>
      <c r="DI469" s="416"/>
      <c r="DJ469" s="416"/>
      <c r="DK469" s="416"/>
    </row>
    <row r="470" spans="18:115" s="9" customFormat="1">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CR470" s="416"/>
      <c r="CS470" s="416"/>
      <c r="CT470" s="416"/>
      <c r="CU470" s="416"/>
      <c r="CV470" s="416"/>
      <c r="CW470" s="416"/>
      <c r="CX470" s="416"/>
      <c r="CY470" s="416"/>
      <c r="CZ470" s="416"/>
      <c r="DF470" s="416"/>
      <c r="DG470" s="416"/>
      <c r="DH470" s="416"/>
      <c r="DI470" s="416"/>
      <c r="DJ470" s="416"/>
      <c r="DK470" s="416"/>
    </row>
    <row r="471" spans="18:115" s="9" customFormat="1">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CR471" s="416"/>
      <c r="CS471" s="416"/>
      <c r="CT471" s="416"/>
      <c r="CU471" s="416"/>
      <c r="CV471" s="416"/>
      <c r="CW471" s="416"/>
      <c r="CX471" s="416"/>
      <c r="CY471" s="416"/>
      <c r="CZ471" s="416"/>
      <c r="DF471" s="416"/>
      <c r="DG471" s="416"/>
      <c r="DH471" s="416"/>
      <c r="DI471" s="416"/>
      <c r="DJ471" s="416"/>
      <c r="DK471" s="416"/>
    </row>
    <row r="472" spans="18:115" s="9" customFormat="1">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CR472" s="416"/>
      <c r="CS472" s="416"/>
      <c r="CT472" s="416"/>
      <c r="CU472" s="416"/>
      <c r="CV472" s="416"/>
      <c r="CW472" s="416"/>
      <c r="CX472" s="416"/>
      <c r="CY472" s="416"/>
      <c r="CZ472" s="416"/>
      <c r="DF472" s="416"/>
      <c r="DG472" s="416"/>
      <c r="DH472" s="416"/>
      <c r="DI472" s="416"/>
      <c r="DJ472" s="416"/>
      <c r="DK472" s="416"/>
    </row>
    <row r="473" spans="18:115" s="9" customFormat="1">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CR473" s="416"/>
      <c r="CS473" s="416"/>
      <c r="CT473" s="416"/>
      <c r="CU473" s="416"/>
      <c r="CV473" s="416"/>
      <c r="CW473" s="416"/>
      <c r="CX473" s="416"/>
      <c r="CY473" s="416"/>
      <c r="CZ473" s="416"/>
      <c r="DF473" s="416"/>
      <c r="DG473" s="416"/>
      <c r="DH473" s="416"/>
      <c r="DI473" s="416"/>
      <c r="DJ473" s="416"/>
      <c r="DK473" s="416"/>
    </row>
    <row r="474" spans="18:115" s="9" customFormat="1">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CR474" s="416"/>
      <c r="CS474" s="416"/>
      <c r="CT474" s="416"/>
      <c r="CU474" s="416"/>
      <c r="CV474" s="416"/>
      <c r="CW474" s="416"/>
      <c r="CX474" s="416"/>
      <c r="CY474" s="416"/>
      <c r="CZ474" s="416"/>
      <c r="DF474" s="416"/>
      <c r="DG474" s="416"/>
      <c r="DH474" s="416"/>
      <c r="DI474" s="416"/>
      <c r="DJ474" s="416"/>
      <c r="DK474" s="416"/>
    </row>
    <row r="475" spans="18:115" s="9" customFormat="1">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CR475" s="416"/>
      <c r="CS475" s="416"/>
      <c r="CT475" s="416"/>
      <c r="CU475" s="416"/>
      <c r="CV475" s="416"/>
      <c r="CW475" s="416"/>
      <c r="CX475" s="416"/>
      <c r="CY475" s="416"/>
      <c r="CZ475" s="416"/>
      <c r="DF475" s="416"/>
      <c r="DG475" s="416"/>
      <c r="DH475" s="416"/>
      <c r="DI475" s="416"/>
      <c r="DJ475" s="416"/>
      <c r="DK475" s="416"/>
    </row>
    <row r="476" spans="18:115" s="9" customFormat="1">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CR476" s="416"/>
      <c r="CS476" s="416"/>
      <c r="CT476" s="416"/>
      <c r="CU476" s="416"/>
      <c r="CV476" s="416"/>
      <c r="CW476" s="416"/>
      <c r="CX476" s="416"/>
      <c r="CY476" s="416"/>
      <c r="CZ476" s="416"/>
      <c r="DF476" s="416"/>
      <c r="DG476" s="416"/>
      <c r="DH476" s="416"/>
      <c r="DI476" s="416"/>
      <c r="DJ476" s="416"/>
      <c r="DK476" s="416"/>
    </row>
    <row r="477" spans="18:115" s="9" customFormat="1">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CR477" s="416"/>
      <c r="CS477" s="416"/>
      <c r="CT477" s="416"/>
      <c r="CU477" s="416"/>
      <c r="CV477" s="416"/>
      <c r="CW477" s="416"/>
      <c r="CX477" s="416"/>
      <c r="CY477" s="416"/>
      <c r="CZ477" s="416"/>
      <c r="DF477" s="416"/>
      <c r="DG477" s="416"/>
      <c r="DH477" s="416"/>
      <c r="DI477" s="416"/>
      <c r="DJ477" s="416"/>
      <c r="DK477" s="416"/>
    </row>
    <row r="478" spans="18:115" s="9" customFormat="1">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CR478" s="416"/>
      <c r="CS478" s="416"/>
      <c r="CT478" s="416"/>
      <c r="CU478" s="416"/>
      <c r="CV478" s="416"/>
      <c r="CW478" s="416"/>
      <c r="CX478" s="416"/>
      <c r="CY478" s="416"/>
      <c r="CZ478" s="416"/>
      <c r="DF478" s="416"/>
      <c r="DG478" s="416"/>
      <c r="DH478" s="416"/>
      <c r="DI478" s="416"/>
      <c r="DJ478" s="416"/>
      <c r="DK478" s="416"/>
    </row>
    <row r="479" spans="18:115" s="9" customFormat="1">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CR479" s="416"/>
      <c r="CS479" s="416"/>
      <c r="CT479" s="416"/>
      <c r="CU479" s="416"/>
      <c r="CV479" s="416"/>
      <c r="CW479" s="416"/>
      <c r="CX479" s="416"/>
      <c r="CY479" s="416"/>
      <c r="CZ479" s="416"/>
      <c r="DF479" s="416"/>
      <c r="DG479" s="416"/>
      <c r="DH479" s="416"/>
      <c r="DI479" s="416"/>
      <c r="DJ479" s="416"/>
      <c r="DK479" s="416"/>
    </row>
    <row r="480" spans="18:115" s="9" customFormat="1">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CR480" s="416"/>
      <c r="CS480" s="416"/>
      <c r="CT480" s="416"/>
      <c r="CU480" s="416"/>
      <c r="CV480" s="416"/>
      <c r="CW480" s="416"/>
      <c r="CX480" s="416"/>
      <c r="CY480" s="416"/>
      <c r="CZ480" s="416"/>
      <c r="DF480" s="416"/>
      <c r="DG480" s="416"/>
      <c r="DH480" s="416"/>
      <c r="DI480" s="416"/>
      <c r="DJ480" s="416"/>
      <c r="DK480" s="416"/>
    </row>
    <row r="481" spans="18:115" s="9" customFormat="1">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CR481" s="416"/>
      <c r="CS481" s="416"/>
      <c r="CT481" s="416"/>
      <c r="CU481" s="416"/>
      <c r="CV481" s="416"/>
      <c r="CW481" s="416"/>
      <c r="CX481" s="416"/>
      <c r="CY481" s="416"/>
      <c r="CZ481" s="416"/>
      <c r="DF481" s="416"/>
      <c r="DG481" s="416"/>
      <c r="DH481" s="416"/>
      <c r="DI481" s="416"/>
      <c r="DJ481" s="416"/>
      <c r="DK481" s="416"/>
    </row>
    <row r="482" spans="18:115" s="9" customFormat="1">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CR482" s="416"/>
      <c r="CS482" s="416"/>
      <c r="CT482" s="416"/>
      <c r="CU482" s="416"/>
      <c r="CV482" s="416"/>
      <c r="CW482" s="416"/>
      <c r="CX482" s="416"/>
      <c r="CY482" s="416"/>
      <c r="CZ482" s="416"/>
      <c r="DF482" s="416"/>
      <c r="DG482" s="416"/>
      <c r="DH482" s="416"/>
      <c r="DI482" s="416"/>
      <c r="DJ482" s="416"/>
      <c r="DK482" s="416"/>
    </row>
    <row r="483" spans="18:115" s="9" customFormat="1">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CR483" s="416"/>
      <c r="CS483" s="416"/>
      <c r="CT483" s="416"/>
      <c r="CU483" s="416"/>
      <c r="CV483" s="416"/>
      <c r="CW483" s="416"/>
      <c r="CX483" s="416"/>
      <c r="CY483" s="416"/>
      <c r="CZ483" s="416"/>
      <c r="DF483" s="416"/>
      <c r="DG483" s="416"/>
      <c r="DH483" s="416"/>
      <c r="DI483" s="416"/>
      <c r="DJ483" s="416"/>
      <c r="DK483" s="416"/>
    </row>
    <row r="484" spans="18:115" s="9" customFormat="1">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CR484" s="416"/>
      <c r="CS484" s="416"/>
      <c r="CT484" s="416"/>
      <c r="CU484" s="416"/>
      <c r="CV484" s="416"/>
      <c r="CW484" s="416"/>
      <c r="CX484" s="416"/>
      <c r="CY484" s="416"/>
      <c r="CZ484" s="416"/>
      <c r="DF484" s="416"/>
      <c r="DG484" s="416"/>
      <c r="DH484" s="416"/>
      <c r="DI484" s="416"/>
      <c r="DJ484" s="416"/>
      <c r="DK484" s="416"/>
    </row>
    <row r="485" spans="18:115" s="9" customFormat="1">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CR485" s="416"/>
      <c r="CS485" s="416"/>
      <c r="CT485" s="416"/>
      <c r="CU485" s="416"/>
      <c r="CV485" s="416"/>
      <c r="CW485" s="416"/>
      <c r="CX485" s="416"/>
      <c r="CY485" s="416"/>
      <c r="CZ485" s="416"/>
      <c r="DF485" s="416"/>
      <c r="DG485" s="416"/>
      <c r="DH485" s="416"/>
      <c r="DI485" s="416"/>
      <c r="DJ485" s="416"/>
      <c r="DK485" s="416"/>
    </row>
    <row r="486" spans="18:115" s="9" customFormat="1">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CR486" s="416"/>
      <c r="CS486" s="416"/>
      <c r="CT486" s="416"/>
      <c r="CU486" s="416"/>
      <c r="CV486" s="416"/>
      <c r="CW486" s="416"/>
      <c r="CX486" s="416"/>
      <c r="CY486" s="416"/>
      <c r="CZ486" s="416"/>
      <c r="DF486" s="416"/>
      <c r="DG486" s="416"/>
      <c r="DH486" s="416"/>
      <c r="DI486" s="416"/>
      <c r="DJ486" s="416"/>
      <c r="DK486" s="416"/>
    </row>
    <row r="487" spans="18:115" s="9" customFormat="1">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CR487" s="416"/>
      <c r="CS487" s="416"/>
      <c r="CT487" s="416"/>
      <c r="CU487" s="416"/>
      <c r="CV487" s="416"/>
      <c r="CW487" s="416"/>
      <c r="CX487" s="416"/>
      <c r="CY487" s="416"/>
      <c r="CZ487" s="416"/>
      <c r="DF487" s="416"/>
      <c r="DG487" s="416"/>
      <c r="DH487" s="416"/>
      <c r="DI487" s="416"/>
      <c r="DJ487" s="416"/>
      <c r="DK487" s="416"/>
    </row>
    <row r="488" spans="18:115" s="9" customFormat="1">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CR488" s="416"/>
      <c r="CS488" s="416"/>
      <c r="CT488" s="416"/>
      <c r="CU488" s="416"/>
      <c r="CV488" s="416"/>
      <c r="CW488" s="416"/>
      <c r="CX488" s="416"/>
      <c r="CY488" s="416"/>
      <c r="CZ488" s="416"/>
      <c r="DF488" s="416"/>
      <c r="DG488" s="416"/>
      <c r="DH488" s="416"/>
      <c r="DI488" s="416"/>
      <c r="DJ488" s="416"/>
      <c r="DK488" s="416"/>
    </row>
    <row r="489" spans="18:115" s="9" customFormat="1">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CR489" s="416"/>
      <c r="CS489" s="416"/>
      <c r="CT489" s="416"/>
      <c r="CU489" s="416"/>
      <c r="CV489" s="416"/>
      <c r="CW489" s="416"/>
      <c r="CX489" s="416"/>
      <c r="CY489" s="416"/>
      <c r="CZ489" s="416"/>
      <c r="DF489" s="416"/>
      <c r="DG489" s="416"/>
      <c r="DH489" s="416"/>
      <c r="DI489" s="416"/>
      <c r="DJ489" s="416"/>
      <c r="DK489" s="416"/>
    </row>
    <row r="490" spans="18:115" s="9" customFormat="1">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CR490" s="416"/>
      <c r="CS490" s="416"/>
      <c r="CT490" s="416"/>
      <c r="CU490" s="416"/>
      <c r="CV490" s="416"/>
      <c r="CW490" s="416"/>
      <c r="CX490" s="416"/>
      <c r="CY490" s="416"/>
      <c r="CZ490" s="416"/>
      <c r="DF490" s="416"/>
      <c r="DG490" s="416"/>
      <c r="DH490" s="416"/>
      <c r="DI490" s="416"/>
      <c r="DJ490" s="416"/>
      <c r="DK490" s="416"/>
    </row>
    <row r="491" spans="18:115" s="9" customFormat="1">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CR491" s="416"/>
      <c r="CS491" s="416"/>
      <c r="CT491" s="416"/>
      <c r="CU491" s="416"/>
      <c r="CV491" s="416"/>
      <c r="CW491" s="416"/>
      <c r="CX491" s="416"/>
      <c r="CY491" s="416"/>
      <c r="CZ491" s="416"/>
      <c r="DF491" s="416"/>
      <c r="DG491" s="416"/>
      <c r="DH491" s="416"/>
      <c r="DI491" s="416"/>
      <c r="DJ491" s="416"/>
      <c r="DK491" s="416"/>
    </row>
    <row r="492" spans="18:115" s="9" customFormat="1">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CR492" s="416"/>
      <c r="CS492" s="416"/>
      <c r="CT492" s="416"/>
      <c r="CU492" s="416"/>
      <c r="CV492" s="416"/>
      <c r="CW492" s="416"/>
      <c r="CX492" s="416"/>
      <c r="CY492" s="416"/>
      <c r="CZ492" s="416"/>
      <c r="DF492" s="416"/>
      <c r="DG492" s="416"/>
      <c r="DH492" s="416"/>
      <c r="DI492" s="416"/>
      <c r="DJ492" s="416"/>
      <c r="DK492" s="416"/>
    </row>
    <row r="493" spans="18:115" s="9" customFormat="1">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CR493" s="416"/>
      <c r="CS493" s="416"/>
      <c r="CT493" s="416"/>
      <c r="CU493" s="416"/>
      <c r="CV493" s="416"/>
      <c r="CW493" s="416"/>
      <c r="CX493" s="416"/>
      <c r="CY493" s="416"/>
      <c r="CZ493" s="416"/>
      <c r="DF493" s="416"/>
      <c r="DG493" s="416"/>
      <c r="DH493" s="416"/>
      <c r="DI493" s="416"/>
      <c r="DJ493" s="416"/>
      <c r="DK493" s="416"/>
    </row>
    <row r="494" spans="18:115" s="9" customFormat="1">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CR494" s="416"/>
      <c r="CS494" s="416"/>
      <c r="CT494" s="416"/>
      <c r="CU494" s="416"/>
      <c r="CV494" s="416"/>
      <c r="CW494" s="416"/>
      <c r="CX494" s="416"/>
      <c r="CY494" s="416"/>
      <c r="CZ494" s="416"/>
      <c r="DF494" s="416"/>
      <c r="DG494" s="416"/>
      <c r="DH494" s="416"/>
      <c r="DI494" s="416"/>
      <c r="DJ494" s="416"/>
      <c r="DK494" s="416"/>
    </row>
    <row r="495" spans="18:115" s="9" customFormat="1">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CR495" s="416"/>
      <c r="CS495" s="416"/>
      <c r="CT495" s="416"/>
      <c r="CU495" s="416"/>
      <c r="CV495" s="416"/>
      <c r="CW495" s="416"/>
      <c r="CX495" s="416"/>
      <c r="CY495" s="416"/>
      <c r="CZ495" s="416"/>
      <c r="DF495" s="416"/>
      <c r="DG495" s="416"/>
      <c r="DH495" s="416"/>
      <c r="DI495" s="416"/>
      <c r="DJ495" s="416"/>
      <c r="DK495" s="416"/>
    </row>
    <row r="496" spans="18:115" s="9" customFormat="1">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CR496" s="416"/>
      <c r="CS496" s="416"/>
      <c r="CT496" s="416"/>
      <c r="CU496" s="416"/>
      <c r="CV496" s="416"/>
      <c r="CW496" s="416"/>
      <c r="CX496" s="416"/>
      <c r="CY496" s="416"/>
      <c r="CZ496" s="416"/>
      <c r="DF496" s="416"/>
      <c r="DG496" s="416"/>
      <c r="DH496" s="416"/>
      <c r="DI496" s="416"/>
      <c r="DJ496" s="416"/>
      <c r="DK496" s="416"/>
    </row>
    <row r="497" spans="18:115" s="9" customFormat="1">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CR497" s="416"/>
      <c r="CS497" s="416"/>
      <c r="CT497" s="416"/>
      <c r="CU497" s="416"/>
      <c r="CV497" s="416"/>
      <c r="CW497" s="416"/>
      <c r="CX497" s="416"/>
      <c r="CY497" s="416"/>
      <c r="CZ497" s="416"/>
      <c r="DF497" s="416"/>
      <c r="DG497" s="416"/>
      <c r="DH497" s="416"/>
      <c r="DI497" s="416"/>
      <c r="DJ497" s="416"/>
      <c r="DK497" s="416"/>
    </row>
    <row r="498" spans="18:115" s="9" customFormat="1">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CR498" s="416"/>
      <c r="CS498" s="416"/>
      <c r="CT498" s="416"/>
      <c r="CU498" s="416"/>
      <c r="CV498" s="416"/>
      <c r="CW498" s="416"/>
      <c r="CX498" s="416"/>
      <c r="CY498" s="416"/>
      <c r="CZ498" s="416"/>
      <c r="DF498" s="416"/>
      <c r="DG498" s="416"/>
      <c r="DH498" s="416"/>
      <c r="DI498" s="416"/>
      <c r="DJ498" s="416"/>
      <c r="DK498" s="416"/>
    </row>
    <row r="499" spans="18:115" s="9" customFormat="1">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CR499" s="416"/>
      <c r="CS499" s="416"/>
      <c r="CT499" s="416"/>
      <c r="CU499" s="416"/>
      <c r="CV499" s="416"/>
      <c r="CW499" s="416"/>
      <c r="CX499" s="416"/>
      <c r="CY499" s="416"/>
      <c r="CZ499" s="416"/>
      <c r="DF499" s="416"/>
      <c r="DG499" s="416"/>
      <c r="DH499" s="416"/>
      <c r="DI499" s="416"/>
      <c r="DJ499" s="416"/>
      <c r="DK499" s="416"/>
    </row>
    <row r="500" spans="18:115" s="9" customFormat="1">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CR500" s="416"/>
      <c r="CS500" s="416"/>
      <c r="CT500" s="416"/>
      <c r="CU500" s="416"/>
      <c r="CV500" s="416"/>
      <c r="CW500" s="416"/>
      <c r="CX500" s="416"/>
      <c r="CY500" s="416"/>
      <c r="CZ500" s="416"/>
      <c r="DF500" s="416"/>
      <c r="DG500" s="416"/>
      <c r="DH500" s="416"/>
      <c r="DI500" s="416"/>
      <c r="DJ500" s="416"/>
      <c r="DK500" s="416"/>
    </row>
    <row r="501" spans="18:115" s="9" customFormat="1">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CR501" s="416"/>
      <c r="CS501" s="416"/>
      <c r="CT501" s="416"/>
      <c r="CU501" s="416"/>
      <c r="CV501" s="416"/>
      <c r="CW501" s="416"/>
      <c r="CX501" s="416"/>
      <c r="CY501" s="416"/>
      <c r="CZ501" s="416"/>
      <c r="DF501" s="416"/>
      <c r="DG501" s="416"/>
      <c r="DH501" s="416"/>
      <c r="DI501" s="416"/>
      <c r="DJ501" s="416"/>
      <c r="DK501" s="416"/>
    </row>
    <row r="502" spans="18:115" s="9" customFormat="1">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CR502" s="416"/>
      <c r="CS502" s="416"/>
      <c r="CT502" s="416"/>
      <c r="CU502" s="416"/>
      <c r="CV502" s="416"/>
      <c r="CW502" s="416"/>
      <c r="CX502" s="416"/>
      <c r="CY502" s="416"/>
      <c r="CZ502" s="416"/>
      <c r="DF502" s="416"/>
      <c r="DG502" s="416"/>
      <c r="DH502" s="416"/>
      <c r="DI502" s="416"/>
      <c r="DJ502" s="416"/>
      <c r="DK502" s="416"/>
    </row>
    <row r="503" spans="18:115" s="9" customFormat="1">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CR503" s="416"/>
      <c r="CS503" s="416"/>
      <c r="CT503" s="416"/>
      <c r="CU503" s="416"/>
      <c r="CV503" s="416"/>
      <c r="CW503" s="416"/>
      <c r="CX503" s="416"/>
      <c r="CY503" s="416"/>
      <c r="CZ503" s="416"/>
      <c r="DF503" s="416"/>
      <c r="DG503" s="416"/>
      <c r="DH503" s="416"/>
      <c r="DI503" s="416"/>
      <c r="DJ503" s="416"/>
      <c r="DK503" s="416"/>
    </row>
    <row r="504" spans="18:115" s="9" customFormat="1">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CR504" s="416"/>
      <c r="CS504" s="416"/>
      <c r="CT504" s="416"/>
      <c r="CU504" s="416"/>
      <c r="CV504" s="416"/>
      <c r="CW504" s="416"/>
      <c r="CX504" s="416"/>
      <c r="CY504" s="416"/>
      <c r="CZ504" s="416"/>
      <c r="DF504" s="416"/>
      <c r="DG504" s="416"/>
      <c r="DH504" s="416"/>
      <c r="DI504" s="416"/>
      <c r="DJ504" s="416"/>
      <c r="DK504" s="416"/>
    </row>
    <row r="505" spans="18:115" s="9" customFormat="1">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CR505" s="416"/>
      <c r="CS505" s="416"/>
      <c r="CT505" s="416"/>
      <c r="CU505" s="416"/>
      <c r="CV505" s="416"/>
      <c r="CW505" s="416"/>
      <c r="CX505" s="416"/>
      <c r="CY505" s="416"/>
      <c r="CZ505" s="416"/>
      <c r="DF505" s="416"/>
      <c r="DG505" s="416"/>
      <c r="DH505" s="416"/>
      <c r="DI505" s="416"/>
      <c r="DJ505" s="416"/>
      <c r="DK505" s="416"/>
    </row>
    <row r="506" spans="18:115" s="9" customFormat="1">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CR506" s="416"/>
      <c r="CS506" s="416"/>
      <c r="CT506" s="416"/>
      <c r="CU506" s="416"/>
      <c r="CV506" s="416"/>
      <c r="CW506" s="416"/>
      <c r="CX506" s="416"/>
      <c r="CY506" s="416"/>
      <c r="CZ506" s="416"/>
      <c r="DF506" s="416"/>
      <c r="DG506" s="416"/>
      <c r="DH506" s="416"/>
      <c r="DI506" s="416"/>
      <c r="DJ506" s="416"/>
      <c r="DK506" s="416"/>
    </row>
    <row r="507" spans="18:115" s="9" customFormat="1">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CR507" s="416"/>
      <c r="CS507" s="416"/>
      <c r="CT507" s="416"/>
      <c r="CU507" s="416"/>
      <c r="CV507" s="416"/>
      <c r="CW507" s="416"/>
      <c r="CX507" s="416"/>
      <c r="CY507" s="416"/>
      <c r="CZ507" s="416"/>
      <c r="DF507" s="416"/>
      <c r="DG507" s="416"/>
      <c r="DH507" s="416"/>
      <c r="DI507" s="416"/>
      <c r="DJ507" s="416"/>
      <c r="DK507" s="416"/>
    </row>
    <row r="508" spans="18:115" s="9" customFormat="1">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CR508" s="416"/>
      <c r="CS508" s="416"/>
      <c r="CT508" s="416"/>
      <c r="CU508" s="416"/>
      <c r="CV508" s="416"/>
      <c r="CW508" s="416"/>
      <c r="CX508" s="416"/>
      <c r="CY508" s="416"/>
      <c r="CZ508" s="416"/>
      <c r="DF508" s="416"/>
      <c r="DG508" s="416"/>
      <c r="DH508" s="416"/>
      <c r="DI508" s="416"/>
      <c r="DJ508" s="416"/>
      <c r="DK508" s="416"/>
    </row>
    <row r="509" spans="18:115" s="9" customFormat="1">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CR509" s="416"/>
      <c r="CS509" s="416"/>
      <c r="CT509" s="416"/>
      <c r="CU509" s="416"/>
      <c r="CV509" s="416"/>
      <c r="CW509" s="416"/>
      <c r="CX509" s="416"/>
      <c r="CY509" s="416"/>
      <c r="CZ509" s="416"/>
      <c r="DF509" s="416"/>
      <c r="DG509" s="416"/>
      <c r="DH509" s="416"/>
      <c r="DI509" s="416"/>
      <c r="DJ509" s="416"/>
      <c r="DK509" s="416"/>
    </row>
    <row r="510" spans="18:115" s="9" customFormat="1">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CR510" s="416"/>
      <c r="CS510" s="416"/>
      <c r="CT510" s="416"/>
      <c r="CU510" s="416"/>
      <c r="CV510" s="416"/>
      <c r="CW510" s="416"/>
      <c r="CX510" s="416"/>
      <c r="CY510" s="416"/>
      <c r="CZ510" s="416"/>
      <c r="DF510" s="416"/>
      <c r="DG510" s="416"/>
      <c r="DH510" s="416"/>
      <c r="DI510" s="416"/>
      <c r="DJ510" s="416"/>
      <c r="DK510" s="416"/>
    </row>
    <row r="511" spans="18:115" s="9" customFormat="1">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CR511" s="416"/>
      <c r="CS511" s="416"/>
      <c r="CT511" s="416"/>
      <c r="CU511" s="416"/>
      <c r="CV511" s="416"/>
      <c r="CW511" s="416"/>
      <c r="CX511" s="416"/>
      <c r="CY511" s="416"/>
      <c r="CZ511" s="416"/>
      <c r="DF511" s="416"/>
      <c r="DG511" s="416"/>
      <c r="DH511" s="416"/>
      <c r="DI511" s="416"/>
      <c r="DJ511" s="416"/>
      <c r="DK511" s="416"/>
    </row>
    <row r="512" spans="18:115" s="9" customFormat="1">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CR512" s="416"/>
      <c r="CS512" s="416"/>
      <c r="CT512" s="416"/>
      <c r="CU512" s="416"/>
      <c r="CV512" s="416"/>
      <c r="CW512" s="416"/>
      <c r="CX512" s="416"/>
      <c r="CY512" s="416"/>
      <c r="CZ512" s="416"/>
      <c r="DF512" s="416"/>
      <c r="DG512" s="416"/>
      <c r="DH512" s="416"/>
      <c r="DI512" s="416"/>
      <c r="DJ512" s="416"/>
      <c r="DK512" s="416"/>
    </row>
    <row r="513" spans="18:115" s="9" customFormat="1">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CR513" s="416"/>
      <c r="CS513" s="416"/>
      <c r="CT513" s="416"/>
      <c r="CU513" s="416"/>
      <c r="CV513" s="416"/>
      <c r="CW513" s="416"/>
      <c r="CX513" s="416"/>
      <c r="CY513" s="416"/>
      <c r="CZ513" s="416"/>
      <c r="DF513" s="416"/>
      <c r="DG513" s="416"/>
      <c r="DH513" s="416"/>
      <c r="DI513" s="416"/>
      <c r="DJ513" s="416"/>
      <c r="DK513" s="416"/>
    </row>
    <row r="514" spans="18:115" s="9" customFormat="1">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CR514" s="416"/>
      <c r="CS514" s="416"/>
      <c r="CT514" s="416"/>
      <c r="CU514" s="416"/>
      <c r="CV514" s="416"/>
      <c r="CW514" s="416"/>
      <c r="CX514" s="416"/>
      <c r="CY514" s="416"/>
      <c r="CZ514" s="416"/>
      <c r="DF514" s="416"/>
      <c r="DG514" s="416"/>
      <c r="DH514" s="416"/>
      <c r="DI514" s="416"/>
      <c r="DJ514" s="416"/>
      <c r="DK514" s="416"/>
    </row>
    <row r="515" spans="18:115" s="9" customFormat="1">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CR515" s="416"/>
      <c r="CS515" s="416"/>
      <c r="CT515" s="416"/>
      <c r="CU515" s="416"/>
      <c r="CV515" s="416"/>
      <c r="CW515" s="416"/>
      <c r="CX515" s="416"/>
      <c r="CY515" s="416"/>
      <c r="CZ515" s="416"/>
      <c r="DF515" s="416"/>
      <c r="DG515" s="416"/>
      <c r="DH515" s="416"/>
      <c r="DI515" s="416"/>
      <c r="DJ515" s="416"/>
      <c r="DK515" s="416"/>
    </row>
    <row r="516" spans="18:115" s="9" customFormat="1">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CR516" s="416"/>
      <c r="CS516" s="416"/>
      <c r="CT516" s="416"/>
      <c r="CU516" s="416"/>
      <c r="CV516" s="416"/>
      <c r="CW516" s="416"/>
      <c r="CX516" s="416"/>
      <c r="CY516" s="416"/>
      <c r="CZ516" s="416"/>
      <c r="DF516" s="416"/>
      <c r="DG516" s="416"/>
      <c r="DH516" s="416"/>
      <c r="DI516" s="416"/>
      <c r="DJ516" s="416"/>
      <c r="DK516" s="416"/>
    </row>
    <row r="517" spans="18:115" s="9" customFormat="1">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CR517" s="416"/>
      <c r="CS517" s="416"/>
      <c r="CT517" s="416"/>
      <c r="CU517" s="416"/>
      <c r="CV517" s="416"/>
      <c r="CW517" s="416"/>
      <c r="CX517" s="416"/>
      <c r="CY517" s="416"/>
      <c r="CZ517" s="416"/>
      <c r="DF517" s="416"/>
      <c r="DG517" s="416"/>
      <c r="DH517" s="416"/>
      <c r="DI517" s="416"/>
      <c r="DJ517" s="416"/>
      <c r="DK517" s="416"/>
    </row>
    <row r="518" spans="18:115" s="9" customFormat="1">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CR518" s="416"/>
      <c r="CS518" s="416"/>
      <c r="CT518" s="416"/>
      <c r="CU518" s="416"/>
      <c r="CV518" s="416"/>
      <c r="CW518" s="416"/>
      <c r="CX518" s="416"/>
      <c r="CY518" s="416"/>
      <c r="CZ518" s="416"/>
      <c r="DF518" s="416"/>
      <c r="DG518" s="416"/>
      <c r="DH518" s="416"/>
      <c r="DI518" s="416"/>
      <c r="DJ518" s="416"/>
      <c r="DK518" s="416"/>
    </row>
    <row r="519" spans="18:115" s="9" customFormat="1">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CR519" s="416"/>
      <c r="CS519" s="416"/>
      <c r="CT519" s="416"/>
      <c r="CU519" s="416"/>
      <c r="CV519" s="416"/>
      <c r="CW519" s="416"/>
      <c r="CX519" s="416"/>
      <c r="CY519" s="416"/>
      <c r="CZ519" s="416"/>
      <c r="DF519" s="416"/>
      <c r="DG519" s="416"/>
      <c r="DH519" s="416"/>
      <c r="DI519" s="416"/>
      <c r="DJ519" s="416"/>
      <c r="DK519" s="416"/>
    </row>
    <row r="520" spans="18:115" s="9" customFormat="1">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CR520" s="416"/>
      <c r="CS520" s="416"/>
      <c r="CT520" s="416"/>
      <c r="CU520" s="416"/>
      <c r="CV520" s="416"/>
      <c r="CW520" s="416"/>
      <c r="CX520" s="416"/>
      <c r="CY520" s="416"/>
      <c r="CZ520" s="416"/>
      <c r="DF520" s="416"/>
      <c r="DG520" s="416"/>
      <c r="DH520" s="416"/>
      <c r="DI520" s="416"/>
      <c r="DJ520" s="416"/>
      <c r="DK520" s="416"/>
    </row>
    <row r="521" spans="18:115" s="9" customFormat="1">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CR521" s="416"/>
      <c r="CS521" s="416"/>
      <c r="CT521" s="416"/>
      <c r="CU521" s="416"/>
      <c r="CV521" s="416"/>
      <c r="CW521" s="416"/>
      <c r="CX521" s="416"/>
      <c r="CY521" s="416"/>
      <c r="CZ521" s="416"/>
      <c r="DF521" s="416"/>
      <c r="DG521" s="416"/>
      <c r="DH521" s="416"/>
      <c r="DI521" s="416"/>
      <c r="DJ521" s="416"/>
      <c r="DK521" s="416"/>
    </row>
    <row r="522" spans="18:115" s="9" customFormat="1">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CR522" s="416"/>
      <c r="CS522" s="416"/>
      <c r="CT522" s="416"/>
      <c r="CU522" s="416"/>
      <c r="CV522" s="416"/>
      <c r="CW522" s="416"/>
      <c r="CX522" s="416"/>
      <c r="CY522" s="416"/>
      <c r="CZ522" s="416"/>
      <c r="DF522" s="416"/>
      <c r="DG522" s="416"/>
      <c r="DH522" s="416"/>
      <c r="DI522" s="416"/>
      <c r="DJ522" s="416"/>
      <c r="DK522" s="416"/>
    </row>
    <row r="523" spans="18:115" s="9" customFormat="1">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CR523" s="416"/>
      <c r="CS523" s="416"/>
      <c r="CT523" s="416"/>
      <c r="CU523" s="416"/>
      <c r="CV523" s="416"/>
      <c r="CW523" s="416"/>
      <c r="CX523" s="416"/>
      <c r="CY523" s="416"/>
      <c r="CZ523" s="416"/>
      <c r="DF523" s="416"/>
      <c r="DG523" s="416"/>
      <c r="DH523" s="416"/>
      <c r="DI523" s="416"/>
      <c r="DJ523" s="416"/>
      <c r="DK523" s="416"/>
    </row>
    <row r="524" spans="18:115" s="9" customFormat="1">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CR524" s="416"/>
      <c r="CS524" s="416"/>
      <c r="CT524" s="416"/>
      <c r="CU524" s="416"/>
      <c r="CV524" s="416"/>
      <c r="CW524" s="416"/>
      <c r="CX524" s="416"/>
      <c r="CY524" s="416"/>
      <c r="CZ524" s="416"/>
      <c r="DF524" s="416"/>
      <c r="DG524" s="416"/>
      <c r="DH524" s="416"/>
      <c r="DI524" s="416"/>
      <c r="DJ524" s="416"/>
      <c r="DK524" s="416"/>
    </row>
    <row r="525" spans="18:115" s="9" customFormat="1">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CR525" s="416"/>
      <c r="CS525" s="416"/>
      <c r="CT525" s="416"/>
      <c r="CU525" s="416"/>
      <c r="CV525" s="416"/>
      <c r="CW525" s="416"/>
      <c r="CX525" s="416"/>
      <c r="CY525" s="416"/>
      <c r="CZ525" s="416"/>
      <c r="DF525" s="416"/>
      <c r="DG525" s="416"/>
      <c r="DH525" s="416"/>
      <c r="DI525" s="416"/>
      <c r="DJ525" s="416"/>
      <c r="DK525" s="416"/>
    </row>
    <row r="526" spans="18:115" s="9" customFormat="1">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CR526" s="416"/>
      <c r="CS526" s="416"/>
      <c r="CT526" s="416"/>
      <c r="CU526" s="416"/>
      <c r="CV526" s="416"/>
      <c r="CW526" s="416"/>
      <c r="CX526" s="416"/>
      <c r="CY526" s="416"/>
      <c r="CZ526" s="416"/>
      <c r="DF526" s="416"/>
      <c r="DG526" s="416"/>
      <c r="DH526" s="416"/>
      <c r="DI526" s="416"/>
      <c r="DJ526" s="416"/>
      <c r="DK526" s="416"/>
    </row>
    <row r="527" spans="18:115" s="9" customFormat="1">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CR527" s="416"/>
      <c r="CS527" s="416"/>
      <c r="CT527" s="416"/>
      <c r="CU527" s="416"/>
      <c r="CV527" s="416"/>
      <c r="CW527" s="416"/>
      <c r="CX527" s="416"/>
      <c r="CY527" s="416"/>
      <c r="CZ527" s="416"/>
      <c r="DF527" s="416"/>
      <c r="DG527" s="416"/>
      <c r="DH527" s="416"/>
      <c r="DI527" s="416"/>
      <c r="DJ527" s="416"/>
      <c r="DK527" s="416"/>
    </row>
    <row r="528" spans="18:115" s="9" customFormat="1">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CR528" s="416"/>
      <c r="CS528" s="416"/>
      <c r="CT528" s="416"/>
      <c r="CU528" s="416"/>
      <c r="CV528" s="416"/>
      <c r="CW528" s="416"/>
      <c r="CX528" s="416"/>
      <c r="CY528" s="416"/>
      <c r="CZ528" s="416"/>
      <c r="DF528" s="416"/>
      <c r="DG528" s="416"/>
      <c r="DH528" s="416"/>
      <c r="DI528" s="416"/>
      <c r="DJ528" s="416"/>
      <c r="DK528" s="416"/>
    </row>
    <row r="529" spans="18:115" s="9" customFormat="1">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CR529" s="416"/>
      <c r="CS529" s="416"/>
      <c r="CT529" s="416"/>
      <c r="CU529" s="416"/>
      <c r="CV529" s="416"/>
      <c r="CW529" s="416"/>
      <c r="CX529" s="416"/>
      <c r="CY529" s="416"/>
      <c r="CZ529" s="416"/>
      <c r="DF529" s="416"/>
      <c r="DG529" s="416"/>
      <c r="DH529" s="416"/>
      <c r="DI529" s="416"/>
      <c r="DJ529" s="416"/>
      <c r="DK529" s="416"/>
    </row>
    <row r="530" spans="18:115" s="9" customFormat="1">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CR530" s="416"/>
      <c r="CS530" s="416"/>
      <c r="CT530" s="416"/>
      <c r="CU530" s="416"/>
      <c r="CV530" s="416"/>
      <c r="CW530" s="416"/>
      <c r="CX530" s="416"/>
      <c r="CY530" s="416"/>
      <c r="CZ530" s="416"/>
      <c r="DF530" s="416"/>
      <c r="DG530" s="416"/>
      <c r="DH530" s="416"/>
      <c r="DI530" s="416"/>
      <c r="DJ530" s="416"/>
      <c r="DK530" s="416"/>
    </row>
    <row r="531" spans="18:115" s="9" customFormat="1">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CR531" s="416"/>
      <c r="CS531" s="416"/>
      <c r="CT531" s="416"/>
      <c r="CU531" s="416"/>
      <c r="CV531" s="416"/>
      <c r="CW531" s="416"/>
      <c r="CX531" s="416"/>
      <c r="CY531" s="416"/>
      <c r="CZ531" s="416"/>
      <c r="DF531" s="416"/>
      <c r="DG531" s="416"/>
      <c r="DH531" s="416"/>
      <c r="DI531" s="416"/>
      <c r="DJ531" s="416"/>
      <c r="DK531" s="416"/>
    </row>
    <row r="532" spans="18:115" s="9" customFormat="1">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CR532" s="416"/>
      <c r="CS532" s="416"/>
      <c r="CT532" s="416"/>
      <c r="CU532" s="416"/>
      <c r="CV532" s="416"/>
      <c r="CW532" s="416"/>
      <c r="CX532" s="416"/>
      <c r="CY532" s="416"/>
      <c r="CZ532" s="416"/>
      <c r="DF532" s="416"/>
      <c r="DG532" s="416"/>
      <c r="DH532" s="416"/>
      <c r="DI532" s="416"/>
      <c r="DJ532" s="416"/>
      <c r="DK532" s="416"/>
    </row>
    <row r="533" spans="18:115" s="9" customFormat="1">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CR533" s="416"/>
      <c r="CS533" s="416"/>
      <c r="CT533" s="416"/>
      <c r="CU533" s="416"/>
      <c r="CV533" s="416"/>
      <c r="CW533" s="416"/>
      <c r="CX533" s="416"/>
      <c r="CY533" s="416"/>
      <c r="CZ533" s="416"/>
      <c r="DF533" s="416"/>
      <c r="DG533" s="416"/>
      <c r="DH533" s="416"/>
      <c r="DI533" s="416"/>
      <c r="DJ533" s="416"/>
      <c r="DK533" s="416"/>
    </row>
    <row r="534" spans="18:115" s="9" customFormat="1">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CR534" s="416"/>
      <c r="CS534" s="416"/>
      <c r="CT534" s="416"/>
      <c r="CU534" s="416"/>
      <c r="CV534" s="416"/>
      <c r="CW534" s="416"/>
      <c r="CX534" s="416"/>
      <c r="CY534" s="416"/>
      <c r="CZ534" s="416"/>
      <c r="DF534" s="416"/>
      <c r="DG534" s="416"/>
      <c r="DH534" s="416"/>
      <c r="DI534" s="416"/>
      <c r="DJ534" s="416"/>
      <c r="DK534" s="416"/>
    </row>
    <row r="535" spans="18:115" s="9" customFormat="1">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CR535" s="416"/>
      <c r="CS535" s="416"/>
      <c r="CT535" s="416"/>
      <c r="CU535" s="416"/>
      <c r="CV535" s="416"/>
      <c r="CW535" s="416"/>
      <c r="CX535" s="416"/>
      <c r="CY535" s="416"/>
      <c r="CZ535" s="416"/>
      <c r="DF535" s="416"/>
      <c r="DG535" s="416"/>
      <c r="DH535" s="416"/>
      <c r="DI535" s="416"/>
      <c r="DJ535" s="416"/>
      <c r="DK535" s="416"/>
    </row>
    <row r="536" spans="18:115" s="9" customFormat="1">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CR536" s="416"/>
      <c r="CS536" s="416"/>
      <c r="CT536" s="416"/>
      <c r="CU536" s="416"/>
      <c r="CV536" s="416"/>
      <c r="CW536" s="416"/>
      <c r="CX536" s="416"/>
      <c r="CY536" s="416"/>
      <c r="CZ536" s="416"/>
      <c r="DF536" s="416"/>
      <c r="DG536" s="416"/>
      <c r="DH536" s="416"/>
      <c r="DI536" s="416"/>
      <c r="DJ536" s="416"/>
      <c r="DK536" s="416"/>
    </row>
    <row r="537" spans="18:115" s="9" customFormat="1">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CR537" s="416"/>
      <c r="CS537" s="416"/>
      <c r="CT537" s="416"/>
      <c r="CU537" s="416"/>
      <c r="CV537" s="416"/>
      <c r="CW537" s="416"/>
      <c r="CX537" s="416"/>
      <c r="CY537" s="416"/>
      <c r="CZ537" s="416"/>
      <c r="DF537" s="416"/>
      <c r="DG537" s="416"/>
      <c r="DH537" s="416"/>
      <c r="DI537" s="416"/>
      <c r="DJ537" s="416"/>
      <c r="DK537" s="416"/>
    </row>
    <row r="538" spans="18:115" s="9" customFormat="1">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CR538" s="416"/>
      <c r="CS538" s="416"/>
      <c r="CT538" s="416"/>
      <c r="CU538" s="416"/>
      <c r="CV538" s="416"/>
      <c r="CW538" s="416"/>
      <c r="CX538" s="416"/>
      <c r="CY538" s="416"/>
      <c r="CZ538" s="416"/>
      <c r="DF538" s="416"/>
      <c r="DG538" s="416"/>
      <c r="DH538" s="416"/>
      <c r="DI538" s="416"/>
      <c r="DJ538" s="416"/>
      <c r="DK538" s="416"/>
    </row>
    <row r="539" spans="18:115" s="9" customFormat="1">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CR539" s="416"/>
      <c r="CS539" s="416"/>
      <c r="CT539" s="416"/>
      <c r="CU539" s="416"/>
      <c r="CV539" s="416"/>
      <c r="CW539" s="416"/>
      <c r="CX539" s="416"/>
      <c r="CY539" s="416"/>
      <c r="CZ539" s="416"/>
      <c r="DF539" s="416"/>
      <c r="DG539" s="416"/>
      <c r="DH539" s="416"/>
      <c r="DI539" s="416"/>
      <c r="DJ539" s="416"/>
      <c r="DK539" s="416"/>
    </row>
    <row r="540" spans="18:115" s="9" customFormat="1">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CR540" s="416"/>
      <c r="CS540" s="416"/>
      <c r="CT540" s="416"/>
      <c r="CU540" s="416"/>
      <c r="CV540" s="416"/>
      <c r="CW540" s="416"/>
      <c r="CX540" s="416"/>
      <c r="CY540" s="416"/>
      <c r="CZ540" s="416"/>
      <c r="DF540" s="416"/>
      <c r="DG540" s="416"/>
      <c r="DH540" s="416"/>
      <c r="DI540" s="416"/>
      <c r="DJ540" s="416"/>
      <c r="DK540" s="416"/>
    </row>
    <row r="541" spans="18:115" s="9" customFormat="1">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CR541" s="416"/>
      <c r="CS541" s="416"/>
      <c r="CT541" s="416"/>
      <c r="CU541" s="416"/>
      <c r="CV541" s="416"/>
      <c r="CW541" s="416"/>
      <c r="CX541" s="416"/>
      <c r="CY541" s="416"/>
      <c r="CZ541" s="416"/>
      <c r="DF541" s="416"/>
      <c r="DG541" s="416"/>
      <c r="DH541" s="416"/>
      <c r="DI541" s="416"/>
      <c r="DJ541" s="416"/>
      <c r="DK541" s="416"/>
    </row>
    <row r="542" spans="18:115" s="9" customFormat="1">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CR542" s="416"/>
      <c r="CS542" s="416"/>
      <c r="CT542" s="416"/>
      <c r="CU542" s="416"/>
      <c r="CV542" s="416"/>
      <c r="CW542" s="416"/>
      <c r="CX542" s="416"/>
      <c r="CY542" s="416"/>
      <c r="CZ542" s="416"/>
      <c r="DF542" s="416"/>
      <c r="DG542" s="416"/>
      <c r="DH542" s="416"/>
      <c r="DI542" s="416"/>
      <c r="DJ542" s="416"/>
      <c r="DK542" s="416"/>
    </row>
    <row r="543" spans="18:115" s="9" customFormat="1">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CR543" s="416"/>
      <c r="CS543" s="416"/>
      <c r="CT543" s="416"/>
      <c r="CU543" s="416"/>
      <c r="CV543" s="416"/>
      <c r="CW543" s="416"/>
      <c r="CX543" s="416"/>
      <c r="CY543" s="416"/>
      <c r="CZ543" s="416"/>
      <c r="DF543" s="416"/>
      <c r="DG543" s="416"/>
      <c r="DH543" s="416"/>
      <c r="DI543" s="416"/>
      <c r="DJ543" s="416"/>
      <c r="DK543" s="416"/>
    </row>
    <row r="544" spans="18:115" s="9" customFormat="1">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CR544" s="416"/>
      <c r="CS544" s="416"/>
      <c r="CT544" s="416"/>
      <c r="CU544" s="416"/>
      <c r="CV544" s="416"/>
      <c r="CW544" s="416"/>
      <c r="CX544" s="416"/>
      <c r="CY544" s="416"/>
      <c r="CZ544" s="416"/>
      <c r="DF544" s="416"/>
      <c r="DG544" s="416"/>
      <c r="DH544" s="416"/>
      <c r="DI544" s="416"/>
      <c r="DJ544" s="416"/>
      <c r="DK544" s="416"/>
    </row>
    <row r="545" spans="18:115" s="9" customFormat="1">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CR545" s="416"/>
      <c r="CS545" s="416"/>
      <c r="CT545" s="416"/>
      <c r="CU545" s="416"/>
      <c r="CV545" s="416"/>
      <c r="CW545" s="416"/>
      <c r="CX545" s="416"/>
      <c r="CY545" s="416"/>
      <c r="CZ545" s="416"/>
      <c r="DF545" s="416"/>
      <c r="DG545" s="416"/>
      <c r="DH545" s="416"/>
      <c r="DI545" s="416"/>
      <c r="DJ545" s="416"/>
      <c r="DK545" s="416"/>
    </row>
    <row r="546" spans="18:115" s="9" customFormat="1">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CR546" s="416"/>
      <c r="CS546" s="416"/>
      <c r="CT546" s="416"/>
      <c r="CU546" s="416"/>
      <c r="CV546" s="416"/>
      <c r="CW546" s="416"/>
      <c r="CX546" s="416"/>
      <c r="CY546" s="416"/>
      <c r="CZ546" s="416"/>
      <c r="DF546" s="416"/>
      <c r="DG546" s="416"/>
      <c r="DH546" s="416"/>
      <c r="DI546" s="416"/>
      <c r="DJ546" s="416"/>
      <c r="DK546" s="416"/>
    </row>
    <row r="547" spans="18:115" s="9" customFormat="1">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CR547" s="416"/>
      <c r="CS547" s="416"/>
      <c r="CT547" s="416"/>
      <c r="CU547" s="416"/>
      <c r="CV547" s="416"/>
      <c r="CW547" s="416"/>
      <c r="CX547" s="416"/>
      <c r="CY547" s="416"/>
      <c r="CZ547" s="416"/>
      <c r="DF547" s="416"/>
      <c r="DG547" s="416"/>
      <c r="DH547" s="416"/>
      <c r="DI547" s="416"/>
      <c r="DJ547" s="416"/>
      <c r="DK547" s="416"/>
    </row>
    <row r="548" spans="18:115" s="9" customFormat="1">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CR548" s="416"/>
      <c r="CS548" s="416"/>
      <c r="CT548" s="416"/>
      <c r="CU548" s="416"/>
      <c r="CV548" s="416"/>
      <c r="CW548" s="416"/>
      <c r="CX548" s="416"/>
      <c r="CY548" s="416"/>
      <c r="CZ548" s="416"/>
      <c r="DF548" s="416"/>
      <c r="DG548" s="416"/>
      <c r="DH548" s="416"/>
      <c r="DI548" s="416"/>
      <c r="DJ548" s="416"/>
      <c r="DK548" s="416"/>
    </row>
    <row r="549" spans="18:115" s="9" customFormat="1">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CR549" s="416"/>
      <c r="CS549" s="416"/>
      <c r="CT549" s="416"/>
      <c r="CU549" s="416"/>
      <c r="CV549" s="416"/>
      <c r="CW549" s="416"/>
      <c r="CX549" s="416"/>
      <c r="CY549" s="416"/>
      <c r="CZ549" s="416"/>
      <c r="DF549" s="416"/>
      <c r="DG549" s="416"/>
      <c r="DH549" s="416"/>
      <c r="DI549" s="416"/>
      <c r="DJ549" s="416"/>
      <c r="DK549" s="416"/>
    </row>
    <row r="550" spans="18:115" s="9" customFormat="1">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CR550" s="416"/>
      <c r="CS550" s="416"/>
      <c r="CT550" s="416"/>
      <c r="CU550" s="416"/>
      <c r="CV550" s="416"/>
      <c r="CW550" s="416"/>
      <c r="CX550" s="416"/>
      <c r="CY550" s="416"/>
      <c r="CZ550" s="416"/>
      <c r="DF550" s="416"/>
      <c r="DG550" s="416"/>
      <c r="DH550" s="416"/>
      <c r="DI550" s="416"/>
      <c r="DJ550" s="416"/>
      <c r="DK550" s="416"/>
    </row>
    <row r="551" spans="18:115" s="9" customFormat="1">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CR551" s="416"/>
      <c r="CS551" s="416"/>
      <c r="CT551" s="416"/>
      <c r="CU551" s="416"/>
      <c r="CV551" s="416"/>
      <c r="CW551" s="416"/>
      <c r="CX551" s="416"/>
      <c r="CY551" s="416"/>
      <c r="CZ551" s="416"/>
      <c r="DF551" s="416"/>
      <c r="DG551" s="416"/>
      <c r="DH551" s="416"/>
      <c r="DI551" s="416"/>
      <c r="DJ551" s="416"/>
      <c r="DK551" s="416"/>
    </row>
    <row r="552" spans="18:115" s="9" customFormat="1">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CR552" s="416"/>
      <c r="CS552" s="416"/>
      <c r="CT552" s="416"/>
      <c r="CU552" s="416"/>
      <c r="CV552" s="416"/>
      <c r="CW552" s="416"/>
      <c r="CX552" s="416"/>
      <c r="CY552" s="416"/>
      <c r="CZ552" s="416"/>
      <c r="DF552" s="416"/>
      <c r="DG552" s="416"/>
      <c r="DH552" s="416"/>
      <c r="DI552" s="416"/>
      <c r="DJ552" s="416"/>
      <c r="DK552" s="416"/>
    </row>
    <row r="553" spans="18:115" s="9" customFormat="1">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CR553" s="416"/>
      <c r="CS553" s="416"/>
      <c r="CT553" s="416"/>
      <c r="CU553" s="416"/>
      <c r="CV553" s="416"/>
      <c r="CW553" s="416"/>
      <c r="CX553" s="416"/>
      <c r="CY553" s="416"/>
      <c r="CZ553" s="416"/>
      <c r="DF553" s="416"/>
      <c r="DG553" s="416"/>
      <c r="DH553" s="416"/>
      <c r="DI553" s="416"/>
      <c r="DJ553" s="416"/>
      <c r="DK553" s="416"/>
    </row>
    <row r="554" spans="18:115" s="9" customFormat="1">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CR554" s="416"/>
      <c r="CS554" s="416"/>
      <c r="CT554" s="416"/>
      <c r="CU554" s="416"/>
      <c r="CV554" s="416"/>
      <c r="CW554" s="416"/>
      <c r="CX554" s="416"/>
      <c r="CY554" s="416"/>
      <c r="CZ554" s="416"/>
      <c r="DF554" s="416"/>
      <c r="DG554" s="416"/>
      <c r="DH554" s="416"/>
      <c r="DI554" s="416"/>
      <c r="DJ554" s="416"/>
      <c r="DK554" s="416"/>
    </row>
    <row r="555" spans="18:115" s="9" customFormat="1">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CR555" s="416"/>
      <c r="CS555" s="416"/>
      <c r="CT555" s="416"/>
      <c r="CU555" s="416"/>
      <c r="CV555" s="416"/>
      <c r="CW555" s="416"/>
      <c r="CX555" s="416"/>
      <c r="CY555" s="416"/>
      <c r="CZ555" s="416"/>
      <c r="DF555" s="416"/>
      <c r="DG555" s="416"/>
      <c r="DH555" s="416"/>
      <c r="DI555" s="416"/>
      <c r="DJ555" s="416"/>
      <c r="DK555" s="416"/>
    </row>
    <row r="556" spans="18:115" s="9" customFormat="1">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CR556" s="416"/>
      <c r="CS556" s="416"/>
      <c r="CT556" s="416"/>
      <c r="CU556" s="416"/>
      <c r="CV556" s="416"/>
      <c r="CW556" s="416"/>
      <c r="CX556" s="416"/>
      <c r="CY556" s="416"/>
      <c r="CZ556" s="416"/>
      <c r="DF556" s="416"/>
      <c r="DG556" s="416"/>
      <c r="DH556" s="416"/>
      <c r="DI556" s="416"/>
      <c r="DJ556" s="416"/>
      <c r="DK556" s="416"/>
    </row>
    <row r="557" spans="18:115" s="9" customFormat="1">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CR557" s="416"/>
      <c r="CS557" s="416"/>
      <c r="CT557" s="416"/>
      <c r="CU557" s="416"/>
      <c r="CV557" s="416"/>
      <c r="CW557" s="416"/>
      <c r="CX557" s="416"/>
      <c r="CY557" s="416"/>
      <c r="CZ557" s="416"/>
      <c r="DF557" s="416"/>
      <c r="DG557" s="416"/>
      <c r="DH557" s="416"/>
      <c r="DI557" s="416"/>
      <c r="DJ557" s="416"/>
      <c r="DK557" s="416"/>
    </row>
    <row r="558" spans="18:115" s="9" customFormat="1">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CR558" s="416"/>
      <c r="CS558" s="416"/>
      <c r="CT558" s="416"/>
      <c r="CU558" s="416"/>
      <c r="CV558" s="416"/>
      <c r="CW558" s="416"/>
      <c r="CX558" s="416"/>
      <c r="CY558" s="416"/>
      <c r="CZ558" s="416"/>
      <c r="DF558" s="416"/>
      <c r="DG558" s="416"/>
      <c r="DH558" s="416"/>
      <c r="DI558" s="416"/>
      <c r="DJ558" s="416"/>
      <c r="DK558" s="416"/>
    </row>
    <row r="559" spans="18:115" s="9" customFormat="1">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CR559" s="416"/>
      <c r="CS559" s="416"/>
      <c r="CT559" s="416"/>
      <c r="CU559" s="416"/>
      <c r="CV559" s="416"/>
      <c r="CW559" s="416"/>
      <c r="CX559" s="416"/>
      <c r="CY559" s="416"/>
      <c r="CZ559" s="416"/>
      <c r="DF559" s="416"/>
      <c r="DG559" s="416"/>
      <c r="DH559" s="416"/>
      <c r="DI559" s="416"/>
      <c r="DJ559" s="416"/>
      <c r="DK559" s="416"/>
    </row>
    <row r="560" spans="18:115" s="9" customFormat="1">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CR560" s="416"/>
      <c r="CS560" s="416"/>
      <c r="CT560" s="416"/>
      <c r="CU560" s="416"/>
      <c r="CV560" s="416"/>
      <c r="CW560" s="416"/>
      <c r="CX560" s="416"/>
      <c r="CY560" s="416"/>
      <c r="CZ560" s="416"/>
      <c r="DF560" s="416"/>
      <c r="DG560" s="416"/>
      <c r="DH560" s="416"/>
      <c r="DI560" s="416"/>
      <c r="DJ560" s="416"/>
      <c r="DK560" s="416"/>
    </row>
    <row r="561" spans="18:115" s="9" customFormat="1">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CR561" s="416"/>
      <c r="CS561" s="416"/>
      <c r="CT561" s="416"/>
      <c r="CU561" s="416"/>
      <c r="CV561" s="416"/>
      <c r="CW561" s="416"/>
      <c r="CX561" s="416"/>
      <c r="CY561" s="416"/>
      <c r="CZ561" s="416"/>
      <c r="DF561" s="416"/>
      <c r="DG561" s="416"/>
      <c r="DH561" s="416"/>
      <c r="DI561" s="416"/>
      <c r="DJ561" s="416"/>
      <c r="DK561" s="416"/>
    </row>
    <row r="562" spans="18:115" s="9" customFormat="1">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CR562" s="416"/>
      <c r="CS562" s="416"/>
      <c r="CT562" s="416"/>
      <c r="CU562" s="416"/>
      <c r="CV562" s="416"/>
      <c r="CW562" s="416"/>
      <c r="CX562" s="416"/>
      <c r="CY562" s="416"/>
      <c r="CZ562" s="416"/>
      <c r="DF562" s="416"/>
      <c r="DG562" s="416"/>
      <c r="DH562" s="416"/>
      <c r="DI562" s="416"/>
      <c r="DJ562" s="416"/>
      <c r="DK562" s="416"/>
    </row>
    <row r="563" spans="18:115" s="9" customFormat="1">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CR563" s="416"/>
      <c r="CS563" s="416"/>
      <c r="CT563" s="416"/>
      <c r="CU563" s="416"/>
      <c r="CV563" s="416"/>
      <c r="CW563" s="416"/>
      <c r="CX563" s="416"/>
      <c r="CY563" s="416"/>
      <c r="CZ563" s="416"/>
      <c r="DF563" s="416"/>
      <c r="DG563" s="416"/>
      <c r="DH563" s="416"/>
      <c r="DI563" s="416"/>
      <c r="DJ563" s="416"/>
      <c r="DK563" s="416"/>
    </row>
    <row r="564" spans="18:115" s="9" customFormat="1">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CR564" s="416"/>
      <c r="CS564" s="416"/>
      <c r="CT564" s="416"/>
      <c r="CU564" s="416"/>
      <c r="CV564" s="416"/>
      <c r="CW564" s="416"/>
      <c r="CX564" s="416"/>
      <c r="CY564" s="416"/>
      <c r="CZ564" s="416"/>
      <c r="DF564" s="416"/>
      <c r="DG564" s="416"/>
      <c r="DH564" s="416"/>
      <c r="DI564" s="416"/>
      <c r="DJ564" s="416"/>
      <c r="DK564" s="416"/>
    </row>
    <row r="565" spans="18:115" s="9" customFormat="1">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CR565" s="416"/>
      <c r="CS565" s="416"/>
      <c r="CT565" s="416"/>
      <c r="CU565" s="416"/>
      <c r="CV565" s="416"/>
      <c r="CW565" s="416"/>
      <c r="CX565" s="416"/>
      <c r="CY565" s="416"/>
      <c r="CZ565" s="416"/>
      <c r="DF565" s="416"/>
      <c r="DG565" s="416"/>
      <c r="DH565" s="416"/>
      <c r="DI565" s="416"/>
      <c r="DJ565" s="416"/>
      <c r="DK565" s="416"/>
    </row>
    <row r="566" spans="18:115" s="9" customFormat="1">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CR566" s="416"/>
      <c r="CS566" s="416"/>
      <c r="CT566" s="416"/>
      <c r="CU566" s="416"/>
      <c r="CV566" s="416"/>
      <c r="CW566" s="416"/>
      <c r="CX566" s="416"/>
      <c r="CY566" s="416"/>
      <c r="CZ566" s="416"/>
      <c r="DF566" s="416"/>
      <c r="DG566" s="416"/>
      <c r="DH566" s="416"/>
      <c r="DI566" s="416"/>
      <c r="DJ566" s="416"/>
      <c r="DK566" s="416"/>
    </row>
    <row r="567" spans="18:115" s="9" customFormat="1">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CR567" s="416"/>
      <c r="CS567" s="416"/>
      <c r="CT567" s="416"/>
      <c r="CU567" s="416"/>
      <c r="CV567" s="416"/>
      <c r="CW567" s="416"/>
      <c r="CX567" s="416"/>
      <c r="CY567" s="416"/>
      <c r="CZ567" s="416"/>
      <c r="DF567" s="416"/>
      <c r="DG567" s="416"/>
      <c r="DH567" s="416"/>
      <c r="DI567" s="416"/>
      <c r="DJ567" s="416"/>
      <c r="DK567" s="416"/>
    </row>
    <row r="568" spans="18:115" s="9" customFormat="1">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CR568" s="416"/>
      <c r="CS568" s="416"/>
      <c r="CT568" s="416"/>
      <c r="CU568" s="416"/>
      <c r="CV568" s="416"/>
      <c r="CW568" s="416"/>
      <c r="CX568" s="416"/>
      <c r="CY568" s="416"/>
      <c r="CZ568" s="416"/>
      <c r="DF568" s="416"/>
      <c r="DG568" s="416"/>
      <c r="DH568" s="416"/>
      <c r="DI568" s="416"/>
      <c r="DJ568" s="416"/>
      <c r="DK568" s="416"/>
    </row>
    <row r="569" spans="18:115" s="9" customFormat="1">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CR569" s="416"/>
      <c r="CS569" s="416"/>
      <c r="CT569" s="416"/>
      <c r="CU569" s="416"/>
      <c r="CV569" s="416"/>
      <c r="CW569" s="416"/>
      <c r="CX569" s="416"/>
      <c r="CY569" s="416"/>
      <c r="CZ569" s="416"/>
      <c r="DF569" s="416"/>
      <c r="DG569" s="416"/>
      <c r="DH569" s="416"/>
      <c r="DI569" s="416"/>
      <c r="DJ569" s="416"/>
      <c r="DK569" s="416"/>
    </row>
    <row r="570" spans="18:115" s="9" customFormat="1">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CR570" s="416"/>
      <c r="CS570" s="416"/>
      <c r="CT570" s="416"/>
      <c r="CU570" s="416"/>
      <c r="CV570" s="416"/>
      <c r="CW570" s="416"/>
      <c r="CX570" s="416"/>
      <c r="CY570" s="416"/>
      <c r="CZ570" s="416"/>
      <c r="DF570" s="416"/>
      <c r="DG570" s="416"/>
      <c r="DH570" s="416"/>
      <c r="DI570" s="416"/>
      <c r="DJ570" s="416"/>
      <c r="DK570" s="416"/>
    </row>
    <row r="571" spans="18:115" s="9" customFormat="1">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CR571" s="416"/>
      <c r="CS571" s="416"/>
      <c r="CT571" s="416"/>
      <c r="CU571" s="416"/>
      <c r="CV571" s="416"/>
      <c r="CW571" s="416"/>
      <c r="CX571" s="416"/>
      <c r="CY571" s="416"/>
      <c r="CZ571" s="416"/>
      <c r="DF571" s="416"/>
      <c r="DG571" s="416"/>
      <c r="DH571" s="416"/>
      <c r="DI571" s="416"/>
      <c r="DJ571" s="416"/>
      <c r="DK571" s="416"/>
    </row>
    <row r="572" spans="18:115" s="9" customFormat="1">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CR572" s="416"/>
      <c r="CS572" s="416"/>
      <c r="CT572" s="416"/>
      <c r="CU572" s="416"/>
      <c r="CV572" s="416"/>
      <c r="CW572" s="416"/>
      <c r="CX572" s="416"/>
      <c r="CY572" s="416"/>
      <c r="CZ572" s="416"/>
      <c r="DF572" s="416"/>
      <c r="DG572" s="416"/>
      <c r="DH572" s="416"/>
      <c r="DI572" s="416"/>
      <c r="DJ572" s="416"/>
      <c r="DK572" s="416"/>
    </row>
    <row r="573" spans="18:115" s="9" customFormat="1">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CR573" s="416"/>
      <c r="CS573" s="416"/>
      <c r="CT573" s="416"/>
      <c r="CU573" s="416"/>
      <c r="CV573" s="416"/>
      <c r="CW573" s="416"/>
      <c r="CX573" s="416"/>
      <c r="CY573" s="416"/>
      <c r="CZ573" s="416"/>
      <c r="DF573" s="416"/>
      <c r="DG573" s="416"/>
      <c r="DH573" s="416"/>
      <c r="DI573" s="416"/>
      <c r="DJ573" s="416"/>
      <c r="DK573" s="416"/>
    </row>
    <row r="574" spans="18:115" s="9" customFormat="1">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CR574" s="416"/>
      <c r="CS574" s="416"/>
      <c r="CT574" s="416"/>
      <c r="CU574" s="416"/>
      <c r="CV574" s="416"/>
      <c r="CW574" s="416"/>
      <c r="CX574" s="416"/>
      <c r="CY574" s="416"/>
      <c r="CZ574" s="416"/>
      <c r="DF574" s="416"/>
      <c r="DG574" s="416"/>
      <c r="DH574" s="416"/>
      <c r="DI574" s="416"/>
      <c r="DJ574" s="416"/>
      <c r="DK574" s="416"/>
    </row>
    <row r="575" spans="18:115" s="9" customFormat="1">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CR575" s="416"/>
      <c r="CS575" s="416"/>
      <c r="CT575" s="416"/>
      <c r="CU575" s="416"/>
      <c r="CV575" s="416"/>
      <c r="CW575" s="416"/>
      <c r="CX575" s="416"/>
      <c r="CY575" s="416"/>
      <c r="CZ575" s="416"/>
      <c r="DF575" s="416"/>
      <c r="DG575" s="416"/>
      <c r="DH575" s="416"/>
      <c r="DI575" s="416"/>
      <c r="DJ575" s="416"/>
      <c r="DK575" s="416"/>
    </row>
    <row r="576" spans="18:115" s="9" customFormat="1">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CR576" s="416"/>
      <c r="CS576" s="416"/>
      <c r="CT576" s="416"/>
      <c r="CU576" s="416"/>
      <c r="CV576" s="416"/>
      <c r="CW576" s="416"/>
      <c r="CX576" s="416"/>
      <c r="CY576" s="416"/>
      <c r="CZ576" s="416"/>
      <c r="DF576" s="416"/>
      <c r="DG576" s="416"/>
      <c r="DH576" s="416"/>
      <c r="DI576" s="416"/>
      <c r="DJ576" s="416"/>
      <c r="DK576" s="416"/>
    </row>
    <row r="577" spans="18:115" s="9" customFormat="1">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CR577" s="416"/>
      <c r="CS577" s="416"/>
      <c r="CT577" s="416"/>
      <c r="CU577" s="416"/>
      <c r="CV577" s="416"/>
      <c r="CW577" s="416"/>
      <c r="CX577" s="416"/>
      <c r="CY577" s="416"/>
      <c r="CZ577" s="416"/>
      <c r="DF577" s="416"/>
      <c r="DG577" s="416"/>
      <c r="DH577" s="416"/>
      <c r="DI577" s="416"/>
      <c r="DJ577" s="416"/>
      <c r="DK577" s="416"/>
    </row>
    <row r="578" spans="18:115" s="9" customFormat="1">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CR578" s="416"/>
      <c r="CS578" s="416"/>
      <c r="CT578" s="416"/>
      <c r="CU578" s="416"/>
      <c r="CV578" s="416"/>
      <c r="CW578" s="416"/>
      <c r="CX578" s="416"/>
      <c r="CY578" s="416"/>
      <c r="CZ578" s="416"/>
      <c r="DF578" s="416"/>
      <c r="DG578" s="416"/>
      <c r="DH578" s="416"/>
      <c r="DI578" s="416"/>
      <c r="DJ578" s="416"/>
      <c r="DK578" s="416"/>
    </row>
    <row r="579" spans="18:115" s="9" customFormat="1">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CR579" s="416"/>
      <c r="CS579" s="416"/>
      <c r="CT579" s="416"/>
      <c r="CU579" s="416"/>
      <c r="CV579" s="416"/>
      <c r="CW579" s="416"/>
      <c r="CX579" s="416"/>
      <c r="CY579" s="416"/>
      <c r="CZ579" s="416"/>
      <c r="DF579" s="416"/>
      <c r="DG579" s="416"/>
      <c r="DH579" s="416"/>
      <c r="DI579" s="416"/>
      <c r="DJ579" s="416"/>
      <c r="DK579" s="416"/>
    </row>
    <row r="580" spans="18:115" s="9" customFormat="1">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CR580" s="416"/>
      <c r="CS580" s="416"/>
      <c r="CT580" s="416"/>
      <c r="CU580" s="416"/>
      <c r="CV580" s="416"/>
      <c r="CW580" s="416"/>
      <c r="CX580" s="416"/>
      <c r="CY580" s="416"/>
      <c r="CZ580" s="416"/>
      <c r="DF580" s="416"/>
      <c r="DG580" s="416"/>
      <c r="DH580" s="416"/>
      <c r="DI580" s="416"/>
      <c r="DJ580" s="416"/>
      <c r="DK580" s="416"/>
    </row>
    <row r="581" spans="18:115" s="9" customFormat="1">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CR581" s="416"/>
      <c r="CS581" s="416"/>
      <c r="CT581" s="416"/>
      <c r="CU581" s="416"/>
      <c r="CV581" s="416"/>
      <c r="CW581" s="416"/>
      <c r="CX581" s="416"/>
      <c r="CY581" s="416"/>
      <c r="CZ581" s="416"/>
      <c r="DF581" s="416"/>
      <c r="DG581" s="416"/>
      <c r="DH581" s="416"/>
      <c r="DI581" s="416"/>
      <c r="DJ581" s="416"/>
      <c r="DK581" s="416"/>
    </row>
    <row r="582" spans="18:115" s="9" customFormat="1">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CR582" s="416"/>
      <c r="CS582" s="416"/>
      <c r="CT582" s="416"/>
      <c r="CU582" s="416"/>
      <c r="CV582" s="416"/>
      <c r="CW582" s="416"/>
      <c r="CX582" s="416"/>
      <c r="CY582" s="416"/>
      <c r="CZ582" s="416"/>
      <c r="DF582" s="416"/>
      <c r="DG582" s="416"/>
      <c r="DH582" s="416"/>
      <c r="DI582" s="416"/>
      <c r="DJ582" s="416"/>
      <c r="DK582" s="416"/>
    </row>
    <row r="583" spans="18:115" s="9" customFormat="1">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CR583" s="416"/>
      <c r="CS583" s="416"/>
      <c r="CT583" s="416"/>
      <c r="CU583" s="416"/>
      <c r="CV583" s="416"/>
      <c r="CW583" s="416"/>
      <c r="CX583" s="416"/>
      <c r="CY583" s="416"/>
      <c r="CZ583" s="416"/>
      <c r="DF583" s="416"/>
      <c r="DG583" s="416"/>
      <c r="DH583" s="416"/>
      <c r="DI583" s="416"/>
      <c r="DJ583" s="416"/>
      <c r="DK583" s="416"/>
    </row>
    <row r="584" spans="18:115" s="9" customFormat="1">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CR584" s="416"/>
      <c r="CS584" s="416"/>
      <c r="CT584" s="416"/>
      <c r="CU584" s="416"/>
      <c r="CV584" s="416"/>
      <c r="CW584" s="416"/>
      <c r="CX584" s="416"/>
      <c r="CY584" s="416"/>
      <c r="CZ584" s="416"/>
      <c r="DF584" s="416"/>
      <c r="DG584" s="416"/>
      <c r="DH584" s="416"/>
      <c r="DI584" s="416"/>
      <c r="DJ584" s="416"/>
      <c r="DK584" s="416"/>
    </row>
    <row r="585" spans="18:115" s="9" customFormat="1">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CR585" s="416"/>
      <c r="CS585" s="416"/>
      <c r="CT585" s="416"/>
      <c r="CU585" s="416"/>
      <c r="CV585" s="416"/>
      <c r="CW585" s="416"/>
      <c r="CX585" s="416"/>
      <c r="CY585" s="416"/>
      <c r="CZ585" s="416"/>
      <c r="DF585" s="416"/>
      <c r="DG585" s="416"/>
      <c r="DH585" s="416"/>
      <c r="DI585" s="416"/>
      <c r="DJ585" s="416"/>
      <c r="DK585" s="416"/>
    </row>
    <row r="586" spans="18:115" s="9" customFormat="1">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CR586" s="416"/>
      <c r="CS586" s="416"/>
      <c r="CT586" s="416"/>
      <c r="CU586" s="416"/>
      <c r="CV586" s="416"/>
      <c r="CW586" s="416"/>
      <c r="CX586" s="416"/>
      <c r="CY586" s="416"/>
      <c r="CZ586" s="416"/>
      <c r="DF586" s="416"/>
      <c r="DG586" s="416"/>
      <c r="DH586" s="416"/>
      <c r="DI586" s="416"/>
      <c r="DJ586" s="416"/>
      <c r="DK586" s="416"/>
    </row>
    <row r="587" spans="18:115" s="9" customFormat="1">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CR587" s="416"/>
      <c r="CS587" s="416"/>
      <c r="CT587" s="416"/>
      <c r="CU587" s="416"/>
      <c r="CV587" s="416"/>
      <c r="CW587" s="416"/>
      <c r="CX587" s="416"/>
      <c r="CY587" s="416"/>
      <c r="CZ587" s="416"/>
      <c r="DF587" s="416"/>
      <c r="DG587" s="416"/>
      <c r="DH587" s="416"/>
      <c r="DI587" s="416"/>
      <c r="DJ587" s="416"/>
      <c r="DK587" s="416"/>
    </row>
    <row r="588" spans="18:115" s="9" customFormat="1">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CR588" s="416"/>
      <c r="CS588" s="416"/>
      <c r="CT588" s="416"/>
      <c r="CU588" s="416"/>
      <c r="CV588" s="416"/>
      <c r="CW588" s="416"/>
      <c r="CX588" s="416"/>
      <c r="CY588" s="416"/>
      <c r="CZ588" s="416"/>
      <c r="DF588" s="416"/>
      <c r="DG588" s="416"/>
      <c r="DH588" s="416"/>
      <c r="DI588" s="416"/>
      <c r="DJ588" s="416"/>
      <c r="DK588" s="416"/>
    </row>
    <row r="589" spans="18:115" s="9" customFormat="1">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CR589" s="416"/>
      <c r="CS589" s="416"/>
      <c r="CT589" s="416"/>
      <c r="CU589" s="416"/>
      <c r="CV589" s="416"/>
      <c r="CW589" s="416"/>
      <c r="CX589" s="416"/>
      <c r="CY589" s="416"/>
      <c r="CZ589" s="416"/>
      <c r="DF589" s="416"/>
      <c r="DG589" s="416"/>
      <c r="DH589" s="416"/>
      <c r="DI589" s="416"/>
      <c r="DJ589" s="416"/>
      <c r="DK589" s="416"/>
    </row>
    <row r="590" spans="18:115" s="9" customFormat="1">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CR590" s="416"/>
      <c r="CS590" s="416"/>
      <c r="CT590" s="416"/>
      <c r="CU590" s="416"/>
      <c r="CV590" s="416"/>
      <c r="CW590" s="416"/>
      <c r="CX590" s="416"/>
      <c r="CY590" s="416"/>
      <c r="CZ590" s="416"/>
      <c r="DF590" s="416"/>
      <c r="DG590" s="416"/>
      <c r="DH590" s="416"/>
      <c r="DI590" s="416"/>
      <c r="DJ590" s="416"/>
      <c r="DK590" s="416"/>
    </row>
    <row r="591" spans="18:115" s="9" customFormat="1">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CR591" s="416"/>
      <c r="CS591" s="416"/>
      <c r="CT591" s="416"/>
      <c r="CU591" s="416"/>
      <c r="CV591" s="416"/>
      <c r="CW591" s="416"/>
      <c r="CX591" s="416"/>
      <c r="CY591" s="416"/>
      <c r="CZ591" s="416"/>
      <c r="DF591" s="416"/>
      <c r="DG591" s="416"/>
      <c r="DH591" s="416"/>
      <c r="DI591" s="416"/>
      <c r="DJ591" s="416"/>
      <c r="DK591" s="416"/>
    </row>
    <row r="592" spans="18:115" s="9" customFormat="1">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CR592" s="416"/>
      <c r="CS592" s="416"/>
      <c r="CT592" s="416"/>
      <c r="CU592" s="416"/>
      <c r="CV592" s="416"/>
      <c r="CW592" s="416"/>
      <c r="CX592" s="416"/>
      <c r="CY592" s="416"/>
      <c r="CZ592" s="416"/>
      <c r="DF592" s="416"/>
      <c r="DG592" s="416"/>
      <c r="DH592" s="416"/>
      <c r="DI592" s="416"/>
      <c r="DJ592" s="416"/>
      <c r="DK592" s="416"/>
    </row>
    <row r="593" spans="18:115" s="9" customFormat="1">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CR593" s="416"/>
      <c r="CS593" s="416"/>
      <c r="CT593" s="416"/>
      <c r="CU593" s="416"/>
      <c r="CV593" s="416"/>
      <c r="CW593" s="416"/>
      <c r="CX593" s="416"/>
      <c r="CY593" s="416"/>
      <c r="CZ593" s="416"/>
      <c r="DF593" s="416"/>
      <c r="DG593" s="416"/>
      <c r="DH593" s="416"/>
      <c r="DI593" s="416"/>
      <c r="DJ593" s="416"/>
      <c r="DK593" s="416"/>
    </row>
    <row r="594" spans="18:115" s="9" customFormat="1">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CR594" s="416"/>
      <c r="CS594" s="416"/>
      <c r="CT594" s="416"/>
      <c r="CU594" s="416"/>
      <c r="CV594" s="416"/>
      <c r="CW594" s="416"/>
      <c r="CX594" s="416"/>
      <c r="CY594" s="416"/>
      <c r="CZ594" s="416"/>
      <c r="DF594" s="416"/>
      <c r="DG594" s="416"/>
      <c r="DH594" s="416"/>
      <c r="DI594" s="416"/>
      <c r="DJ594" s="416"/>
      <c r="DK594" s="416"/>
    </row>
    <row r="595" spans="18:115" s="9" customFormat="1">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CR595" s="416"/>
      <c r="CS595" s="416"/>
      <c r="CT595" s="416"/>
      <c r="CU595" s="416"/>
      <c r="CV595" s="416"/>
      <c r="CW595" s="416"/>
      <c r="CX595" s="416"/>
      <c r="CY595" s="416"/>
      <c r="CZ595" s="416"/>
      <c r="DF595" s="416"/>
      <c r="DG595" s="416"/>
      <c r="DH595" s="416"/>
      <c r="DI595" s="416"/>
      <c r="DJ595" s="416"/>
      <c r="DK595" s="416"/>
    </row>
    <row r="596" spans="18:115" s="9" customFormat="1">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CR596" s="416"/>
      <c r="CS596" s="416"/>
      <c r="CT596" s="416"/>
      <c r="CU596" s="416"/>
      <c r="CV596" s="416"/>
      <c r="CW596" s="416"/>
      <c r="CX596" s="416"/>
      <c r="CY596" s="416"/>
      <c r="CZ596" s="416"/>
      <c r="DF596" s="416"/>
      <c r="DG596" s="416"/>
      <c r="DH596" s="416"/>
      <c r="DI596" s="416"/>
      <c r="DJ596" s="416"/>
      <c r="DK596" s="416"/>
    </row>
    <row r="597" spans="18:115" s="9" customFormat="1">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CR597" s="416"/>
      <c r="CS597" s="416"/>
      <c r="CT597" s="416"/>
      <c r="CU597" s="416"/>
      <c r="CV597" s="416"/>
      <c r="CW597" s="416"/>
      <c r="CX597" s="416"/>
      <c r="CY597" s="416"/>
      <c r="CZ597" s="416"/>
      <c r="DF597" s="416"/>
      <c r="DG597" s="416"/>
      <c r="DH597" s="416"/>
      <c r="DI597" s="416"/>
      <c r="DJ597" s="416"/>
      <c r="DK597" s="416"/>
    </row>
    <row r="598" spans="18:115" s="9" customFormat="1">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CR598" s="416"/>
      <c r="CS598" s="416"/>
      <c r="CT598" s="416"/>
      <c r="CU598" s="416"/>
      <c r="CV598" s="416"/>
      <c r="CW598" s="416"/>
      <c r="CX598" s="416"/>
      <c r="CY598" s="416"/>
      <c r="CZ598" s="416"/>
      <c r="DF598" s="416"/>
      <c r="DG598" s="416"/>
      <c r="DH598" s="416"/>
      <c r="DI598" s="416"/>
      <c r="DJ598" s="416"/>
      <c r="DK598" s="416"/>
    </row>
    <row r="599" spans="18:115" s="9" customFormat="1">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CR599" s="416"/>
      <c r="CS599" s="416"/>
      <c r="CT599" s="416"/>
      <c r="CU599" s="416"/>
      <c r="CV599" s="416"/>
      <c r="CW599" s="416"/>
      <c r="CX599" s="416"/>
      <c r="CY599" s="416"/>
      <c r="CZ599" s="416"/>
      <c r="DF599" s="416"/>
      <c r="DG599" s="416"/>
      <c r="DH599" s="416"/>
      <c r="DI599" s="416"/>
      <c r="DJ599" s="416"/>
      <c r="DK599" s="416"/>
    </row>
    <row r="600" spans="18:115" s="9" customFormat="1">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CR600" s="416"/>
      <c r="CS600" s="416"/>
      <c r="CT600" s="416"/>
      <c r="CU600" s="416"/>
      <c r="CV600" s="416"/>
      <c r="CW600" s="416"/>
      <c r="CX600" s="416"/>
      <c r="CY600" s="416"/>
      <c r="CZ600" s="416"/>
      <c r="DF600" s="416"/>
      <c r="DG600" s="416"/>
      <c r="DH600" s="416"/>
      <c r="DI600" s="416"/>
      <c r="DJ600" s="416"/>
      <c r="DK600" s="416"/>
    </row>
    <row r="601" spans="18:115" s="9" customFormat="1">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CR601" s="416"/>
      <c r="CS601" s="416"/>
      <c r="CT601" s="416"/>
      <c r="CU601" s="416"/>
      <c r="CV601" s="416"/>
      <c r="CW601" s="416"/>
      <c r="CX601" s="416"/>
      <c r="CY601" s="416"/>
      <c r="CZ601" s="416"/>
      <c r="DF601" s="416"/>
      <c r="DG601" s="416"/>
      <c r="DH601" s="416"/>
      <c r="DI601" s="416"/>
      <c r="DJ601" s="416"/>
      <c r="DK601" s="416"/>
    </row>
    <row r="602" spans="18:115" s="9" customFormat="1">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CR602" s="416"/>
      <c r="CS602" s="416"/>
      <c r="CT602" s="416"/>
      <c r="CU602" s="416"/>
      <c r="CV602" s="416"/>
      <c r="CW602" s="416"/>
      <c r="CX602" s="416"/>
      <c r="CY602" s="416"/>
      <c r="CZ602" s="416"/>
      <c r="DF602" s="416"/>
      <c r="DG602" s="416"/>
      <c r="DH602" s="416"/>
      <c r="DI602" s="416"/>
      <c r="DJ602" s="416"/>
      <c r="DK602" s="416"/>
    </row>
    <row r="603" spans="18:115" s="9" customFormat="1">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CR603" s="416"/>
      <c r="CS603" s="416"/>
      <c r="CT603" s="416"/>
      <c r="CU603" s="416"/>
      <c r="CV603" s="416"/>
      <c r="CW603" s="416"/>
      <c r="CX603" s="416"/>
      <c r="CY603" s="416"/>
      <c r="CZ603" s="416"/>
      <c r="DF603" s="416"/>
      <c r="DG603" s="416"/>
      <c r="DH603" s="416"/>
      <c r="DI603" s="416"/>
      <c r="DJ603" s="416"/>
      <c r="DK603" s="416"/>
    </row>
    <row r="604" spans="18:115" s="9" customFormat="1">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CR604" s="416"/>
      <c r="CS604" s="416"/>
      <c r="CT604" s="416"/>
      <c r="CU604" s="416"/>
      <c r="CV604" s="416"/>
      <c r="CW604" s="416"/>
      <c r="CX604" s="416"/>
      <c r="CY604" s="416"/>
      <c r="CZ604" s="416"/>
      <c r="DF604" s="416"/>
      <c r="DG604" s="416"/>
      <c r="DH604" s="416"/>
      <c r="DI604" s="416"/>
      <c r="DJ604" s="416"/>
      <c r="DK604" s="416"/>
    </row>
    <row r="605" spans="18:115" s="9" customFormat="1">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CR605" s="416"/>
      <c r="CS605" s="416"/>
      <c r="CT605" s="416"/>
      <c r="CU605" s="416"/>
      <c r="CV605" s="416"/>
      <c r="CW605" s="416"/>
      <c r="CX605" s="416"/>
      <c r="CY605" s="416"/>
      <c r="CZ605" s="416"/>
      <c r="DF605" s="416"/>
      <c r="DG605" s="416"/>
      <c r="DH605" s="416"/>
      <c r="DI605" s="416"/>
      <c r="DJ605" s="416"/>
      <c r="DK605" s="416"/>
    </row>
    <row r="606" spans="18:115" s="9" customFormat="1">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CR606" s="416"/>
      <c r="CS606" s="416"/>
      <c r="CT606" s="416"/>
      <c r="CU606" s="416"/>
      <c r="CV606" s="416"/>
      <c r="CW606" s="416"/>
      <c r="CX606" s="416"/>
      <c r="CY606" s="416"/>
      <c r="CZ606" s="416"/>
      <c r="DF606" s="416"/>
      <c r="DG606" s="416"/>
      <c r="DH606" s="416"/>
      <c r="DI606" s="416"/>
      <c r="DJ606" s="416"/>
      <c r="DK606" s="416"/>
    </row>
    <row r="607" spans="18:115" s="9" customFormat="1">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CR607" s="416"/>
      <c r="CS607" s="416"/>
      <c r="CT607" s="416"/>
      <c r="CU607" s="416"/>
      <c r="CV607" s="416"/>
      <c r="CW607" s="416"/>
      <c r="CX607" s="416"/>
      <c r="CY607" s="416"/>
      <c r="CZ607" s="416"/>
      <c r="DF607" s="416"/>
      <c r="DG607" s="416"/>
      <c r="DH607" s="416"/>
      <c r="DI607" s="416"/>
      <c r="DJ607" s="416"/>
      <c r="DK607" s="416"/>
    </row>
    <row r="608" spans="18:115" s="9" customFormat="1">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CR608" s="416"/>
      <c r="CS608" s="416"/>
      <c r="CT608" s="416"/>
      <c r="CU608" s="416"/>
      <c r="CV608" s="416"/>
      <c r="CW608" s="416"/>
      <c r="CX608" s="416"/>
      <c r="CY608" s="416"/>
      <c r="CZ608" s="416"/>
      <c r="DF608" s="416"/>
      <c r="DG608" s="416"/>
      <c r="DH608" s="416"/>
      <c r="DI608" s="416"/>
      <c r="DJ608" s="416"/>
      <c r="DK608" s="416"/>
    </row>
    <row r="609" spans="18:115" s="9" customFormat="1">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CR609" s="416"/>
      <c r="CS609" s="416"/>
      <c r="CT609" s="416"/>
      <c r="CU609" s="416"/>
      <c r="CV609" s="416"/>
      <c r="CW609" s="416"/>
      <c r="CX609" s="416"/>
      <c r="CY609" s="416"/>
      <c r="CZ609" s="416"/>
      <c r="DF609" s="416"/>
      <c r="DG609" s="416"/>
      <c r="DH609" s="416"/>
      <c r="DI609" s="416"/>
      <c r="DJ609" s="416"/>
      <c r="DK609" s="416"/>
    </row>
    <row r="610" spans="18:115" s="9" customFormat="1">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CR610" s="416"/>
      <c r="CS610" s="416"/>
      <c r="CT610" s="416"/>
      <c r="CU610" s="416"/>
      <c r="CV610" s="416"/>
      <c r="CW610" s="416"/>
      <c r="CX610" s="416"/>
      <c r="CY610" s="416"/>
      <c r="CZ610" s="416"/>
      <c r="DF610" s="416"/>
      <c r="DG610" s="416"/>
      <c r="DH610" s="416"/>
      <c r="DI610" s="416"/>
      <c r="DJ610" s="416"/>
      <c r="DK610" s="416"/>
    </row>
    <row r="611" spans="18:115" s="9" customFormat="1">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CR611" s="416"/>
      <c r="CS611" s="416"/>
      <c r="CT611" s="416"/>
      <c r="CU611" s="416"/>
      <c r="CV611" s="416"/>
      <c r="CW611" s="416"/>
      <c r="CX611" s="416"/>
      <c r="CY611" s="416"/>
      <c r="CZ611" s="416"/>
      <c r="DF611" s="416"/>
      <c r="DG611" s="416"/>
      <c r="DH611" s="416"/>
      <c r="DI611" s="416"/>
      <c r="DJ611" s="416"/>
      <c r="DK611" s="416"/>
    </row>
    <row r="612" spans="18:115" s="9" customFormat="1">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CR612" s="416"/>
      <c r="CS612" s="416"/>
      <c r="CT612" s="416"/>
      <c r="CU612" s="416"/>
      <c r="CV612" s="416"/>
      <c r="CW612" s="416"/>
      <c r="CX612" s="416"/>
      <c r="CY612" s="416"/>
      <c r="CZ612" s="416"/>
      <c r="DF612" s="416"/>
      <c r="DG612" s="416"/>
      <c r="DH612" s="416"/>
      <c r="DI612" s="416"/>
      <c r="DJ612" s="416"/>
      <c r="DK612" s="416"/>
    </row>
    <row r="613" spans="18:115" s="9" customFormat="1">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CR613" s="416"/>
      <c r="CS613" s="416"/>
      <c r="CT613" s="416"/>
      <c r="CU613" s="416"/>
      <c r="CV613" s="416"/>
      <c r="CW613" s="416"/>
      <c r="CX613" s="416"/>
      <c r="CY613" s="416"/>
      <c r="CZ613" s="416"/>
      <c r="DF613" s="416"/>
      <c r="DG613" s="416"/>
      <c r="DH613" s="416"/>
      <c r="DI613" s="416"/>
      <c r="DJ613" s="416"/>
      <c r="DK613" s="416"/>
    </row>
    <row r="614" spans="18:115" s="9" customFormat="1">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CR614" s="416"/>
      <c r="CS614" s="416"/>
      <c r="CT614" s="416"/>
      <c r="CU614" s="416"/>
      <c r="CV614" s="416"/>
      <c r="CW614" s="416"/>
      <c r="CX614" s="416"/>
      <c r="CY614" s="416"/>
      <c r="CZ614" s="416"/>
      <c r="DF614" s="416"/>
      <c r="DG614" s="416"/>
      <c r="DH614" s="416"/>
      <c r="DI614" s="416"/>
      <c r="DJ614" s="416"/>
      <c r="DK614" s="416"/>
    </row>
    <row r="615" spans="18:115" s="9" customFormat="1">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CR615" s="416"/>
      <c r="CS615" s="416"/>
      <c r="CT615" s="416"/>
      <c r="CU615" s="416"/>
      <c r="CV615" s="416"/>
      <c r="CW615" s="416"/>
      <c r="CX615" s="416"/>
      <c r="CY615" s="416"/>
      <c r="CZ615" s="416"/>
      <c r="DF615" s="416"/>
      <c r="DG615" s="416"/>
      <c r="DH615" s="416"/>
      <c r="DI615" s="416"/>
      <c r="DJ615" s="416"/>
      <c r="DK615" s="416"/>
    </row>
    <row r="616" spans="18:115" s="9" customFormat="1">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CR616" s="416"/>
      <c r="CS616" s="416"/>
      <c r="CT616" s="416"/>
      <c r="CU616" s="416"/>
      <c r="CV616" s="416"/>
      <c r="CW616" s="416"/>
      <c r="CX616" s="416"/>
      <c r="CY616" s="416"/>
      <c r="CZ616" s="416"/>
      <c r="DF616" s="416"/>
      <c r="DG616" s="416"/>
      <c r="DH616" s="416"/>
      <c r="DI616" s="416"/>
      <c r="DJ616" s="416"/>
      <c r="DK616" s="416"/>
    </row>
    <row r="617" spans="18:115" s="9" customFormat="1">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CR617" s="416"/>
      <c r="CS617" s="416"/>
      <c r="CT617" s="416"/>
      <c r="CU617" s="416"/>
      <c r="CV617" s="416"/>
      <c r="CW617" s="416"/>
      <c r="CX617" s="416"/>
      <c r="CY617" s="416"/>
      <c r="CZ617" s="416"/>
      <c r="DF617" s="416"/>
      <c r="DG617" s="416"/>
      <c r="DH617" s="416"/>
      <c r="DI617" s="416"/>
      <c r="DJ617" s="416"/>
      <c r="DK617" s="416"/>
    </row>
    <row r="618" spans="18:115" s="9" customFormat="1">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CR618" s="416"/>
      <c r="CS618" s="416"/>
      <c r="CT618" s="416"/>
      <c r="CU618" s="416"/>
      <c r="CV618" s="416"/>
      <c r="CW618" s="416"/>
      <c r="CX618" s="416"/>
      <c r="CY618" s="416"/>
      <c r="CZ618" s="416"/>
      <c r="DF618" s="416"/>
      <c r="DG618" s="416"/>
      <c r="DH618" s="416"/>
      <c r="DI618" s="416"/>
      <c r="DJ618" s="416"/>
      <c r="DK618" s="416"/>
    </row>
    <row r="619" spans="18:115" s="9" customFormat="1">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CR619" s="416"/>
      <c r="CS619" s="416"/>
      <c r="CT619" s="416"/>
      <c r="CU619" s="416"/>
      <c r="CV619" s="416"/>
      <c r="CW619" s="416"/>
      <c r="CX619" s="416"/>
      <c r="CY619" s="416"/>
      <c r="CZ619" s="416"/>
      <c r="DF619" s="416"/>
      <c r="DG619" s="416"/>
      <c r="DH619" s="416"/>
      <c r="DI619" s="416"/>
      <c r="DJ619" s="416"/>
      <c r="DK619" s="416"/>
    </row>
    <row r="620" spans="18:115" s="9" customFormat="1">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CR620" s="416"/>
      <c r="CS620" s="416"/>
      <c r="CT620" s="416"/>
      <c r="CU620" s="416"/>
      <c r="CV620" s="416"/>
      <c r="CW620" s="416"/>
      <c r="CX620" s="416"/>
      <c r="CY620" s="416"/>
      <c r="CZ620" s="416"/>
      <c r="DF620" s="416"/>
      <c r="DG620" s="416"/>
      <c r="DH620" s="416"/>
      <c r="DI620" s="416"/>
      <c r="DJ620" s="416"/>
      <c r="DK620" s="416"/>
    </row>
    <row r="621" spans="18:115" s="9" customFormat="1">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CR621" s="416"/>
      <c r="CS621" s="416"/>
      <c r="CT621" s="416"/>
      <c r="CU621" s="416"/>
      <c r="CV621" s="416"/>
      <c r="CW621" s="416"/>
      <c r="CX621" s="416"/>
      <c r="CY621" s="416"/>
      <c r="CZ621" s="416"/>
      <c r="DF621" s="416"/>
      <c r="DG621" s="416"/>
      <c r="DH621" s="416"/>
      <c r="DI621" s="416"/>
      <c r="DJ621" s="416"/>
      <c r="DK621" s="416"/>
    </row>
    <row r="622" spans="18:115" s="9" customFormat="1">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CR622" s="416"/>
      <c r="CS622" s="416"/>
      <c r="CT622" s="416"/>
      <c r="CU622" s="416"/>
      <c r="CV622" s="416"/>
      <c r="CW622" s="416"/>
      <c r="CX622" s="416"/>
      <c r="CY622" s="416"/>
      <c r="CZ622" s="416"/>
      <c r="DF622" s="416"/>
      <c r="DG622" s="416"/>
      <c r="DH622" s="416"/>
      <c r="DI622" s="416"/>
      <c r="DJ622" s="416"/>
      <c r="DK622" s="416"/>
    </row>
    <row r="623" spans="18:115" s="9" customFormat="1">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CR623" s="416"/>
      <c r="CS623" s="416"/>
      <c r="CT623" s="416"/>
      <c r="CU623" s="416"/>
      <c r="CV623" s="416"/>
      <c r="CW623" s="416"/>
      <c r="CX623" s="416"/>
      <c r="CY623" s="416"/>
      <c r="CZ623" s="416"/>
      <c r="DF623" s="416"/>
      <c r="DG623" s="416"/>
      <c r="DH623" s="416"/>
      <c r="DI623" s="416"/>
      <c r="DJ623" s="416"/>
      <c r="DK623" s="416"/>
    </row>
    <row r="624" spans="18:115" s="9" customFormat="1">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CR624" s="416"/>
      <c r="CS624" s="416"/>
      <c r="CT624" s="416"/>
      <c r="CU624" s="416"/>
      <c r="CV624" s="416"/>
      <c r="CW624" s="416"/>
      <c r="CX624" s="416"/>
      <c r="CY624" s="416"/>
      <c r="CZ624" s="416"/>
      <c r="DF624" s="416"/>
      <c r="DG624" s="416"/>
      <c r="DH624" s="416"/>
      <c r="DI624" s="416"/>
      <c r="DJ624" s="416"/>
      <c r="DK624" s="416"/>
    </row>
    <row r="625" spans="18:115" s="9" customFormat="1">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CR625" s="416"/>
      <c r="CS625" s="416"/>
      <c r="CT625" s="416"/>
      <c r="CU625" s="416"/>
      <c r="CV625" s="416"/>
      <c r="CW625" s="416"/>
      <c r="CX625" s="416"/>
      <c r="CY625" s="416"/>
      <c r="CZ625" s="416"/>
      <c r="DF625" s="416"/>
      <c r="DG625" s="416"/>
      <c r="DH625" s="416"/>
      <c r="DI625" s="416"/>
      <c r="DJ625" s="416"/>
      <c r="DK625" s="416"/>
    </row>
    <row r="626" spans="18:115" s="9" customFormat="1">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CR626" s="416"/>
      <c r="CS626" s="416"/>
      <c r="CT626" s="416"/>
      <c r="CU626" s="416"/>
      <c r="CV626" s="416"/>
      <c r="CW626" s="416"/>
      <c r="CX626" s="416"/>
      <c r="CY626" s="416"/>
      <c r="CZ626" s="416"/>
      <c r="DF626" s="416"/>
      <c r="DG626" s="416"/>
      <c r="DH626" s="416"/>
      <c r="DI626" s="416"/>
      <c r="DJ626" s="416"/>
      <c r="DK626" s="416"/>
    </row>
    <row r="627" spans="18:115" s="9" customFormat="1">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CR627" s="416"/>
      <c r="CS627" s="416"/>
      <c r="CT627" s="416"/>
      <c r="CU627" s="416"/>
      <c r="CV627" s="416"/>
      <c r="CW627" s="416"/>
      <c r="CX627" s="416"/>
      <c r="CY627" s="416"/>
      <c r="CZ627" s="416"/>
      <c r="DF627" s="416"/>
      <c r="DG627" s="416"/>
      <c r="DH627" s="416"/>
      <c r="DI627" s="416"/>
      <c r="DJ627" s="416"/>
      <c r="DK627" s="416"/>
    </row>
    <row r="628" spans="18:115" s="9" customFormat="1">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CR628" s="416"/>
      <c r="CS628" s="416"/>
      <c r="CT628" s="416"/>
      <c r="CU628" s="416"/>
      <c r="CV628" s="416"/>
      <c r="CW628" s="416"/>
      <c r="CX628" s="416"/>
      <c r="CY628" s="416"/>
      <c r="CZ628" s="416"/>
      <c r="DF628" s="416"/>
      <c r="DG628" s="416"/>
      <c r="DH628" s="416"/>
      <c r="DI628" s="416"/>
      <c r="DJ628" s="416"/>
      <c r="DK628" s="416"/>
    </row>
    <row r="629" spans="18:115" s="9" customFormat="1">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CR629" s="416"/>
      <c r="CS629" s="416"/>
      <c r="CT629" s="416"/>
      <c r="CU629" s="416"/>
      <c r="CV629" s="416"/>
      <c r="CW629" s="416"/>
      <c r="CX629" s="416"/>
      <c r="CY629" s="416"/>
      <c r="CZ629" s="416"/>
      <c r="DF629" s="416"/>
      <c r="DG629" s="416"/>
      <c r="DH629" s="416"/>
      <c r="DI629" s="416"/>
      <c r="DJ629" s="416"/>
      <c r="DK629" s="416"/>
    </row>
    <row r="630" spans="18:115" s="9" customFormat="1">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CR630" s="416"/>
      <c r="CS630" s="416"/>
      <c r="CT630" s="416"/>
      <c r="CU630" s="416"/>
      <c r="CV630" s="416"/>
      <c r="CW630" s="416"/>
      <c r="CX630" s="416"/>
      <c r="CY630" s="416"/>
      <c r="CZ630" s="416"/>
      <c r="DF630" s="416"/>
      <c r="DG630" s="416"/>
      <c r="DH630" s="416"/>
      <c r="DI630" s="416"/>
      <c r="DJ630" s="416"/>
      <c r="DK630" s="416"/>
    </row>
    <row r="631" spans="18:115" s="9" customFormat="1">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CR631" s="416"/>
      <c r="CS631" s="416"/>
      <c r="CT631" s="416"/>
      <c r="CU631" s="416"/>
      <c r="CV631" s="416"/>
      <c r="CW631" s="416"/>
      <c r="CX631" s="416"/>
      <c r="CY631" s="416"/>
      <c r="CZ631" s="416"/>
      <c r="DF631" s="416"/>
      <c r="DG631" s="416"/>
      <c r="DH631" s="416"/>
      <c r="DI631" s="416"/>
      <c r="DJ631" s="416"/>
      <c r="DK631" s="416"/>
    </row>
    <row r="632" spans="18:115" s="9" customFormat="1">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CR632" s="416"/>
      <c r="CS632" s="416"/>
      <c r="CT632" s="416"/>
      <c r="CU632" s="416"/>
      <c r="CV632" s="416"/>
      <c r="CW632" s="416"/>
      <c r="CX632" s="416"/>
      <c r="CY632" s="416"/>
      <c r="CZ632" s="416"/>
      <c r="DF632" s="416"/>
      <c r="DG632" s="416"/>
      <c r="DH632" s="416"/>
      <c r="DI632" s="416"/>
      <c r="DJ632" s="416"/>
      <c r="DK632" s="416"/>
    </row>
    <row r="633" spans="18:115" s="9" customFormat="1">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CR633" s="416"/>
      <c r="CS633" s="416"/>
      <c r="CT633" s="416"/>
      <c r="CU633" s="416"/>
      <c r="CV633" s="416"/>
      <c r="CW633" s="416"/>
      <c r="CX633" s="416"/>
      <c r="CY633" s="416"/>
      <c r="CZ633" s="416"/>
      <c r="DF633" s="416"/>
      <c r="DG633" s="416"/>
      <c r="DH633" s="416"/>
      <c r="DI633" s="416"/>
      <c r="DJ633" s="416"/>
      <c r="DK633" s="416"/>
    </row>
    <row r="634" spans="18:115" s="9" customFormat="1">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CR634" s="416"/>
      <c r="CS634" s="416"/>
      <c r="CT634" s="416"/>
      <c r="CU634" s="416"/>
      <c r="CV634" s="416"/>
      <c r="CW634" s="416"/>
      <c r="CX634" s="416"/>
      <c r="CY634" s="416"/>
      <c r="CZ634" s="416"/>
      <c r="DF634" s="416"/>
      <c r="DG634" s="416"/>
      <c r="DH634" s="416"/>
      <c r="DI634" s="416"/>
      <c r="DJ634" s="416"/>
      <c r="DK634" s="416"/>
    </row>
    <row r="635" spans="18:115" s="9" customFormat="1">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CR635" s="416"/>
      <c r="CS635" s="416"/>
      <c r="CT635" s="416"/>
      <c r="CU635" s="416"/>
      <c r="CV635" s="416"/>
      <c r="CW635" s="416"/>
      <c r="CX635" s="416"/>
      <c r="CY635" s="416"/>
      <c r="CZ635" s="416"/>
      <c r="DF635" s="416"/>
      <c r="DG635" s="416"/>
      <c r="DH635" s="416"/>
      <c r="DI635" s="416"/>
      <c r="DJ635" s="416"/>
      <c r="DK635" s="416"/>
    </row>
    <row r="636" spans="18:115" s="9" customFormat="1">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CR636" s="416"/>
      <c r="CS636" s="416"/>
      <c r="CT636" s="416"/>
      <c r="CU636" s="416"/>
      <c r="CV636" s="416"/>
      <c r="CW636" s="416"/>
      <c r="CX636" s="416"/>
      <c r="CY636" s="416"/>
      <c r="CZ636" s="416"/>
      <c r="DF636" s="416"/>
      <c r="DG636" s="416"/>
      <c r="DH636" s="416"/>
      <c r="DI636" s="416"/>
      <c r="DJ636" s="416"/>
      <c r="DK636" s="416"/>
    </row>
    <row r="637" spans="18:115" s="9" customFormat="1">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CR637" s="416"/>
      <c r="CS637" s="416"/>
      <c r="CT637" s="416"/>
      <c r="CU637" s="416"/>
      <c r="CV637" s="416"/>
      <c r="CW637" s="416"/>
      <c r="CX637" s="416"/>
      <c r="CY637" s="416"/>
      <c r="CZ637" s="416"/>
      <c r="DF637" s="416"/>
      <c r="DG637" s="416"/>
      <c r="DH637" s="416"/>
      <c r="DI637" s="416"/>
      <c r="DJ637" s="416"/>
      <c r="DK637" s="416"/>
    </row>
    <row r="638" spans="18:115" s="9" customFormat="1">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CR638" s="416"/>
      <c r="CS638" s="416"/>
      <c r="CT638" s="416"/>
      <c r="CU638" s="416"/>
      <c r="CV638" s="416"/>
      <c r="CW638" s="416"/>
      <c r="CX638" s="416"/>
      <c r="CY638" s="416"/>
      <c r="CZ638" s="416"/>
      <c r="DF638" s="416"/>
      <c r="DG638" s="416"/>
      <c r="DH638" s="416"/>
      <c r="DI638" s="416"/>
      <c r="DJ638" s="416"/>
      <c r="DK638" s="416"/>
    </row>
    <row r="639" spans="18:115" s="9" customFormat="1">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CR639" s="416"/>
      <c r="CS639" s="416"/>
      <c r="CT639" s="416"/>
      <c r="CU639" s="416"/>
      <c r="CV639" s="416"/>
      <c r="CW639" s="416"/>
      <c r="CX639" s="416"/>
      <c r="CY639" s="416"/>
      <c r="CZ639" s="416"/>
      <c r="DF639" s="416"/>
      <c r="DG639" s="416"/>
      <c r="DH639" s="416"/>
      <c r="DI639" s="416"/>
      <c r="DJ639" s="416"/>
      <c r="DK639" s="416"/>
    </row>
    <row r="640" spans="18:115" s="9" customFormat="1">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CR640" s="416"/>
      <c r="CS640" s="416"/>
      <c r="CT640" s="416"/>
      <c r="CU640" s="416"/>
      <c r="CV640" s="416"/>
      <c r="CW640" s="416"/>
      <c r="CX640" s="416"/>
      <c r="CY640" s="416"/>
      <c r="CZ640" s="416"/>
      <c r="DF640" s="416"/>
      <c r="DG640" s="416"/>
      <c r="DH640" s="416"/>
      <c r="DI640" s="416"/>
      <c r="DJ640" s="416"/>
      <c r="DK640" s="416"/>
    </row>
    <row r="641" spans="18:115" s="9" customFormat="1">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CR641" s="416"/>
      <c r="CS641" s="416"/>
      <c r="CT641" s="416"/>
      <c r="CU641" s="416"/>
      <c r="CV641" s="416"/>
      <c r="CW641" s="416"/>
      <c r="CX641" s="416"/>
      <c r="CY641" s="416"/>
      <c r="CZ641" s="416"/>
      <c r="DF641" s="416"/>
      <c r="DG641" s="416"/>
      <c r="DH641" s="416"/>
      <c r="DI641" s="416"/>
      <c r="DJ641" s="416"/>
      <c r="DK641" s="416"/>
    </row>
    <row r="642" spans="18:115" s="9" customFormat="1">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CR642" s="416"/>
      <c r="CS642" s="416"/>
      <c r="CT642" s="416"/>
      <c r="CU642" s="416"/>
      <c r="CV642" s="416"/>
      <c r="CW642" s="416"/>
      <c r="CX642" s="416"/>
      <c r="CY642" s="416"/>
      <c r="CZ642" s="416"/>
      <c r="DF642" s="416"/>
      <c r="DG642" s="416"/>
      <c r="DH642" s="416"/>
      <c r="DI642" s="416"/>
      <c r="DJ642" s="416"/>
      <c r="DK642" s="416"/>
    </row>
    <row r="643" spans="18:115" s="9" customFormat="1">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CR643" s="416"/>
      <c r="CS643" s="416"/>
      <c r="CT643" s="416"/>
      <c r="CU643" s="416"/>
      <c r="CV643" s="416"/>
      <c r="CW643" s="416"/>
      <c r="CX643" s="416"/>
      <c r="CY643" s="416"/>
      <c r="CZ643" s="416"/>
      <c r="DF643" s="416"/>
      <c r="DG643" s="416"/>
      <c r="DH643" s="416"/>
      <c r="DI643" s="416"/>
      <c r="DJ643" s="416"/>
      <c r="DK643" s="416"/>
    </row>
    <row r="644" spans="18:115" s="9" customFormat="1">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CR644" s="416"/>
      <c r="CS644" s="416"/>
      <c r="CT644" s="416"/>
      <c r="CU644" s="416"/>
      <c r="CV644" s="416"/>
      <c r="CW644" s="416"/>
      <c r="CX644" s="416"/>
      <c r="CY644" s="416"/>
      <c r="CZ644" s="416"/>
      <c r="DF644" s="416"/>
      <c r="DG644" s="416"/>
      <c r="DH644" s="416"/>
      <c r="DI644" s="416"/>
      <c r="DJ644" s="416"/>
      <c r="DK644" s="416"/>
    </row>
    <row r="645" spans="18:115" s="9" customFormat="1">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CR645" s="416"/>
      <c r="CS645" s="416"/>
      <c r="CT645" s="416"/>
      <c r="CU645" s="416"/>
      <c r="CV645" s="416"/>
      <c r="CW645" s="416"/>
      <c r="CX645" s="416"/>
      <c r="CY645" s="416"/>
      <c r="CZ645" s="416"/>
      <c r="DF645" s="416"/>
      <c r="DG645" s="416"/>
      <c r="DH645" s="416"/>
      <c r="DI645" s="416"/>
      <c r="DJ645" s="416"/>
      <c r="DK645" s="416"/>
    </row>
    <row r="646" spans="18:115" s="9" customFormat="1">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CR646" s="416"/>
      <c r="CS646" s="416"/>
      <c r="CT646" s="416"/>
      <c r="CU646" s="416"/>
      <c r="CV646" s="416"/>
      <c r="CW646" s="416"/>
      <c r="CX646" s="416"/>
      <c r="CY646" s="416"/>
      <c r="CZ646" s="416"/>
      <c r="DF646" s="416"/>
      <c r="DG646" s="416"/>
      <c r="DH646" s="416"/>
      <c r="DI646" s="416"/>
      <c r="DJ646" s="416"/>
      <c r="DK646" s="416"/>
    </row>
    <row r="647" spans="18:115" s="9" customFormat="1">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CR647" s="416"/>
      <c r="CS647" s="416"/>
      <c r="CT647" s="416"/>
      <c r="CU647" s="416"/>
      <c r="CV647" s="416"/>
      <c r="CW647" s="416"/>
      <c r="CX647" s="416"/>
      <c r="CY647" s="416"/>
      <c r="CZ647" s="416"/>
      <c r="DF647" s="416"/>
      <c r="DG647" s="416"/>
      <c r="DH647" s="416"/>
      <c r="DI647" s="416"/>
      <c r="DJ647" s="416"/>
      <c r="DK647" s="416"/>
    </row>
    <row r="648" spans="18:115" s="9" customFormat="1">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CR648" s="416"/>
      <c r="CS648" s="416"/>
      <c r="CT648" s="416"/>
      <c r="CU648" s="416"/>
      <c r="CV648" s="416"/>
      <c r="CW648" s="416"/>
      <c r="CX648" s="416"/>
      <c r="CY648" s="416"/>
      <c r="CZ648" s="416"/>
      <c r="DF648" s="416"/>
      <c r="DG648" s="416"/>
      <c r="DH648" s="416"/>
      <c r="DI648" s="416"/>
      <c r="DJ648" s="416"/>
      <c r="DK648" s="416"/>
    </row>
    <row r="649" spans="18:115" s="9" customFormat="1">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CR649" s="416"/>
      <c r="CS649" s="416"/>
      <c r="CT649" s="416"/>
      <c r="CU649" s="416"/>
      <c r="CV649" s="416"/>
      <c r="CW649" s="416"/>
      <c r="CX649" s="416"/>
      <c r="CY649" s="416"/>
      <c r="CZ649" s="416"/>
      <c r="DF649" s="416"/>
      <c r="DG649" s="416"/>
      <c r="DH649" s="416"/>
      <c r="DI649" s="416"/>
      <c r="DJ649" s="416"/>
      <c r="DK649" s="416"/>
    </row>
    <row r="650" spans="18:115" s="9" customFormat="1">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CR650" s="416"/>
      <c r="CS650" s="416"/>
      <c r="CT650" s="416"/>
      <c r="CU650" s="416"/>
      <c r="CV650" s="416"/>
      <c r="CW650" s="416"/>
      <c r="CX650" s="416"/>
      <c r="CY650" s="416"/>
      <c r="CZ650" s="416"/>
      <c r="DF650" s="416"/>
      <c r="DG650" s="416"/>
      <c r="DH650" s="416"/>
      <c r="DI650" s="416"/>
      <c r="DJ650" s="416"/>
      <c r="DK650" s="416"/>
    </row>
    <row r="651" spans="18:115" s="9" customFormat="1">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CR651" s="416"/>
      <c r="CS651" s="416"/>
      <c r="CT651" s="416"/>
      <c r="CU651" s="416"/>
      <c r="CV651" s="416"/>
      <c r="CW651" s="416"/>
      <c r="CX651" s="416"/>
      <c r="CY651" s="416"/>
      <c r="CZ651" s="416"/>
      <c r="DF651" s="416"/>
      <c r="DG651" s="416"/>
      <c r="DH651" s="416"/>
      <c r="DI651" s="416"/>
      <c r="DJ651" s="416"/>
      <c r="DK651" s="416"/>
    </row>
    <row r="652" spans="18:115" s="9" customFormat="1">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CR652" s="416"/>
      <c r="CS652" s="416"/>
      <c r="CT652" s="416"/>
      <c r="CU652" s="416"/>
      <c r="CV652" s="416"/>
      <c r="CW652" s="416"/>
      <c r="CX652" s="416"/>
      <c r="CY652" s="416"/>
      <c r="CZ652" s="416"/>
      <c r="DF652" s="416"/>
      <c r="DG652" s="416"/>
      <c r="DH652" s="416"/>
      <c r="DI652" s="416"/>
      <c r="DJ652" s="416"/>
      <c r="DK652" s="416"/>
    </row>
    <row r="653" spans="18:115" s="9" customFormat="1">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CR653" s="416"/>
      <c r="CS653" s="416"/>
      <c r="CT653" s="416"/>
      <c r="CU653" s="416"/>
      <c r="CV653" s="416"/>
      <c r="CW653" s="416"/>
      <c r="CX653" s="416"/>
      <c r="CY653" s="416"/>
      <c r="CZ653" s="416"/>
      <c r="DF653" s="416"/>
      <c r="DG653" s="416"/>
      <c r="DH653" s="416"/>
      <c r="DI653" s="416"/>
      <c r="DJ653" s="416"/>
      <c r="DK653" s="416"/>
    </row>
    <row r="654" spans="18:115" s="9" customFormat="1">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CR654" s="416"/>
      <c r="CS654" s="416"/>
      <c r="CT654" s="416"/>
      <c r="CU654" s="416"/>
      <c r="CV654" s="416"/>
      <c r="CW654" s="416"/>
      <c r="CX654" s="416"/>
      <c r="CY654" s="416"/>
      <c r="CZ654" s="416"/>
      <c r="DF654" s="416"/>
      <c r="DG654" s="416"/>
      <c r="DH654" s="416"/>
      <c r="DI654" s="416"/>
      <c r="DJ654" s="416"/>
      <c r="DK654" s="416"/>
    </row>
    <row r="655" spans="18:115" s="9" customFormat="1">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CR655" s="416"/>
      <c r="CS655" s="416"/>
      <c r="CT655" s="416"/>
      <c r="CU655" s="416"/>
      <c r="CV655" s="416"/>
      <c r="CW655" s="416"/>
      <c r="CX655" s="416"/>
      <c r="CY655" s="416"/>
      <c r="CZ655" s="416"/>
      <c r="DF655" s="416"/>
      <c r="DG655" s="416"/>
      <c r="DH655" s="416"/>
      <c r="DI655" s="416"/>
      <c r="DJ655" s="416"/>
      <c r="DK655" s="416"/>
    </row>
    <row r="656" spans="18:115" s="9" customFormat="1">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CR656" s="416"/>
      <c r="CS656" s="416"/>
      <c r="CT656" s="416"/>
      <c r="CU656" s="416"/>
      <c r="CV656" s="416"/>
      <c r="CW656" s="416"/>
      <c r="CX656" s="416"/>
      <c r="CY656" s="416"/>
      <c r="CZ656" s="416"/>
      <c r="DF656" s="416"/>
      <c r="DG656" s="416"/>
      <c r="DH656" s="416"/>
      <c r="DI656" s="416"/>
      <c r="DJ656" s="416"/>
      <c r="DK656" s="416"/>
    </row>
    <row r="657" spans="18:115" s="9" customFormat="1">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CR657" s="416"/>
      <c r="CS657" s="416"/>
      <c r="CT657" s="416"/>
      <c r="CU657" s="416"/>
      <c r="CV657" s="416"/>
      <c r="CW657" s="416"/>
      <c r="CX657" s="416"/>
      <c r="CY657" s="416"/>
      <c r="CZ657" s="416"/>
      <c r="DF657" s="416"/>
      <c r="DG657" s="416"/>
      <c r="DH657" s="416"/>
      <c r="DI657" s="416"/>
      <c r="DJ657" s="416"/>
      <c r="DK657" s="416"/>
    </row>
    <row r="658" spans="18:115" s="9" customFormat="1">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CR658" s="416"/>
      <c r="CS658" s="416"/>
      <c r="CT658" s="416"/>
      <c r="CU658" s="416"/>
      <c r="CV658" s="416"/>
      <c r="CW658" s="416"/>
      <c r="CX658" s="416"/>
      <c r="CY658" s="416"/>
      <c r="CZ658" s="416"/>
      <c r="DF658" s="416"/>
      <c r="DG658" s="416"/>
      <c r="DH658" s="416"/>
      <c r="DI658" s="416"/>
      <c r="DJ658" s="416"/>
      <c r="DK658" s="416"/>
    </row>
    <row r="659" spans="18:115" s="9" customFormat="1">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CR659" s="416"/>
      <c r="CS659" s="416"/>
      <c r="CT659" s="416"/>
      <c r="CU659" s="416"/>
      <c r="CV659" s="416"/>
      <c r="CW659" s="416"/>
      <c r="CX659" s="416"/>
      <c r="CY659" s="416"/>
      <c r="CZ659" s="416"/>
      <c r="DF659" s="416"/>
      <c r="DG659" s="416"/>
      <c r="DH659" s="416"/>
      <c r="DI659" s="416"/>
      <c r="DJ659" s="416"/>
      <c r="DK659" s="416"/>
    </row>
    <row r="660" spans="18:115" s="9" customFormat="1">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CR660" s="416"/>
      <c r="CS660" s="416"/>
      <c r="CT660" s="416"/>
      <c r="CU660" s="416"/>
      <c r="CV660" s="416"/>
      <c r="CW660" s="416"/>
      <c r="CX660" s="416"/>
      <c r="CY660" s="416"/>
      <c r="CZ660" s="416"/>
      <c r="DF660" s="416"/>
      <c r="DG660" s="416"/>
      <c r="DH660" s="416"/>
      <c r="DI660" s="416"/>
      <c r="DJ660" s="416"/>
      <c r="DK660" s="416"/>
    </row>
    <row r="661" spans="18:115" s="9" customFormat="1">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CR661" s="416"/>
      <c r="CS661" s="416"/>
      <c r="CT661" s="416"/>
      <c r="CU661" s="416"/>
      <c r="CV661" s="416"/>
      <c r="CW661" s="416"/>
      <c r="CX661" s="416"/>
      <c r="CY661" s="416"/>
      <c r="CZ661" s="416"/>
      <c r="DF661" s="416"/>
      <c r="DG661" s="416"/>
      <c r="DH661" s="416"/>
      <c r="DI661" s="416"/>
      <c r="DJ661" s="416"/>
      <c r="DK661" s="416"/>
    </row>
    <row r="662" spans="18:115" s="9" customFormat="1">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CR662" s="416"/>
      <c r="CS662" s="416"/>
      <c r="CT662" s="416"/>
      <c r="CU662" s="416"/>
      <c r="CV662" s="416"/>
      <c r="CW662" s="416"/>
      <c r="CX662" s="416"/>
      <c r="CY662" s="416"/>
      <c r="CZ662" s="416"/>
      <c r="DF662" s="416"/>
      <c r="DG662" s="416"/>
      <c r="DH662" s="416"/>
      <c r="DI662" s="416"/>
      <c r="DJ662" s="416"/>
      <c r="DK662" s="416"/>
    </row>
    <row r="663" spans="18:115" s="9" customFormat="1">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CR663" s="416"/>
      <c r="CS663" s="416"/>
      <c r="CT663" s="416"/>
      <c r="CU663" s="416"/>
      <c r="CV663" s="416"/>
      <c r="CW663" s="416"/>
      <c r="CX663" s="416"/>
      <c r="CY663" s="416"/>
      <c r="CZ663" s="416"/>
      <c r="DF663" s="416"/>
      <c r="DG663" s="416"/>
      <c r="DH663" s="416"/>
      <c r="DI663" s="416"/>
      <c r="DJ663" s="416"/>
      <c r="DK663" s="416"/>
    </row>
    <row r="664" spans="18:115" s="9" customFormat="1">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CR664" s="416"/>
      <c r="CS664" s="416"/>
      <c r="CT664" s="416"/>
      <c r="CU664" s="416"/>
      <c r="CV664" s="416"/>
      <c r="CW664" s="416"/>
      <c r="CX664" s="416"/>
      <c r="CY664" s="416"/>
      <c r="CZ664" s="416"/>
      <c r="DF664" s="416"/>
      <c r="DG664" s="416"/>
      <c r="DH664" s="416"/>
      <c r="DI664" s="416"/>
      <c r="DJ664" s="416"/>
      <c r="DK664" s="416"/>
    </row>
    <row r="665" spans="18:115" s="9" customFormat="1">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CR665" s="416"/>
      <c r="CS665" s="416"/>
      <c r="CT665" s="416"/>
      <c r="CU665" s="416"/>
      <c r="CV665" s="416"/>
      <c r="CW665" s="416"/>
      <c r="CX665" s="416"/>
      <c r="CY665" s="416"/>
      <c r="CZ665" s="416"/>
      <c r="DF665" s="416"/>
      <c r="DG665" s="416"/>
      <c r="DH665" s="416"/>
      <c r="DI665" s="416"/>
      <c r="DJ665" s="416"/>
      <c r="DK665" s="416"/>
    </row>
    <row r="666" spans="18:115" s="9" customFormat="1">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CR666" s="416"/>
      <c r="CS666" s="416"/>
      <c r="CT666" s="416"/>
      <c r="CU666" s="416"/>
      <c r="CV666" s="416"/>
      <c r="CW666" s="416"/>
      <c r="CX666" s="416"/>
      <c r="CY666" s="416"/>
      <c r="CZ666" s="416"/>
      <c r="DF666" s="416"/>
      <c r="DG666" s="416"/>
      <c r="DH666" s="416"/>
      <c r="DI666" s="416"/>
      <c r="DJ666" s="416"/>
      <c r="DK666" s="416"/>
    </row>
    <row r="667" spans="18:115" s="9" customFormat="1">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CR667" s="416"/>
      <c r="CS667" s="416"/>
      <c r="CT667" s="416"/>
      <c r="CU667" s="416"/>
      <c r="CV667" s="416"/>
      <c r="CW667" s="416"/>
      <c r="CX667" s="416"/>
      <c r="CY667" s="416"/>
      <c r="CZ667" s="416"/>
      <c r="DF667" s="416"/>
      <c r="DG667" s="416"/>
      <c r="DH667" s="416"/>
      <c r="DI667" s="416"/>
      <c r="DJ667" s="416"/>
      <c r="DK667" s="416"/>
    </row>
    <row r="668" spans="18:115" s="9" customFormat="1">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CR668" s="416"/>
      <c r="CS668" s="416"/>
      <c r="CT668" s="416"/>
      <c r="CU668" s="416"/>
      <c r="CV668" s="416"/>
      <c r="CW668" s="416"/>
      <c r="CX668" s="416"/>
      <c r="CY668" s="416"/>
      <c r="CZ668" s="416"/>
      <c r="DF668" s="416"/>
      <c r="DG668" s="416"/>
      <c r="DH668" s="416"/>
      <c r="DI668" s="416"/>
      <c r="DJ668" s="416"/>
      <c r="DK668" s="416"/>
    </row>
    <row r="669" spans="18:115" s="9" customFormat="1">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CR669" s="416"/>
      <c r="CS669" s="416"/>
      <c r="CT669" s="416"/>
      <c r="CU669" s="416"/>
      <c r="CV669" s="416"/>
      <c r="CW669" s="416"/>
      <c r="CX669" s="416"/>
      <c r="CY669" s="416"/>
      <c r="CZ669" s="416"/>
      <c r="DF669" s="416"/>
      <c r="DG669" s="416"/>
      <c r="DH669" s="416"/>
      <c r="DI669" s="416"/>
      <c r="DJ669" s="416"/>
      <c r="DK669" s="416"/>
    </row>
    <row r="670" spans="18:115" s="9" customFormat="1">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CR670" s="416"/>
      <c r="CS670" s="416"/>
      <c r="CT670" s="416"/>
      <c r="CU670" s="416"/>
      <c r="CV670" s="416"/>
      <c r="CW670" s="416"/>
      <c r="CX670" s="416"/>
      <c r="CY670" s="416"/>
      <c r="CZ670" s="416"/>
      <c r="DF670" s="416"/>
      <c r="DG670" s="416"/>
      <c r="DH670" s="416"/>
      <c r="DI670" s="416"/>
      <c r="DJ670" s="416"/>
      <c r="DK670" s="416"/>
    </row>
    <row r="671" spans="18:115" s="9" customFormat="1">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CR671" s="416"/>
      <c r="CS671" s="416"/>
      <c r="CT671" s="416"/>
      <c r="CU671" s="416"/>
      <c r="CV671" s="416"/>
      <c r="CW671" s="416"/>
      <c r="CX671" s="416"/>
      <c r="CY671" s="416"/>
      <c r="CZ671" s="416"/>
      <c r="DF671" s="416"/>
      <c r="DG671" s="416"/>
      <c r="DH671" s="416"/>
      <c r="DI671" s="416"/>
      <c r="DJ671" s="416"/>
      <c r="DK671" s="416"/>
    </row>
    <row r="672" spans="18:115" s="9" customFormat="1">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CR672" s="416"/>
      <c r="CS672" s="416"/>
      <c r="CT672" s="416"/>
      <c r="CU672" s="416"/>
      <c r="CV672" s="416"/>
      <c r="CW672" s="416"/>
      <c r="CX672" s="416"/>
      <c r="CY672" s="416"/>
      <c r="CZ672" s="416"/>
      <c r="DF672" s="416"/>
      <c r="DG672" s="416"/>
      <c r="DH672" s="416"/>
      <c r="DI672" s="416"/>
      <c r="DJ672" s="416"/>
      <c r="DK672" s="416"/>
    </row>
    <row r="673" spans="18:115" s="9" customFormat="1">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CR673" s="416"/>
      <c r="CS673" s="416"/>
      <c r="CT673" s="416"/>
      <c r="CU673" s="416"/>
      <c r="CV673" s="416"/>
      <c r="CW673" s="416"/>
      <c r="CX673" s="416"/>
      <c r="CY673" s="416"/>
      <c r="CZ673" s="416"/>
      <c r="DF673" s="416"/>
      <c r="DG673" s="416"/>
      <c r="DH673" s="416"/>
      <c r="DI673" s="416"/>
      <c r="DJ673" s="416"/>
      <c r="DK673" s="416"/>
    </row>
    <row r="674" spans="18:115" s="9" customFormat="1">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CR674" s="416"/>
      <c r="CS674" s="416"/>
      <c r="CT674" s="416"/>
      <c r="CU674" s="416"/>
      <c r="CV674" s="416"/>
      <c r="CW674" s="416"/>
      <c r="CX674" s="416"/>
      <c r="CY674" s="416"/>
      <c r="CZ674" s="416"/>
      <c r="DF674" s="416"/>
      <c r="DG674" s="416"/>
      <c r="DH674" s="416"/>
      <c r="DI674" s="416"/>
      <c r="DJ674" s="416"/>
      <c r="DK674" s="416"/>
    </row>
    <row r="675" spans="18:115" s="9" customFormat="1">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CR675" s="416"/>
      <c r="CS675" s="416"/>
      <c r="CT675" s="416"/>
      <c r="CU675" s="416"/>
      <c r="CV675" s="416"/>
      <c r="CW675" s="416"/>
      <c r="CX675" s="416"/>
      <c r="CY675" s="416"/>
      <c r="CZ675" s="416"/>
      <c r="DF675" s="416"/>
      <c r="DG675" s="416"/>
      <c r="DH675" s="416"/>
      <c r="DI675" s="416"/>
      <c r="DJ675" s="416"/>
      <c r="DK675" s="416"/>
    </row>
    <row r="676" spans="18:115" s="9" customFormat="1">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CR676" s="416"/>
      <c r="CS676" s="416"/>
      <c r="CT676" s="416"/>
      <c r="CU676" s="416"/>
      <c r="CV676" s="416"/>
      <c r="CW676" s="416"/>
      <c r="CX676" s="416"/>
      <c r="CY676" s="416"/>
      <c r="CZ676" s="416"/>
      <c r="DF676" s="416"/>
      <c r="DG676" s="416"/>
      <c r="DH676" s="416"/>
      <c r="DI676" s="416"/>
      <c r="DJ676" s="416"/>
      <c r="DK676" s="416"/>
    </row>
    <row r="677" spans="18:115" s="9" customFormat="1">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CR677" s="416"/>
      <c r="CS677" s="416"/>
      <c r="CT677" s="416"/>
      <c r="CU677" s="416"/>
      <c r="CV677" s="416"/>
      <c r="CW677" s="416"/>
      <c r="CX677" s="416"/>
      <c r="CY677" s="416"/>
      <c r="CZ677" s="416"/>
      <c r="DF677" s="416"/>
      <c r="DG677" s="416"/>
      <c r="DH677" s="416"/>
      <c r="DI677" s="416"/>
      <c r="DJ677" s="416"/>
      <c r="DK677" s="416"/>
    </row>
    <row r="678" spans="18:115" s="9" customFormat="1">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CR678" s="416"/>
      <c r="CS678" s="416"/>
      <c r="CT678" s="416"/>
      <c r="CU678" s="416"/>
      <c r="CV678" s="416"/>
      <c r="CW678" s="416"/>
      <c r="CX678" s="416"/>
      <c r="CY678" s="416"/>
      <c r="CZ678" s="416"/>
      <c r="DF678" s="416"/>
      <c r="DG678" s="416"/>
      <c r="DH678" s="416"/>
      <c r="DI678" s="416"/>
      <c r="DJ678" s="416"/>
      <c r="DK678" s="416"/>
    </row>
    <row r="679" spans="18:115" s="9" customFormat="1">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CR679" s="416"/>
      <c r="CS679" s="416"/>
      <c r="CT679" s="416"/>
      <c r="CU679" s="416"/>
      <c r="CV679" s="416"/>
      <c r="CW679" s="416"/>
      <c r="CX679" s="416"/>
      <c r="CY679" s="416"/>
      <c r="CZ679" s="416"/>
      <c r="DF679" s="416"/>
      <c r="DG679" s="416"/>
      <c r="DH679" s="416"/>
      <c r="DI679" s="416"/>
      <c r="DJ679" s="416"/>
      <c r="DK679" s="416"/>
    </row>
    <row r="680" spans="18:115" s="9" customFormat="1">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CR680" s="416"/>
      <c r="CS680" s="416"/>
      <c r="CT680" s="416"/>
      <c r="CU680" s="416"/>
      <c r="CV680" s="416"/>
      <c r="CW680" s="416"/>
      <c r="CX680" s="416"/>
      <c r="CY680" s="416"/>
      <c r="CZ680" s="416"/>
      <c r="DF680" s="416"/>
      <c r="DG680" s="416"/>
      <c r="DH680" s="416"/>
      <c r="DI680" s="416"/>
      <c r="DJ680" s="416"/>
      <c r="DK680" s="416"/>
    </row>
    <row r="681" spans="18:115" s="9" customFormat="1">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CR681" s="416"/>
      <c r="CS681" s="416"/>
      <c r="CT681" s="416"/>
      <c r="CU681" s="416"/>
      <c r="CV681" s="416"/>
      <c r="CW681" s="416"/>
      <c r="CX681" s="416"/>
      <c r="CY681" s="416"/>
      <c r="CZ681" s="416"/>
      <c r="DF681" s="416"/>
      <c r="DG681" s="416"/>
      <c r="DH681" s="416"/>
      <c r="DI681" s="416"/>
      <c r="DJ681" s="416"/>
      <c r="DK681" s="416"/>
    </row>
    <row r="682" spans="18:115" s="9" customFormat="1">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CR682" s="416"/>
      <c r="CS682" s="416"/>
      <c r="CT682" s="416"/>
      <c r="CU682" s="416"/>
      <c r="CV682" s="416"/>
      <c r="CW682" s="416"/>
      <c r="CX682" s="416"/>
      <c r="CY682" s="416"/>
      <c r="CZ682" s="416"/>
      <c r="DF682" s="416"/>
      <c r="DG682" s="416"/>
      <c r="DH682" s="416"/>
      <c r="DI682" s="416"/>
      <c r="DJ682" s="416"/>
      <c r="DK682" s="416"/>
    </row>
    <row r="683" spans="18:115" s="9" customFormat="1">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CR683" s="416"/>
      <c r="CS683" s="416"/>
      <c r="CT683" s="416"/>
      <c r="CU683" s="416"/>
      <c r="CV683" s="416"/>
      <c r="CW683" s="416"/>
      <c r="CX683" s="416"/>
      <c r="CY683" s="416"/>
      <c r="CZ683" s="416"/>
      <c r="DF683" s="416"/>
      <c r="DG683" s="416"/>
      <c r="DH683" s="416"/>
      <c r="DI683" s="416"/>
      <c r="DJ683" s="416"/>
      <c r="DK683" s="416"/>
    </row>
    <row r="684" spans="18:115" s="9" customFormat="1">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CR684" s="416"/>
      <c r="CS684" s="416"/>
      <c r="CT684" s="416"/>
      <c r="CU684" s="416"/>
      <c r="CV684" s="416"/>
      <c r="CW684" s="416"/>
      <c r="CX684" s="416"/>
      <c r="CY684" s="416"/>
      <c r="CZ684" s="416"/>
      <c r="DF684" s="416"/>
      <c r="DG684" s="416"/>
      <c r="DH684" s="416"/>
      <c r="DI684" s="416"/>
      <c r="DJ684" s="416"/>
      <c r="DK684" s="416"/>
    </row>
    <row r="685" spans="18:115" s="9" customFormat="1">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CR685" s="416"/>
      <c r="CS685" s="416"/>
      <c r="CT685" s="416"/>
      <c r="CU685" s="416"/>
      <c r="CV685" s="416"/>
      <c r="CW685" s="416"/>
      <c r="CX685" s="416"/>
      <c r="CY685" s="416"/>
      <c r="CZ685" s="416"/>
      <c r="DF685" s="416"/>
      <c r="DG685" s="416"/>
      <c r="DH685" s="416"/>
      <c r="DI685" s="416"/>
      <c r="DJ685" s="416"/>
      <c r="DK685" s="416"/>
    </row>
    <row r="686" spans="18:115" s="9" customFormat="1">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CR686" s="416"/>
      <c r="CS686" s="416"/>
      <c r="CT686" s="416"/>
      <c r="CU686" s="416"/>
      <c r="CV686" s="416"/>
      <c r="CW686" s="416"/>
      <c r="CX686" s="416"/>
      <c r="CY686" s="416"/>
      <c r="CZ686" s="416"/>
      <c r="DF686" s="416"/>
      <c r="DG686" s="416"/>
      <c r="DH686" s="416"/>
      <c r="DI686" s="416"/>
      <c r="DJ686" s="416"/>
      <c r="DK686" s="416"/>
    </row>
    <row r="687" spans="18:115" s="9" customFormat="1">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CR687" s="416"/>
      <c r="CS687" s="416"/>
      <c r="CT687" s="416"/>
      <c r="CU687" s="416"/>
      <c r="CV687" s="416"/>
      <c r="CW687" s="416"/>
      <c r="CX687" s="416"/>
      <c r="CY687" s="416"/>
      <c r="CZ687" s="416"/>
      <c r="DF687" s="416"/>
      <c r="DG687" s="416"/>
      <c r="DH687" s="416"/>
      <c r="DI687" s="416"/>
      <c r="DJ687" s="416"/>
      <c r="DK687" s="416"/>
    </row>
    <row r="688" spans="18:115" s="9" customFormat="1">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CR688" s="416"/>
      <c r="CS688" s="416"/>
      <c r="CT688" s="416"/>
      <c r="CU688" s="416"/>
      <c r="CV688" s="416"/>
      <c r="CW688" s="416"/>
      <c r="CX688" s="416"/>
      <c r="CY688" s="416"/>
      <c r="CZ688" s="416"/>
      <c r="DF688" s="416"/>
      <c r="DG688" s="416"/>
      <c r="DH688" s="416"/>
      <c r="DI688" s="416"/>
      <c r="DJ688" s="416"/>
      <c r="DK688" s="416"/>
    </row>
    <row r="689" spans="18:115" s="9" customFormat="1">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CR689" s="416"/>
      <c r="CS689" s="416"/>
      <c r="CT689" s="416"/>
      <c r="CU689" s="416"/>
      <c r="CV689" s="416"/>
      <c r="CW689" s="416"/>
      <c r="CX689" s="416"/>
      <c r="CY689" s="416"/>
      <c r="CZ689" s="416"/>
      <c r="DF689" s="416"/>
      <c r="DG689" s="416"/>
      <c r="DH689" s="416"/>
      <c r="DI689" s="416"/>
      <c r="DJ689" s="416"/>
      <c r="DK689" s="416"/>
    </row>
    <row r="690" spans="18:115" s="9" customFormat="1">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CR690" s="416"/>
      <c r="CS690" s="416"/>
      <c r="CT690" s="416"/>
      <c r="CU690" s="416"/>
      <c r="CV690" s="416"/>
      <c r="CW690" s="416"/>
      <c r="CX690" s="416"/>
      <c r="CY690" s="416"/>
      <c r="CZ690" s="416"/>
      <c r="DF690" s="416"/>
      <c r="DG690" s="416"/>
      <c r="DH690" s="416"/>
      <c r="DI690" s="416"/>
      <c r="DJ690" s="416"/>
      <c r="DK690" s="416"/>
    </row>
    <row r="691" spans="18:115" s="9" customFormat="1">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CR691" s="416"/>
      <c r="CS691" s="416"/>
      <c r="CT691" s="416"/>
      <c r="CU691" s="416"/>
      <c r="CV691" s="416"/>
      <c r="CW691" s="416"/>
      <c r="CX691" s="416"/>
      <c r="CY691" s="416"/>
      <c r="CZ691" s="416"/>
      <c r="DF691" s="416"/>
      <c r="DG691" s="416"/>
      <c r="DH691" s="416"/>
      <c r="DI691" s="416"/>
      <c r="DJ691" s="416"/>
      <c r="DK691" s="416"/>
    </row>
    <row r="692" spans="18:115" s="9" customFormat="1">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CR692" s="416"/>
      <c r="CS692" s="416"/>
      <c r="CT692" s="416"/>
      <c r="CU692" s="416"/>
      <c r="CV692" s="416"/>
      <c r="CW692" s="416"/>
      <c r="CX692" s="416"/>
      <c r="CY692" s="416"/>
      <c r="CZ692" s="416"/>
      <c r="DF692" s="416"/>
      <c r="DG692" s="416"/>
      <c r="DH692" s="416"/>
      <c r="DI692" s="416"/>
      <c r="DJ692" s="416"/>
      <c r="DK692" s="416"/>
    </row>
    <row r="693" spans="18:115" s="9" customFormat="1">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CR693" s="416"/>
      <c r="CS693" s="416"/>
      <c r="CT693" s="416"/>
      <c r="CU693" s="416"/>
      <c r="CV693" s="416"/>
      <c r="CW693" s="416"/>
      <c r="CX693" s="416"/>
      <c r="CY693" s="416"/>
      <c r="CZ693" s="416"/>
      <c r="DF693" s="416"/>
      <c r="DG693" s="416"/>
      <c r="DH693" s="416"/>
      <c r="DI693" s="416"/>
      <c r="DJ693" s="416"/>
      <c r="DK693" s="416"/>
    </row>
    <row r="694" spans="18:115" s="9" customFormat="1">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CR694" s="416"/>
      <c r="CS694" s="416"/>
      <c r="CT694" s="416"/>
      <c r="CU694" s="416"/>
      <c r="CV694" s="416"/>
      <c r="CW694" s="416"/>
      <c r="CX694" s="416"/>
      <c r="CY694" s="416"/>
      <c r="CZ694" s="416"/>
      <c r="DF694" s="416"/>
      <c r="DG694" s="416"/>
      <c r="DH694" s="416"/>
      <c r="DI694" s="416"/>
      <c r="DJ694" s="416"/>
      <c r="DK694" s="416"/>
    </row>
    <row r="695" spans="18:115" s="9" customFormat="1">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CR695" s="416"/>
      <c r="CS695" s="416"/>
      <c r="CT695" s="416"/>
      <c r="CU695" s="416"/>
      <c r="CV695" s="416"/>
      <c r="CW695" s="416"/>
      <c r="CX695" s="416"/>
      <c r="CY695" s="416"/>
      <c r="CZ695" s="416"/>
      <c r="DF695" s="416"/>
      <c r="DG695" s="416"/>
      <c r="DH695" s="416"/>
      <c r="DI695" s="416"/>
      <c r="DJ695" s="416"/>
      <c r="DK695" s="416"/>
    </row>
    <row r="696" spans="18:115" s="9" customFormat="1">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CR696" s="416"/>
      <c r="CS696" s="416"/>
      <c r="CT696" s="416"/>
      <c r="CU696" s="416"/>
      <c r="CV696" s="416"/>
      <c r="CW696" s="416"/>
      <c r="CX696" s="416"/>
      <c r="CY696" s="416"/>
      <c r="CZ696" s="416"/>
      <c r="DF696" s="416"/>
      <c r="DG696" s="416"/>
      <c r="DH696" s="416"/>
      <c r="DI696" s="416"/>
      <c r="DJ696" s="416"/>
      <c r="DK696" s="416"/>
    </row>
    <row r="697" spans="18:115" s="9" customFormat="1">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CR697" s="416"/>
      <c r="CS697" s="416"/>
      <c r="CT697" s="416"/>
      <c r="CU697" s="416"/>
      <c r="CV697" s="416"/>
      <c r="CW697" s="416"/>
      <c r="CX697" s="416"/>
      <c r="CY697" s="416"/>
      <c r="CZ697" s="416"/>
      <c r="DF697" s="416"/>
      <c r="DG697" s="416"/>
      <c r="DH697" s="416"/>
      <c r="DI697" s="416"/>
      <c r="DJ697" s="416"/>
      <c r="DK697" s="416"/>
    </row>
    <row r="698" spans="18:115" s="9" customFormat="1">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CR698" s="416"/>
      <c r="CS698" s="416"/>
      <c r="CT698" s="416"/>
      <c r="CU698" s="416"/>
      <c r="CV698" s="416"/>
      <c r="CW698" s="416"/>
      <c r="CX698" s="416"/>
      <c r="CY698" s="416"/>
      <c r="CZ698" s="416"/>
      <c r="DF698" s="416"/>
      <c r="DG698" s="416"/>
      <c r="DH698" s="416"/>
      <c r="DI698" s="416"/>
      <c r="DJ698" s="416"/>
      <c r="DK698" s="416"/>
    </row>
    <row r="699" spans="18:115" s="9" customFormat="1">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CR699" s="416"/>
      <c r="CS699" s="416"/>
      <c r="CT699" s="416"/>
      <c r="CU699" s="416"/>
      <c r="CV699" s="416"/>
      <c r="CW699" s="416"/>
      <c r="CX699" s="416"/>
      <c r="CY699" s="416"/>
      <c r="CZ699" s="416"/>
      <c r="DF699" s="416"/>
      <c r="DG699" s="416"/>
      <c r="DH699" s="416"/>
      <c r="DI699" s="416"/>
      <c r="DJ699" s="416"/>
      <c r="DK699" s="416"/>
    </row>
    <row r="700" spans="18:115" s="9" customFormat="1">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CR700" s="416"/>
      <c r="CS700" s="416"/>
      <c r="CT700" s="416"/>
      <c r="CU700" s="416"/>
      <c r="CV700" s="416"/>
      <c r="CW700" s="416"/>
      <c r="CX700" s="416"/>
      <c r="CY700" s="416"/>
      <c r="CZ700" s="416"/>
      <c r="DF700" s="416"/>
      <c r="DG700" s="416"/>
      <c r="DH700" s="416"/>
      <c r="DI700" s="416"/>
      <c r="DJ700" s="416"/>
      <c r="DK700" s="416"/>
    </row>
    <row r="701" spans="18:115" s="9" customFormat="1">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CR701" s="416"/>
      <c r="CS701" s="416"/>
      <c r="CT701" s="416"/>
      <c r="CU701" s="416"/>
      <c r="CV701" s="416"/>
      <c r="CW701" s="416"/>
      <c r="CX701" s="416"/>
      <c r="CY701" s="416"/>
      <c r="CZ701" s="416"/>
      <c r="DF701" s="416"/>
      <c r="DG701" s="416"/>
      <c r="DH701" s="416"/>
      <c r="DI701" s="416"/>
      <c r="DJ701" s="416"/>
      <c r="DK701" s="416"/>
    </row>
    <row r="702" spans="18:115" s="9" customFormat="1">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CR702" s="416"/>
      <c r="CS702" s="416"/>
      <c r="CT702" s="416"/>
      <c r="CU702" s="416"/>
      <c r="CV702" s="416"/>
      <c r="CW702" s="416"/>
      <c r="CX702" s="416"/>
      <c r="CY702" s="416"/>
      <c r="CZ702" s="416"/>
      <c r="DF702" s="416"/>
      <c r="DG702" s="416"/>
      <c r="DH702" s="416"/>
      <c r="DI702" s="416"/>
      <c r="DJ702" s="416"/>
      <c r="DK702" s="416"/>
    </row>
    <row r="703" spans="18:115" s="9" customFormat="1">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CR703" s="416"/>
      <c r="CS703" s="416"/>
      <c r="CT703" s="416"/>
      <c r="CU703" s="416"/>
      <c r="CV703" s="416"/>
      <c r="CW703" s="416"/>
      <c r="CX703" s="416"/>
      <c r="CY703" s="416"/>
      <c r="CZ703" s="416"/>
      <c r="DF703" s="416"/>
      <c r="DG703" s="416"/>
      <c r="DH703" s="416"/>
      <c r="DI703" s="416"/>
      <c r="DJ703" s="416"/>
      <c r="DK703" s="416"/>
    </row>
    <row r="704" spans="18:115" s="9" customFormat="1">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CR704" s="416"/>
      <c r="CS704" s="416"/>
      <c r="CT704" s="416"/>
      <c r="CU704" s="416"/>
      <c r="CV704" s="416"/>
      <c r="CW704" s="416"/>
      <c r="CX704" s="416"/>
      <c r="CY704" s="416"/>
      <c r="CZ704" s="416"/>
      <c r="DF704" s="416"/>
      <c r="DG704" s="416"/>
      <c r="DH704" s="416"/>
      <c r="DI704" s="416"/>
      <c r="DJ704" s="416"/>
      <c r="DK704" s="416"/>
    </row>
    <row r="705" spans="18:115" s="9" customFormat="1">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CR705" s="416"/>
      <c r="CS705" s="416"/>
      <c r="CT705" s="416"/>
      <c r="CU705" s="416"/>
      <c r="CV705" s="416"/>
      <c r="CW705" s="416"/>
      <c r="CX705" s="416"/>
      <c r="CY705" s="416"/>
      <c r="CZ705" s="416"/>
      <c r="DF705" s="416"/>
      <c r="DG705" s="416"/>
      <c r="DH705" s="416"/>
      <c r="DI705" s="416"/>
      <c r="DJ705" s="416"/>
      <c r="DK705" s="416"/>
    </row>
    <row r="706" spans="18:115" s="9" customFormat="1">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CR706" s="416"/>
      <c r="CS706" s="416"/>
      <c r="CT706" s="416"/>
      <c r="CU706" s="416"/>
      <c r="CV706" s="416"/>
      <c r="CW706" s="416"/>
      <c r="CX706" s="416"/>
      <c r="CY706" s="416"/>
      <c r="CZ706" s="416"/>
      <c r="DF706" s="416"/>
      <c r="DG706" s="416"/>
      <c r="DH706" s="416"/>
      <c r="DI706" s="416"/>
      <c r="DJ706" s="416"/>
      <c r="DK706" s="416"/>
    </row>
    <row r="707" spans="18:115" s="9" customFormat="1">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CR707" s="416"/>
      <c r="CS707" s="416"/>
      <c r="CT707" s="416"/>
      <c r="CU707" s="416"/>
      <c r="CV707" s="416"/>
      <c r="CW707" s="416"/>
      <c r="CX707" s="416"/>
      <c r="CY707" s="416"/>
      <c r="CZ707" s="416"/>
      <c r="DF707" s="416"/>
      <c r="DG707" s="416"/>
      <c r="DH707" s="416"/>
      <c r="DI707" s="416"/>
      <c r="DJ707" s="416"/>
      <c r="DK707" s="416"/>
    </row>
    <row r="708" spans="18:115" s="9" customFormat="1">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CR708" s="416"/>
      <c r="CS708" s="416"/>
      <c r="CT708" s="416"/>
      <c r="CU708" s="416"/>
      <c r="CV708" s="416"/>
      <c r="CW708" s="416"/>
      <c r="CX708" s="416"/>
      <c r="CY708" s="416"/>
      <c r="CZ708" s="416"/>
      <c r="DF708" s="416"/>
      <c r="DG708" s="416"/>
      <c r="DH708" s="416"/>
      <c r="DI708" s="416"/>
      <c r="DJ708" s="416"/>
      <c r="DK708" s="416"/>
    </row>
    <row r="709" spans="18:115" s="9" customFormat="1">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CR709" s="416"/>
      <c r="CS709" s="416"/>
      <c r="CT709" s="416"/>
      <c r="CU709" s="416"/>
      <c r="CV709" s="416"/>
      <c r="CW709" s="416"/>
      <c r="CX709" s="416"/>
      <c r="CY709" s="416"/>
      <c r="CZ709" s="416"/>
      <c r="DF709" s="416"/>
      <c r="DG709" s="416"/>
      <c r="DH709" s="416"/>
      <c r="DI709" s="416"/>
      <c r="DJ709" s="416"/>
      <c r="DK709" s="416"/>
    </row>
    <row r="710" spans="18:115" s="9" customFormat="1">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CR710" s="416"/>
      <c r="CS710" s="416"/>
      <c r="CT710" s="416"/>
      <c r="CU710" s="416"/>
      <c r="CV710" s="416"/>
      <c r="CW710" s="416"/>
      <c r="CX710" s="416"/>
      <c r="CY710" s="416"/>
      <c r="CZ710" s="416"/>
      <c r="DF710" s="416"/>
      <c r="DG710" s="416"/>
      <c r="DH710" s="416"/>
      <c r="DI710" s="416"/>
      <c r="DJ710" s="416"/>
      <c r="DK710" s="416"/>
    </row>
    <row r="711" spans="18:115" s="9" customFormat="1">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CR711" s="416"/>
      <c r="CS711" s="416"/>
      <c r="CT711" s="416"/>
      <c r="CU711" s="416"/>
      <c r="CV711" s="416"/>
      <c r="CW711" s="416"/>
      <c r="CX711" s="416"/>
      <c r="CY711" s="416"/>
      <c r="CZ711" s="416"/>
      <c r="DF711" s="416"/>
      <c r="DG711" s="416"/>
      <c r="DH711" s="416"/>
      <c r="DI711" s="416"/>
      <c r="DJ711" s="416"/>
      <c r="DK711" s="416"/>
    </row>
    <row r="712" spans="18:115" s="9" customFormat="1">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CR712" s="416"/>
      <c r="CS712" s="416"/>
      <c r="CT712" s="416"/>
      <c r="CU712" s="416"/>
      <c r="CV712" s="416"/>
      <c r="CW712" s="416"/>
      <c r="CX712" s="416"/>
      <c r="CY712" s="416"/>
      <c r="CZ712" s="416"/>
      <c r="DF712" s="416"/>
      <c r="DG712" s="416"/>
      <c r="DH712" s="416"/>
      <c r="DI712" s="416"/>
      <c r="DJ712" s="416"/>
      <c r="DK712" s="416"/>
    </row>
    <row r="713" spans="18:115" s="9" customFormat="1">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CR713" s="416"/>
      <c r="CS713" s="416"/>
      <c r="CT713" s="416"/>
      <c r="CU713" s="416"/>
      <c r="CV713" s="416"/>
      <c r="CW713" s="416"/>
      <c r="CX713" s="416"/>
      <c r="CY713" s="416"/>
      <c r="CZ713" s="416"/>
      <c r="DF713" s="416"/>
      <c r="DG713" s="416"/>
      <c r="DH713" s="416"/>
      <c r="DI713" s="416"/>
      <c r="DJ713" s="416"/>
      <c r="DK713" s="416"/>
    </row>
    <row r="714" spans="18:115" s="9" customFormat="1">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CR714" s="416"/>
      <c r="CS714" s="416"/>
      <c r="CT714" s="416"/>
      <c r="CU714" s="416"/>
      <c r="CV714" s="416"/>
      <c r="CW714" s="416"/>
      <c r="CX714" s="416"/>
      <c r="CY714" s="416"/>
      <c r="CZ714" s="416"/>
      <c r="DF714" s="416"/>
      <c r="DG714" s="416"/>
      <c r="DH714" s="416"/>
      <c r="DI714" s="416"/>
      <c r="DJ714" s="416"/>
      <c r="DK714" s="416"/>
    </row>
    <row r="715" spans="18:115" s="9" customFormat="1">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CR715" s="416"/>
      <c r="CS715" s="416"/>
      <c r="CT715" s="416"/>
      <c r="CU715" s="416"/>
      <c r="CV715" s="416"/>
      <c r="CW715" s="416"/>
      <c r="CX715" s="416"/>
      <c r="CY715" s="416"/>
      <c r="CZ715" s="416"/>
      <c r="DF715" s="416"/>
      <c r="DG715" s="416"/>
      <c r="DH715" s="416"/>
      <c r="DI715" s="416"/>
      <c r="DJ715" s="416"/>
      <c r="DK715" s="416"/>
    </row>
    <row r="716" spans="18:115" s="9" customFormat="1">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CR716" s="416"/>
      <c r="CS716" s="416"/>
      <c r="CT716" s="416"/>
      <c r="CU716" s="416"/>
      <c r="CV716" s="416"/>
      <c r="CW716" s="416"/>
      <c r="CX716" s="416"/>
      <c r="CY716" s="416"/>
      <c r="CZ716" s="416"/>
      <c r="DF716" s="416"/>
      <c r="DG716" s="416"/>
      <c r="DH716" s="416"/>
      <c r="DI716" s="416"/>
      <c r="DJ716" s="416"/>
      <c r="DK716" s="416"/>
    </row>
    <row r="717" spans="18:115" s="9" customFormat="1">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CR717" s="416"/>
      <c r="CS717" s="416"/>
      <c r="CT717" s="416"/>
      <c r="CU717" s="416"/>
      <c r="CV717" s="416"/>
      <c r="CW717" s="416"/>
      <c r="CX717" s="416"/>
      <c r="CY717" s="416"/>
      <c r="CZ717" s="416"/>
      <c r="DF717" s="416"/>
      <c r="DG717" s="416"/>
      <c r="DH717" s="416"/>
      <c r="DI717" s="416"/>
      <c r="DJ717" s="416"/>
      <c r="DK717" s="416"/>
    </row>
    <row r="718" spans="18:115" s="9" customFormat="1">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CR718" s="416"/>
      <c r="CS718" s="416"/>
      <c r="CT718" s="416"/>
      <c r="CU718" s="416"/>
      <c r="CV718" s="416"/>
      <c r="CW718" s="416"/>
      <c r="CX718" s="416"/>
      <c r="CY718" s="416"/>
      <c r="CZ718" s="416"/>
      <c r="DF718" s="416"/>
      <c r="DG718" s="416"/>
      <c r="DH718" s="416"/>
      <c r="DI718" s="416"/>
      <c r="DJ718" s="416"/>
      <c r="DK718" s="416"/>
    </row>
    <row r="719" spans="18:115" s="9" customFormat="1">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CR719" s="416"/>
      <c r="CS719" s="416"/>
      <c r="CT719" s="416"/>
      <c r="CU719" s="416"/>
      <c r="CV719" s="416"/>
      <c r="CW719" s="416"/>
      <c r="CX719" s="416"/>
      <c r="CY719" s="416"/>
      <c r="CZ719" s="416"/>
      <c r="DF719" s="416"/>
      <c r="DG719" s="416"/>
      <c r="DH719" s="416"/>
      <c r="DI719" s="416"/>
      <c r="DJ719" s="416"/>
      <c r="DK719" s="416"/>
    </row>
    <row r="720" spans="18:115" s="9" customFormat="1">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CR720" s="416"/>
      <c r="CS720" s="416"/>
      <c r="CT720" s="416"/>
      <c r="CU720" s="416"/>
      <c r="CV720" s="416"/>
      <c r="CW720" s="416"/>
      <c r="CX720" s="416"/>
      <c r="CY720" s="416"/>
      <c r="CZ720" s="416"/>
      <c r="DF720" s="416"/>
      <c r="DG720" s="416"/>
      <c r="DH720" s="416"/>
      <c r="DI720" s="416"/>
      <c r="DJ720" s="416"/>
      <c r="DK720" s="416"/>
    </row>
    <row r="721" spans="18:115" s="9" customFormat="1">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CR721" s="416"/>
      <c r="CS721" s="416"/>
      <c r="CT721" s="416"/>
      <c r="CU721" s="416"/>
      <c r="CV721" s="416"/>
      <c r="CW721" s="416"/>
      <c r="CX721" s="416"/>
      <c r="CY721" s="416"/>
      <c r="CZ721" s="416"/>
      <c r="DF721" s="416"/>
      <c r="DG721" s="416"/>
      <c r="DH721" s="416"/>
      <c r="DI721" s="416"/>
      <c r="DJ721" s="416"/>
      <c r="DK721" s="416"/>
    </row>
    <row r="722" spans="18:115" s="9" customFormat="1">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CR722" s="416"/>
      <c r="CS722" s="416"/>
      <c r="CT722" s="416"/>
      <c r="CU722" s="416"/>
      <c r="CV722" s="416"/>
      <c r="CW722" s="416"/>
      <c r="CX722" s="416"/>
      <c r="CY722" s="416"/>
      <c r="CZ722" s="416"/>
      <c r="DF722" s="416"/>
      <c r="DG722" s="416"/>
      <c r="DH722" s="416"/>
      <c r="DI722" s="416"/>
      <c r="DJ722" s="416"/>
      <c r="DK722" s="416"/>
    </row>
    <row r="723" spans="18:115" s="9" customFormat="1">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CR723" s="416"/>
      <c r="CS723" s="416"/>
      <c r="CT723" s="416"/>
      <c r="CU723" s="416"/>
      <c r="CV723" s="416"/>
      <c r="CW723" s="416"/>
      <c r="CX723" s="416"/>
      <c r="CY723" s="416"/>
      <c r="CZ723" s="416"/>
      <c r="DF723" s="416"/>
      <c r="DG723" s="416"/>
      <c r="DH723" s="416"/>
      <c r="DI723" s="416"/>
      <c r="DJ723" s="416"/>
      <c r="DK723" s="416"/>
    </row>
    <row r="724" spans="18:115" s="9" customFormat="1">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CR724" s="416"/>
      <c r="CS724" s="416"/>
      <c r="CT724" s="416"/>
      <c r="CU724" s="416"/>
      <c r="CV724" s="416"/>
      <c r="CW724" s="416"/>
      <c r="CX724" s="416"/>
      <c r="CY724" s="416"/>
      <c r="CZ724" s="416"/>
      <c r="DF724" s="416"/>
      <c r="DG724" s="416"/>
      <c r="DH724" s="416"/>
      <c r="DI724" s="416"/>
      <c r="DJ724" s="416"/>
      <c r="DK724" s="416"/>
    </row>
    <row r="725" spans="18:115" s="9" customFormat="1">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CR725" s="416"/>
      <c r="CS725" s="416"/>
      <c r="CT725" s="416"/>
      <c r="CU725" s="416"/>
      <c r="CV725" s="416"/>
      <c r="CW725" s="416"/>
      <c r="CX725" s="416"/>
      <c r="CY725" s="416"/>
      <c r="CZ725" s="416"/>
      <c r="DF725" s="416"/>
      <c r="DG725" s="416"/>
      <c r="DH725" s="416"/>
      <c r="DI725" s="416"/>
      <c r="DJ725" s="416"/>
      <c r="DK725" s="416"/>
    </row>
    <row r="726" spans="18:115" s="9" customFormat="1">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CR726" s="416"/>
      <c r="CS726" s="416"/>
      <c r="CT726" s="416"/>
      <c r="CU726" s="416"/>
      <c r="CV726" s="416"/>
      <c r="CW726" s="416"/>
      <c r="CX726" s="416"/>
      <c r="CY726" s="416"/>
      <c r="CZ726" s="416"/>
      <c r="DF726" s="416"/>
      <c r="DG726" s="416"/>
      <c r="DH726" s="416"/>
      <c r="DI726" s="416"/>
      <c r="DJ726" s="416"/>
      <c r="DK726" s="416"/>
    </row>
    <row r="727" spans="18:115" s="9" customFormat="1">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CR727" s="416"/>
      <c r="CS727" s="416"/>
      <c r="CT727" s="416"/>
      <c r="CU727" s="416"/>
      <c r="CV727" s="416"/>
      <c r="CW727" s="416"/>
      <c r="CX727" s="416"/>
      <c r="CY727" s="416"/>
      <c r="CZ727" s="416"/>
      <c r="DF727" s="416"/>
      <c r="DG727" s="416"/>
      <c r="DH727" s="416"/>
      <c r="DI727" s="416"/>
      <c r="DJ727" s="416"/>
      <c r="DK727" s="416"/>
    </row>
    <row r="728" spans="18:115" s="9" customFormat="1">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CR728" s="416"/>
      <c r="CS728" s="416"/>
      <c r="CT728" s="416"/>
      <c r="CU728" s="416"/>
      <c r="CV728" s="416"/>
      <c r="CW728" s="416"/>
      <c r="CX728" s="416"/>
      <c r="CY728" s="416"/>
      <c r="CZ728" s="416"/>
      <c r="DF728" s="416"/>
      <c r="DG728" s="416"/>
      <c r="DH728" s="416"/>
      <c r="DI728" s="416"/>
      <c r="DJ728" s="416"/>
      <c r="DK728" s="416"/>
    </row>
    <row r="729" spans="18:115" s="9" customFormat="1">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CR729" s="416"/>
      <c r="CS729" s="416"/>
      <c r="CT729" s="416"/>
      <c r="CU729" s="416"/>
      <c r="CV729" s="416"/>
      <c r="CW729" s="416"/>
      <c r="CX729" s="416"/>
      <c r="CY729" s="416"/>
      <c r="CZ729" s="416"/>
      <c r="DF729" s="416"/>
      <c r="DG729" s="416"/>
      <c r="DH729" s="416"/>
      <c r="DI729" s="416"/>
      <c r="DJ729" s="416"/>
      <c r="DK729" s="416"/>
    </row>
    <row r="730" spans="18:115" s="9" customFormat="1">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CR730" s="416"/>
      <c r="CS730" s="416"/>
      <c r="CT730" s="416"/>
      <c r="CU730" s="416"/>
      <c r="CV730" s="416"/>
      <c r="CW730" s="416"/>
      <c r="CX730" s="416"/>
      <c r="CY730" s="416"/>
      <c r="CZ730" s="416"/>
      <c r="DF730" s="416"/>
      <c r="DG730" s="416"/>
      <c r="DH730" s="416"/>
      <c r="DI730" s="416"/>
      <c r="DJ730" s="416"/>
      <c r="DK730" s="416"/>
    </row>
    <row r="731" spans="18:115" s="9" customFormat="1">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CR731" s="416"/>
      <c r="CS731" s="416"/>
      <c r="CT731" s="416"/>
      <c r="CU731" s="416"/>
      <c r="CV731" s="416"/>
      <c r="CW731" s="416"/>
      <c r="CX731" s="416"/>
      <c r="CY731" s="416"/>
      <c r="CZ731" s="416"/>
      <c r="DF731" s="416"/>
      <c r="DG731" s="416"/>
      <c r="DH731" s="416"/>
      <c r="DI731" s="416"/>
      <c r="DJ731" s="416"/>
      <c r="DK731" s="416"/>
    </row>
    <row r="732" spans="18:115" s="9" customFormat="1">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CR732" s="416"/>
      <c r="CS732" s="416"/>
      <c r="CT732" s="416"/>
      <c r="CU732" s="416"/>
      <c r="CV732" s="416"/>
      <c r="CW732" s="416"/>
      <c r="CX732" s="416"/>
      <c r="CY732" s="416"/>
      <c r="CZ732" s="416"/>
      <c r="DF732" s="416"/>
      <c r="DG732" s="416"/>
      <c r="DH732" s="416"/>
      <c r="DI732" s="416"/>
      <c r="DJ732" s="416"/>
      <c r="DK732" s="416"/>
    </row>
    <row r="733" spans="18:115" s="9" customFormat="1">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CR733" s="416"/>
      <c r="CS733" s="416"/>
      <c r="CT733" s="416"/>
      <c r="CU733" s="416"/>
      <c r="CV733" s="416"/>
      <c r="CW733" s="416"/>
      <c r="CX733" s="416"/>
      <c r="CY733" s="416"/>
      <c r="CZ733" s="416"/>
      <c r="DF733" s="416"/>
      <c r="DG733" s="416"/>
      <c r="DH733" s="416"/>
      <c r="DI733" s="416"/>
      <c r="DJ733" s="416"/>
      <c r="DK733" s="416"/>
    </row>
    <row r="734" spans="18:115" s="9" customFormat="1">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CR734" s="416"/>
      <c r="CS734" s="416"/>
      <c r="CT734" s="416"/>
      <c r="CU734" s="416"/>
      <c r="CV734" s="416"/>
      <c r="CW734" s="416"/>
      <c r="CX734" s="416"/>
      <c r="CY734" s="416"/>
      <c r="CZ734" s="416"/>
      <c r="DF734" s="416"/>
      <c r="DG734" s="416"/>
      <c r="DH734" s="416"/>
      <c r="DI734" s="416"/>
      <c r="DJ734" s="416"/>
      <c r="DK734" s="416"/>
    </row>
    <row r="735" spans="18:115" s="9" customFormat="1">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CR735" s="416"/>
      <c r="CS735" s="416"/>
      <c r="CT735" s="416"/>
      <c r="CU735" s="416"/>
      <c r="CV735" s="416"/>
      <c r="CW735" s="416"/>
      <c r="CX735" s="416"/>
      <c r="CY735" s="416"/>
      <c r="CZ735" s="416"/>
      <c r="DF735" s="416"/>
      <c r="DG735" s="416"/>
      <c r="DH735" s="416"/>
      <c r="DI735" s="416"/>
      <c r="DJ735" s="416"/>
      <c r="DK735" s="416"/>
    </row>
    <row r="736" spans="18:115" s="9" customFormat="1">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CR736" s="416"/>
      <c r="CS736" s="416"/>
      <c r="CT736" s="416"/>
      <c r="CU736" s="416"/>
      <c r="CV736" s="416"/>
      <c r="CW736" s="416"/>
      <c r="CX736" s="416"/>
      <c r="CY736" s="416"/>
      <c r="CZ736" s="416"/>
      <c r="DF736" s="416"/>
      <c r="DG736" s="416"/>
      <c r="DH736" s="416"/>
      <c r="DI736" s="416"/>
      <c r="DJ736" s="416"/>
      <c r="DK736" s="416"/>
    </row>
    <row r="737" spans="18:115" s="9" customFormat="1">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CR737" s="416"/>
      <c r="CS737" s="416"/>
      <c r="CT737" s="416"/>
      <c r="CU737" s="416"/>
      <c r="CV737" s="416"/>
      <c r="CW737" s="416"/>
      <c r="CX737" s="416"/>
      <c r="CY737" s="416"/>
      <c r="CZ737" s="416"/>
      <c r="DF737" s="416"/>
      <c r="DG737" s="416"/>
      <c r="DH737" s="416"/>
      <c r="DI737" s="416"/>
      <c r="DJ737" s="416"/>
      <c r="DK737" s="416"/>
    </row>
    <row r="738" spans="18:115" s="9" customFormat="1">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CR738" s="416"/>
      <c r="CS738" s="416"/>
      <c r="CT738" s="416"/>
      <c r="CU738" s="416"/>
      <c r="CV738" s="416"/>
      <c r="CW738" s="416"/>
      <c r="CX738" s="416"/>
      <c r="CY738" s="416"/>
      <c r="CZ738" s="416"/>
      <c r="DF738" s="416"/>
      <c r="DG738" s="416"/>
      <c r="DH738" s="416"/>
      <c r="DI738" s="416"/>
      <c r="DJ738" s="416"/>
      <c r="DK738" s="416"/>
    </row>
    <row r="739" spans="18:115" s="9" customFormat="1">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CR739" s="416"/>
      <c r="CS739" s="416"/>
      <c r="CT739" s="416"/>
      <c r="CU739" s="416"/>
      <c r="CV739" s="416"/>
      <c r="CW739" s="416"/>
      <c r="CX739" s="416"/>
      <c r="CY739" s="416"/>
      <c r="CZ739" s="416"/>
      <c r="DF739" s="416"/>
      <c r="DG739" s="416"/>
      <c r="DH739" s="416"/>
      <c r="DI739" s="416"/>
      <c r="DJ739" s="416"/>
      <c r="DK739" s="416"/>
    </row>
    <row r="740" spans="18:115" s="9" customFormat="1">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CR740" s="416"/>
      <c r="CS740" s="416"/>
      <c r="CT740" s="416"/>
      <c r="CU740" s="416"/>
      <c r="CV740" s="416"/>
      <c r="CW740" s="416"/>
      <c r="CX740" s="416"/>
      <c r="CY740" s="416"/>
      <c r="CZ740" s="416"/>
      <c r="DF740" s="416"/>
      <c r="DG740" s="416"/>
      <c r="DH740" s="416"/>
      <c r="DI740" s="416"/>
      <c r="DJ740" s="416"/>
      <c r="DK740" s="416"/>
    </row>
    <row r="741" spans="18:115" s="9" customFormat="1">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CR741" s="416"/>
      <c r="CS741" s="416"/>
      <c r="CT741" s="416"/>
      <c r="CU741" s="416"/>
      <c r="CV741" s="416"/>
      <c r="CW741" s="416"/>
      <c r="CX741" s="416"/>
      <c r="CY741" s="416"/>
      <c r="CZ741" s="416"/>
      <c r="DF741" s="416"/>
      <c r="DG741" s="416"/>
      <c r="DH741" s="416"/>
      <c r="DI741" s="416"/>
      <c r="DJ741" s="416"/>
      <c r="DK741" s="416"/>
    </row>
    <row r="742" spans="18:115" s="9" customFormat="1">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CR742" s="416"/>
      <c r="CS742" s="416"/>
      <c r="CT742" s="416"/>
      <c r="CU742" s="416"/>
      <c r="CV742" s="416"/>
      <c r="CW742" s="416"/>
      <c r="CX742" s="416"/>
      <c r="CY742" s="416"/>
      <c r="CZ742" s="416"/>
      <c r="DF742" s="416"/>
      <c r="DG742" s="416"/>
      <c r="DH742" s="416"/>
      <c r="DI742" s="416"/>
      <c r="DJ742" s="416"/>
      <c r="DK742" s="416"/>
    </row>
    <row r="743" spans="18:115" s="9" customFormat="1">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CR743" s="416"/>
      <c r="CS743" s="416"/>
      <c r="CT743" s="416"/>
      <c r="CU743" s="416"/>
      <c r="CV743" s="416"/>
      <c r="CW743" s="416"/>
      <c r="CX743" s="416"/>
      <c r="CY743" s="416"/>
      <c r="CZ743" s="416"/>
      <c r="DF743" s="416"/>
      <c r="DG743" s="416"/>
      <c r="DH743" s="416"/>
      <c r="DI743" s="416"/>
      <c r="DJ743" s="416"/>
      <c r="DK743" s="416"/>
    </row>
    <row r="744" spans="18:115" s="9" customFormat="1">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CR744" s="416"/>
      <c r="CS744" s="416"/>
      <c r="CT744" s="416"/>
      <c r="CU744" s="416"/>
      <c r="CV744" s="416"/>
      <c r="CW744" s="416"/>
      <c r="CX744" s="416"/>
      <c r="CY744" s="416"/>
      <c r="CZ744" s="416"/>
      <c r="DF744" s="416"/>
      <c r="DG744" s="416"/>
      <c r="DH744" s="416"/>
      <c r="DI744" s="416"/>
      <c r="DJ744" s="416"/>
      <c r="DK744" s="416"/>
    </row>
    <row r="745" spans="18:115" s="9" customFormat="1">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CR745" s="416"/>
      <c r="CS745" s="416"/>
      <c r="CT745" s="416"/>
      <c r="CU745" s="416"/>
      <c r="CV745" s="416"/>
      <c r="CW745" s="416"/>
      <c r="CX745" s="416"/>
      <c r="CY745" s="416"/>
      <c r="CZ745" s="416"/>
      <c r="DF745" s="416"/>
      <c r="DG745" s="416"/>
      <c r="DH745" s="416"/>
      <c r="DI745" s="416"/>
      <c r="DJ745" s="416"/>
      <c r="DK745" s="416"/>
    </row>
    <row r="746" spans="18:115" s="9" customFormat="1">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CR746" s="416"/>
      <c r="CS746" s="416"/>
      <c r="CT746" s="416"/>
      <c r="CU746" s="416"/>
      <c r="CV746" s="416"/>
      <c r="CW746" s="416"/>
      <c r="CX746" s="416"/>
      <c r="CY746" s="416"/>
      <c r="CZ746" s="416"/>
      <c r="DF746" s="416"/>
      <c r="DG746" s="416"/>
      <c r="DH746" s="416"/>
      <c r="DI746" s="416"/>
      <c r="DJ746" s="416"/>
      <c r="DK746" s="416"/>
    </row>
    <row r="747" spans="18:115" s="9" customFormat="1">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CR747" s="416"/>
      <c r="CS747" s="416"/>
      <c r="CT747" s="416"/>
      <c r="CU747" s="416"/>
      <c r="CV747" s="416"/>
      <c r="CW747" s="416"/>
      <c r="CX747" s="416"/>
      <c r="CY747" s="416"/>
      <c r="CZ747" s="416"/>
      <c r="DF747" s="416"/>
      <c r="DG747" s="416"/>
      <c r="DH747" s="416"/>
      <c r="DI747" s="416"/>
      <c r="DJ747" s="416"/>
      <c r="DK747" s="416"/>
    </row>
    <row r="748" spans="18:115" s="9" customFormat="1">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CR748" s="416"/>
      <c r="CS748" s="416"/>
      <c r="CT748" s="416"/>
      <c r="CU748" s="416"/>
      <c r="CV748" s="416"/>
      <c r="CW748" s="416"/>
      <c r="CX748" s="416"/>
      <c r="CY748" s="416"/>
      <c r="CZ748" s="416"/>
      <c r="DF748" s="416"/>
      <c r="DG748" s="416"/>
      <c r="DH748" s="416"/>
      <c r="DI748" s="416"/>
      <c r="DJ748" s="416"/>
      <c r="DK748" s="416"/>
    </row>
    <row r="749" spans="18:115" s="9" customFormat="1">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CR749" s="416"/>
      <c r="CS749" s="416"/>
      <c r="CT749" s="416"/>
      <c r="CU749" s="416"/>
      <c r="CV749" s="416"/>
      <c r="CW749" s="416"/>
      <c r="CX749" s="416"/>
      <c r="CY749" s="416"/>
      <c r="CZ749" s="416"/>
      <c r="DF749" s="416"/>
      <c r="DG749" s="416"/>
      <c r="DH749" s="416"/>
      <c r="DI749" s="416"/>
      <c r="DJ749" s="416"/>
      <c r="DK749" s="416"/>
    </row>
    <row r="750" spans="18:115" s="9" customFormat="1">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CR750" s="416"/>
      <c r="CS750" s="416"/>
      <c r="CT750" s="416"/>
      <c r="CU750" s="416"/>
      <c r="CV750" s="416"/>
      <c r="CW750" s="416"/>
      <c r="CX750" s="416"/>
      <c r="CY750" s="416"/>
      <c r="CZ750" s="416"/>
      <c r="DF750" s="416"/>
      <c r="DG750" s="416"/>
      <c r="DH750" s="416"/>
      <c r="DI750" s="416"/>
      <c r="DJ750" s="416"/>
      <c r="DK750" s="416"/>
    </row>
    <row r="751" spans="18:115" s="9" customFormat="1">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CR751" s="416"/>
      <c r="CS751" s="416"/>
      <c r="CT751" s="416"/>
      <c r="CU751" s="416"/>
      <c r="CV751" s="416"/>
      <c r="CW751" s="416"/>
      <c r="CX751" s="416"/>
      <c r="CY751" s="416"/>
      <c r="CZ751" s="416"/>
      <c r="DF751" s="416"/>
      <c r="DG751" s="416"/>
      <c r="DH751" s="416"/>
      <c r="DI751" s="416"/>
      <c r="DJ751" s="416"/>
      <c r="DK751" s="416"/>
    </row>
    <row r="752" spans="18:115" s="9" customFormat="1">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CR752" s="416"/>
      <c r="CS752" s="416"/>
      <c r="CT752" s="416"/>
      <c r="CU752" s="416"/>
      <c r="CV752" s="416"/>
      <c r="CW752" s="416"/>
      <c r="CX752" s="416"/>
      <c r="CY752" s="416"/>
      <c r="CZ752" s="416"/>
      <c r="DF752" s="416"/>
      <c r="DG752" s="416"/>
      <c r="DH752" s="416"/>
      <c r="DI752" s="416"/>
      <c r="DJ752" s="416"/>
      <c r="DK752" s="416"/>
    </row>
    <row r="753" spans="18:115" s="9" customFormat="1">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CR753" s="416"/>
      <c r="CS753" s="416"/>
      <c r="CT753" s="416"/>
      <c r="CU753" s="416"/>
      <c r="CV753" s="416"/>
      <c r="CW753" s="416"/>
      <c r="CX753" s="416"/>
      <c r="CY753" s="416"/>
      <c r="CZ753" s="416"/>
      <c r="DF753" s="416"/>
      <c r="DG753" s="416"/>
      <c r="DH753" s="416"/>
      <c r="DI753" s="416"/>
      <c r="DJ753" s="416"/>
      <c r="DK753" s="416"/>
    </row>
    <row r="754" spans="18:115" s="9" customFormat="1">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CR754" s="416"/>
      <c r="CS754" s="416"/>
      <c r="CT754" s="416"/>
      <c r="CU754" s="416"/>
      <c r="CV754" s="416"/>
      <c r="CW754" s="416"/>
      <c r="CX754" s="416"/>
      <c r="CY754" s="416"/>
      <c r="CZ754" s="416"/>
      <c r="DF754" s="416"/>
      <c r="DG754" s="416"/>
      <c r="DH754" s="416"/>
      <c r="DI754" s="416"/>
      <c r="DJ754" s="416"/>
      <c r="DK754" s="416"/>
    </row>
    <row r="755" spans="18:115" s="9" customFormat="1">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CR755" s="416"/>
      <c r="CS755" s="416"/>
      <c r="CT755" s="416"/>
      <c r="CU755" s="416"/>
      <c r="CV755" s="416"/>
      <c r="CW755" s="416"/>
      <c r="CX755" s="416"/>
      <c r="CY755" s="416"/>
      <c r="CZ755" s="416"/>
      <c r="DF755" s="416"/>
      <c r="DG755" s="416"/>
      <c r="DH755" s="416"/>
      <c r="DI755" s="416"/>
      <c r="DJ755" s="416"/>
      <c r="DK755" s="416"/>
    </row>
    <row r="756" spans="18:115" s="9" customFormat="1">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CR756" s="416"/>
      <c r="CS756" s="416"/>
      <c r="CT756" s="416"/>
      <c r="CU756" s="416"/>
      <c r="CV756" s="416"/>
      <c r="CW756" s="416"/>
      <c r="CX756" s="416"/>
      <c r="CY756" s="416"/>
      <c r="CZ756" s="416"/>
      <c r="DF756" s="416"/>
      <c r="DG756" s="416"/>
      <c r="DH756" s="416"/>
      <c r="DI756" s="416"/>
      <c r="DJ756" s="416"/>
      <c r="DK756" s="416"/>
    </row>
    <row r="757" spans="18:115" s="9" customFormat="1">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CR757" s="416"/>
      <c r="CS757" s="416"/>
      <c r="CT757" s="416"/>
      <c r="CU757" s="416"/>
      <c r="CV757" s="416"/>
      <c r="CW757" s="416"/>
      <c r="CX757" s="416"/>
      <c r="CY757" s="416"/>
      <c r="CZ757" s="416"/>
      <c r="DF757" s="416"/>
      <c r="DG757" s="416"/>
      <c r="DH757" s="416"/>
      <c r="DI757" s="416"/>
      <c r="DJ757" s="416"/>
      <c r="DK757" s="416"/>
    </row>
    <row r="758" spans="18:115" s="9" customFormat="1">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CR758" s="416"/>
      <c r="CS758" s="416"/>
      <c r="CT758" s="416"/>
      <c r="CU758" s="416"/>
      <c r="CV758" s="416"/>
      <c r="CW758" s="416"/>
      <c r="CX758" s="416"/>
      <c r="CY758" s="416"/>
      <c r="CZ758" s="416"/>
      <c r="DF758" s="416"/>
      <c r="DG758" s="416"/>
      <c r="DH758" s="416"/>
      <c r="DI758" s="416"/>
      <c r="DJ758" s="416"/>
      <c r="DK758" s="416"/>
    </row>
    <row r="759" spans="18:115" s="9" customFormat="1">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CR759" s="416"/>
      <c r="CS759" s="416"/>
      <c r="CT759" s="416"/>
      <c r="CU759" s="416"/>
      <c r="CV759" s="416"/>
      <c r="CW759" s="416"/>
      <c r="CX759" s="416"/>
      <c r="CY759" s="416"/>
      <c r="CZ759" s="416"/>
      <c r="DF759" s="416"/>
      <c r="DG759" s="416"/>
      <c r="DH759" s="416"/>
      <c r="DI759" s="416"/>
      <c r="DJ759" s="416"/>
      <c r="DK759" s="416"/>
    </row>
    <row r="760" spans="18:115" s="9" customFormat="1">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CR760" s="416"/>
      <c r="CS760" s="416"/>
      <c r="CT760" s="416"/>
      <c r="CU760" s="416"/>
      <c r="CV760" s="416"/>
      <c r="CW760" s="416"/>
      <c r="CX760" s="416"/>
      <c r="CY760" s="416"/>
      <c r="CZ760" s="416"/>
      <c r="DF760" s="416"/>
      <c r="DG760" s="416"/>
      <c r="DH760" s="416"/>
      <c r="DI760" s="416"/>
      <c r="DJ760" s="416"/>
      <c r="DK760" s="416"/>
    </row>
    <row r="761" spans="18:115" s="9" customFormat="1">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CR761" s="416"/>
      <c r="CS761" s="416"/>
      <c r="CT761" s="416"/>
      <c r="CU761" s="416"/>
      <c r="CV761" s="416"/>
      <c r="CW761" s="416"/>
      <c r="CX761" s="416"/>
      <c r="CY761" s="416"/>
      <c r="CZ761" s="416"/>
      <c r="DF761" s="416"/>
      <c r="DG761" s="416"/>
      <c r="DH761" s="416"/>
      <c r="DI761" s="416"/>
      <c r="DJ761" s="416"/>
      <c r="DK761" s="416"/>
    </row>
    <row r="762" spans="18:115" s="9" customFormat="1">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CR762" s="416"/>
      <c r="CS762" s="416"/>
      <c r="CT762" s="416"/>
      <c r="CU762" s="416"/>
      <c r="CV762" s="416"/>
      <c r="CW762" s="416"/>
      <c r="CX762" s="416"/>
      <c r="CY762" s="416"/>
      <c r="CZ762" s="416"/>
      <c r="DF762" s="416"/>
      <c r="DG762" s="416"/>
      <c r="DH762" s="416"/>
      <c r="DI762" s="416"/>
      <c r="DJ762" s="416"/>
      <c r="DK762" s="416"/>
    </row>
    <row r="763" spans="18:115" s="9" customFormat="1">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CR763" s="416"/>
      <c r="CS763" s="416"/>
      <c r="CT763" s="416"/>
      <c r="CU763" s="416"/>
      <c r="CV763" s="416"/>
      <c r="CW763" s="416"/>
      <c r="CX763" s="416"/>
      <c r="CY763" s="416"/>
      <c r="CZ763" s="416"/>
      <c r="DF763" s="416"/>
      <c r="DG763" s="416"/>
      <c r="DH763" s="416"/>
      <c r="DI763" s="416"/>
      <c r="DJ763" s="416"/>
      <c r="DK763" s="416"/>
    </row>
    <row r="764" spans="18:115" s="9" customFormat="1">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CR764" s="416"/>
      <c r="CS764" s="416"/>
      <c r="CT764" s="416"/>
      <c r="CU764" s="416"/>
      <c r="CV764" s="416"/>
      <c r="CW764" s="416"/>
      <c r="CX764" s="416"/>
      <c r="CY764" s="416"/>
      <c r="CZ764" s="416"/>
      <c r="DF764" s="416"/>
      <c r="DG764" s="416"/>
      <c r="DH764" s="416"/>
      <c r="DI764" s="416"/>
      <c r="DJ764" s="416"/>
      <c r="DK764" s="416"/>
    </row>
    <row r="765" spans="18:115" s="9" customFormat="1">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CR765" s="416"/>
      <c r="CS765" s="416"/>
      <c r="CT765" s="416"/>
      <c r="CU765" s="416"/>
      <c r="CV765" s="416"/>
      <c r="CW765" s="416"/>
      <c r="CX765" s="416"/>
      <c r="CY765" s="416"/>
      <c r="CZ765" s="416"/>
      <c r="DF765" s="416"/>
      <c r="DG765" s="416"/>
      <c r="DH765" s="416"/>
      <c r="DI765" s="416"/>
      <c r="DJ765" s="416"/>
      <c r="DK765" s="416"/>
    </row>
    <row r="766" spans="18:115" s="9" customFormat="1">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CR766" s="416"/>
      <c r="CS766" s="416"/>
      <c r="CT766" s="416"/>
      <c r="CU766" s="416"/>
      <c r="CV766" s="416"/>
      <c r="CW766" s="416"/>
      <c r="CX766" s="416"/>
      <c r="CY766" s="416"/>
      <c r="CZ766" s="416"/>
      <c r="DF766" s="416"/>
      <c r="DG766" s="416"/>
      <c r="DH766" s="416"/>
      <c r="DI766" s="416"/>
      <c r="DJ766" s="416"/>
      <c r="DK766" s="416"/>
    </row>
    <row r="767" spans="18:115" s="9" customFormat="1">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CR767" s="416"/>
      <c r="CS767" s="416"/>
      <c r="CT767" s="416"/>
      <c r="CU767" s="416"/>
      <c r="CV767" s="416"/>
      <c r="CW767" s="416"/>
      <c r="CX767" s="416"/>
      <c r="CY767" s="416"/>
      <c r="CZ767" s="416"/>
      <c r="DF767" s="416"/>
      <c r="DG767" s="416"/>
      <c r="DH767" s="416"/>
      <c r="DI767" s="416"/>
      <c r="DJ767" s="416"/>
      <c r="DK767" s="416"/>
    </row>
    <row r="768" spans="18:115" s="9" customFormat="1">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CR768" s="416"/>
      <c r="CS768" s="416"/>
      <c r="CT768" s="416"/>
      <c r="CU768" s="416"/>
      <c r="CV768" s="416"/>
      <c r="CW768" s="416"/>
      <c r="CX768" s="416"/>
      <c r="CY768" s="416"/>
      <c r="CZ768" s="416"/>
      <c r="DF768" s="416"/>
      <c r="DG768" s="416"/>
      <c r="DH768" s="416"/>
      <c r="DI768" s="416"/>
      <c r="DJ768" s="416"/>
      <c r="DK768" s="416"/>
    </row>
    <row r="769" spans="18:115" s="9" customFormat="1">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CR769" s="416"/>
      <c r="CS769" s="416"/>
      <c r="CT769" s="416"/>
      <c r="CU769" s="416"/>
      <c r="CV769" s="416"/>
      <c r="CW769" s="416"/>
      <c r="CX769" s="416"/>
      <c r="CY769" s="416"/>
      <c r="CZ769" s="416"/>
      <c r="DF769" s="416"/>
      <c r="DG769" s="416"/>
      <c r="DH769" s="416"/>
      <c r="DI769" s="416"/>
      <c r="DJ769" s="416"/>
      <c r="DK769" s="416"/>
    </row>
    <row r="770" spans="18:115" s="9" customFormat="1">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CR770" s="416"/>
      <c r="CS770" s="416"/>
      <c r="CT770" s="416"/>
      <c r="CU770" s="416"/>
      <c r="CV770" s="416"/>
      <c r="CW770" s="416"/>
      <c r="CX770" s="416"/>
      <c r="CY770" s="416"/>
      <c r="CZ770" s="416"/>
      <c r="DF770" s="416"/>
      <c r="DG770" s="416"/>
      <c r="DH770" s="416"/>
      <c r="DI770" s="416"/>
      <c r="DJ770" s="416"/>
      <c r="DK770" s="416"/>
    </row>
    <row r="771" spans="18:115" s="9" customFormat="1">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CR771" s="416"/>
      <c r="CS771" s="416"/>
      <c r="CT771" s="416"/>
      <c r="CU771" s="416"/>
      <c r="CV771" s="416"/>
      <c r="CW771" s="416"/>
      <c r="CX771" s="416"/>
      <c r="CY771" s="416"/>
      <c r="CZ771" s="416"/>
      <c r="DF771" s="416"/>
      <c r="DG771" s="416"/>
      <c r="DH771" s="416"/>
      <c r="DI771" s="416"/>
      <c r="DJ771" s="416"/>
      <c r="DK771" s="416"/>
    </row>
    <row r="772" spans="18:115" s="9" customFormat="1">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CR772" s="416"/>
      <c r="CS772" s="416"/>
      <c r="CT772" s="416"/>
      <c r="CU772" s="416"/>
      <c r="CV772" s="416"/>
      <c r="CW772" s="416"/>
      <c r="CX772" s="416"/>
      <c r="CY772" s="416"/>
      <c r="CZ772" s="416"/>
      <c r="DF772" s="416"/>
      <c r="DG772" s="416"/>
      <c r="DH772" s="416"/>
      <c r="DI772" s="416"/>
      <c r="DJ772" s="416"/>
      <c r="DK772" s="416"/>
    </row>
    <row r="773" spans="18:115" s="9" customFormat="1">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CR773" s="416"/>
      <c r="CS773" s="416"/>
      <c r="CT773" s="416"/>
      <c r="CU773" s="416"/>
      <c r="CV773" s="416"/>
      <c r="CW773" s="416"/>
      <c r="CX773" s="416"/>
      <c r="CY773" s="416"/>
      <c r="CZ773" s="416"/>
      <c r="DF773" s="416"/>
      <c r="DG773" s="416"/>
      <c r="DH773" s="416"/>
      <c r="DI773" s="416"/>
      <c r="DJ773" s="416"/>
      <c r="DK773" s="416"/>
    </row>
    <row r="774" spans="18:115" s="9" customFormat="1">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CR774" s="416"/>
      <c r="CS774" s="416"/>
      <c r="CT774" s="416"/>
      <c r="CU774" s="416"/>
      <c r="CV774" s="416"/>
      <c r="CW774" s="416"/>
      <c r="CX774" s="416"/>
      <c r="CY774" s="416"/>
      <c r="CZ774" s="416"/>
      <c r="DF774" s="416"/>
      <c r="DG774" s="416"/>
      <c r="DH774" s="416"/>
      <c r="DI774" s="416"/>
      <c r="DJ774" s="416"/>
      <c r="DK774" s="416"/>
    </row>
    <row r="775" spans="18:115" s="9" customFormat="1">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CR775" s="416"/>
      <c r="CS775" s="416"/>
      <c r="CT775" s="416"/>
      <c r="CU775" s="416"/>
      <c r="CV775" s="416"/>
      <c r="CW775" s="416"/>
      <c r="CX775" s="416"/>
      <c r="CY775" s="416"/>
      <c r="CZ775" s="416"/>
      <c r="DF775" s="416"/>
      <c r="DG775" s="416"/>
      <c r="DH775" s="416"/>
      <c r="DI775" s="416"/>
      <c r="DJ775" s="416"/>
      <c r="DK775" s="416"/>
    </row>
    <row r="776" spans="18:115" s="9" customFormat="1">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CR776" s="416"/>
      <c r="CS776" s="416"/>
      <c r="CT776" s="416"/>
      <c r="CU776" s="416"/>
      <c r="CV776" s="416"/>
      <c r="CW776" s="416"/>
      <c r="CX776" s="416"/>
      <c r="CY776" s="416"/>
      <c r="CZ776" s="416"/>
      <c r="DF776" s="416"/>
      <c r="DG776" s="416"/>
      <c r="DH776" s="416"/>
      <c r="DI776" s="416"/>
      <c r="DJ776" s="416"/>
      <c r="DK776" s="416"/>
    </row>
    <row r="777" spans="18:115" s="9" customFormat="1">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CR777" s="416"/>
      <c r="CS777" s="416"/>
      <c r="CT777" s="416"/>
      <c r="CU777" s="416"/>
      <c r="CV777" s="416"/>
      <c r="CW777" s="416"/>
      <c r="CX777" s="416"/>
      <c r="CY777" s="416"/>
      <c r="CZ777" s="416"/>
      <c r="DF777" s="416"/>
      <c r="DG777" s="416"/>
      <c r="DH777" s="416"/>
      <c r="DI777" s="416"/>
      <c r="DJ777" s="416"/>
      <c r="DK777" s="416"/>
    </row>
    <row r="778" spans="18:115" s="9" customFormat="1">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CR778" s="416"/>
      <c r="CS778" s="416"/>
      <c r="CT778" s="416"/>
      <c r="CU778" s="416"/>
      <c r="CV778" s="416"/>
      <c r="CW778" s="416"/>
      <c r="CX778" s="416"/>
      <c r="CY778" s="416"/>
      <c r="CZ778" s="416"/>
      <c r="DF778" s="416"/>
      <c r="DG778" s="416"/>
      <c r="DH778" s="416"/>
      <c r="DI778" s="416"/>
      <c r="DJ778" s="416"/>
      <c r="DK778" s="416"/>
    </row>
    <row r="779" spans="18:115" s="9" customFormat="1">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CR779" s="416"/>
      <c r="CS779" s="416"/>
      <c r="CT779" s="416"/>
      <c r="CU779" s="416"/>
      <c r="CV779" s="416"/>
      <c r="CW779" s="416"/>
      <c r="CX779" s="416"/>
      <c r="CY779" s="416"/>
      <c r="CZ779" s="416"/>
      <c r="DF779" s="416"/>
      <c r="DG779" s="416"/>
      <c r="DH779" s="416"/>
      <c r="DI779" s="416"/>
      <c r="DJ779" s="416"/>
      <c r="DK779" s="416"/>
    </row>
    <row r="780" spans="18:115" s="9" customFormat="1">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CR780" s="416"/>
      <c r="CS780" s="416"/>
      <c r="CT780" s="416"/>
      <c r="CU780" s="416"/>
      <c r="CV780" s="416"/>
      <c r="CW780" s="416"/>
      <c r="CX780" s="416"/>
      <c r="CY780" s="416"/>
      <c r="CZ780" s="416"/>
      <c r="DF780" s="416"/>
      <c r="DG780" s="416"/>
      <c r="DH780" s="416"/>
      <c r="DI780" s="416"/>
      <c r="DJ780" s="416"/>
      <c r="DK780" s="416"/>
    </row>
    <row r="781" spans="18:115" s="9" customFormat="1">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CR781" s="416"/>
      <c r="CS781" s="416"/>
      <c r="CT781" s="416"/>
      <c r="CU781" s="416"/>
      <c r="CV781" s="416"/>
      <c r="CW781" s="416"/>
      <c r="CX781" s="416"/>
      <c r="CY781" s="416"/>
      <c r="CZ781" s="416"/>
      <c r="DF781" s="416"/>
      <c r="DG781" s="416"/>
      <c r="DH781" s="416"/>
      <c r="DI781" s="416"/>
      <c r="DJ781" s="416"/>
      <c r="DK781" s="416"/>
    </row>
    <row r="782" spans="18:115" s="9" customFormat="1">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CR782" s="416"/>
      <c r="CS782" s="416"/>
      <c r="CT782" s="416"/>
      <c r="CU782" s="416"/>
      <c r="CV782" s="416"/>
      <c r="CW782" s="416"/>
      <c r="CX782" s="416"/>
      <c r="CY782" s="416"/>
      <c r="CZ782" s="416"/>
      <c r="DF782" s="416"/>
      <c r="DG782" s="416"/>
      <c r="DH782" s="416"/>
      <c r="DI782" s="416"/>
      <c r="DJ782" s="416"/>
      <c r="DK782" s="416"/>
    </row>
    <row r="783" spans="18:115" s="9" customFormat="1">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CR783" s="416"/>
      <c r="CS783" s="416"/>
      <c r="CT783" s="416"/>
      <c r="CU783" s="416"/>
      <c r="CV783" s="416"/>
      <c r="CW783" s="416"/>
      <c r="CX783" s="416"/>
      <c r="CY783" s="416"/>
      <c r="CZ783" s="416"/>
      <c r="DF783" s="416"/>
      <c r="DG783" s="416"/>
      <c r="DH783" s="416"/>
      <c r="DI783" s="416"/>
      <c r="DJ783" s="416"/>
      <c r="DK783" s="416"/>
    </row>
    <row r="784" spans="18:115" s="9" customFormat="1">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CR784" s="416"/>
      <c r="CS784" s="416"/>
      <c r="CT784" s="416"/>
      <c r="CU784" s="416"/>
      <c r="CV784" s="416"/>
      <c r="CW784" s="416"/>
      <c r="CX784" s="416"/>
      <c r="CY784" s="416"/>
      <c r="CZ784" s="416"/>
      <c r="DF784" s="416"/>
      <c r="DG784" s="416"/>
      <c r="DH784" s="416"/>
      <c r="DI784" s="416"/>
      <c r="DJ784" s="416"/>
      <c r="DK784" s="416"/>
    </row>
    <row r="785" spans="18:115" s="9" customFormat="1">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CR785" s="416"/>
      <c r="CS785" s="416"/>
      <c r="CT785" s="416"/>
      <c r="CU785" s="416"/>
      <c r="CV785" s="416"/>
      <c r="CW785" s="416"/>
      <c r="CX785" s="416"/>
      <c r="CY785" s="416"/>
      <c r="CZ785" s="416"/>
      <c r="DF785" s="416"/>
      <c r="DG785" s="416"/>
      <c r="DH785" s="416"/>
      <c r="DI785" s="416"/>
      <c r="DJ785" s="416"/>
      <c r="DK785" s="416"/>
    </row>
    <row r="786" spans="18:115" s="9" customFormat="1">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CR786" s="416"/>
      <c r="CS786" s="416"/>
      <c r="CT786" s="416"/>
      <c r="CU786" s="416"/>
      <c r="CV786" s="416"/>
      <c r="CW786" s="416"/>
      <c r="CX786" s="416"/>
      <c r="CY786" s="416"/>
      <c r="CZ786" s="416"/>
      <c r="DF786" s="416"/>
      <c r="DG786" s="416"/>
      <c r="DH786" s="416"/>
      <c r="DI786" s="416"/>
      <c r="DJ786" s="416"/>
      <c r="DK786" s="416"/>
    </row>
    <row r="787" spans="18:115" s="9" customFormat="1">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CR787" s="416"/>
      <c r="CS787" s="416"/>
      <c r="CT787" s="416"/>
      <c r="CU787" s="416"/>
      <c r="CV787" s="416"/>
      <c r="CW787" s="416"/>
      <c r="CX787" s="416"/>
      <c r="CY787" s="416"/>
      <c r="CZ787" s="416"/>
      <c r="DF787" s="416"/>
      <c r="DG787" s="416"/>
      <c r="DH787" s="416"/>
      <c r="DI787" s="416"/>
      <c r="DJ787" s="416"/>
      <c r="DK787" s="416"/>
    </row>
    <row r="788" spans="18:115" s="9" customFormat="1">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CR788" s="416"/>
      <c r="CS788" s="416"/>
      <c r="CT788" s="416"/>
      <c r="CU788" s="416"/>
      <c r="CV788" s="416"/>
      <c r="CW788" s="416"/>
      <c r="CX788" s="416"/>
      <c r="CY788" s="416"/>
      <c r="CZ788" s="416"/>
      <c r="DF788" s="416"/>
      <c r="DG788" s="416"/>
      <c r="DH788" s="416"/>
      <c r="DI788" s="416"/>
      <c r="DJ788" s="416"/>
      <c r="DK788" s="416"/>
    </row>
    <row r="789" spans="18:115" s="9" customFormat="1">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CR789" s="416"/>
      <c r="CS789" s="416"/>
      <c r="CT789" s="416"/>
      <c r="CU789" s="416"/>
      <c r="CV789" s="416"/>
      <c r="CW789" s="416"/>
      <c r="CX789" s="416"/>
      <c r="CY789" s="416"/>
      <c r="CZ789" s="416"/>
      <c r="DF789" s="416"/>
      <c r="DG789" s="416"/>
      <c r="DH789" s="416"/>
      <c r="DI789" s="416"/>
      <c r="DJ789" s="416"/>
      <c r="DK789" s="416"/>
    </row>
    <row r="790" spans="18:115" s="9" customFormat="1">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CR790" s="416"/>
      <c r="CS790" s="416"/>
      <c r="CT790" s="416"/>
      <c r="CU790" s="416"/>
      <c r="CV790" s="416"/>
      <c r="CW790" s="416"/>
      <c r="CX790" s="416"/>
      <c r="CY790" s="416"/>
      <c r="CZ790" s="416"/>
      <c r="DF790" s="416"/>
      <c r="DG790" s="416"/>
      <c r="DH790" s="416"/>
      <c r="DI790" s="416"/>
      <c r="DJ790" s="416"/>
      <c r="DK790" s="416"/>
    </row>
    <row r="791" spans="18:115" s="9" customFormat="1">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CR791" s="416"/>
      <c r="CS791" s="416"/>
      <c r="CT791" s="416"/>
      <c r="CU791" s="416"/>
      <c r="CV791" s="416"/>
      <c r="CW791" s="416"/>
      <c r="CX791" s="416"/>
      <c r="CY791" s="416"/>
      <c r="CZ791" s="416"/>
      <c r="DF791" s="416"/>
      <c r="DG791" s="416"/>
      <c r="DH791" s="416"/>
      <c r="DI791" s="416"/>
      <c r="DJ791" s="416"/>
      <c r="DK791" s="416"/>
    </row>
    <row r="792" spans="18:115" s="9" customFormat="1">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CR792" s="416"/>
      <c r="CS792" s="416"/>
      <c r="CT792" s="416"/>
      <c r="CU792" s="416"/>
      <c r="CV792" s="416"/>
      <c r="CW792" s="416"/>
      <c r="CX792" s="416"/>
      <c r="CY792" s="416"/>
      <c r="CZ792" s="416"/>
      <c r="DF792" s="416"/>
      <c r="DG792" s="416"/>
      <c r="DH792" s="416"/>
      <c r="DI792" s="416"/>
      <c r="DJ792" s="416"/>
      <c r="DK792" s="416"/>
    </row>
    <row r="793" spans="18:115" s="9" customFormat="1">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CR793" s="416"/>
      <c r="CS793" s="416"/>
      <c r="CT793" s="416"/>
      <c r="CU793" s="416"/>
      <c r="CV793" s="416"/>
      <c r="CW793" s="416"/>
      <c r="CX793" s="416"/>
      <c r="CY793" s="416"/>
      <c r="CZ793" s="416"/>
      <c r="DF793" s="416"/>
      <c r="DG793" s="416"/>
      <c r="DH793" s="416"/>
      <c r="DI793" s="416"/>
      <c r="DJ793" s="416"/>
      <c r="DK793" s="416"/>
    </row>
    <row r="794" spans="18:115" s="9" customFormat="1">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CR794" s="416"/>
      <c r="CS794" s="416"/>
      <c r="CT794" s="416"/>
      <c r="CU794" s="416"/>
      <c r="CV794" s="416"/>
      <c r="CW794" s="416"/>
      <c r="CX794" s="416"/>
      <c r="CY794" s="416"/>
      <c r="CZ794" s="416"/>
      <c r="DF794" s="416"/>
      <c r="DG794" s="416"/>
      <c r="DH794" s="416"/>
      <c r="DI794" s="416"/>
      <c r="DJ794" s="416"/>
      <c r="DK794" s="416"/>
    </row>
    <row r="795" spans="18:115" s="9" customFormat="1">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CR795" s="416"/>
      <c r="CS795" s="416"/>
      <c r="CT795" s="416"/>
      <c r="CU795" s="416"/>
      <c r="CV795" s="416"/>
      <c r="CW795" s="416"/>
      <c r="CX795" s="416"/>
      <c r="CY795" s="416"/>
      <c r="CZ795" s="416"/>
      <c r="DF795" s="416"/>
      <c r="DG795" s="416"/>
      <c r="DH795" s="416"/>
      <c r="DI795" s="416"/>
      <c r="DJ795" s="416"/>
      <c r="DK795" s="416"/>
    </row>
    <row r="796" spans="18:115" s="9" customFormat="1">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CR796" s="416"/>
      <c r="CS796" s="416"/>
      <c r="CT796" s="416"/>
      <c r="CU796" s="416"/>
      <c r="CV796" s="416"/>
      <c r="CW796" s="416"/>
      <c r="CX796" s="416"/>
      <c r="CY796" s="416"/>
      <c r="CZ796" s="416"/>
      <c r="DF796" s="416"/>
      <c r="DG796" s="416"/>
      <c r="DH796" s="416"/>
      <c r="DI796" s="416"/>
      <c r="DJ796" s="416"/>
      <c r="DK796" s="416"/>
    </row>
    <row r="797" spans="18:115" s="9" customFormat="1">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CR797" s="416"/>
      <c r="CS797" s="416"/>
      <c r="CT797" s="416"/>
      <c r="CU797" s="416"/>
      <c r="CV797" s="416"/>
      <c r="CW797" s="416"/>
      <c r="CX797" s="416"/>
      <c r="CY797" s="416"/>
      <c r="CZ797" s="416"/>
      <c r="DF797" s="416"/>
      <c r="DG797" s="416"/>
      <c r="DH797" s="416"/>
      <c r="DI797" s="416"/>
      <c r="DJ797" s="416"/>
      <c r="DK797" s="416"/>
    </row>
    <row r="798" spans="18:115" s="9" customFormat="1">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CR798" s="416"/>
      <c r="CS798" s="416"/>
      <c r="CT798" s="416"/>
      <c r="CU798" s="416"/>
      <c r="CV798" s="416"/>
      <c r="CW798" s="416"/>
      <c r="CX798" s="416"/>
      <c r="CY798" s="416"/>
      <c r="CZ798" s="416"/>
      <c r="DF798" s="416"/>
      <c r="DG798" s="416"/>
      <c r="DH798" s="416"/>
      <c r="DI798" s="416"/>
      <c r="DJ798" s="416"/>
      <c r="DK798" s="416"/>
    </row>
    <row r="799" spans="18:115" s="9" customFormat="1">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CR799" s="416"/>
      <c r="CS799" s="416"/>
      <c r="CT799" s="416"/>
      <c r="CU799" s="416"/>
      <c r="CV799" s="416"/>
      <c r="CW799" s="416"/>
      <c r="CX799" s="416"/>
      <c r="CY799" s="416"/>
      <c r="CZ799" s="416"/>
      <c r="DF799" s="416"/>
      <c r="DG799" s="416"/>
      <c r="DH799" s="416"/>
      <c r="DI799" s="416"/>
      <c r="DJ799" s="416"/>
      <c r="DK799" s="416"/>
    </row>
    <row r="800" spans="18:115" s="9" customFormat="1">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CR800" s="416"/>
      <c r="CS800" s="416"/>
      <c r="CT800" s="416"/>
      <c r="CU800" s="416"/>
      <c r="CV800" s="416"/>
      <c r="CW800" s="416"/>
      <c r="CX800" s="416"/>
      <c r="CY800" s="416"/>
      <c r="CZ800" s="416"/>
      <c r="DF800" s="416"/>
      <c r="DG800" s="416"/>
      <c r="DH800" s="416"/>
      <c r="DI800" s="416"/>
      <c r="DJ800" s="416"/>
      <c r="DK800" s="416"/>
    </row>
    <row r="801" spans="18:115" s="9" customFormat="1">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CR801" s="416"/>
      <c r="CS801" s="416"/>
      <c r="CT801" s="416"/>
      <c r="CU801" s="416"/>
      <c r="CV801" s="416"/>
      <c r="CW801" s="416"/>
      <c r="CX801" s="416"/>
      <c r="CY801" s="416"/>
      <c r="CZ801" s="416"/>
      <c r="DF801" s="416"/>
      <c r="DG801" s="416"/>
      <c r="DH801" s="416"/>
      <c r="DI801" s="416"/>
      <c r="DJ801" s="416"/>
      <c r="DK801" s="416"/>
    </row>
    <row r="802" spans="18:115" s="9" customFormat="1">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CR802" s="416"/>
      <c r="CS802" s="416"/>
      <c r="CT802" s="416"/>
      <c r="CU802" s="416"/>
      <c r="CV802" s="416"/>
      <c r="CW802" s="416"/>
      <c r="CX802" s="416"/>
      <c r="CY802" s="416"/>
      <c r="CZ802" s="416"/>
      <c r="DF802" s="416"/>
      <c r="DG802" s="416"/>
      <c r="DH802" s="416"/>
      <c r="DI802" s="416"/>
      <c r="DJ802" s="416"/>
      <c r="DK802" s="416"/>
    </row>
    <row r="803" spans="18:115" s="9" customFormat="1">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CR803" s="416"/>
      <c r="CS803" s="416"/>
      <c r="CT803" s="416"/>
      <c r="CU803" s="416"/>
      <c r="CV803" s="416"/>
      <c r="CW803" s="416"/>
      <c r="CX803" s="416"/>
      <c r="CY803" s="416"/>
      <c r="CZ803" s="416"/>
      <c r="DF803" s="416"/>
      <c r="DG803" s="416"/>
      <c r="DH803" s="416"/>
      <c r="DI803" s="416"/>
      <c r="DJ803" s="416"/>
      <c r="DK803" s="416"/>
    </row>
    <row r="804" spans="18:115" s="9" customFormat="1">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CR804" s="416"/>
      <c r="CS804" s="416"/>
      <c r="CT804" s="416"/>
      <c r="CU804" s="416"/>
      <c r="CV804" s="416"/>
      <c r="CW804" s="416"/>
      <c r="CX804" s="416"/>
      <c r="CY804" s="416"/>
      <c r="CZ804" s="416"/>
      <c r="DF804" s="416"/>
      <c r="DG804" s="416"/>
      <c r="DH804" s="416"/>
      <c r="DI804" s="416"/>
      <c r="DJ804" s="416"/>
      <c r="DK804" s="416"/>
    </row>
    <row r="805" spans="18:115" s="9" customFormat="1">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CR805" s="416"/>
      <c r="CS805" s="416"/>
      <c r="CT805" s="416"/>
      <c r="CU805" s="416"/>
      <c r="CV805" s="416"/>
      <c r="CW805" s="416"/>
      <c r="CX805" s="416"/>
      <c r="CY805" s="416"/>
      <c r="CZ805" s="416"/>
      <c r="DF805" s="416"/>
      <c r="DG805" s="416"/>
      <c r="DH805" s="416"/>
      <c r="DI805" s="416"/>
      <c r="DJ805" s="416"/>
      <c r="DK805" s="416"/>
    </row>
    <row r="806" spans="18:115" s="9" customFormat="1">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CR806" s="416"/>
      <c r="CS806" s="416"/>
      <c r="CT806" s="416"/>
      <c r="CU806" s="416"/>
      <c r="CV806" s="416"/>
      <c r="CW806" s="416"/>
      <c r="CX806" s="416"/>
      <c r="CY806" s="416"/>
      <c r="CZ806" s="416"/>
      <c r="DF806" s="416"/>
      <c r="DG806" s="416"/>
      <c r="DH806" s="416"/>
      <c r="DI806" s="416"/>
      <c r="DJ806" s="416"/>
      <c r="DK806" s="416"/>
    </row>
    <row r="807" spans="18:115" s="9" customFormat="1">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CR807" s="416"/>
      <c r="CS807" s="416"/>
      <c r="CT807" s="416"/>
      <c r="CU807" s="416"/>
      <c r="CV807" s="416"/>
      <c r="CW807" s="416"/>
      <c r="CX807" s="416"/>
      <c r="CY807" s="416"/>
      <c r="CZ807" s="416"/>
      <c r="DF807" s="416"/>
      <c r="DG807" s="416"/>
      <c r="DH807" s="416"/>
      <c r="DI807" s="416"/>
      <c r="DJ807" s="416"/>
      <c r="DK807" s="416"/>
    </row>
    <row r="808" spans="18:115" s="9" customFormat="1">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CR808" s="416"/>
      <c r="CS808" s="416"/>
      <c r="CT808" s="416"/>
      <c r="CU808" s="416"/>
      <c r="CV808" s="416"/>
      <c r="CW808" s="416"/>
      <c r="CX808" s="416"/>
      <c r="CY808" s="416"/>
      <c r="CZ808" s="416"/>
      <c r="DF808" s="416"/>
      <c r="DG808" s="416"/>
      <c r="DH808" s="416"/>
      <c r="DI808" s="416"/>
      <c r="DJ808" s="416"/>
      <c r="DK808" s="416"/>
    </row>
    <row r="809" spans="18:115" s="9" customFormat="1">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CR809" s="416"/>
      <c r="CS809" s="416"/>
      <c r="CT809" s="416"/>
      <c r="CU809" s="416"/>
      <c r="CV809" s="416"/>
      <c r="CW809" s="416"/>
      <c r="CX809" s="416"/>
      <c r="CY809" s="416"/>
      <c r="CZ809" s="416"/>
      <c r="DF809" s="416"/>
      <c r="DG809" s="416"/>
      <c r="DH809" s="416"/>
      <c r="DI809" s="416"/>
      <c r="DJ809" s="416"/>
      <c r="DK809" s="416"/>
    </row>
    <row r="810" spans="18:115" s="9" customFormat="1">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CR810" s="416"/>
      <c r="CS810" s="416"/>
      <c r="CT810" s="416"/>
      <c r="CU810" s="416"/>
      <c r="CV810" s="416"/>
      <c r="CW810" s="416"/>
      <c r="CX810" s="416"/>
      <c r="CY810" s="416"/>
      <c r="CZ810" s="416"/>
      <c r="DF810" s="416"/>
      <c r="DG810" s="416"/>
      <c r="DH810" s="416"/>
      <c r="DI810" s="416"/>
      <c r="DJ810" s="416"/>
      <c r="DK810" s="416"/>
    </row>
    <row r="811" spans="18:115" s="9" customFormat="1">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CR811" s="416"/>
      <c r="CS811" s="416"/>
      <c r="CT811" s="416"/>
      <c r="CU811" s="416"/>
      <c r="CV811" s="416"/>
      <c r="CW811" s="416"/>
      <c r="CX811" s="416"/>
      <c r="CY811" s="416"/>
      <c r="CZ811" s="416"/>
      <c r="DF811" s="416"/>
      <c r="DG811" s="416"/>
      <c r="DH811" s="416"/>
      <c r="DI811" s="416"/>
      <c r="DJ811" s="416"/>
      <c r="DK811" s="416"/>
    </row>
    <row r="812" spans="18:115" s="9" customFormat="1">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CR812" s="416"/>
      <c r="CS812" s="416"/>
      <c r="CT812" s="416"/>
      <c r="CU812" s="416"/>
      <c r="CV812" s="416"/>
      <c r="CW812" s="416"/>
      <c r="CX812" s="416"/>
      <c r="CY812" s="416"/>
      <c r="CZ812" s="416"/>
      <c r="DF812" s="416"/>
      <c r="DG812" s="416"/>
      <c r="DH812" s="416"/>
      <c r="DI812" s="416"/>
      <c r="DJ812" s="416"/>
      <c r="DK812" s="416"/>
    </row>
    <row r="813" spans="18:115" s="9" customFormat="1">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CR813" s="416"/>
      <c r="CS813" s="416"/>
      <c r="CT813" s="416"/>
      <c r="CU813" s="416"/>
      <c r="CV813" s="416"/>
      <c r="CW813" s="416"/>
      <c r="CX813" s="416"/>
      <c r="CY813" s="416"/>
      <c r="CZ813" s="416"/>
      <c r="DF813" s="416"/>
      <c r="DG813" s="416"/>
      <c r="DH813" s="416"/>
      <c r="DI813" s="416"/>
      <c r="DJ813" s="416"/>
      <c r="DK813" s="416"/>
    </row>
    <row r="814" spans="18:115" s="9" customFormat="1">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CR814" s="416"/>
      <c r="CS814" s="416"/>
      <c r="CT814" s="416"/>
      <c r="CU814" s="416"/>
      <c r="CV814" s="416"/>
      <c r="CW814" s="416"/>
      <c r="CX814" s="416"/>
      <c r="CY814" s="416"/>
      <c r="CZ814" s="416"/>
      <c r="DF814" s="416"/>
      <c r="DG814" s="416"/>
      <c r="DH814" s="416"/>
      <c r="DI814" s="416"/>
      <c r="DJ814" s="416"/>
      <c r="DK814" s="416"/>
    </row>
    <row r="815" spans="18:115" s="9" customFormat="1">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CR815" s="416"/>
      <c r="CS815" s="416"/>
      <c r="CT815" s="416"/>
      <c r="CU815" s="416"/>
      <c r="CV815" s="416"/>
      <c r="CW815" s="416"/>
      <c r="CX815" s="416"/>
      <c r="CY815" s="416"/>
      <c r="CZ815" s="416"/>
      <c r="DF815" s="416"/>
      <c r="DG815" s="416"/>
      <c r="DH815" s="416"/>
      <c r="DI815" s="416"/>
      <c r="DJ815" s="416"/>
      <c r="DK815" s="416"/>
    </row>
    <row r="816" spans="18:115" s="9" customFormat="1">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CR816" s="416"/>
      <c r="CS816" s="416"/>
      <c r="CT816" s="416"/>
      <c r="CU816" s="416"/>
      <c r="CV816" s="416"/>
      <c r="CW816" s="416"/>
      <c r="CX816" s="416"/>
      <c r="CY816" s="416"/>
      <c r="CZ816" s="416"/>
      <c r="DF816" s="416"/>
      <c r="DG816" s="416"/>
      <c r="DH816" s="416"/>
      <c r="DI816" s="416"/>
      <c r="DJ816" s="416"/>
      <c r="DK816" s="416"/>
    </row>
    <row r="817" spans="18:115" s="9" customFormat="1">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CR817" s="416"/>
      <c r="CS817" s="416"/>
      <c r="CT817" s="416"/>
      <c r="CU817" s="416"/>
      <c r="CV817" s="416"/>
      <c r="CW817" s="416"/>
      <c r="CX817" s="416"/>
      <c r="CY817" s="416"/>
      <c r="CZ817" s="416"/>
      <c r="DF817" s="416"/>
      <c r="DG817" s="416"/>
      <c r="DH817" s="416"/>
      <c r="DI817" s="416"/>
      <c r="DJ817" s="416"/>
      <c r="DK817" s="416"/>
    </row>
    <row r="818" spans="18:115" s="9" customFormat="1">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CR818" s="416"/>
      <c r="CS818" s="416"/>
      <c r="CT818" s="416"/>
      <c r="CU818" s="416"/>
      <c r="CV818" s="416"/>
      <c r="CW818" s="416"/>
      <c r="CX818" s="416"/>
      <c r="CY818" s="416"/>
      <c r="CZ818" s="416"/>
      <c r="DF818" s="416"/>
      <c r="DG818" s="416"/>
      <c r="DH818" s="416"/>
      <c r="DI818" s="416"/>
      <c r="DJ818" s="416"/>
      <c r="DK818" s="416"/>
    </row>
    <row r="819" spans="18:115" s="9" customFormat="1">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CR819" s="416"/>
      <c r="CS819" s="416"/>
      <c r="CT819" s="416"/>
      <c r="CU819" s="416"/>
      <c r="CV819" s="416"/>
      <c r="CW819" s="416"/>
      <c r="CX819" s="416"/>
      <c r="CY819" s="416"/>
      <c r="CZ819" s="416"/>
      <c r="DF819" s="416"/>
      <c r="DG819" s="416"/>
      <c r="DH819" s="416"/>
      <c r="DI819" s="416"/>
      <c r="DJ819" s="416"/>
      <c r="DK819" s="416"/>
    </row>
    <row r="820" spans="18:115" s="9" customFormat="1">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CR820" s="416"/>
      <c r="CS820" s="416"/>
      <c r="CT820" s="416"/>
      <c r="CU820" s="416"/>
      <c r="CV820" s="416"/>
      <c r="CW820" s="416"/>
      <c r="CX820" s="416"/>
      <c r="CY820" s="416"/>
      <c r="CZ820" s="416"/>
      <c r="DF820" s="416"/>
      <c r="DG820" s="416"/>
      <c r="DH820" s="416"/>
      <c r="DI820" s="416"/>
      <c r="DJ820" s="416"/>
      <c r="DK820" s="416"/>
    </row>
    <row r="821" spans="18:115" s="9" customFormat="1">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CR821" s="416"/>
      <c r="CS821" s="416"/>
      <c r="CT821" s="416"/>
      <c r="CU821" s="416"/>
      <c r="CV821" s="416"/>
      <c r="CW821" s="416"/>
      <c r="CX821" s="416"/>
      <c r="CY821" s="416"/>
      <c r="CZ821" s="416"/>
      <c r="DF821" s="416"/>
      <c r="DG821" s="416"/>
      <c r="DH821" s="416"/>
      <c r="DI821" s="416"/>
      <c r="DJ821" s="416"/>
      <c r="DK821" s="416"/>
    </row>
    <row r="822" spans="18:115" s="9" customFormat="1">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CR822" s="416"/>
      <c r="CS822" s="416"/>
      <c r="CT822" s="416"/>
      <c r="CU822" s="416"/>
      <c r="CV822" s="416"/>
      <c r="CW822" s="416"/>
      <c r="CX822" s="416"/>
      <c r="CY822" s="416"/>
      <c r="CZ822" s="416"/>
      <c r="DF822" s="416"/>
      <c r="DG822" s="416"/>
      <c r="DH822" s="416"/>
      <c r="DI822" s="416"/>
      <c r="DJ822" s="416"/>
      <c r="DK822" s="416"/>
    </row>
    <row r="823" spans="18:115" s="9" customFormat="1">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CR823" s="416"/>
      <c r="CS823" s="416"/>
      <c r="CT823" s="416"/>
      <c r="CU823" s="416"/>
      <c r="CV823" s="416"/>
      <c r="CW823" s="416"/>
      <c r="CX823" s="416"/>
      <c r="CY823" s="416"/>
      <c r="CZ823" s="416"/>
      <c r="DF823" s="416"/>
      <c r="DG823" s="416"/>
      <c r="DH823" s="416"/>
      <c r="DI823" s="416"/>
      <c r="DJ823" s="416"/>
      <c r="DK823" s="416"/>
    </row>
    <row r="824" spans="18:115" s="9" customFormat="1">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CR824" s="416"/>
      <c r="CS824" s="416"/>
      <c r="CT824" s="416"/>
      <c r="CU824" s="416"/>
      <c r="CV824" s="416"/>
      <c r="CW824" s="416"/>
      <c r="CX824" s="416"/>
      <c r="CY824" s="416"/>
      <c r="CZ824" s="416"/>
      <c r="DF824" s="416"/>
      <c r="DG824" s="416"/>
      <c r="DH824" s="416"/>
      <c r="DI824" s="416"/>
      <c r="DJ824" s="416"/>
      <c r="DK824" s="416"/>
    </row>
    <row r="825" spans="18:115" s="9" customFormat="1">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CR825" s="416"/>
      <c r="CS825" s="416"/>
      <c r="CT825" s="416"/>
      <c r="CU825" s="416"/>
      <c r="CV825" s="416"/>
      <c r="CW825" s="416"/>
      <c r="CX825" s="416"/>
      <c r="CY825" s="416"/>
      <c r="CZ825" s="416"/>
      <c r="DF825" s="416"/>
      <c r="DG825" s="416"/>
      <c r="DH825" s="416"/>
      <c r="DI825" s="416"/>
      <c r="DJ825" s="416"/>
      <c r="DK825" s="416"/>
    </row>
    <row r="826" spans="18:115" s="9" customFormat="1">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CR826" s="416"/>
      <c r="CS826" s="416"/>
      <c r="CT826" s="416"/>
      <c r="CU826" s="416"/>
      <c r="CV826" s="416"/>
      <c r="CW826" s="416"/>
      <c r="CX826" s="416"/>
      <c r="CY826" s="416"/>
      <c r="CZ826" s="416"/>
      <c r="DF826" s="416"/>
      <c r="DG826" s="416"/>
      <c r="DH826" s="416"/>
      <c r="DI826" s="416"/>
      <c r="DJ826" s="416"/>
      <c r="DK826" s="416"/>
    </row>
    <row r="827" spans="18:115" s="9" customFormat="1">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CR827" s="416"/>
      <c r="CS827" s="416"/>
      <c r="CT827" s="416"/>
      <c r="CU827" s="416"/>
      <c r="CV827" s="416"/>
      <c r="CW827" s="416"/>
      <c r="CX827" s="416"/>
      <c r="CY827" s="416"/>
      <c r="CZ827" s="416"/>
      <c r="DF827" s="416"/>
      <c r="DG827" s="416"/>
      <c r="DH827" s="416"/>
      <c r="DI827" s="416"/>
      <c r="DJ827" s="416"/>
      <c r="DK827" s="416"/>
    </row>
    <row r="828" spans="18:115" s="9" customFormat="1">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CR828" s="416"/>
      <c r="CS828" s="416"/>
      <c r="CT828" s="416"/>
      <c r="CU828" s="416"/>
      <c r="CV828" s="416"/>
      <c r="CW828" s="416"/>
      <c r="CX828" s="416"/>
      <c r="CY828" s="416"/>
      <c r="CZ828" s="416"/>
      <c r="DF828" s="416"/>
      <c r="DG828" s="416"/>
      <c r="DH828" s="416"/>
      <c r="DI828" s="416"/>
      <c r="DJ828" s="416"/>
      <c r="DK828" s="416"/>
    </row>
    <row r="829" spans="18:115" s="9" customFormat="1">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CR829" s="416"/>
      <c r="CS829" s="416"/>
      <c r="CT829" s="416"/>
      <c r="CU829" s="416"/>
      <c r="CV829" s="416"/>
      <c r="CW829" s="416"/>
      <c r="CX829" s="416"/>
      <c r="CY829" s="416"/>
      <c r="CZ829" s="416"/>
      <c r="DF829" s="416"/>
      <c r="DG829" s="416"/>
      <c r="DH829" s="416"/>
      <c r="DI829" s="416"/>
      <c r="DJ829" s="416"/>
      <c r="DK829" s="416"/>
    </row>
    <row r="830" spans="18:115" s="9" customFormat="1">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CR830" s="416"/>
      <c r="CS830" s="416"/>
      <c r="CT830" s="416"/>
      <c r="CU830" s="416"/>
      <c r="CV830" s="416"/>
      <c r="CW830" s="416"/>
      <c r="CX830" s="416"/>
      <c r="CY830" s="416"/>
      <c r="CZ830" s="416"/>
      <c r="DF830" s="416"/>
      <c r="DG830" s="416"/>
      <c r="DH830" s="416"/>
      <c r="DI830" s="416"/>
      <c r="DJ830" s="416"/>
      <c r="DK830" s="416"/>
    </row>
    <row r="831" spans="18:115" s="9" customFormat="1">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CR831" s="416"/>
      <c r="CS831" s="416"/>
      <c r="CT831" s="416"/>
      <c r="CU831" s="416"/>
      <c r="CV831" s="416"/>
      <c r="CW831" s="416"/>
      <c r="CX831" s="416"/>
      <c r="CY831" s="416"/>
      <c r="CZ831" s="416"/>
      <c r="DF831" s="416"/>
      <c r="DG831" s="416"/>
      <c r="DH831" s="416"/>
      <c r="DI831" s="416"/>
      <c r="DJ831" s="416"/>
      <c r="DK831" s="416"/>
    </row>
    <row r="832" spans="18:115" s="9" customFormat="1">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CR832" s="416"/>
      <c r="CS832" s="416"/>
      <c r="CT832" s="416"/>
      <c r="CU832" s="416"/>
      <c r="CV832" s="416"/>
      <c r="CW832" s="416"/>
      <c r="CX832" s="416"/>
      <c r="CY832" s="416"/>
      <c r="CZ832" s="416"/>
      <c r="DF832" s="416"/>
      <c r="DG832" s="416"/>
      <c r="DH832" s="416"/>
      <c r="DI832" s="416"/>
      <c r="DJ832" s="416"/>
      <c r="DK832" s="416"/>
    </row>
    <row r="833" spans="18:115" s="9" customFormat="1">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CR833" s="416"/>
      <c r="CS833" s="416"/>
      <c r="CT833" s="416"/>
      <c r="CU833" s="416"/>
      <c r="CV833" s="416"/>
      <c r="CW833" s="416"/>
      <c r="CX833" s="416"/>
      <c r="CY833" s="416"/>
      <c r="CZ833" s="416"/>
      <c r="DF833" s="416"/>
      <c r="DG833" s="416"/>
      <c r="DH833" s="416"/>
      <c r="DI833" s="416"/>
      <c r="DJ833" s="416"/>
      <c r="DK833" s="416"/>
    </row>
    <row r="834" spans="18:115" s="9" customFormat="1">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CR834" s="416"/>
      <c r="CS834" s="416"/>
      <c r="CT834" s="416"/>
      <c r="CU834" s="416"/>
      <c r="CV834" s="416"/>
      <c r="CW834" s="416"/>
      <c r="CX834" s="416"/>
      <c r="CY834" s="416"/>
      <c r="CZ834" s="416"/>
      <c r="DF834" s="416"/>
      <c r="DG834" s="416"/>
      <c r="DH834" s="416"/>
      <c r="DI834" s="416"/>
      <c r="DJ834" s="416"/>
      <c r="DK834" s="416"/>
    </row>
    <row r="835" spans="18:115" s="9" customFormat="1">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CR835" s="416"/>
      <c r="CS835" s="416"/>
      <c r="CT835" s="416"/>
      <c r="CU835" s="416"/>
      <c r="CV835" s="416"/>
      <c r="CW835" s="416"/>
      <c r="CX835" s="416"/>
      <c r="CY835" s="416"/>
      <c r="CZ835" s="416"/>
      <c r="DF835" s="416"/>
      <c r="DG835" s="416"/>
      <c r="DH835" s="416"/>
      <c r="DI835" s="416"/>
      <c r="DJ835" s="416"/>
      <c r="DK835" s="416"/>
    </row>
    <row r="836" spans="18:115" s="9" customFormat="1">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CR836" s="416"/>
      <c r="CS836" s="416"/>
      <c r="CT836" s="416"/>
      <c r="CU836" s="416"/>
      <c r="CV836" s="416"/>
      <c r="CW836" s="416"/>
      <c r="CX836" s="416"/>
      <c r="CY836" s="416"/>
      <c r="CZ836" s="416"/>
      <c r="DF836" s="416"/>
      <c r="DG836" s="416"/>
      <c r="DH836" s="416"/>
      <c r="DI836" s="416"/>
      <c r="DJ836" s="416"/>
      <c r="DK836" s="416"/>
    </row>
    <row r="837" spans="18:115" s="9" customFormat="1">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CR837" s="416"/>
      <c r="CS837" s="416"/>
      <c r="CT837" s="416"/>
      <c r="CU837" s="416"/>
      <c r="CV837" s="416"/>
      <c r="CW837" s="416"/>
      <c r="CX837" s="416"/>
      <c r="CY837" s="416"/>
      <c r="CZ837" s="416"/>
      <c r="DF837" s="416"/>
      <c r="DG837" s="416"/>
      <c r="DH837" s="416"/>
      <c r="DI837" s="416"/>
      <c r="DJ837" s="416"/>
      <c r="DK837" s="416"/>
    </row>
    <row r="838" spans="18:115" s="9" customFormat="1">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CR838" s="416"/>
      <c r="CS838" s="416"/>
      <c r="CT838" s="416"/>
      <c r="CU838" s="416"/>
      <c r="CV838" s="416"/>
      <c r="CW838" s="416"/>
      <c r="CX838" s="416"/>
      <c r="CY838" s="416"/>
      <c r="CZ838" s="416"/>
      <c r="DF838" s="416"/>
      <c r="DG838" s="416"/>
      <c r="DH838" s="416"/>
      <c r="DI838" s="416"/>
      <c r="DJ838" s="416"/>
      <c r="DK838" s="416"/>
    </row>
    <row r="839" spans="18:115" s="9" customFormat="1">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CR839" s="416"/>
      <c r="CS839" s="416"/>
      <c r="CT839" s="416"/>
      <c r="CU839" s="416"/>
      <c r="CV839" s="416"/>
      <c r="CW839" s="416"/>
      <c r="CX839" s="416"/>
      <c r="CY839" s="416"/>
      <c r="CZ839" s="416"/>
      <c r="DF839" s="416"/>
      <c r="DG839" s="416"/>
      <c r="DH839" s="416"/>
      <c r="DI839" s="416"/>
      <c r="DJ839" s="416"/>
      <c r="DK839" s="416"/>
    </row>
    <row r="840" spans="18:115" s="9" customFormat="1">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CR840" s="416"/>
      <c r="CS840" s="416"/>
      <c r="CT840" s="416"/>
      <c r="CU840" s="416"/>
      <c r="CV840" s="416"/>
      <c r="CW840" s="416"/>
      <c r="CX840" s="416"/>
      <c r="CY840" s="416"/>
      <c r="CZ840" s="416"/>
      <c r="DF840" s="416"/>
      <c r="DG840" s="416"/>
      <c r="DH840" s="416"/>
      <c r="DI840" s="416"/>
      <c r="DJ840" s="416"/>
      <c r="DK840" s="416"/>
    </row>
    <row r="841" spans="18:115" s="9" customFormat="1">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CR841" s="416"/>
      <c r="CS841" s="416"/>
      <c r="CT841" s="416"/>
      <c r="CU841" s="416"/>
      <c r="CV841" s="416"/>
      <c r="CW841" s="416"/>
      <c r="CX841" s="416"/>
      <c r="CY841" s="416"/>
      <c r="CZ841" s="416"/>
      <c r="DF841" s="416"/>
      <c r="DG841" s="416"/>
      <c r="DH841" s="416"/>
      <c r="DI841" s="416"/>
      <c r="DJ841" s="416"/>
      <c r="DK841" s="416"/>
    </row>
    <row r="842" spans="18:115" s="9" customFormat="1">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CR842" s="416"/>
      <c r="CS842" s="416"/>
      <c r="CT842" s="416"/>
      <c r="CU842" s="416"/>
      <c r="CV842" s="416"/>
      <c r="CW842" s="416"/>
      <c r="CX842" s="416"/>
      <c r="CY842" s="416"/>
      <c r="CZ842" s="416"/>
      <c r="DF842" s="416"/>
      <c r="DG842" s="416"/>
      <c r="DH842" s="416"/>
      <c r="DI842" s="416"/>
      <c r="DJ842" s="416"/>
      <c r="DK842" s="416"/>
    </row>
    <row r="843" spans="18:115" s="9" customFormat="1">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CR843" s="416"/>
      <c r="CS843" s="416"/>
      <c r="CT843" s="416"/>
      <c r="CU843" s="416"/>
      <c r="CV843" s="416"/>
      <c r="CW843" s="416"/>
      <c r="CX843" s="416"/>
      <c r="CY843" s="416"/>
      <c r="CZ843" s="416"/>
      <c r="DF843" s="416"/>
      <c r="DG843" s="416"/>
      <c r="DH843" s="416"/>
      <c r="DI843" s="416"/>
      <c r="DJ843" s="416"/>
      <c r="DK843" s="416"/>
    </row>
    <row r="844" spans="18:115" s="9" customFormat="1">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CR844" s="416"/>
      <c r="CS844" s="416"/>
      <c r="CT844" s="416"/>
      <c r="CU844" s="416"/>
      <c r="CV844" s="416"/>
      <c r="CW844" s="416"/>
      <c r="CX844" s="416"/>
      <c r="CY844" s="416"/>
      <c r="CZ844" s="416"/>
      <c r="DF844" s="416"/>
      <c r="DG844" s="416"/>
      <c r="DH844" s="416"/>
      <c r="DI844" s="416"/>
      <c r="DJ844" s="416"/>
      <c r="DK844" s="416"/>
    </row>
    <row r="845" spans="18:115" s="9" customFormat="1">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CR845" s="416"/>
      <c r="CS845" s="416"/>
      <c r="CT845" s="416"/>
      <c r="CU845" s="416"/>
      <c r="CV845" s="416"/>
      <c r="CW845" s="416"/>
      <c r="CX845" s="416"/>
      <c r="CY845" s="416"/>
      <c r="CZ845" s="416"/>
      <c r="DF845" s="416"/>
      <c r="DG845" s="416"/>
      <c r="DH845" s="416"/>
      <c r="DI845" s="416"/>
      <c r="DJ845" s="416"/>
      <c r="DK845" s="416"/>
    </row>
    <row r="846" spans="18:115" s="9" customFormat="1">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CR846" s="416"/>
      <c r="CS846" s="416"/>
      <c r="CT846" s="416"/>
      <c r="CU846" s="416"/>
      <c r="CV846" s="416"/>
      <c r="CW846" s="416"/>
      <c r="CX846" s="416"/>
      <c r="CY846" s="416"/>
      <c r="CZ846" s="416"/>
      <c r="DF846" s="416"/>
      <c r="DG846" s="416"/>
      <c r="DH846" s="416"/>
      <c r="DI846" s="416"/>
      <c r="DJ846" s="416"/>
      <c r="DK846" s="416"/>
    </row>
    <row r="847" spans="18:115" s="9" customFormat="1">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CR847" s="416"/>
      <c r="CS847" s="416"/>
      <c r="CT847" s="416"/>
      <c r="CU847" s="416"/>
      <c r="CV847" s="416"/>
      <c r="CW847" s="416"/>
      <c r="CX847" s="416"/>
      <c r="CY847" s="416"/>
      <c r="CZ847" s="416"/>
      <c r="DF847" s="416"/>
      <c r="DG847" s="416"/>
      <c r="DH847" s="416"/>
      <c r="DI847" s="416"/>
      <c r="DJ847" s="416"/>
      <c r="DK847" s="416"/>
    </row>
    <row r="848" spans="18:115" s="9" customFormat="1">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CR848" s="416"/>
      <c r="CS848" s="416"/>
      <c r="CT848" s="416"/>
      <c r="CU848" s="416"/>
      <c r="CV848" s="416"/>
      <c r="CW848" s="416"/>
      <c r="CX848" s="416"/>
      <c r="CY848" s="416"/>
      <c r="CZ848" s="416"/>
      <c r="DF848" s="416"/>
      <c r="DG848" s="416"/>
      <c r="DH848" s="416"/>
      <c r="DI848" s="416"/>
      <c r="DJ848" s="416"/>
      <c r="DK848" s="416"/>
    </row>
    <row r="849" spans="18:115" s="9" customFormat="1">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CR849" s="416"/>
      <c r="CS849" s="416"/>
      <c r="CT849" s="416"/>
      <c r="CU849" s="416"/>
      <c r="CV849" s="416"/>
      <c r="CW849" s="416"/>
      <c r="CX849" s="416"/>
      <c r="CY849" s="416"/>
      <c r="CZ849" s="416"/>
      <c r="DF849" s="416"/>
      <c r="DG849" s="416"/>
      <c r="DH849" s="416"/>
      <c r="DI849" s="416"/>
      <c r="DJ849" s="416"/>
      <c r="DK849" s="416"/>
    </row>
    <row r="850" spans="18:115" s="9" customFormat="1">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CR850" s="416"/>
      <c r="CS850" s="416"/>
      <c r="CT850" s="416"/>
      <c r="CU850" s="416"/>
      <c r="CV850" s="416"/>
      <c r="CW850" s="416"/>
      <c r="CX850" s="416"/>
      <c r="CY850" s="416"/>
      <c r="CZ850" s="416"/>
      <c r="DF850" s="416"/>
      <c r="DG850" s="416"/>
      <c r="DH850" s="416"/>
      <c r="DI850" s="416"/>
      <c r="DJ850" s="416"/>
      <c r="DK850" s="416"/>
    </row>
    <row r="851" spans="18:115" s="9" customFormat="1">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CR851" s="416"/>
      <c r="CS851" s="416"/>
      <c r="CT851" s="416"/>
      <c r="CU851" s="416"/>
      <c r="CV851" s="416"/>
      <c r="CW851" s="416"/>
      <c r="CX851" s="416"/>
      <c r="CY851" s="416"/>
      <c r="CZ851" s="416"/>
      <c r="DF851" s="416"/>
      <c r="DG851" s="416"/>
      <c r="DH851" s="416"/>
      <c r="DI851" s="416"/>
      <c r="DJ851" s="416"/>
      <c r="DK851" s="416"/>
    </row>
    <row r="852" spans="18:115" s="9" customFormat="1">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CR852" s="416"/>
      <c r="CS852" s="416"/>
      <c r="CT852" s="416"/>
      <c r="CU852" s="416"/>
      <c r="CV852" s="416"/>
      <c r="CW852" s="416"/>
      <c r="CX852" s="416"/>
      <c r="CY852" s="416"/>
      <c r="CZ852" s="416"/>
      <c r="DF852" s="416"/>
      <c r="DG852" s="416"/>
      <c r="DH852" s="416"/>
      <c r="DI852" s="416"/>
      <c r="DJ852" s="416"/>
      <c r="DK852" s="416"/>
    </row>
    <row r="853" spans="18:115" s="9" customFormat="1">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CR853" s="416"/>
      <c r="CS853" s="416"/>
      <c r="CT853" s="416"/>
      <c r="CU853" s="416"/>
      <c r="CV853" s="416"/>
      <c r="CW853" s="416"/>
      <c r="CX853" s="416"/>
      <c r="CY853" s="416"/>
      <c r="CZ853" s="416"/>
      <c r="DF853" s="416"/>
      <c r="DG853" s="416"/>
      <c r="DH853" s="416"/>
      <c r="DI853" s="416"/>
      <c r="DJ853" s="416"/>
      <c r="DK853" s="416"/>
    </row>
    <row r="854" spans="18:115" s="9" customFormat="1">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CR854" s="416"/>
      <c r="CS854" s="416"/>
      <c r="CT854" s="416"/>
      <c r="CU854" s="416"/>
      <c r="CV854" s="416"/>
      <c r="CW854" s="416"/>
      <c r="CX854" s="416"/>
      <c r="CY854" s="416"/>
      <c r="CZ854" s="416"/>
      <c r="DF854" s="416"/>
      <c r="DG854" s="416"/>
      <c r="DH854" s="416"/>
      <c r="DI854" s="416"/>
      <c r="DJ854" s="416"/>
      <c r="DK854" s="416"/>
    </row>
    <row r="855" spans="18:115" s="9" customFormat="1">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CR855" s="416"/>
      <c r="CS855" s="416"/>
      <c r="CT855" s="416"/>
      <c r="CU855" s="416"/>
      <c r="CV855" s="416"/>
      <c r="CW855" s="416"/>
      <c r="CX855" s="416"/>
      <c r="CY855" s="416"/>
      <c r="CZ855" s="416"/>
      <c r="DF855" s="416"/>
      <c r="DG855" s="416"/>
      <c r="DH855" s="416"/>
      <c r="DI855" s="416"/>
      <c r="DJ855" s="416"/>
      <c r="DK855" s="416"/>
    </row>
    <row r="856" spans="18:115" s="9" customFormat="1">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CR856" s="416"/>
      <c r="CS856" s="416"/>
      <c r="CT856" s="416"/>
      <c r="CU856" s="416"/>
      <c r="CV856" s="416"/>
      <c r="CW856" s="416"/>
      <c r="CX856" s="416"/>
      <c r="CY856" s="416"/>
      <c r="CZ856" s="416"/>
      <c r="DF856" s="416"/>
      <c r="DG856" s="416"/>
      <c r="DH856" s="416"/>
      <c r="DI856" s="416"/>
      <c r="DJ856" s="416"/>
      <c r="DK856" s="416"/>
    </row>
    <row r="857" spans="18:115" s="9" customFormat="1">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CR857" s="416"/>
      <c r="CS857" s="416"/>
      <c r="CT857" s="416"/>
      <c r="CU857" s="416"/>
      <c r="CV857" s="416"/>
      <c r="CW857" s="416"/>
      <c r="CX857" s="416"/>
      <c r="CY857" s="416"/>
      <c r="CZ857" s="416"/>
      <c r="DF857" s="416"/>
      <c r="DG857" s="416"/>
      <c r="DH857" s="416"/>
      <c r="DI857" s="416"/>
      <c r="DJ857" s="416"/>
      <c r="DK857" s="416"/>
    </row>
    <row r="858" spans="18:115" s="9" customFormat="1">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CR858" s="416"/>
      <c r="CS858" s="416"/>
      <c r="CT858" s="416"/>
      <c r="CU858" s="416"/>
      <c r="CV858" s="416"/>
      <c r="CW858" s="416"/>
      <c r="CX858" s="416"/>
      <c r="CY858" s="416"/>
      <c r="CZ858" s="416"/>
      <c r="DF858" s="416"/>
      <c r="DG858" s="416"/>
      <c r="DH858" s="416"/>
      <c r="DI858" s="416"/>
      <c r="DJ858" s="416"/>
      <c r="DK858" s="416"/>
    </row>
    <row r="859" spans="18:115" s="9" customFormat="1">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CR859" s="416"/>
      <c r="CS859" s="416"/>
      <c r="CT859" s="416"/>
      <c r="CU859" s="416"/>
      <c r="CV859" s="416"/>
      <c r="CW859" s="416"/>
      <c r="CX859" s="416"/>
      <c r="CY859" s="416"/>
      <c r="CZ859" s="416"/>
      <c r="DF859" s="416"/>
      <c r="DG859" s="416"/>
      <c r="DH859" s="416"/>
      <c r="DI859" s="416"/>
      <c r="DJ859" s="416"/>
      <c r="DK859" s="416"/>
    </row>
    <row r="860" spans="18:115" s="9" customFormat="1">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CR860" s="416"/>
      <c r="CS860" s="416"/>
      <c r="CT860" s="416"/>
      <c r="CU860" s="416"/>
      <c r="CV860" s="416"/>
      <c r="CW860" s="416"/>
      <c r="CX860" s="416"/>
      <c r="CY860" s="416"/>
      <c r="CZ860" s="416"/>
      <c r="DF860" s="416"/>
      <c r="DG860" s="416"/>
      <c r="DH860" s="416"/>
      <c r="DI860" s="416"/>
      <c r="DJ860" s="416"/>
      <c r="DK860" s="416"/>
    </row>
    <row r="861" spans="18:115" s="9" customFormat="1">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CR861" s="416"/>
      <c r="CS861" s="416"/>
      <c r="CT861" s="416"/>
      <c r="CU861" s="416"/>
      <c r="CV861" s="416"/>
      <c r="CW861" s="416"/>
      <c r="CX861" s="416"/>
      <c r="CY861" s="416"/>
      <c r="CZ861" s="416"/>
      <c r="DF861" s="416"/>
      <c r="DG861" s="416"/>
      <c r="DH861" s="416"/>
      <c r="DI861" s="416"/>
      <c r="DJ861" s="416"/>
      <c r="DK861" s="416"/>
    </row>
    <row r="862" spans="18:115" s="9" customFormat="1">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CR862" s="416"/>
      <c r="CS862" s="416"/>
      <c r="CT862" s="416"/>
      <c r="CU862" s="416"/>
      <c r="CV862" s="416"/>
      <c r="CW862" s="416"/>
      <c r="CX862" s="416"/>
      <c r="CY862" s="416"/>
      <c r="CZ862" s="416"/>
      <c r="DF862" s="416"/>
      <c r="DG862" s="416"/>
      <c r="DH862" s="416"/>
      <c r="DI862" s="416"/>
      <c r="DJ862" s="416"/>
      <c r="DK862" s="416"/>
    </row>
    <row r="863" spans="18:115" s="9" customFormat="1">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CR863" s="416"/>
      <c r="CS863" s="416"/>
      <c r="CT863" s="416"/>
      <c r="CU863" s="416"/>
      <c r="CV863" s="416"/>
      <c r="CW863" s="416"/>
      <c r="CX863" s="416"/>
      <c r="CY863" s="416"/>
      <c r="CZ863" s="416"/>
      <c r="DF863" s="416"/>
      <c r="DG863" s="416"/>
      <c r="DH863" s="416"/>
      <c r="DI863" s="416"/>
      <c r="DJ863" s="416"/>
      <c r="DK863" s="416"/>
    </row>
    <row r="864" spans="18:115" s="9" customFormat="1">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CR864" s="416"/>
      <c r="CS864" s="416"/>
      <c r="CT864" s="416"/>
      <c r="CU864" s="416"/>
      <c r="CV864" s="416"/>
      <c r="CW864" s="416"/>
      <c r="CX864" s="416"/>
      <c r="CY864" s="416"/>
      <c r="CZ864" s="416"/>
      <c r="DF864" s="416"/>
      <c r="DG864" s="416"/>
      <c r="DH864" s="416"/>
      <c r="DI864" s="416"/>
      <c r="DJ864" s="416"/>
      <c r="DK864" s="416"/>
    </row>
    <row r="865" spans="18:115" s="9" customFormat="1">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CR865" s="416"/>
      <c r="CS865" s="416"/>
      <c r="CT865" s="416"/>
      <c r="CU865" s="416"/>
      <c r="CV865" s="416"/>
      <c r="CW865" s="416"/>
      <c r="CX865" s="416"/>
      <c r="CY865" s="416"/>
      <c r="CZ865" s="416"/>
      <c r="DF865" s="416"/>
      <c r="DG865" s="416"/>
      <c r="DH865" s="416"/>
      <c r="DI865" s="416"/>
      <c r="DJ865" s="416"/>
      <c r="DK865" s="416"/>
    </row>
    <row r="866" spans="18:115" s="9" customFormat="1">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CR866" s="416"/>
      <c r="CS866" s="416"/>
      <c r="CT866" s="416"/>
      <c r="CU866" s="416"/>
      <c r="CV866" s="416"/>
      <c r="CW866" s="416"/>
      <c r="CX866" s="416"/>
      <c r="CY866" s="416"/>
      <c r="CZ866" s="416"/>
      <c r="DF866" s="416"/>
      <c r="DG866" s="416"/>
      <c r="DH866" s="416"/>
      <c r="DI866" s="416"/>
      <c r="DJ866" s="416"/>
      <c r="DK866" s="416"/>
    </row>
    <row r="867" spans="18:115" s="9" customFormat="1">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CR867" s="416"/>
      <c r="CS867" s="416"/>
      <c r="CT867" s="416"/>
      <c r="CU867" s="416"/>
      <c r="CV867" s="416"/>
      <c r="CW867" s="416"/>
      <c r="CX867" s="416"/>
      <c r="CY867" s="416"/>
      <c r="CZ867" s="416"/>
      <c r="DF867" s="416"/>
      <c r="DG867" s="416"/>
      <c r="DH867" s="416"/>
      <c r="DI867" s="416"/>
      <c r="DJ867" s="416"/>
      <c r="DK867" s="416"/>
    </row>
    <row r="868" spans="18:115" s="9" customFormat="1">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CR868" s="416"/>
      <c r="CS868" s="416"/>
      <c r="CT868" s="416"/>
      <c r="CU868" s="416"/>
      <c r="CV868" s="416"/>
      <c r="CW868" s="416"/>
      <c r="CX868" s="416"/>
      <c r="CY868" s="416"/>
      <c r="CZ868" s="416"/>
      <c r="DF868" s="416"/>
      <c r="DG868" s="416"/>
      <c r="DH868" s="416"/>
      <c r="DI868" s="416"/>
      <c r="DJ868" s="416"/>
      <c r="DK868" s="416"/>
    </row>
    <row r="869" spans="18:115" s="9" customFormat="1">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CR869" s="416"/>
      <c r="CS869" s="416"/>
      <c r="CT869" s="416"/>
      <c r="CU869" s="416"/>
      <c r="CV869" s="416"/>
      <c r="CW869" s="416"/>
      <c r="CX869" s="416"/>
      <c r="CY869" s="416"/>
      <c r="CZ869" s="416"/>
      <c r="DF869" s="416"/>
      <c r="DG869" s="416"/>
      <c r="DH869" s="416"/>
      <c r="DI869" s="416"/>
      <c r="DJ869" s="416"/>
      <c r="DK869" s="416"/>
    </row>
    <row r="870" spans="18:115" s="9" customFormat="1">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CR870" s="416"/>
      <c r="CS870" s="416"/>
      <c r="CT870" s="416"/>
      <c r="CU870" s="416"/>
      <c r="CV870" s="416"/>
      <c r="CW870" s="416"/>
      <c r="CX870" s="416"/>
      <c r="CY870" s="416"/>
      <c r="CZ870" s="416"/>
      <c r="DF870" s="416"/>
      <c r="DG870" s="416"/>
      <c r="DH870" s="416"/>
      <c r="DI870" s="416"/>
      <c r="DJ870" s="416"/>
      <c r="DK870" s="416"/>
    </row>
    <row r="871" spans="18:115" s="9" customFormat="1">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CR871" s="416"/>
      <c r="CS871" s="416"/>
      <c r="CT871" s="416"/>
      <c r="CU871" s="416"/>
      <c r="CV871" s="416"/>
      <c r="CW871" s="416"/>
      <c r="CX871" s="416"/>
      <c r="CY871" s="416"/>
      <c r="CZ871" s="416"/>
      <c r="DF871" s="416"/>
      <c r="DG871" s="416"/>
      <c r="DH871" s="416"/>
      <c r="DI871" s="416"/>
      <c r="DJ871" s="416"/>
      <c r="DK871" s="416"/>
    </row>
    <row r="872" spans="18:115" s="9" customFormat="1">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CR872" s="416"/>
      <c r="CS872" s="416"/>
      <c r="CT872" s="416"/>
      <c r="CU872" s="416"/>
      <c r="CV872" s="416"/>
      <c r="CW872" s="416"/>
      <c r="CX872" s="416"/>
      <c r="CY872" s="416"/>
      <c r="CZ872" s="416"/>
      <c r="DF872" s="416"/>
      <c r="DG872" s="416"/>
      <c r="DH872" s="416"/>
      <c r="DI872" s="416"/>
      <c r="DJ872" s="416"/>
      <c r="DK872" s="416"/>
    </row>
    <row r="873" spans="18:115" s="9" customFormat="1">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CR873" s="416"/>
      <c r="CS873" s="416"/>
      <c r="CT873" s="416"/>
      <c r="CU873" s="416"/>
      <c r="CV873" s="416"/>
      <c r="CW873" s="416"/>
      <c r="CX873" s="416"/>
      <c r="CY873" s="416"/>
      <c r="CZ873" s="416"/>
      <c r="DF873" s="416"/>
      <c r="DG873" s="416"/>
      <c r="DH873" s="416"/>
      <c r="DI873" s="416"/>
      <c r="DJ873" s="416"/>
      <c r="DK873" s="416"/>
    </row>
    <row r="874" spans="18:115" s="9" customFormat="1">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CR874" s="416"/>
      <c r="CS874" s="416"/>
      <c r="CT874" s="416"/>
      <c r="CU874" s="416"/>
      <c r="CV874" s="416"/>
      <c r="CW874" s="416"/>
      <c r="CX874" s="416"/>
      <c r="CY874" s="416"/>
      <c r="CZ874" s="416"/>
      <c r="DF874" s="416"/>
      <c r="DG874" s="416"/>
      <c r="DH874" s="416"/>
      <c r="DI874" s="416"/>
      <c r="DJ874" s="416"/>
      <c r="DK874" s="416"/>
    </row>
    <row r="875" spans="18:115" s="9" customFormat="1">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CR875" s="416"/>
      <c r="CS875" s="416"/>
      <c r="CT875" s="416"/>
      <c r="CU875" s="416"/>
      <c r="CV875" s="416"/>
      <c r="CW875" s="416"/>
      <c r="CX875" s="416"/>
      <c r="CY875" s="416"/>
      <c r="CZ875" s="416"/>
      <c r="DF875" s="416"/>
      <c r="DG875" s="416"/>
      <c r="DH875" s="416"/>
      <c r="DI875" s="416"/>
      <c r="DJ875" s="416"/>
      <c r="DK875" s="416"/>
    </row>
    <row r="876" spans="18:115" s="9" customFormat="1">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CR876" s="416"/>
      <c r="CS876" s="416"/>
      <c r="CT876" s="416"/>
      <c r="CU876" s="416"/>
      <c r="CV876" s="416"/>
      <c r="CW876" s="416"/>
      <c r="CX876" s="416"/>
      <c r="CY876" s="416"/>
      <c r="CZ876" s="416"/>
      <c r="DF876" s="416"/>
      <c r="DG876" s="416"/>
      <c r="DH876" s="416"/>
      <c r="DI876" s="416"/>
      <c r="DJ876" s="416"/>
      <c r="DK876" s="416"/>
    </row>
    <row r="877" spans="18:115" s="9" customFormat="1">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CR877" s="416"/>
      <c r="CS877" s="416"/>
      <c r="CT877" s="416"/>
      <c r="CU877" s="416"/>
      <c r="CV877" s="416"/>
      <c r="CW877" s="416"/>
      <c r="CX877" s="416"/>
      <c r="CY877" s="416"/>
      <c r="CZ877" s="416"/>
      <c r="DF877" s="416"/>
      <c r="DG877" s="416"/>
      <c r="DH877" s="416"/>
      <c r="DI877" s="416"/>
      <c r="DJ877" s="416"/>
      <c r="DK877" s="416"/>
    </row>
    <row r="878" spans="18:115" s="9" customFormat="1">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CR878" s="416"/>
      <c r="CS878" s="416"/>
      <c r="CT878" s="416"/>
      <c r="CU878" s="416"/>
      <c r="CV878" s="416"/>
      <c r="CW878" s="416"/>
      <c r="CX878" s="416"/>
      <c r="CY878" s="416"/>
      <c r="CZ878" s="416"/>
      <c r="DF878" s="416"/>
      <c r="DG878" s="416"/>
      <c r="DH878" s="416"/>
      <c r="DI878" s="416"/>
      <c r="DJ878" s="416"/>
      <c r="DK878" s="416"/>
    </row>
    <row r="879" spans="18:115" s="9" customFormat="1">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CR879" s="416"/>
      <c r="CS879" s="416"/>
      <c r="CT879" s="416"/>
      <c r="CU879" s="416"/>
      <c r="CV879" s="416"/>
      <c r="CW879" s="416"/>
      <c r="CX879" s="416"/>
      <c r="CY879" s="416"/>
      <c r="CZ879" s="416"/>
      <c r="DF879" s="416"/>
      <c r="DG879" s="416"/>
      <c r="DH879" s="416"/>
      <c r="DI879" s="416"/>
      <c r="DJ879" s="416"/>
      <c r="DK879" s="416"/>
    </row>
    <row r="880" spans="18:115" s="9" customFormat="1">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CR880" s="416"/>
      <c r="CS880" s="416"/>
      <c r="CT880" s="416"/>
      <c r="CU880" s="416"/>
      <c r="CV880" s="416"/>
      <c r="CW880" s="416"/>
      <c r="CX880" s="416"/>
      <c r="CY880" s="416"/>
      <c r="CZ880" s="416"/>
      <c r="DF880" s="416"/>
      <c r="DG880" s="416"/>
      <c r="DH880" s="416"/>
      <c r="DI880" s="416"/>
      <c r="DJ880" s="416"/>
      <c r="DK880" s="416"/>
    </row>
    <row r="881" spans="18:115" s="9" customFormat="1">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CR881" s="416"/>
      <c r="CS881" s="416"/>
      <c r="CT881" s="416"/>
      <c r="CU881" s="416"/>
      <c r="CV881" s="416"/>
      <c r="CW881" s="416"/>
      <c r="CX881" s="416"/>
      <c r="CY881" s="416"/>
      <c r="CZ881" s="416"/>
      <c r="DF881" s="416"/>
      <c r="DG881" s="416"/>
      <c r="DH881" s="416"/>
      <c r="DI881" s="416"/>
      <c r="DJ881" s="416"/>
      <c r="DK881" s="416"/>
    </row>
    <row r="882" spans="18:115" s="9" customFormat="1">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CR882" s="416"/>
      <c r="CS882" s="416"/>
      <c r="CT882" s="416"/>
      <c r="CU882" s="416"/>
      <c r="CV882" s="416"/>
      <c r="CW882" s="416"/>
      <c r="CX882" s="416"/>
      <c r="CY882" s="416"/>
      <c r="CZ882" s="416"/>
      <c r="DF882" s="416"/>
      <c r="DG882" s="416"/>
      <c r="DH882" s="416"/>
      <c r="DI882" s="416"/>
      <c r="DJ882" s="416"/>
      <c r="DK882" s="416"/>
    </row>
    <row r="883" spans="18:115" s="9" customFormat="1">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CR883" s="416"/>
      <c r="CS883" s="416"/>
      <c r="CT883" s="416"/>
      <c r="CU883" s="416"/>
      <c r="CV883" s="416"/>
      <c r="CW883" s="416"/>
      <c r="CX883" s="416"/>
      <c r="CY883" s="416"/>
      <c r="CZ883" s="416"/>
      <c r="DF883" s="416"/>
      <c r="DG883" s="416"/>
      <c r="DH883" s="416"/>
      <c r="DI883" s="416"/>
      <c r="DJ883" s="416"/>
      <c r="DK883" s="416"/>
    </row>
    <row r="884" spans="18:115" s="9" customFormat="1">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CR884" s="416"/>
      <c r="CS884" s="416"/>
      <c r="CT884" s="416"/>
      <c r="CU884" s="416"/>
      <c r="CV884" s="416"/>
      <c r="CW884" s="416"/>
      <c r="CX884" s="416"/>
      <c r="CY884" s="416"/>
      <c r="CZ884" s="416"/>
      <c r="DF884" s="416"/>
      <c r="DG884" s="416"/>
      <c r="DH884" s="416"/>
      <c r="DI884" s="416"/>
      <c r="DJ884" s="416"/>
      <c r="DK884" s="416"/>
    </row>
    <row r="885" spans="18:115" s="9" customFormat="1">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CR885" s="416"/>
      <c r="CS885" s="416"/>
      <c r="CT885" s="416"/>
      <c r="CU885" s="416"/>
      <c r="CV885" s="416"/>
      <c r="CW885" s="416"/>
      <c r="CX885" s="416"/>
      <c r="CY885" s="416"/>
      <c r="CZ885" s="416"/>
      <c r="DF885" s="416"/>
      <c r="DG885" s="416"/>
      <c r="DH885" s="416"/>
      <c r="DI885" s="416"/>
      <c r="DJ885" s="416"/>
      <c r="DK885" s="416"/>
    </row>
    <row r="886" spans="18:115" s="9" customFormat="1">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CR886" s="416"/>
      <c r="CS886" s="416"/>
      <c r="CT886" s="416"/>
      <c r="CU886" s="416"/>
      <c r="CV886" s="416"/>
      <c r="CW886" s="416"/>
      <c r="CX886" s="416"/>
      <c r="CY886" s="416"/>
      <c r="CZ886" s="416"/>
      <c r="DF886" s="416"/>
      <c r="DG886" s="416"/>
      <c r="DH886" s="416"/>
      <c r="DI886" s="416"/>
      <c r="DJ886" s="416"/>
      <c r="DK886" s="416"/>
    </row>
    <row r="887" spans="18:115" s="9" customFormat="1">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CR887" s="416"/>
      <c r="CS887" s="416"/>
      <c r="CT887" s="416"/>
      <c r="CU887" s="416"/>
      <c r="CV887" s="416"/>
      <c r="CW887" s="416"/>
      <c r="CX887" s="416"/>
      <c r="CY887" s="416"/>
      <c r="CZ887" s="416"/>
      <c r="DF887" s="416"/>
      <c r="DG887" s="416"/>
      <c r="DH887" s="416"/>
      <c r="DI887" s="416"/>
      <c r="DJ887" s="416"/>
      <c r="DK887" s="416"/>
    </row>
    <row r="888" spans="18:115" s="9" customFormat="1">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CR888" s="416"/>
      <c r="CS888" s="416"/>
      <c r="CT888" s="416"/>
      <c r="CU888" s="416"/>
      <c r="CV888" s="416"/>
      <c r="CW888" s="416"/>
      <c r="CX888" s="416"/>
      <c r="CY888" s="416"/>
      <c r="CZ888" s="416"/>
      <c r="DF888" s="416"/>
      <c r="DG888" s="416"/>
      <c r="DH888" s="416"/>
      <c r="DI888" s="416"/>
      <c r="DJ888" s="416"/>
      <c r="DK888" s="416"/>
    </row>
    <row r="889" spans="18:115" s="9" customFormat="1">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CR889" s="416"/>
      <c r="CS889" s="416"/>
      <c r="CT889" s="416"/>
      <c r="CU889" s="416"/>
      <c r="CV889" s="416"/>
      <c r="CW889" s="416"/>
      <c r="CX889" s="416"/>
      <c r="CY889" s="416"/>
      <c r="CZ889" s="416"/>
      <c r="DF889" s="416"/>
      <c r="DG889" s="416"/>
      <c r="DH889" s="416"/>
      <c r="DI889" s="416"/>
      <c r="DJ889" s="416"/>
      <c r="DK889" s="416"/>
    </row>
    <row r="890" spans="18:115" s="9" customFormat="1">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CR890" s="416"/>
      <c r="CS890" s="416"/>
      <c r="CT890" s="416"/>
      <c r="CU890" s="416"/>
      <c r="CV890" s="416"/>
      <c r="CW890" s="416"/>
      <c r="CX890" s="416"/>
      <c r="CY890" s="416"/>
      <c r="CZ890" s="416"/>
      <c r="DF890" s="416"/>
      <c r="DG890" s="416"/>
      <c r="DH890" s="416"/>
      <c r="DI890" s="416"/>
      <c r="DJ890" s="416"/>
      <c r="DK890" s="416"/>
    </row>
    <row r="891" spans="18:115" s="9" customFormat="1">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CR891" s="416"/>
      <c r="CS891" s="416"/>
      <c r="CT891" s="416"/>
      <c r="CU891" s="416"/>
      <c r="CV891" s="416"/>
      <c r="CW891" s="416"/>
      <c r="CX891" s="416"/>
      <c r="CY891" s="416"/>
      <c r="CZ891" s="416"/>
      <c r="DF891" s="416"/>
      <c r="DG891" s="416"/>
      <c r="DH891" s="416"/>
      <c r="DI891" s="416"/>
      <c r="DJ891" s="416"/>
      <c r="DK891" s="416"/>
    </row>
    <row r="892" spans="18:115" s="9" customFormat="1">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CR892" s="416"/>
      <c r="CS892" s="416"/>
      <c r="CT892" s="416"/>
      <c r="CU892" s="416"/>
      <c r="CV892" s="416"/>
      <c r="CW892" s="416"/>
      <c r="CX892" s="416"/>
      <c r="CY892" s="416"/>
      <c r="CZ892" s="416"/>
      <c r="DF892" s="416"/>
      <c r="DG892" s="416"/>
      <c r="DH892" s="416"/>
      <c r="DI892" s="416"/>
      <c r="DJ892" s="416"/>
      <c r="DK892" s="416"/>
    </row>
    <row r="893" spans="18:115" s="9" customFormat="1">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CR893" s="416"/>
      <c r="CS893" s="416"/>
      <c r="CT893" s="416"/>
      <c r="CU893" s="416"/>
      <c r="CV893" s="416"/>
      <c r="CW893" s="416"/>
      <c r="CX893" s="416"/>
      <c r="CY893" s="416"/>
      <c r="CZ893" s="416"/>
      <c r="DF893" s="416"/>
      <c r="DG893" s="416"/>
      <c r="DH893" s="416"/>
      <c r="DI893" s="416"/>
      <c r="DJ893" s="416"/>
      <c r="DK893" s="416"/>
    </row>
    <row r="894" spans="18:115" s="9" customFormat="1">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CR894" s="416"/>
      <c r="CS894" s="416"/>
      <c r="CT894" s="416"/>
      <c r="CU894" s="416"/>
      <c r="CV894" s="416"/>
      <c r="CW894" s="416"/>
      <c r="CX894" s="416"/>
      <c r="CY894" s="416"/>
      <c r="CZ894" s="416"/>
      <c r="DF894" s="416"/>
      <c r="DG894" s="416"/>
      <c r="DH894" s="416"/>
      <c r="DI894" s="416"/>
      <c r="DJ894" s="416"/>
      <c r="DK894" s="416"/>
    </row>
    <row r="895" spans="18:115" s="9" customFormat="1">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CR895" s="416"/>
      <c r="CS895" s="416"/>
      <c r="CT895" s="416"/>
      <c r="CU895" s="416"/>
      <c r="CV895" s="416"/>
      <c r="CW895" s="416"/>
      <c r="CX895" s="416"/>
      <c r="CY895" s="416"/>
      <c r="CZ895" s="416"/>
      <c r="DF895" s="416"/>
      <c r="DG895" s="416"/>
      <c r="DH895" s="416"/>
      <c r="DI895" s="416"/>
      <c r="DJ895" s="416"/>
      <c r="DK895" s="416"/>
    </row>
    <row r="896" spans="18:115" s="9" customFormat="1">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CR896" s="416"/>
      <c r="CS896" s="416"/>
      <c r="CT896" s="416"/>
      <c r="CU896" s="416"/>
      <c r="CV896" s="416"/>
      <c r="CW896" s="416"/>
      <c r="CX896" s="416"/>
      <c r="CY896" s="416"/>
      <c r="CZ896" s="416"/>
      <c r="DF896" s="416"/>
      <c r="DG896" s="416"/>
      <c r="DH896" s="416"/>
      <c r="DI896" s="416"/>
      <c r="DJ896" s="416"/>
      <c r="DK896" s="416"/>
    </row>
    <row r="897" spans="18:115" s="9" customFormat="1">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CR897" s="416"/>
      <c r="CS897" s="416"/>
      <c r="CT897" s="416"/>
      <c r="CU897" s="416"/>
      <c r="CV897" s="416"/>
      <c r="CW897" s="416"/>
      <c r="CX897" s="416"/>
      <c r="CY897" s="416"/>
      <c r="CZ897" s="416"/>
      <c r="DF897" s="416"/>
      <c r="DG897" s="416"/>
      <c r="DH897" s="416"/>
      <c r="DI897" s="416"/>
      <c r="DJ897" s="416"/>
      <c r="DK897" s="416"/>
    </row>
    <row r="898" spans="18:115" s="9" customFormat="1">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CR898" s="416"/>
      <c r="CS898" s="416"/>
      <c r="CT898" s="416"/>
      <c r="CU898" s="416"/>
      <c r="CV898" s="416"/>
      <c r="CW898" s="416"/>
      <c r="CX898" s="416"/>
      <c r="CY898" s="416"/>
      <c r="CZ898" s="416"/>
      <c r="DF898" s="416"/>
      <c r="DG898" s="416"/>
      <c r="DH898" s="416"/>
      <c r="DI898" s="416"/>
      <c r="DJ898" s="416"/>
      <c r="DK898" s="416"/>
    </row>
    <row r="899" spans="18:115" s="9" customFormat="1">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CR899" s="416"/>
      <c r="CS899" s="416"/>
      <c r="CT899" s="416"/>
      <c r="CU899" s="416"/>
      <c r="CV899" s="416"/>
      <c r="CW899" s="416"/>
      <c r="CX899" s="416"/>
      <c r="CY899" s="416"/>
      <c r="CZ899" s="416"/>
      <c r="DF899" s="416"/>
      <c r="DG899" s="416"/>
      <c r="DH899" s="416"/>
      <c r="DI899" s="416"/>
      <c r="DJ899" s="416"/>
      <c r="DK899" s="416"/>
    </row>
    <row r="900" spans="18:115" s="9" customFormat="1">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CR900" s="416"/>
      <c r="CS900" s="416"/>
      <c r="CT900" s="416"/>
      <c r="CU900" s="416"/>
      <c r="CV900" s="416"/>
      <c r="CW900" s="416"/>
      <c r="CX900" s="416"/>
      <c r="CY900" s="416"/>
      <c r="CZ900" s="416"/>
      <c r="DF900" s="416"/>
      <c r="DG900" s="416"/>
      <c r="DH900" s="416"/>
      <c r="DI900" s="416"/>
      <c r="DJ900" s="416"/>
      <c r="DK900" s="416"/>
    </row>
    <row r="901" spans="18:115" s="9" customFormat="1">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CR901" s="416"/>
      <c r="CS901" s="416"/>
      <c r="CT901" s="416"/>
      <c r="CU901" s="416"/>
      <c r="CV901" s="416"/>
      <c r="CW901" s="416"/>
      <c r="CX901" s="416"/>
      <c r="CY901" s="416"/>
      <c r="CZ901" s="416"/>
      <c r="DF901" s="416"/>
      <c r="DG901" s="416"/>
      <c r="DH901" s="416"/>
      <c r="DI901" s="416"/>
      <c r="DJ901" s="416"/>
      <c r="DK901" s="416"/>
    </row>
    <row r="902" spans="18:115" s="9" customFormat="1">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CR902" s="416"/>
      <c r="CS902" s="416"/>
      <c r="CT902" s="416"/>
      <c r="CU902" s="416"/>
      <c r="CV902" s="416"/>
      <c r="CW902" s="416"/>
      <c r="CX902" s="416"/>
      <c r="CY902" s="416"/>
      <c r="CZ902" s="416"/>
      <c r="DF902" s="416"/>
      <c r="DG902" s="416"/>
      <c r="DH902" s="416"/>
      <c r="DI902" s="416"/>
      <c r="DJ902" s="416"/>
      <c r="DK902" s="416"/>
    </row>
    <row r="903" spans="18:115" s="9" customFormat="1">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CR903" s="416"/>
      <c r="CS903" s="416"/>
      <c r="CT903" s="416"/>
      <c r="CU903" s="416"/>
      <c r="CV903" s="416"/>
      <c r="CW903" s="416"/>
      <c r="CX903" s="416"/>
      <c r="CY903" s="416"/>
      <c r="CZ903" s="416"/>
      <c r="DF903" s="416"/>
      <c r="DG903" s="416"/>
      <c r="DH903" s="416"/>
      <c r="DI903" s="416"/>
      <c r="DJ903" s="416"/>
      <c r="DK903" s="416"/>
    </row>
    <row r="904" spans="18:115" s="9" customFormat="1">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CR904" s="416"/>
      <c r="CS904" s="416"/>
      <c r="CT904" s="416"/>
      <c r="CU904" s="416"/>
      <c r="CV904" s="416"/>
      <c r="CW904" s="416"/>
      <c r="CX904" s="416"/>
      <c r="CY904" s="416"/>
      <c r="CZ904" s="416"/>
      <c r="DF904" s="416"/>
      <c r="DG904" s="416"/>
      <c r="DH904" s="416"/>
      <c r="DI904" s="416"/>
      <c r="DJ904" s="416"/>
      <c r="DK904" s="416"/>
    </row>
    <row r="905" spans="18:115" s="9" customFormat="1">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CR905" s="416"/>
      <c r="CS905" s="416"/>
      <c r="CT905" s="416"/>
      <c r="CU905" s="416"/>
      <c r="CV905" s="416"/>
      <c r="CW905" s="416"/>
      <c r="CX905" s="416"/>
      <c r="CY905" s="416"/>
      <c r="CZ905" s="416"/>
      <c r="DF905" s="416"/>
      <c r="DG905" s="416"/>
      <c r="DH905" s="416"/>
      <c r="DI905" s="416"/>
      <c r="DJ905" s="416"/>
      <c r="DK905" s="416"/>
    </row>
    <row r="906" spans="18:115" s="9" customFormat="1">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CR906" s="416"/>
      <c r="CS906" s="416"/>
      <c r="CT906" s="416"/>
      <c r="CU906" s="416"/>
      <c r="CV906" s="416"/>
      <c r="CW906" s="416"/>
      <c r="CX906" s="416"/>
      <c r="CY906" s="416"/>
      <c r="CZ906" s="416"/>
      <c r="DF906" s="416"/>
      <c r="DG906" s="416"/>
      <c r="DH906" s="416"/>
      <c r="DI906" s="416"/>
      <c r="DJ906" s="416"/>
      <c r="DK906" s="416"/>
    </row>
    <row r="907" spans="18:115" s="9" customFormat="1">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CR907" s="416"/>
      <c r="CS907" s="416"/>
      <c r="CT907" s="416"/>
      <c r="CU907" s="416"/>
      <c r="CV907" s="416"/>
      <c r="CW907" s="416"/>
      <c r="CX907" s="416"/>
      <c r="CY907" s="416"/>
      <c r="CZ907" s="416"/>
      <c r="DF907" s="416"/>
      <c r="DG907" s="416"/>
      <c r="DH907" s="416"/>
      <c r="DI907" s="416"/>
      <c r="DJ907" s="416"/>
      <c r="DK907" s="416"/>
    </row>
    <row r="908" spans="18:115" s="9" customFormat="1">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CR908" s="416"/>
      <c r="CS908" s="416"/>
      <c r="CT908" s="416"/>
      <c r="CU908" s="416"/>
      <c r="CV908" s="416"/>
      <c r="CW908" s="416"/>
      <c r="CX908" s="416"/>
      <c r="CY908" s="416"/>
      <c r="CZ908" s="416"/>
      <c r="DF908" s="416"/>
      <c r="DG908" s="416"/>
      <c r="DH908" s="416"/>
      <c r="DI908" s="416"/>
      <c r="DJ908" s="416"/>
      <c r="DK908" s="416"/>
    </row>
    <row r="909" spans="18:115" s="9" customFormat="1">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CR909" s="416"/>
      <c r="CS909" s="416"/>
      <c r="CT909" s="416"/>
      <c r="CU909" s="416"/>
      <c r="CV909" s="416"/>
      <c r="CW909" s="416"/>
      <c r="CX909" s="416"/>
      <c r="CY909" s="416"/>
      <c r="CZ909" s="416"/>
      <c r="DF909" s="416"/>
      <c r="DG909" s="416"/>
      <c r="DH909" s="416"/>
      <c r="DI909" s="416"/>
      <c r="DJ909" s="416"/>
      <c r="DK909" s="416"/>
    </row>
    <row r="910" spans="18:115" s="9" customFormat="1">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CR910" s="416"/>
      <c r="CS910" s="416"/>
      <c r="CT910" s="416"/>
      <c r="CU910" s="416"/>
      <c r="CV910" s="416"/>
      <c r="CW910" s="416"/>
      <c r="CX910" s="416"/>
      <c r="CY910" s="416"/>
      <c r="CZ910" s="416"/>
      <c r="DF910" s="416"/>
      <c r="DG910" s="416"/>
      <c r="DH910" s="416"/>
      <c r="DI910" s="416"/>
      <c r="DJ910" s="416"/>
      <c r="DK910" s="416"/>
    </row>
    <row r="911" spans="18:115" s="9" customFormat="1">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CR911" s="416"/>
      <c r="CS911" s="416"/>
      <c r="CT911" s="416"/>
      <c r="CU911" s="416"/>
      <c r="CV911" s="416"/>
      <c r="CW911" s="416"/>
      <c r="CX911" s="416"/>
      <c r="CY911" s="416"/>
      <c r="CZ911" s="416"/>
      <c r="DF911" s="416"/>
      <c r="DG911" s="416"/>
      <c r="DH911" s="416"/>
      <c r="DI911" s="416"/>
      <c r="DJ911" s="416"/>
      <c r="DK911" s="416"/>
    </row>
    <row r="912" spans="18:115" s="9" customFormat="1">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CR912" s="416"/>
      <c r="CS912" s="416"/>
      <c r="CT912" s="416"/>
      <c r="CU912" s="416"/>
      <c r="CV912" s="416"/>
      <c r="CW912" s="416"/>
      <c r="CX912" s="416"/>
      <c r="CY912" s="416"/>
      <c r="CZ912" s="416"/>
      <c r="DF912" s="416"/>
      <c r="DG912" s="416"/>
      <c r="DH912" s="416"/>
      <c r="DI912" s="416"/>
      <c r="DJ912" s="416"/>
      <c r="DK912" s="416"/>
    </row>
    <row r="913" spans="18:115" s="9" customFormat="1">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CR913" s="416"/>
      <c r="CS913" s="416"/>
      <c r="CT913" s="416"/>
      <c r="CU913" s="416"/>
      <c r="CV913" s="416"/>
      <c r="CW913" s="416"/>
      <c r="CX913" s="416"/>
      <c r="CY913" s="416"/>
      <c r="CZ913" s="416"/>
      <c r="DF913" s="416"/>
      <c r="DG913" s="416"/>
      <c r="DH913" s="416"/>
      <c r="DI913" s="416"/>
      <c r="DJ913" s="416"/>
      <c r="DK913" s="416"/>
    </row>
    <row r="914" spans="18:115" s="9" customFormat="1">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CR914" s="416"/>
      <c r="CS914" s="416"/>
      <c r="CT914" s="416"/>
      <c r="CU914" s="416"/>
      <c r="CV914" s="416"/>
      <c r="CW914" s="416"/>
      <c r="CX914" s="416"/>
      <c r="CY914" s="416"/>
      <c r="CZ914" s="416"/>
      <c r="DF914" s="416"/>
      <c r="DG914" s="416"/>
      <c r="DH914" s="416"/>
      <c r="DI914" s="416"/>
      <c r="DJ914" s="416"/>
      <c r="DK914" s="416"/>
    </row>
    <row r="915" spans="18:115" s="9" customFormat="1">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CR915" s="416"/>
      <c r="CS915" s="416"/>
      <c r="CT915" s="416"/>
      <c r="CU915" s="416"/>
      <c r="CV915" s="416"/>
      <c r="CW915" s="416"/>
      <c r="CX915" s="416"/>
      <c r="CY915" s="416"/>
      <c r="CZ915" s="416"/>
      <c r="DF915" s="416"/>
      <c r="DG915" s="416"/>
      <c r="DH915" s="416"/>
      <c r="DI915" s="416"/>
      <c r="DJ915" s="416"/>
      <c r="DK915" s="416"/>
    </row>
    <row r="916" spans="18:115" s="9" customFormat="1">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CR916" s="416"/>
      <c r="CS916" s="416"/>
      <c r="CT916" s="416"/>
      <c r="CU916" s="416"/>
      <c r="CV916" s="416"/>
      <c r="CW916" s="416"/>
      <c r="CX916" s="416"/>
      <c r="CY916" s="416"/>
      <c r="CZ916" s="416"/>
      <c r="DF916" s="416"/>
      <c r="DG916" s="416"/>
      <c r="DH916" s="416"/>
      <c r="DI916" s="416"/>
      <c r="DJ916" s="416"/>
      <c r="DK916" s="416"/>
    </row>
    <row r="917" spans="18:115" s="9" customFormat="1">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CR917" s="416"/>
      <c r="CS917" s="416"/>
      <c r="CT917" s="416"/>
      <c r="CU917" s="416"/>
      <c r="CV917" s="416"/>
      <c r="CW917" s="416"/>
      <c r="CX917" s="416"/>
      <c r="CY917" s="416"/>
      <c r="CZ917" s="416"/>
      <c r="DF917" s="416"/>
      <c r="DG917" s="416"/>
      <c r="DH917" s="416"/>
      <c r="DI917" s="416"/>
      <c r="DJ917" s="416"/>
      <c r="DK917" s="416"/>
    </row>
    <row r="918" spans="18:115" s="9" customFormat="1">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CR918" s="416"/>
      <c r="CS918" s="416"/>
      <c r="CT918" s="416"/>
      <c r="CU918" s="416"/>
      <c r="CV918" s="416"/>
      <c r="CW918" s="416"/>
      <c r="CX918" s="416"/>
      <c r="CY918" s="416"/>
      <c r="CZ918" s="416"/>
      <c r="DF918" s="416"/>
      <c r="DG918" s="416"/>
      <c r="DH918" s="416"/>
      <c r="DI918" s="416"/>
      <c r="DJ918" s="416"/>
      <c r="DK918" s="416"/>
    </row>
    <row r="919" spans="18:115" s="9" customFormat="1">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CR919" s="416"/>
      <c r="CS919" s="416"/>
      <c r="CT919" s="416"/>
      <c r="CU919" s="416"/>
      <c r="CV919" s="416"/>
      <c r="CW919" s="416"/>
      <c r="CX919" s="416"/>
      <c r="CY919" s="416"/>
      <c r="CZ919" s="416"/>
      <c r="DF919" s="416"/>
      <c r="DG919" s="416"/>
      <c r="DH919" s="416"/>
      <c r="DI919" s="416"/>
      <c r="DJ919" s="416"/>
      <c r="DK919" s="416"/>
    </row>
    <row r="920" spans="18:115" s="9" customFormat="1">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CR920" s="416"/>
      <c r="CS920" s="416"/>
      <c r="CT920" s="416"/>
      <c r="CU920" s="416"/>
      <c r="CV920" s="416"/>
      <c r="CW920" s="416"/>
      <c r="CX920" s="416"/>
      <c r="CY920" s="416"/>
      <c r="CZ920" s="416"/>
      <c r="DF920" s="416"/>
      <c r="DG920" s="416"/>
      <c r="DH920" s="416"/>
      <c r="DI920" s="416"/>
      <c r="DJ920" s="416"/>
      <c r="DK920" s="416"/>
    </row>
    <row r="921" spans="18:115" s="9" customFormat="1">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CR921" s="416"/>
      <c r="CS921" s="416"/>
      <c r="CT921" s="416"/>
      <c r="CU921" s="416"/>
      <c r="CV921" s="416"/>
      <c r="CW921" s="416"/>
      <c r="CX921" s="416"/>
      <c r="CY921" s="416"/>
      <c r="CZ921" s="416"/>
      <c r="DF921" s="416"/>
      <c r="DG921" s="416"/>
      <c r="DH921" s="416"/>
      <c r="DI921" s="416"/>
      <c r="DJ921" s="416"/>
      <c r="DK921" s="416"/>
    </row>
    <row r="922" spans="18:115" s="9" customFormat="1">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CR922" s="416"/>
      <c r="CS922" s="416"/>
      <c r="CT922" s="416"/>
      <c r="CU922" s="416"/>
      <c r="CV922" s="416"/>
      <c r="CW922" s="416"/>
      <c r="CX922" s="416"/>
      <c r="CY922" s="416"/>
      <c r="CZ922" s="416"/>
      <c r="DF922" s="416"/>
      <c r="DG922" s="416"/>
      <c r="DH922" s="416"/>
      <c r="DI922" s="416"/>
      <c r="DJ922" s="416"/>
      <c r="DK922" s="416"/>
    </row>
    <row r="923" spans="18:115" s="9" customFormat="1">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CR923" s="416"/>
      <c r="CS923" s="416"/>
      <c r="CT923" s="416"/>
      <c r="CU923" s="416"/>
      <c r="CV923" s="416"/>
      <c r="CW923" s="416"/>
      <c r="CX923" s="416"/>
      <c r="CY923" s="416"/>
      <c r="CZ923" s="416"/>
      <c r="DF923" s="416"/>
      <c r="DG923" s="416"/>
      <c r="DH923" s="416"/>
      <c r="DI923" s="416"/>
      <c r="DJ923" s="416"/>
      <c r="DK923" s="416"/>
    </row>
    <row r="924" spans="18:115" s="9" customFormat="1">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CR924" s="416"/>
      <c r="CS924" s="416"/>
      <c r="CT924" s="416"/>
      <c r="CU924" s="416"/>
      <c r="CV924" s="416"/>
      <c r="CW924" s="416"/>
      <c r="CX924" s="416"/>
      <c r="CY924" s="416"/>
      <c r="CZ924" s="416"/>
      <c r="DF924" s="416"/>
      <c r="DG924" s="416"/>
      <c r="DH924" s="416"/>
      <c r="DI924" s="416"/>
      <c r="DJ924" s="416"/>
      <c r="DK924" s="416"/>
    </row>
    <row r="925" spans="18:115" s="9" customFormat="1">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CR925" s="416"/>
      <c r="CS925" s="416"/>
      <c r="CT925" s="416"/>
      <c r="CU925" s="416"/>
      <c r="CV925" s="416"/>
      <c r="CW925" s="416"/>
      <c r="CX925" s="416"/>
      <c r="CY925" s="416"/>
      <c r="CZ925" s="416"/>
      <c r="DF925" s="416"/>
      <c r="DG925" s="416"/>
      <c r="DH925" s="416"/>
      <c r="DI925" s="416"/>
      <c r="DJ925" s="416"/>
      <c r="DK925" s="416"/>
    </row>
    <row r="926" spans="18:115" s="9" customFormat="1">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CR926" s="416"/>
      <c r="CS926" s="416"/>
      <c r="CT926" s="416"/>
      <c r="CU926" s="416"/>
      <c r="CV926" s="416"/>
      <c r="CW926" s="416"/>
      <c r="CX926" s="416"/>
      <c r="CY926" s="416"/>
      <c r="CZ926" s="416"/>
      <c r="DF926" s="416"/>
      <c r="DG926" s="416"/>
      <c r="DH926" s="416"/>
      <c r="DI926" s="416"/>
      <c r="DJ926" s="416"/>
      <c r="DK926" s="416"/>
    </row>
    <row r="927" spans="18:115" s="9" customFormat="1">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CR927" s="416"/>
      <c r="CS927" s="416"/>
      <c r="CT927" s="416"/>
      <c r="CU927" s="416"/>
      <c r="CV927" s="416"/>
      <c r="CW927" s="416"/>
      <c r="CX927" s="416"/>
      <c r="CY927" s="416"/>
      <c r="CZ927" s="416"/>
      <c r="DF927" s="416"/>
      <c r="DG927" s="416"/>
      <c r="DH927" s="416"/>
      <c r="DI927" s="416"/>
      <c r="DJ927" s="416"/>
      <c r="DK927" s="416"/>
    </row>
    <row r="928" spans="18:115" s="9" customFormat="1">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CR928" s="416"/>
      <c r="CS928" s="416"/>
      <c r="CT928" s="416"/>
      <c r="CU928" s="416"/>
      <c r="CV928" s="416"/>
      <c r="CW928" s="416"/>
      <c r="CX928" s="416"/>
      <c r="CY928" s="416"/>
      <c r="CZ928" s="416"/>
      <c r="DF928" s="416"/>
      <c r="DG928" s="416"/>
      <c r="DH928" s="416"/>
      <c r="DI928" s="416"/>
      <c r="DJ928" s="416"/>
      <c r="DK928" s="416"/>
    </row>
    <row r="929" spans="18:115" s="9" customFormat="1">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CR929" s="416"/>
      <c r="CS929" s="416"/>
      <c r="CT929" s="416"/>
      <c r="CU929" s="416"/>
      <c r="CV929" s="416"/>
      <c r="CW929" s="416"/>
      <c r="CX929" s="416"/>
      <c r="CY929" s="416"/>
      <c r="CZ929" s="416"/>
      <c r="DF929" s="416"/>
      <c r="DG929" s="416"/>
      <c r="DH929" s="416"/>
      <c r="DI929" s="416"/>
      <c r="DJ929" s="416"/>
      <c r="DK929" s="416"/>
    </row>
    <row r="930" spans="18:115" s="9" customFormat="1">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CR930" s="416"/>
      <c r="CS930" s="416"/>
      <c r="CT930" s="416"/>
      <c r="CU930" s="416"/>
      <c r="CV930" s="416"/>
      <c r="CW930" s="416"/>
      <c r="CX930" s="416"/>
      <c r="CY930" s="416"/>
      <c r="CZ930" s="416"/>
      <c r="DF930" s="416"/>
      <c r="DG930" s="416"/>
      <c r="DH930" s="416"/>
      <c r="DI930" s="416"/>
      <c r="DJ930" s="416"/>
      <c r="DK930" s="416"/>
    </row>
    <row r="931" spans="18:115" s="9" customFormat="1">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CR931" s="416"/>
      <c r="CS931" s="416"/>
      <c r="CT931" s="416"/>
      <c r="CU931" s="416"/>
      <c r="CV931" s="416"/>
      <c r="CW931" s="416"/>
      <c r="CX931" s="416"/>
      <c r="CY931" s="416"/>
      <c r="CZ931" s="416"/>
      <c r="DF931" s="416"/>
      <c r="DG931" s="416"/>
      <c r="DH931" s="416"/>
      <c r="DI931" s="416"/>
      <c r="DJ931" s="416"/>
      <c r="DK931" s="416"/>
    </row>
    <row r="932" spans="18:115" s="9" customFormat="1">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CR932" s="416"/>
      <c r="CS932" s="416"/>
      <c r="CT932" s="416"/>
      <c r="CU932" s="416"/>
      <c r="CV932" s="416"/>
      <c r="CW932" s="416"/>
      <c r="CX932" s="416"/>
      <c r="CY932" s="416"/>
      <c r="CZ932" s="416"/>
      <c r="DF932" s="416"/>
      <c r="DG932" s="416"/>
      <c r="DH932" s="416"/>
      <c r="DI932" s="416"/>
      <c r="DJ932" s="416"/>
      <c r="DK932" s="416"/>
    </row>
    <row r="933" spans="18:115" s="9" customFormat="1">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CR933" s="416"/>
      <c r="CS933" s="416"/>
      <c r="CT933" s="416"/>
      <c r="CU933" s="416"/>
      <c r="CV933" s="416"/>
      <c r="CW933" s="416"/>
      <c r="CX933" s="416"/>
      <c r="CY933" s="416"/>
      <c r="CZ933" s="416"/>
      <c r="DF933" s="416"/>
      <c r="DG933" s="416"/>
      <c r="DH933" s="416"/>
      <c r="DI933" s="416"/>
      <c r="DJ933" s="416"/>
      <c r="DK933" s="416"/>
    </row>
    <row r="934" spans="18:115" s="9" customFormat="1">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CR934" s="416"/>
      <c r="CS934" s="416"/>
      <c r="CT934" s="416"/>
      <c r="CU934" s="416"/>
      <c r="CV934" s="416"/>
      <c r="CW934" s="416"/>
      <c r="CX934" s="416"/>
      <c r="CY934" s="416"/>
      <c r="CZ934" s="416"/>
      <c r="DF934" s="416"/>
      <c r="DG934" s="416"/>
      <c r="DH934" s="416"/>
      <c r="DI934" s="416"/>
      <c r="DJ934" s="416"/>
      <c r="DK934" s="416"/>
    </row>
    <row r="935" spans="18:115" s="9" customFormat="1">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CR935" s="416"/>
      <c r="CS935" s="416"/>
      <c r="CT935" s="416"/>
      <c r="CU935" s="416"/>
      <c r="CV935" s="416"/>
      <c r="CW935" s="416"/>
      <c r="CX935" s="416"/>
      <c r="CY935" s="416"/>
      <c r="CZ935" s="416"/>
      <c r="DF935" s="416"/>
      <c r="DG935" s="416"/>
      <c r="DH935" s="416"/>
      <c r="DI935" s="416"/>
      <c r="DJ935" s="416"/>
      <c r="DK935" s="416"/>
    </row>
    <row r="936" spans="18:115" s="9" customFormat="1">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CR936" s="416"/>
      <c r="CS936" s="416"/>
      <c r="CT936" s="416"/>
      <c r="CU936" s="416"/>
      <c r="CV936" s="416"/>
      <c r="CW936" s="416"/>
      <c r="CX936" s="416"/>
      <c r="CY936" s="416"/>
      <c r="CZ936" s="416"/>
      <c r="DF936" s="416"/>
      <c r="DG936" s="416"/>
      <c r="DH936" s="416"/>
      <c r="DI936" s="416"/>
      <c r="DJ936" s="416"/>
      <c r="DK936" s="416"/>
    </row>
    <row r="937" spans="18:115" s="9" customFormat="1">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CR937" s="416"/>
      <c r="CS937" s="416"/>
      <c r="CT937" s="416"/>
      <c r="CU937" s="416"/>
      <c r="CV937" s="416"/>
      <c r="CW937" s="416"/>
      <c r="CX937" s="416"/>
      <c r="CY937" s="416"/>
      <c r="CZ937" s="416"/>
      <c r="DF937" s="416"/>
      <c r="DG937" s="416"/>
      <c r="DH937" s="416"/>
      <c r="DI937" s="416"/>
      <c r="DJ937" s="416"/>
      <c r="DK937" s="416"/>
    </row>
    <row r="938" spans="18:115" s="9" customFormat="1">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CR938" s="416"/>
      <c r="CS938" s="416"/>
      <c r="CT938" s="416"/>
      <c r="CU938" s="416"/>
      <c r="CV938" s="416"/>
      <c r="CW938" s="416"/>
      <c r="CX938" s="416"/>
      <c r="CY938" s="416"/>
      <c r="CZ938" s="416"/>
      <c r="DF938" s="416"/>
      <c r="DG938" s="416"/>
      <c r="DH938" s="416"/>
      <c r="DI938" s="416"/>
      <c r="DJ938" s="416"/>
      <c r="DK938" s="416"/>
    </row>
    <row r="939" spans="18:115" s="9" customFormat="1">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CR939" s="416"/>
      <c r="CS939" s="416"/>
      <c r="CT939" s="416"/>
      <c r="CU939" s="416"/>
      <c r="CV939" s="416"/>
      <c r="CW939" s="416"/>
      <c r="CX939" s="416"/>
      <c r="CY939" s="416"/>
      <c r="CZ939" s="416"/>
      <c r="DF939" s="416"/>
      <c r="DG939" s="416"/>
      <c r="DH939" s="416"/>
      <c r="DI939" s="416"/>
      <c r="DJ939" s="416"/>
      <c r="DK939" s="416"/>
    </row>
    <row r="940" spans="18:115" s="9" customFormat="1">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CR940" s="416"/>
      <c r="CS940" s="416"/>
      <c r="CT940" s="416"/>
      <c r="CU940" s="416"/>
      <c r="CV940" s="416"/>
      <c r="CW940" s="416"/>
      <c r="CX940" s="416"/>
      <c r="CY940" s="416"/>
      <c r="CZ940" s="416"/>
      <c r="DF940" s="416"/>
      <c r="DG940" s="416"/>
      <c r="DH940" s="416"/>
      <c r="DI940" s="416"/>
      <c r="DJ940" s="416"/>
      <c r="DK940" s="416"/>
    </row>
    <row r="941" spans="18:115" s="9" customFormat="1">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CR941" s="416"/>
      <c r="CS941" s="416"/>
      <c r="CT941" s="416"/>
      <c r="CU941" s="416"/>
      <c r="CV941" s="416"/>
      <c r="CW941" s="416"/>
      <c r="CX941" s="416"/>
      <c r="CY941" s="416"/>
      <c r="CZ941" s="416"/>
      <c r="DF941" s="416"/>
      <c r="DG941" s="416"/>
      <c r="DH941" s="416"/>
      <c r="DI941" s="416"/>
      <c r="DJ941" s="416"/>
      <c r="DK941" s="416"/>
    </row>
    <row r="942" spans="18:115" s="9" customFormat="1">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CR942" s="416"/>
      <c r="CS942" s="416"/>
      <c r="CT942" s="416"/>
      <c r="CU942" s="416"/>
      <c r="CV942" s="416"/>
      <c r="CW942" s="416"/>
      <c r="CX942" s="416"/>
      <c r="CY942" s="416"/>
      <c r="CZ942" s="416"/>
      <c r="DF942" s="416"/>
      <c r="DG942" s="416"/>
      <c r="DH942" s="416"/>
      <c r="DI942" s="416"/>
      <c r="DJ942" s="416"/>
      <c r="DK942" s="416"/>
    </row>
    <row r="943" spans="18:115" s="9" customFormat="1">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CR943" s="416"/>
      <c r="CS943" s="416"/>
      <c r="CT943" s="416"/>
      <c r="CU943" s="416"/>
      <c r="CV943" s="416"/>
      <c r="CW943" s="416"/>
      <c r="CX943" s="416"/>
      <c r="CY943" s="416"/>
      <c r="CZ943" s="416"/>
      <c r="DF943" s="416"/>
      <c r="DG943" s="416"/>
      <c r="DH943" s="416"/>
      <c r="DI943" s="416"/>
      <c r="DJ943" s="416"/>
      <c r="DK943" s="416"/>
    </row>
    <row r="944" spans="18:115" s="9" customFormat="1">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CR944" s="416"/>
      <c r="CS944" s="416"/>
      <c r="CT944" s="416"/>
      <c r="CU944" s="416"/>
      <c r="CV944" s="416"/>
      <c r="CW944" s="416"/>
      <c r="CX944" s="416"/>
      <c r="CY944" s="416"/>
      <c r="CZ944" s="416"/>
      <c r="DF944" s="416"/>
      <c r="DG944" s="416"/>
      <c r="DH944" s="416"/>
      <c r="DI944" s="416"/>
      <c r="DJ944" s="416"/>
      <c r="DK944" s="416"/>
    </row>
    <row r="945" spans="18:115" s="9" customFormat="1">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CR945" s="416"/>
      <c r="CS945" s="416"/>
      <c r="CT945" s="416"/>
      <c r="CU945" s="416"/>
      <c r="CV945" s="416"/>
      <c r="CW945" s="416"/>
      <c r="CX945" s="416"/>
      <c r="CY945" s="416"/>
      <c r="CZ945" s="416"/>
      <c r="DF945" s="416"/>
      <c r="DG945" s="416"/>
      <c r="DH945" s="416"/>
      <c r="DI945" s="416"/>
      <c r="DJ945" s="416"/>
      <c r="DK945" s="416"/>
    </row>
    <row r="946" spans="18:115" s="9" customFormat="1">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c r="CR946" s="416"/>
      <c r="CS946" s="416"/>
      <c r="CT946" s="416"/>
      <c r="CU946" s="416"/>
      <c r="CV946" s="416"/>
      <c r="CW946" s="416"/>
      <c r="CX946" s="416"/>
      <c r="CY946" s="416"/>
      <c r="CZ946" s="416"/>
      <c r="DF946" s="416"/>
      <c r="DG946" s="416"/>
      <c r="DH946" s="416"/>
      <c r="DI946" s="416"/>
      <c r="DJ946" s="416"/>
      <c r="DK946" s="416"/>
    </row>
    <row r="947" spans="18:115" s="9" customFormat="1">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CR947" s="416"/>
      <c r="CS947" s="416"/>
      <c r="CT947" s="416"/>
      <c r="CU947" s="416"/>
      <c r="CV947" s="416"/>
      <c r="CW947" s="416"/>
      <c r="CX947" s="416"/>
      <c r="CY947" s="416"/>
      <c r="CZ947" s="416"/>
      <c r="DF947" s="416"/>
      <c r="DG947" s="416"/>
      <c r="DH947" s="416"/>
      <c r="DI947" s="416"/>
      <c r="DJ947" s="416"/>
      <c r="DK947" s="416"/>
    </row>
    <row r="948" spans="18:115" s="9" customFormat="1">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CR948" s="416"/>
      <c r="CS948" s="416"/>
      <c r="CT948" s="416"/>
      <c r="CU948" s="416"/>
      <c r="CV948" s="416"/>
      <c r="CW948" s="416"/>
      <c r="CX948" s="416"/>
      <c r="CY948" s="416"/>
      <c r="CZ948" s="416"/>
      <c r="DF948" s="416"/>
      <c r="DG948" s="416"/>
      <c r="DH948" s="416"/>
      <c r="DI948" s="416"/>
      <c r="DJ948" s="416"/>
      <c r="DK948" s="416"/>
    </row>
    <row r="949" spans="18:115" s="9" customFormat="1">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CR949" s="416"/>
      <c r="CS949" s="416"/>
      <c r="CT949" s="416"/>
      <c r="CU949" s="416"/>
      <c r="CV949" s="416"/>
      <c r="CW949" s="416"/>
      <c r="CX949" s="416"/>
      <c r="CY949" s="416"/>
      <c r="CZ949" s="416"/>
      <c r="DF949" s="416"/>
      <c r="DG949" s="416"/>
      <c r="DH949" s="416"/>
      <c r="DI949" s="416"/>
      <c r="DJ949" s="416"/>
      <c r="DK949" s="416"/>
    </row>
    <row r="950" spans="18:115" s="9" customFormat="1">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CR950" s="416"/>
      <c r="CS950" s="416"/>
      <c r="CT950" s="416"/>
      <c r="CU950" s="416"/>
      <c r="CV950" s="416"/>
      <c r="CW950" s="416"/>
      <c r="CX950" s="416"/>
      <c r="CY950" s="416"/>
      <c r="CZ950" s="416"/>
      <c r="DF950" s="416"/>
      <c r="DG950" s="416"/>
      <c r="DH950" s="416"/>
      <c r="DI950" s="416"/>
      <c r="DJ950" s="416"/>
      <c r="DK950" s="416"/>
    </row>
    <row r="951" spans="18:115" s="9" customFormat="1">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CR951" s="416"/>
      <c r="CS951" s="416"/>
      <c r="CT951" s="416"/>
      <c r="CU951" s="416"/>
      <c r="CV951" s="416"/>
      <c r="CW951" s="416"/>
      <c r="CX951" s="416"/>
      <c r="CY951" s="416"/>
      <c r="CZ951" s="416"/>
      <c r="DF951" s="416"/>
      <c r="DG951" s="416"/>
      <c r="DH951" s="416"/>
      <c r="DI951" s="416"/>
      <c r="DJ951" s="416"/>
      <c r="DK951" s="416"/>
    </row>
    <row r="952" spans="18:115" s="9" customFormat="1">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CR952" s="416"/>
      <c r="CS952" s="416"/>
      <c r="CT952" s="416"/>
      <c r="CU952" s="416"/>
      <c r="CV952" s="416"/>
      <c r="CW952" s="416"/>
      <c r="CX952" s="416"/>
      <c r="CY952" s="416"/>
      <c r="CZ952" s="416"/>
      <c r="DF952" s="416"/>
      <c r="DG952" s="416"/>
      <c r="DH952" s="416"/>
      <c r="DI952" s="416"/>
      <c r="DJ952" s="416"/>
      <c r="DK952" s="416"/>
    </row>
    <row r="953" spans="18:115" s="9" customFormat="1">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CR953" s="416"/>
      <c r="CS953" s="416"/>
      <c r="CT953" s="416"/>
      <c r="CU953" s="416"/>
      <c r="CV953" s="416"/>
      <c r="CW953" s="416"/>
      <c r="CX953" s="416"/>
      <c r="CY953" s="416"/>
      <c r="CZ953" s="416"/>
      <c r="DF953" s="416"/>
      <c r="DG953" s="416"/>
      <c r="DH953" s="416"/>
      <c r="DI953" s="416"/>
      <c r="DJ953" s="416"/>
      <c r="DK953" s="416"/>
    </row>
    <row r="954" spans="18:115" s="9" customFormat="1">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CR954" s="416"/>
      <c r="CS954" s="416"/>
      <c r="CT954" s="416"/>
      <c r="CU954" s="416"/>
      <c r="CV954" s="416"/>
      <c r="CW954" s="416"/>
      <c r="CX954" s="416"/>
      <c r="CY954" s="416"/>
      <c r="CZ954" s="416"/>
      <c r="DF954" s="416"/>
      <c r="DG954" s="416"/>
      <c r="DH954" s="416"/>
      <c r="DI954" s="416"/>
      <c r="DJ954" s="416"/>
      <c r="DK954" s="416"/>
    </row>
    <row r="955" spans="18:115" s="9" customFormat="1">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CR955" s="416"/>
      <c r="CS955" s="416"/>
      <c r="CT955" s="416"/>
      <c r="CU955" s="416"/>
      <c r="CV955" s="416"/>
      <c r="CW955" s="416"/>
      <c r="CX955" s="416"/>
      <c r="CY955" s="416"/>
      <c r="CZ955" s="416"/>
      <c r="DF955" s="416"/>
      <c r="DG955" s="416"/>
      <c r="DH955" s="416"/>
      <c r="DI955" s="416"/>
      <c r="DJ955" s="416"/>
      <c r="DK955" s="416"/>
    </row>
    <row r="956" spans="18:115" s="9" customFormat="1">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CR956" s="416"/>
      <c r="CS956" s="416"/>
      <c r="CT956" s="416"/>
      <c r="CU956" s="416"/>
      <c r="CV956" s="416"/>
      <c r="CW956" s="416"/>
      <c r="CX956" s="416"/>
      <c r="CY956" s="416"/>
      <c r="CZ956" s="416"/>
      <c r="DF956" s="416"/>
      <c r="DG956" s="416"/>
      <c r="DH956" s="416"/>
      <c r="DI956" s="416"/>
      <c r="DJ956" s="416"/>
      <c r="DK956" s="416"/>
    </row>
    <row r="957" spans="18:115" s="9" customFormat="1">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CR957" s="416"/>
      <c r="CS957" s="416"/>
      <c r="CT957" s="416"/>
      <c r="CU957" s="416"/>
      <c r="CV957" s="416"/>
      <c r="CW957" s="416"/>
      <c r="CX957" s="416"/>
      <c r="CY957" s="416"/>
      <c r="CZ957" s="416"/>
      <c r="DF957" s="416"/>
      <c r="DG957" s="416"/>
      <c r="DH957" s="416"/>
      <c r="DI957" s="416"/>
      <c r="DJ957" s="416"/>
      <c r="DK957" s="416"/>
    </row>
    <row r="958" spans="18:115" s="9" customFormat="1">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CR958" s="416"/>
      <c r="CS958" s="416"/>
      <c r="CT958" s="416"/>
      <c r="CU958" s="416"/>
      <c r="CV958" s="416"/>
      <c r="CW958" s="416"/>
      <c r="CX958" s="416"/>
      <c r="CY958" s="416"/>
      <c r="CZ958" s="416"/>
      <c r="DF958" s="416"/>
      <c r="DG958" s="416"/>
      <c r="DH958" s="416"/>
      <c r="DI958" s="416"/>
      <c r="DJ958" s="416"/>
      <c r="DK958" s="416"/>
    </row>
    <row r="959" spans="18:115" s="9" customFormat="1">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CR959" s="416"/>
      <c r="CS959" s="416"/>
      <c r="CT959" s="416"/>
      <c r="CU959" s="416"/>
      <c r="CV959" s="416"/>
      <c r="CW959" s="416"/>
      <c r="CX959" s="416"/>
      <c r="CY959" s="416"/>
      <c r="CZ959" s="416"/>
      <c r="DF959" s="416"/>
      <c r="DG959" s="416"/>
      <c r="DH959" s="416"/>
      <c r="DI959" s="416"/>
      <c r="DJ959" s="416"/>
      <c r="DK959" s="416"/>
    </row>
    <row r="960" spans="18:115" s="9" customFormat="1">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CR960" s="416"/>
      <c r="CS960" s="416"/>
      <c r="CT960" s="416"/>
      <c r="CU960" s="416"/>
      <c r="CV960" s="416"/>
      <c r="CW960" s="416"/>
      <c r="CX960" s="416"/>
      <c r="CY960" s="416"/>
      <c r="CZ960" s="416"/>
      <c r="DF960" s="416"/>
      <c r="DG960" s="416"/>
      <c r="DH960" s="416"/>
      <c r="DI960" s="416"/>
      <c r="DJ960" s="416"/>
      <c r="DK960" s="416"/>
    </row>
    <row r="961" spans="18:115" s="9" customFormat="1">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CR961" s="416"/>
      <c r="CS961" s="416"/>
      <c r="CT961" s="416"/>
      <c r="CU961" s="416"/>
      <c r="CV961" s="416"/>
      <c r="CW961" s="416"/>
      <c r="CX961" s="416"/>
      <c r="CY961" s="416"/>
      <c r="CZ961" s="416"/>
      <c r="DF961" s="416"/>
      <c r="DG961" s="416"/>
      <c r="DH961" s="416"/>
      <c r="DI961" s="416"/>
      <c r="DJ961" s="416"/>
      <c r="DK961" s="416"/>
    </row>
    <row r="962" spans="18:115" s="9" customFormat="1">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CR962" s="416"/>
      <c r="CS962" s="416"/>
      <c r="CT962" s="416"/>
      <c r="CU962" s="416"/>
      <c r="CV962" s="416"/>
      <c r="CW962" s="416"/>
      <c r="CX962" s="416"/>
      <c r="CY962" s="416"/>
      <c r="CZ962" s="416"/>
      <c r="DF962" s="416"/>
      <c r="DG962" s="416"/>
      <c r="DH962" s="416"/>
      <c r="DI962" s="416"/>
      <c r="DJ962" s="416"/>
      <c r="DK962" s="416"/>
    </row>
    <row r="963" spans="18:115" s="9" customFormat="1">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CR963" s="416"/>
      <c r="CS963" s="416"/>
      <c r="CT963" s="416"/>
      <c r="CU963" s="416"/>
      <c r="CV963" s="416"/>
      <c r="CW963" s="416"/>
      <c r="CX963" s="416"/>
      <c r="CY963" s="416"/>
      <c r="CZ963" s="416"/>
      <c r="DF963" s="416"/>
      <c r="DG963" s="416"/>
      <c r="DH963" s="416"/>
      <c r="DI963" s="416"/>
      <c r="DJ963" s="416"/>
      <c r="DK963" s="416"/>
    </row>
    <row r="964" spans="18:115" s="9" customFormat="1">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CR964" s="416"/>
      <c r="CS964" s="416"/>
      <c r="CT964" s="416"/>
      <c r="CU964" s="416"/>
      <c r="CV964" s="416"/>
      <c r="CW964" s="416"/>
      <c r="CX964" s="416"/>
      <c r="CY964" s="416"/>
      <c r="CZ964" s="416"/>
      <c r="DF964" s="416"/>
      <c r="DG964" s="416"/>
      <c r="DH964" s="416"/>
      <c r="DI964" s="416"/>
      <c r="DJ964" s="416"/>
      <c r="DK964" s="416"/>
    </row>
    <row r="965" spans="18:115" s="9" customFormat="1">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CR965" s="416"/>
      <c r="CS965" s="416"/>
      <c r="CT965" s="416"/>
      <c r="CU965" s="416"/>
      <c r="CV965" s="416"/>
      <c r="CW965" s="416"/>
      <c r="CX965" s="416"/>
      <c r="CY965" s="416"/>
      <c r="CZ965" s="416"/>
      <c r="DF965" s="416"/>
      <c r="DG965" s="416"/>
      <c r="DH965" s="416"/>
      <c r="DI965" s="416"/>
      <c r="DJ965" s="416"/>
      <c r="DK965" s="416"/>
    </row>
    <row r="966" spans="18:115" s="9" customFormat="1">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CR966" s="416"/>
      <c r="CS966" s="416"/>
      <c r="CT966" s="416"/>
      <c r="CU966" s="416"/>
      <c r="CV966" s="416"/>
      <c r="CW966" s="416"/>
      <c r="CX966" s="416"/>
      <c r="CY966" s="416"/>
      <c r="CZ966" s="416"/>
      <c r="DF966" s="416"/>
      <c r="DG966" s="416"/>
      <c r="DH966" s="416"/>
      <c r="DI966" s="416"/>
      <c r="DJ966" s="416"/>
      <c r="DK966" s="416"/>
    </row>
    <row r="967" spans="18:115" s="9" customFormat="1">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CR967" s="416"/>
      <c r="CS967" s="416"/>
      <c r="CT967" s="416"/>
      <c r="CU967" s="416"/>
      <c r="CV967" s="416"/>
      <c r="CW967" s="416"/>
      <c r="CX967" s="416"/>
      <c r="CY967" s="416"/>
      <c r="CZ967" s="416"/>
      <c r="DF967" s="416"/>
      <c r="DG967" s="416"/>
      <c r="DH967" s="416"/>
      <c r="DI967" s="416"/>
      <c r="DJ967" s="416"/>
      <c r="DK967" s="416"/>
    </row>
    <row r="968" spans="18:115" s="9" customFormat="1">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CR968" s="416"/>
      <c r="CS968" s="416"/>
      <c r="CT968" s="416"/>
      <c r="CU968" s="416"/>
      <c r="CV968" s="416"/>
      <c r="CW968" s="416"/>
      <c r="CX968" s="416"/>
      <c r="CY968" s="416"/>
      <c r="CZ968" s="416"/>
      <c r="DF968" s="416"/>
      <c r="DG968" s="416"/>
      <c r="DH968" s="416"/>
      <c r="DI968" s="416"/>
      <c r="DJ968" s="416"/>
      <c r="DK968" s="416"/>
    </row>
    <row r="969" spans="18:115" s="9" customFormat="1">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CR969" s="416"/>
      <c r="CS969" s="416"/>
      <c r="CT969" s="416"/>
      <c r="CU969" s="416"/>
      <c r="CV969" s="416"/>
      <c r="CW969" s="416"/>
      <c r="CX969" s="416"/>
      <c r="CY969" s="416"/>
      <c r="CZ969" s="416"/>
      <c r="DF969" s="416"/>
      <c r="DG969" s="416"/>
      <c r="DH969" s="416"/>
      <c r="DI969" s="416"/>
      <c r="DJ969" s="416"/>
      <c r="DK969" s="416"/>
    </row>
    <row r="970" spans="18:115" s="9" customFormat="1">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CR970" s="416"/>
      <c r="CS970" s="416"/>
      <c r="CT970" s="416"/>
      <c r="CU970" s="416"/>
      <c r="CV970" s="416"/>
      <c r="CW970" s="416"/>
      <c r="CX970" s="416"/>
      <c r="CY970" s="416"/>
      <c r="CZ970" s="416"/>
      <c r="DF970" s="416"/>
      <c r="DG970" s="416"/>
      <c r="DH970" s="416"/>
      <c r="DI970" s="416"/>
      <c r="DJ970" s="416"/>
      <c r="DK970" s="416"/>
    </row>
    <row r="971" spans="18:115" s="9" customFormat="1">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CR971" s="416"/>
      <c r="CS971" s="416"/>
      <c r="CT971" s="416"/>
      <c r="CU971" s="416"/>
      <c r="CV971" s="416"/>
      <c r="CW971" s="416"/>
      <c r="CX971" s="416"/>
      <c r="CY971" s="416"/>
      <c r="CZ971" s="416"/>
      <c r="DF971" s="416"/>
      <c r="DG971" s="416"/>
      <c r="DH971" s="416"/>
      <c r="DI971" s="416"/>
      <c r="DJ971" s="416"/>
      <c r="DK971" s="416"/>
    </row>
    <row r="972" spans="18:115" s="9" customFormat="1">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CR972" s="416"/>
      <c r="CS972" s="416"/>
      <c r="CT972" s="416"/>
      <c r="CU972" s="416"/>
      <c r="CV972" s="416"/>
      <c r="CW972" s="416"/>
      <c r="CX972" s="416"/>
      <c r="CY972" s="416"/>
      <c r="CZ972" s="416"/>
      <c r="DF972" s="416"/>
      <c r="DG972" s="416"/>
      <c r="DH972" s="416"/>
      <c r="DI972" s="416"/>
      <c r="DJ972" s="416"/>
      <c r="DK972" s="416"/>
    </row>
    <row r="973" spans="18:115" s="9" customFormat="1">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CR973" s="416"/>
      <c r="CS973" s="416"/>
      <c r="CT973" s="416"/>
      <c r="CU973" s="416"/>
      <c r="CV973" s="416"/>
      <c r="CW973" s="416"/>
      <c r="CX973" s="416"/>
      <c r="CY973" s="416"/>
      <c r="CZ973" s="416"/>
      <c r="DF973" s="416"/>
      <c r="DG973" s="416"/>
      <c r="DH973" s="416"/>
      <c r="DI973" s="416"/>
      <c r="DJ973" s="416"/>
      <c r="DK973" s="416"/>
    </row>
    <row r="974" spans="18:115" s="9" customFormat="1">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CR974" s="416"/>
      <c r="CS974" s="416"/>
      <c r="CT974" s="416"/>
      <c r="CU974" s="416"/>
      <c r="CV974" s="416"/>
      <c r="CW974" s="416"/>
      <c r="CX974" s="416"/>
      <c r="CY974" s="416"/>
      <c r="CZ974" s="416"/>
      <c r="DF974" s="416"/>
      <c r="DG974" s="416"/>
      <c r="DH974" s="416"/>
      <c r="DI974" s="416"/>
      <c r="DJ974" s="416"/>
      <c r="DK974" s="416"/>
    </row>
    <row r="975" spans="18:115" s="9" customFormat="1">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CR975" s="416"/>
      <c r="CS975" s="416"/>
      <c r="CT975" s="416"/>
      <c r="CU975" s="416"/>
      <c r="CV975" s="416"/>
      <c r="CW975" s="416"/>
      <c r="CX975" s="416"/>
      <c r="CY975" s="416"/>
      <c r="CZ975" s="416"/>
      <c r="DF975" s="416"/>
      <c r="DG975" s="416"/>
      <c r="DH975" s="416"/>
      <c r="DI975" s="416"/>
      <c r="DJ975" s="416"/>
      <c r="DK975" s="416"/>
    </row>
    <row r="976" spans="18:115" s="9" customFormat="1">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CR976" s="416"/>
      <c r="CS976" s="416"/>
      <c r="CT976" s="416"/>
      <c r="CU976" s="416"/>
      <c r="CV976" s="416"/>
      <c r="CW976" s="416"/>
      <c r="CX976" s="416"/>
      <c r="CY976" s="416"/>
      <c r="CZ976" s="416"/>
      <c r="DF976" s="416"/>
      <c r="DG976" s="416"/>
      <c r="DH976" s="416"/>
      <c r="DI976" s="416"/>
      <c r="DJ976" s="416"/>
      <c r="DK976" s="416"/>
    </row>
    <row r="977" spans="18:115" s="9" customFormat="1">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CR977" s="416"/>
      <c r="CS977" s="416"/>
      <c r="CT977" s="416"/>
      <c r="CU977" s="416"/>
      <c r="CV977" s="416"/>
      <c r="CW977" s="416"/>
      <c r="CX977" s="416"/>
      <c r="CY977" s="416"/>
      <c r="CZ977" s="416"/>
      <c r="DF977" s="416"/>
      <c r="DG977" s="416"/>
      <c r="DH977" s="416"/>
      <c r="DI977" s="416"/>
      <c r="DJ977" s="416"/>
      <c r="DK977" s="416"/>
    </row>
    <row r="978" spans="18:115" s="9" customFormat="1">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CR978" s="416"/>
      <c r="CS978" s="416"/>
      <c r="CT978" s="416"/>
      <c r="CU978" s="416"/>
      <c r="CV978" s="416"/>
      <c r="CW978" s="416"/>
      <c r="CX978" s="416"/>
      <c r="CY978" s="416"/>
      <c r="CZ978" s="416"/>
      <c r="DF978" s="416"/>
      <c r="DG978" s="416"/>
      <c r="DH978" s="416"/>
      <c r="DI978" s="416"/>
      <c r="DJ978" s="416"/>
      <c r="DK978" s="416"/>
    </row>
    <row r="979" spans="18:115" s="9" customFormat="1">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CR979" s="416"/>
      <c r="CS979" s="416"/>
      <c r="CT979" s="416"/>
      <c r="CU979" s="416"/>
      <c r="CV979" s="416"/>
      <c r="CW979" s="416"/>
      <c r="CX979" s="416"/>
      <c r="CY979" s="416"/>
      <c r="CZ979" s="416"/>
      <c r="DF979" s="416"/>
      <c r="DG979" s="416"/>
      <c r="DH979" s="416"/>
      <c r="DI979" s="416"/>
      <c r="DJ979" s="416"/>
      <c r="DK979" s="416"/>
    </row>
    <row r="980" spans="18:115" s="9" customFormat="1">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CR980" s="416"/>
      <c r="CS980" s="416"/>
      <c r="CT980" s="416"/>
      <c r="CU980" s="416"/>
      <c r="CV980" s="416"/>
      <c r="CW980" s="416"/>
      <c r="CX980" s="416"/>
      <c r="CY980" s="416"/>
      <c r="CZ980" s="416"/>
      <c r="DF980" s="416"/>
      <c r="DG980" s="416"/>
      <c r="DH980" s="416"/>
      <c r="DI980" s="416"/>
      <c r="DJ980" s="416"/>
      <c r="DK980" s="416"/>
    </row>
    <row r="981" spans="18:115" s="9" customFormat="1">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CR981" s="416"/>
      <c r="CS981" s="416"/>
      <c r="CT981" s="416"/>
      <c r="CU981" s="416"/>
      <c r="CV981" s="416"/>
      <c r="CW981" s="416"/>
      <c r="CX981" s="416"/>
      <c r="CY981" s="416"/>
      <c r="CZ981" s="416"/>
      <c r="DF981" s="416"/>
      <c r="DG981" s="416"/>
      <c r="DH981" s="416"/>
      <c r="DI981" s="416"/>
      <c r="DJ981" s="416"/>
      <c r="DK981" s="416"/>
    </row>
    <row r="982" spans="18:115" s="9" customFormat="1">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CR982" s="416"/>
      <c r="CS982" s="416"/>
      <c r="CT982" s="416"/>
      <c r="CU982" s="416"/>
      <c r="CV982" s="416"/>
      <c r="CW982" s="416"/>
      <c r="CX982" s="416"/>
      <c r="CY982" s="416"/>
      <c r="CZ982" s="416"/>
      <c r="DF982" s="416"/>
      <c r="DG982" s="416"/>
      <c r="DH982" s="416"/>
      <c r="DI982" s="416"/>
      <c r="DJ982" s="416"/>
      <c r="DK982" s="416"/>
    </row>
    <row r="983" spans="18:115" s="9" customFormat="1">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CR983" s="416"/>
      <c r="CS983" s="416"/>
      <c r="CT983" s="416"/>
      <c r="CU983" s="416"/>
      <c r="CV983" s="416"/>
      <c r="CW983" s="416"/>
      <c r="CX983" s="416"/>
      <c r="CY983" s="416"/>
      <c r="CZ983" s="416"/>
      <c r="DF983" s="416"/>
      <c r="DG983" s="416"/>
      <c r="DH983" s="416"/>
      <c r="DI983" s="416"/>
      <c r="DJ983" s="416"/>
      <c r="DK983" s="416"/>
    </row>
    <row r="984" spans="18:115" s="9" customFormat="1">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CR984" s="416"/>
      <c r="CS984" s="416"/>
      <c r="CT984" s="416"/>
      <c r="CU984" s="416"/>
      <c r="CV984" s="416"/>
      <c r="CW984" s="416"/>
      <c r="CX984" s="416"/>
      <c r="CY984" s="416"/>
      <c r="CZ984" s="416"/>
      <c r="DF984" s="416"/>
      <c r="DG984" s="416"/>
      <c r="DH984" s="416"/>
      <c r="DI984" s="416"/>
      <c r="DJ984" s="416"/>
      <c r="DK984" s="416"/>
    </row>
    <row r="985" spans="18:115" s="9" customFormat="1">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CR985" s="416"/>
      <c r="CS985" s="416"/>
      <c r="CT985" s="416"/>
      <c r="CU985" s="416"/>
      <c r="CV985" s="416"/>
      <c r="CW985" s="416"/>
      <c r="CX985" s="416"/>
      <c r="CY985" s="416"/>
      <c r="CZ985" s="416"/>
      <c r="DF985" s="416"/>
      <c r="DG985" s="416"/>
      <c r="DH985" s="416"/>
      <c r="DI985" s="416"/>
      <c r="DJ985" s="416"/>
      <c r="DK985" s="416"/>
    </row>
    <row r="986" spans="18:115" s="9" customFormat="1">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CR986" s="416"/>
      <c r="CS986" s="416"/>
      <c r="CT986" s="416"/>
      <c r="CU986" s="416"/>
      <c r="CV986" s="416"/>
      <c r="CW986" s="416"/>
      <c r="CX986" s="416"/>
      <c r="CY986" s="416"/>
      <c r="CZ986" s="416"/>
      <c r="DF986" s="416"/>
      <c r="DG986" s="416"/>
      <c r="DH986" s="416"/>
      <c r="DI986" s="416"/>
      <c r="DJ986" s="416"/>
      <c r="DK986" s="416"/>
    </row>
    <row r="987" spans="18:115" s="9" customFormat="1">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CR987" s="416"/>
      <c r="CS987" s="416"/>
      <c r="CT987" s="416"/>
      <c r="CU987" s="416"/>
      <c r="CV987" s="416"/>
      <c r="CW987" s="416"/>
      <c r="CX987" s="416"/>
      <c r="CY987" s="416"/>
      <c r="CZ987" s="416"/>
      <c r="DF987" s="416"/>
      <c r="DG987" s="416"/>
      <c r="DH987" s="416"/>
      <c r="DI987" s="416"/>
      <c r="DJ987" s="416"/>
      <c r="DK987" s="416"/>
    </row>
    <row r="988" spans="18:115" s="9" customFormat="1">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CR988" s="416"/>
      <c r="CS988" s="416"/>
      <c r="CT988" s="416"/>
      <c r="CU988" s="416"/>
      <c r="CV988" s="416"/>
      <c r="CW988" s="416"/>
      <c r="CX988" s="416"/>
      <c r="CY988" s="416"/>
      <c r="CZ988" s="416"/>
      <c r="DF988" s="416"/>
      <c r="DG988" s="416"/>
      <c r="DH988" s="416"/>
      <c r="DI988" s="416"/>
      <c r="DJ988" s="416"/>
      <c r="DK988" s="416"/>
    </row>
    <row r="989" spans="18:115" s="9" customFormat="1">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CR989" s="416"/>
      <c r="CS989" s="416"/>
      <c r="CT989" s="416"/>
      <c r="CU989" s="416"/>
      <c r="CV989" s="416"/>
      <c r="CW989" s="416"/>
      <c r="CX989" s="416"/>
      <c r="CY989" s="416"/>
      <c r="CZ989" s="416"/>
      <c r="DF989" s="416"/>
      <c r="DG989" s="416"/>
      <c r="DH989" s="416"/>
      <c r="DI989" s="416"/>
      <c r="DJ989" s="416"/>
      <c r="DK989" s="416"/>
    </row>
    <row r="990" spans="18:115" s="9" customFormat="1">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CR990" s="416"/>
      <c r="CS990" s="416"/>
      <c r="CT990" s="416"/>
      <c r="CU990" s="416"/>
      <c r="CV990" s="416"/>
      <c r="CW990" s="416"/>
      <c r="CX990" s="416"/>
      <c r="CY990" s="416"/>
      <c r="CZ990" s="416"/>
      <c r="DF990" s="416"/>
      <c r="DG990" s="416"/>
      <c r="DH990" s="416"/>
      <c r="DI990" s="416"/>
      <c r="DJ990" s="416"/>
      <c r="DK990" s="416"/>
    </row>
    <row r="991" spans="18:115" s="9" customFormat="1">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CR991" s="416"/>
      <c r="CS991" s="416"/>
      <c r="CT991" s="416"/>
      <c r="CU991" s="416"/>
      <c r="CV991" s="416"/>
      <c r="CW991" s="416"/>
      <c r="CX991" s="416"/>
      <c r="CY991" s="416"/>
      <c r="CZ991" s="416"/>
      <c r="DF991" s="416"/>
      <c r="DG991" s="416"/>
      <c r="DH991" s="416"/>
      <c r="DI991" s="416"/>
      <c r="DJ991" s="416"/>
      <c r="DK991" s="416"/>
    </row>
    <row r="992" spans="18:115" s="9" customFormat="1">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CR992" s="416"/>
      <c r="CS992" s="416"/>
      <c r="CT992" s="416"/>
      <c r="CU992" s="416"/>
      <c r="CV992" s="416"/>
      <c r="CW992" s="416"/>
      <c r="CX992" s="416"/>
      <c r="CY992" s="416"/>
      <c r="CZ992" s="416"/>
      <c r="DF992" s="416"/>
      <c r="DG992" s="416"/>
      <c r="DH992" s="416"/>
      <c r="DI992" s="416"/>
      <c r="DJ992" s="416"/>
      <c r="DK992" s="416"/>
    </row>
    <row r="993" spans="18:115" s="9" customFormat="1">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CR993" s="416"/>
      <c r="CS993" s="416"/>
      <c r="CT993" s="416"/>
      <c r="CU993" s="416"/>
      <c r="CV993" s="416"/>
      <c r="CW993" s="416"/>
      <c r="CX993" s="416"/>
      <c r="CY993" s="416"/>
      <c r="CZ993" s="416"/>
      <c r="DF993" s="416"/>
      <c r="DG993" s="416"/>
      <c r="DH993" s="416"/>
      <c r="DI993" s="416"/>
      <c r="DJ993" s="416"/>
      <c r="DK993" s="416"/>
    </row>
    <row r="994" spans="18:115" s="9" customFormat="1">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CR994" s="416"/>
      <c r="CS994" s="416"/>
      <c r="CT994" s="416"/>
      <c r="CU994" s="416"/>
      <c r="CV994" s="416"/>
      <c r="CW994" s="416"/>
      <c r="CX994" s="416"/>
      <c r="CY994" s="416"/>
      <c r="CZ994" s="416"/>
      <c r="DF994" s="416"/>
      <c r="DG994" s="416"/>
      <c r="DH994" s="416"/>
      <c r="DI994" s="416"/>
      <c r="DJ994" s="416"/>
      <c r="DK994" s="416"/>
    </row>
    <row r="995" spans="18:115" s="9" customFormat="1">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CR995" s="416"/>
      <c r="CS995" s="416"/>
      <c r="CT995" s="416"/>
      <c r="CU995" s="416"/>
      <c r="CV995" s="416"/>
      <c r="CW995" s="416"/>
      <c r="CX995" s="416"/>
      <c r="CY995" s="416"/>
      <c r="CZ995" s="416"/>
      <c r="DF995" s="416"/>
      <c r="DG995" s="416"/>
      <c r="DH995" s="416"/>
      <c r="DI995" s="416"/>
      <c r="DJ995" s="416"/>
      <c r="DK995" s="416"/>
    </row>
    <row r="996" spans="18:115" s="9" customFormat="1">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CR996" s="416"/>
      <c r="CS996" s="416"/>
      <c r="CT996" s="416"/>
      <c r="CU996" s="416"/>
      <c r="CV996" s="416"/>
      <c r="CW996" s="416"/>
      <c r="CX996" s="416"/>
      <c r="CY996" s="416"/>
      <c r="CZ996" s="416"/>
      <c r="DF996" s="416"/>
      <c r="DG996" s="416"/>
      <c r="DH996" s="416"/>
      <c r="DI996" s="416"/>
      <c r="DJ996" s="416"/>
      <c r="DK996" s="416"/>
    </row>
    <row r="997" spans="18:115" s="9" customFormat="1">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CR997" s="416"/>
      <c r="CS997" s="416"/>
      <c r="CT997" s="416"/>
      <c r="CU997" s="416"/>
      <c r="CV997" s="416"/>
      <c r="CW997" s="416"/>
      <c r="CX997" s="416"/>
      <c r="CY997" s="416"/>
      <c r="CZ997" s="416"/>
      <c r="DF997" s="416"/>
      <c r="DG997" s="416"/>
      <c r="DH997" s="416"/>
      <c r="DI997" s="416"/>
      <c r="DJ997" s="416"/>
      <c r="DK997" s="416"/>
    </row>
    <row r="998" spans="18:115" s="9" customFormat="1">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CR998" s="416"/>
      <c r="CS998" s="416"/>
      <c r="CT998" s="416"/>
      <c r="CU998" s="416"/>
      <c r="CV998" s="416"/>
      <c r="CW998" s="416"/>
      <c r="CX998" s="416"/>
      <c r="CY998" s="416"/>
      <c r="CZ998" s="416"/>
      <c r="DF998" s="416"/>
      <c r="DG998" s="416"/>
      <c r="DH998" s="416"/>
      <c r="DI998" s="416"/>
      <c r="DJ998" s="416"/>
      <c r="DK998" s="416"/>
    </row>
    <row r="999" spans="18:115" s="9" customFormat="1">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CR999" s="416"/>
      <c r="CS999" s="416"/>
      <c r="CT999" s="416"/>
      <c r="CU999" s="416"/>
      <c r="CV999" s="416"/>
      <c r="CW999" s="416"/>
      <c r="CX999" s="416"/>
      <c r="CY999" s="416"/>
      <c r="CZ999" s="416"/>
      <c r="DF999" s="416"/>
      <c r="DG999" s="416"/>
      <c r="DH999" s="416"/>
      <c r="DI999" s="416"/>
      <c r="DJ999" s="416"/>
      <c r="DK999" s="416"/>
    </row>
    <row r="1000" spans="18:115" s="9" customFormat="1">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CR1000" s="416"/>
      <c r="CS1000" s="416"/>
      <c r="CT1000" s="416"/>
      <c r="CU1000" s="416"/>
      <c r="CV1000" s="416"/>
      <c r="CW1000" s="416"/>
      <c r="CX1000" s="416"/>
      <c r="CY1000" s="416"/>
      <c r="CZ1000" s="416"/>
      <c r="DF1000" s="416"/>
      <c r="DG1000" s="416"/>
      <c r="DH1000" s="416"/>
      <c r="DI1000" s="416"/>
      <c r="DJ1000" s="416"/>
      <c r="DK1000" s="416"/>
    </row>
    <row r="1001" spans="18:115" s="9" customFormat="1">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CR1001" s="416"/>
      <c r="CS1001" s="416"/>
      <c r="CT1001" s="416"/>
      <c r="CU1001" s="416"/>
      <c r="CV1001" s="416"/>
      <c r="CW1001" s="416"/>
      <c r="CX1001" s="416"/>
      <c r="CY1001" s="416"/>
      <c r="CZ1001" s="416"/>
      <c r="DF1001" s="416"/>
      <c r="DG1001" s="416"/>
      <c r="DH1001" s="416"/>
      <c r="DI1001" s="416"/>
      <c r="DJ1001" s="416"/>
      <c r="DK1001" s="416"/>
    </row>
    <row r="1002" spans="18:115" s="9" customFormat="1">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M1002" s="15"/>
      <c r="AN1002" s="15"/>
      <c r="AO1002" s="15"/>
      <c r="AP1002" s="15"/>
      <c r="AQ1002" s="15"/>
      <c r="CR1002" s="416"/>
      <c r="CS1002" s="416"/>
      <c r="CT1002" s="416"/>
      <c r="CU1002" s="416"/>
      <c r="CV1002" s="416"/>
      <c r="CW1002" s="416"/>
      <c r="CX1002" s="416"/>
      <c r="CY1002" s="416"/>
      <c r="CZ1002" s="416"/>
      <c r="DF1002" s="416"/>
      <c r="DG1002" s="416"/>
      <c r="DH1002" s="416"/>
      <c r="DI1002" s="416"/>
      <c r="DJ1002" s="416"/>
      <c r="DK1002" s="416"/>
    </row>
    <row r="1003" spans="18:115" s="9" customFormat="1">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M1003" s="15"/>
      <c r="AN1003" s="15"/>
      <c r="AO1003" s="15"/>
      <c r="AP1003" s="15"/>
      <c r="AQ1003" s="15"/>
      <c r="CR1003" s="416"/>
      <c r="CS1003" s="416"/>
      <c r="CT1003" s="416"/>
      <c r="CU1003" s="416"/>
      <c r="CV1003" s="416"/>
      <c r="CW1003" s="416"/>
      <c r="CX1003" s="416"/>
      <c r="CY1003" s="416"/>
      <c r="CZ1003" s="416"/>
      <c r="DF1003" s="416"/>
      <c r="DG1003" s="416"/>
      <c r="DH1003" s="416"/>
      <c r="DI1003" s="416"/>
      <c r="DJ1003" s="416"/>
      <c r="DK1003" s="416"/>
    </row>
    <row r="1004" spans="18:115" s="9" customFormat="1">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M1004" s="15"/>
      <c r="AN1004" s="15"/>
      <c r="AO1004" s="15"/>
      <c r="AP1004" s="15"/>
      <c r="AQ1004" s="15"/>
      <c r="CR1004" s="416"/>
      <c r="CS1004" s="416"/>
      <c r="CT1004" s="416"/>
      <c r="CU1004" s="416"/>
      <c r="CV1004" s="416"/>
      <c r="CW1004" s="416"/>
      <c r="CX1004" s="416"/>
      <c r="CY1004" s="416"/>
      <c r="CZ1004" s="416"/>
      <c r="DF1004" s="416"/>
      <c r="DG1004" s="416"/>
      <c r="DH1004" s="416"/>
      <c r="DI1004" s="416"/>
      <c r="DJ1004" s="416"/>
      <c r="DK1004" s="416"/>
    </row>
    <row r="1005" spans="18:115" s="9" customFormat="1">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M1005" s="15"/>
      <c r="AN1005" s="15"/>
      <c r="AO1005" s="15"/>
      <c r="AP1005" s="15"/>
      <c r="AQ1005" s="15"/>
      <c r="CR1005" s="416"/>
      <c r="CS1005" s="416"/>
      <c r="CT1005" s="416"/>
      <c r="CU1005" s="416"/>
      <c r="CV1005" s="416"/>
      <c r="CW1005" s="416"/>
      <c r="CX1005" s="416"/>
      <c r="CY1005" s="416"/>
      <c r="CZ1005" s="416"/>
      <c r="DF1005" s="416"/>
      <c r="DG1005" s="416"/>
      <c r="DH1005" s="416"/>
      <c r="DI1005" s="416"/>
      <c r="DJ1005" s="416"/>
      <c r="DK1005" s="416"/>
    </row>
    <row r="1006" spans="18:115" s="9" customFormat="1">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M1006" s="15"/>
      <c r="AN1006" s="15"/>
      <c r="AO1006" s="15"/>
      <c r="AP1006" s="15"/>
      <c r="AQ1006" s="15"/>
      <c r="CR1006" s="416"/>
      <c r="CS1006" s="416"/>
      <c r="CT1006" s="416"/>
      <c r="CU1006" s="416"/>
      <c r="CV1006" s="416"/>
      <c r="CW1006" s="416"/>
      <c r="CX1006" s="416"/>
      <c r="CY1006" s="416"/>
      <c r="CZ1006" s="416"/>
      <c r="DF1006" s="416"/>
      <c r="DG1006" s="416"/>
      <c r="DH1006" s="416"/>
      <c r="DI1006" s="416"/>
      <c r="DJ1006" s="416"/>
      <c r="DK1006" s="416"/>
    </row>
    <row r="1007" spans="18:115" s="9" customFormat="1">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M1007" s="15"/>
      <c r="AN1007" s="15"/>
      <c r="AO1007" s="15"/>
      <c r="AP1007" s="15"/>
      <c r="AQ1007" s="15"/>
      <c r="CR1007" s="416"/>
      <c r="CS1007" s="416"/>
      <c r="CT1007" s="416"/>
      <c r="CU1007" s="416"/>
      <c r="CV1007" s="416"/>
      <c r="CW1007" s="416"/>
      <c r="CX1007" s="416"/>
      <c r="CY1007" s="416"/>
      <c r="CZ1007" s="416"/>
      <c r="DF1007" s="416"/>
      <c r="DG1007" s="416"/>
      <c r="DH1007" s="416"/>
      <c r="DI1007" s="416"/>
      <c r="DJ1007" s="416"/>
      <c r="DK1007" s="416"/>
    </row>
    <row r="1008" spans="18:115" s="9" customFormat="1">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M1008" s="15"/>
      <c r="AN1008" s="15"/>
      <c r="AO1008" s="15"/>
      <c r="AP1008" s="15"/>
      <c r="AQ1008" s="15"/>
      <c r="CR1008" s="416"/>
      <c r="CS1008" s="416"/>
      <c r="CT1008" s="416"/>
      <c r="CU1008" s="416"/>
      <c r="CV1008" s="416"/>
      <c r="CW1008" s="416"/>
      <c r="CX1008" s="416"/>
      <c r="CY1008" s="416"/>
      <c r="CZ1008" s="416"/>
      <c r="DF1008" s="416"/>
      <c r="DG1008" s="416"/>
      <c r="DH1008" s="416"/>
      <c r="DI1008" s="416"/>
      <c r="DJ1008" s="416"/>
      <c r="DK1008" s="416"/>
    </row>
    <row r="1009" spans="18:115" s="9" customFormat="1">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M1009" s="15"/>
      <c r="AN1009" s="15"/>
      <c r="AO1009" s="15"/>
      <c r="AP1009" s="15"/>
      <c r="AQ1009" s="15"/>
      <c r="CR1009" s="416"/>
      <c r="CS1009" s="416"/>
      <c r="CT1009" s="416"/>
      <c r="CU1009" s="416"/>
      <c r="CV1009" s="416"/>
      <c r="CW1009" s="416"/>
      <c r="CX1009" s="416"/>
      <c r="CY1009" s="416"/>
      <c r="CZ1009" s="416"/>
      <c r="DF1009" s="416"/>
      <c r="DG1009" s="416"/>
      <c r="DH1009" s="416"/>
      <c r="DI1009" s="416"/>
      <c r="DJ1009" s="416"/>
      <c r="DK1009" s="416"/>
    </row>
    <row r="1010" spans="18:115" s="9" customFormat="1">
      <c r="R1010" s="15"/>
      <c r="S1010" s="15"/>
      <c r="T1010" s="15"/>
      <c r="U1010" s="15"/>
      <c r="V1010" s="15"/>
      <c r="W1010" s="15"/>
      <c r="X1010" s="15"/>
      <c r="Y1010" s="15"/>
      <c r="Z1010" s="15"/>
      <c r="AA1010" s="15"/>
      <c r="AB1010" s="15"/>
      <c r="AC1010" s="15"/>
      <c r="AD1010" s="15"/>
      <c r="AE1010" s="15"/>
      <c r="AF1010" s="15"/>
      <c r="AG1010" s="15"/>
      <c r="AH1010" s="15"/>
      <c r="AI1010" s="15"/>
      <c r="AJ1010" s="15"/>
      <c r="AK1010" s="15"/>
      <c r="AL1010" s="15"/>
      <c r="AM1010" s="15"/>
      <c r="AN1010" s="15"/>
      <c r="AO1010" s="15"/>
      <c r="AP1010" s="15"/>
      <c r="AQ1010" s="15"/>
      <c r="CR1010" s="416"/>
      <c r="CS1010" s="416"/>
      <c r="CT1010" s="416"/>
      <c r="CU1010" s="416"/>
      <c r="CV1010" s="416"/>
      <c r="CW1010" s="416"/>
      <c r="CX1010" s="416"/>
      <c r="CY1010" s="416"/>
      <c r="CZ1010" s="416"/>
      <c r="DF1010" s="416"/>
      <c r="DG1010" s="416"/>
      <c r="DH1010" s="416"/>
      <c r="DI1010" s="416"/>
      <c r="DJ1010" s="416"/>
      <c r="DK1010" s="416"/>
    </row>
    <row r="1011" spans="18:115" s="9" customFormat="1">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M1011" s="15"/>
      <c r="AN1011" s="15"/>
      <c r="AO1011" s="15"/>
      <c r="AP1011" s="15"/>
      <c r="AQ1011" s="15"/>
      <c r="CR1011" s="416"/>
      <c r="CS1011" s="416"/>
      <c r="CT1011" s="416"/>
      <c r="CU1011" s="416"/>
      <c r="CV1011" s="416"/>
      <c r="CW1011" s="416"/>
      <c r="CX1011" s="416"/>
      <c r="CY1011" s="416"/>
      <c r="CZ1011" s="416"/>
      <c r="DF1011" s="416"/>
      <c r="DG1011" s="416"/>
      <c r="DH1011" s="416"/>
      <c r="DI1011" s="416"/>
      <c r="DJ1011" s="416"/>
      <c r="DK1011" s="416"/>
    </row>
    <row r="1012" spans="18:115" s="9" customFormat="1">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M1012" s="15"/>
      <c r="AN1012" s="15"/>
      <c r="AO1012" s="15"/>
      <c r="AP1012" s="15"/>
      <c r="AQ1012" s="15"/>
      <c r="CR1012" s="416"/>
      <c r="CS1012" s="416"/>
      <c r="CT1012" s="416"/>
      <c r="CU1012" s="416"/>
      <c r="CV1012" s="416"/>
      <c r="CW1012" s="416"/>
      <c r="CX1012" s="416"/>
      <c r="CY1012" s="416"/>
      <c r="CZ1012" s="416"/>
      <c r="DF1012" s="416"/>
      <c r="DG1012" s="416"/>
      <c r="DH1012" s="416"/>
      <c r="DI1012" s="416"/>
      <c r="DJ1012" s="416"/>
      <c r="DK1012" s="416"/>
    </row>
    <row r="1013" spans="18:115" s="9" customFormat="1">
      <c r="R1013" s="15"/>
      <c r="S1013" s="15"/>
      <c r="T1013" s="15"/>
      <c r="U1013" s="15"/>
      <c r="V1013" s="15"/>
      <c r="W1013" s="15"/>
      <c r="X1013" s="15"/>
      <c r="Y1013" s="15"/>
      <c r="Z1013" s="15"/>
      <c r="AA1013" s="15"/>
      <c r="AB1013" s="15"/>
      <c r="AC1013" s="15"/>
      <c r="AD1013" s="15"/>
      <c r="AE1013" s="15"/>
      <c r="AF1013" s="15"/>
      <c r="AG1013" s="15"/>
      <c r="AH1013" s="15"/>
      <c r="AI1013" s="15"/>
      <c r="AJ1013" s="15"/>
      <c r="AK1013" s="15"/>
      <c r="AL1013" s="15"/>
      <c r="AM1013" s="15"/>
      <c r="AN1013" s="15"/>
      <c r="AO1013" s="15"/>
      <c r="AP1013" s="15"/>
      <c r="AQ1013" s="15"/>
      <c r="CR1013" s="416"/>
      <c r="CS1013" s="416"/>
      <c r="CT1013" s="416"/>
      <c r="CU1013" s="416"/>
      <c r="CV1013" s="416"/>
      <c r="CW1013" s="416"/>
      <c r="CX1013" s="416"/>
      <c r="CY1013" s="416"/>
      <c r="CZ1013" s="416"/>
      <c r="DF1013" s="416"/>
      <c r="DG1013" s="416"/>
      <c r="DH1013" s="416"/>
      <c r="DI1013" s="416"/>
      <c r="DJ1013" s="416"/>
      <c r="DK1013" s="416"/>
    </row>
    <row r="1014" spans="18:115" s="9" customFormat="1">
      <c r="R1014" s="15"/>
      <c r="S1014" s="15"/>
      <c r="T1014" s="15"/>
      <c r="U1014" s="15"/>
      <c r="V1014" s="15"/>
      <c r="W1014" s="15"/>
      <c r="X1014" s="15"/>
      <c r="Y1014" s="15"/>
      <c r="Z1014" s="15"/>
      <c r="AA1014" s="15"/>
      <c r="AB1014" s="15"/>
      <c r="AC1014" s="15"/>
      <c r="AD1014" s="15"/>
      <c r="AE1014" s="15"/>
      <c r="AF1014" s="15"/>
      <c r="AG1014" s="15"/>
      <c r="AH1014" s="15"/>
      <c r="AI1014" s="15"/>
      <c r="AJ1014" s="15"/>
      <c r="AK1014" s="15"/>
      <c r="AL1014" s="15"/>
      <c r="AM1014" s="15"/>
      <c r="AN1014" s="15"/>
      <c r="AO1014" s="15"/>
      <c r="AP1014" s="15"/>
      <c r="AQ1014" s="15"/>
      <c r="CR1014" s="416"/>
      <c r="CS1014" s="416"/>
      <c r="CT1014" s="416"/>
      <c r="CU1014" s="416"/>
      <c r="CV1014" s="416"/>
      <c r="CW1014" s="416"/>
      <c r="CX1014" s="416"/>
      <c r="CY1014" s="416"/>
      <c r="CZ1014" s="416"/>
      <c r="DF1014" s="416"/>
      <c r="DG1014" s="416"/>
      <c r="DH1014" s="416"/>
      <c r="DI1014" s="416"/>
      <c r="DJ1014" s="416"/>
      <c r="DK1014" s="416"/>
    </row>
    <row r="1015" spans="18:115" s="9" customFormat="1">
      <c r="R1015" s="15"/>
      <c r="S1015" s="15"/>
      <c r="T1015" s="15"/>
      <c r="U1015" s="15"/>
      <c r="V1015" s="15"/>
      <c r="W1015" s="15"/>
      <c r="X1015" s="15"/>
      <c r="Y1015" s="15"/>
      <c r="Z1015" s="15"/>
      <c r="AA1015" s="15"/>
      <c r="AB1015" s="15"/>
      <c r="AC1015" s="15"/>
      <c r="AD1015" s="15"/>
      <c r="AE1015" s="15"/>
      <c r="AF1015" s="15"/>
      <c r="AG1015" s="15"/>
      <c r="AH1015" s="15"/>
      <c r="AI1015" s="15"/>
      <c r="AJ1015" s="15"/>
      <c r="AK1015" s="15"/>
      <c r="AL1015" s="15"/>
      <c r="AM1015" s="15"/>
      <c r="AN1015" s="15"/>
      <c r="AO1015" s="15"/>
      <c r="AP1015" s="15"/>
      <c r="AQ1015" s="15"/>
      <c r="CR1015" s="416"/>
      <c r="CS1015" s="416"/>
      <c r="CT1015" s="416"/>
      <c r="CU1015" s="416"/>
      <c r="CV1015" s="416"/>
      <c r="CW1015" s="416"/>
      <c r="CX1015" s="416"/>
      <c r="CY1015" s="416"/>
      <c r="CZ1015" s="416"/>
      <c r="DF1015" s="416"/>
      <c r="DG1015" s="416"/>
      <c r="DH1015" s="416"/>
      <c r="DI1015" s="416"/>
      <c r="DJ1015" s="416"/>
      <c r="DK1015" s="416"/>
    </row>
    <row r="1016" spans="18:115" s="9" customFormat="1">
      <c r="R1016" s="15"/>
      <c r="S1016" s="15"/>
      <c r="T1016" s="15"/>
      <c r="U1016" s="15"/>
      <c r="V1016" s="15"/>
      <c r="W1016" s="15"/>
      <c r="X1016" s="15"/>
      <c r="Y1016" s="15"/>
      <c r="Z1016" s="15"/>
      <c r="AA1016" s="15"/>
      <c r="AB1016" s="15"/>
      <c r="AC1016" s="15"/>
      <c r="AD1016" s="15"/>
      <c r="AE1016" s="15"/>
      <c r="AF1016" s="15"/>
      <c r="AG1016" s="15"/>
      <c r="AH1016" s="15"/>
      <c r="AI1016" s="15"/>
      <c r="AJ1016" s="15"/>
      <c r="AK1016" s="15"/>
      <c r="AL1016" s="15"/>
      <c r="AM1016" s="15"/>
      <c r="AN1016" s="15"/>
      <c r="AO1016" s="15"/>
      <c r="AP1016" s="15"/>
      <c r="AQ1016" s="15"/>
      <c r="CR1016" s="416"/>
      <c r="CS1016" s="416"/>
      <c r="CT1016" s="416"/>
      <c r="CU1016" s="416"/>
      <c r="CV1016" s="416"/>
      <c r="CW1016" s="416"/>
      <c r="CX1016" s="416"/>
      <c r="CY1016" s="416"/>
      <c r="CZ1016" s="416"/>
      <c r="DF1016" s="416"/>
      <c r="DG1016" s="416"/>
      <c r="DH1016" s="416"/>
      <c r="DI1016" s="416"/>
      <c r="DJ1016" s="416"/>
      <c r="DK1016" s="416"/>
    </row>
    <row r="1017" spans="18:115" s="9" customFormat="1">
      <c r="R1017" s="15"/>
      <c r="S1017" s="15"/>
      <c r="T1017" s="15"/>
      <c r="U1017" s="15"/>
      <c r="V1017" s="15"/>
      <c r="W1017" s="15"/>
      <c r="X1017" s="15"/>
      <c r="Y1017" s="15"/>
      <c r="Z1017" s="15"/>
      <c r="AA1017" s="15"/>
      <c r="AB1017" s="15"/>
      <c r="AC1017" s="15"/>
      <c r="AD1017" s="15"/>
      <c r="AE1017" s="15"/>
      <c r="AF1017" s="15"/>
      <c r="AG1017" s="15"/>
      <c r="AH1017" s="15"/>
      <c r="AI1017" s="15"/>
      <c r="AJ1017" s="15"/>
      <c r="AK1017" s="15"/>
      <c r="AL1017" s="15"/>
      <c r="AM1017" s="15"/>
      <c r="AN1017" s="15"/>
      <c r="AO1017" s="15"/>
      <c r="AP1017" s="15"/>
      <c r="AQ1017" s="15"/>
      <c r="CR1017" s="416"/>
      <c r="CS1017" s="416"/>
      <c r="CT1017" s="416"/>
      <c r="CU1017" s="416"/>
      <c r="CV1017" s="416"/>
      <c r="CW1017" s="416"/>
      <c r="CX1017" s="416"/>
      <c r="CY1017" s="416"/>
      <c r="CZ1017" s="416"/>
      <c r="DF1017" s="416"/>
      <c r="DG1017" s="416"/>
      <c r="DH1017" s="416"/>
      <c r="DI1017" s="416"/>
      <c r="DJ1017" s="416"/>
      <c r="DK1017" s="416"/>
    </row>
    <row r="1018" spans="18:115" s="9" customFormat="1">
      <c r="R1018" s="15"/>
      <c r="S1018" s="15"/>
      <c r="T1018" s="15"/>
      <c r="U1018" s="15"/>
      <c r="V1018" s="15"/>
      <c r="W1018" s="15"/>
      <c r="X1018" s="15"/>
      <c r="Y1018" s="15"/>
      <c r="Z1018" s="15"/>
      <c r="AA1018" s="15"/>
      <c r="AB1018" s="15"/>
      <c r="AC1018" s="15"/>
      <c r="AD1018" s="15"/>
      <c r="AE1018" s="15"/>
      <c r="AF1018" s="15"/>
      <c r="AG1018" s="15"/>
      <c r="AH1018" s="15"/>
      <c r="AI1018" s="15"/>
      <c r="AJ1018" s="15"/>
      <c r="AK1018" s="15"/>
      <c r="AL1018" s="15"/>
      <c r="AM1018" s="15"/>
      <c r="AN1018" s="15"/>
      <c r="AO1018" s="15"/>
      <c r="AP1018" s="15"/>
      <c r="AQ1018" s="15"/>
      <c r="CR1018" s="416"/>
      <c r="CS1018" s="416"/>
      <c r="CT1018" s="416"/>
      <c r="CU1018" s="416"/>
      <c r="CV1018" s="416"/>
      <c r="CW1018" s="416"/>
      <c r="CX1018" s="416"/>
      <c r="CY1018" s="416"/>
      <c r="CZ1018" s="416"/>
      <c r="DF1018" s="416"/>
      <c r="DG1018" s="416"/>
      <c r="DH1018" s="416"/>
      <c r="DI1018" s="416"/>
      <c r="DJ1018" s="416"/>
      <c r="DK1018" s="416"/>
    </row>
    <row r="1019" spans="18:115" s="9" customFormat="1">
      <c r="R1019" s="15"/>
      <c r="S1019" s="15"/>
      <c r="T1019" s="15"/>
      <c r="U1019" s="15"/>
      <c r="V1019" s="15"/>
      <c r="W1019" s="15"/>
      <c r="X1019" s="15"/>
      <c r="Y1019" s="15"/>
      <c r="Z1019" s="15"/>
      <c r="AA1019" s="15"/>
      <c r="AB1019" s="15"/>
      <c r="AC1019" s="15"/>
      <c r="AD1019" s="15"/>
      <c r="AE1019" s="15"/>
      <c r="AF1019" s="15"/>
      <c r="AG1019" s="15"/>
      <c r="AH1019" s="15"/>
      <c r="AI1019" s="15"/>
      <c r="AJ1019" s="15"/>
      <c r="AK1019" s="15"/>
      <c r="AL1019" s="15"/>
      <c r="AM1019" s="15"/>
      <c r="AN1019" s="15"/>
      <c r="AO1019" s="15"/>
      <c r="AP1019" s="15"/>
      <c r="AQ1019" s="15"/>
      <c r="CR1019" s="416"/>
      <c r="CS1019" s="416"/>
      <c r="CT1019" s="416"/>
      <c r="CU1019" s="416"/>
      <c r="CV1019" s="416"/>
      <c r="CW1019" s="416"/>
      <c r="CX1019" s="416"/>
      <c r="CY1019" s="416"/>
      <c r="CZ1019" s="416"/>
      <c r="DF1019" s="416"/>
      <c r="DG1019" s="416"/>
      <c r="DH1019" s="416"/>
      <c r="DI1019" s="416"/>
      <c r="DJ1019" s="416"/>
      <c r="DK1019" s="416"/>
    </row>
    <row r="1020" spans="18:115" s="9" customFormat="1">
      <c r="R1020" s="15"/>
      <c r="S1020" s="15"/>
      <c r="T1020" s="15"/>
      <c r="U1020" s="15"/>
      <c r="V1020" s="15"/>
      <c r="W1020" s="15"/>
      <c r="X1020" s="15"/>
      <c r="Y1020" s="15"/>
      <c r="Z1020" s="15"/>
      <c r="AA1020" s="15"/>
      <c r="AB1020" s="15"/>
      <c r="AC1020" s="15"/>
      <c r="AD1020" s="15"/>
      <c r="AE1020" s="15"/>
      <c r="AF1020" s="15"/>
      <c r="AG1020" s="15"/>
      <c r="AH1020" s="15"/>
      <c r="AI1020" s="15"/>
      <c r="AJ1020" s="15"/>
      <c r="AK1020" s="15"/>
      <c r="AL1020" s="15"/>
      <c r="AM1020" s="15"/>
      <c r="AN1020" s="15"/>
      <c r="AO1020" s="15"/>
      <c r="AP1020" s="15"/>
      <c r="AQ1020" s="15"/>
      <c r="CR1020" s="416"/>
      <c r="CS1020" s="416"/>
      <c r="CT1020" s="416"/>
      <c r="CU1020" s="416"/>
      <c r="CV1020" s="416"/>
      <c r="CW1020" s="416"/>
      <c r="CX1020" s="416"/>
      <c r="CY1020" s="416"/>
      <c r="CZ1020" s="416"/>
      <c r="DF1020" s="416"/>
      <c r="DG1020" s="416"/>
      <c r="DH1020" s="416"/>
      <c r="DI1020" s="416"/>
      <c r="DJ1020" s="416"/>
      <c r="DK1020" s="416"/>
    </row>
    <row r="1021" spans="18:115" s="9" customFormat="1">
      <c r="R1021" s="15"/>
      <c r="S1021" s="15"/>
      <c r="T1021" s="15"/>
      <c r="U1021" s="15"/>
      <c r="V1021" s="15"/>
      <c r="W1021" s="15"/>
      <c r="X1021" s="15"/>
      <c r="Y1021" s="15"/>
      <c r="Z1021" s="15"/>
      <c r="AA1021" s="15"/>
      <c r="AB1021" s="15"/>
      <c r="AC1021" s="15"/>
      <c r="AD1021" s="15"/>
      <c r="AE1021" s="15"/>
      <c r="AF1021" s="15"/>
      <c r="AG1021" s="15"/>
      <c r="AH1021" s="15"/>
      <c r="AI1021" s="15"/>
      <c r="AJ1021" s="15"/>
      <c r="AK1021" s="15"/>
      <c r="AL1021" s="15"/>
      <c r="AM1021" s="15"/>
      <c r="AN1021" s="15"/>
      <c r="AO1021" s="15"/>
      <c r="AP1021" s="15"/>
      <c r="AQ1021" s="15"/>
      <c r="CR1021" s="416"/>
      <c r="CS1021" s="416"/>
      <c r="CT1021" s="416"/>
      <c r="CU1021" s="416"/>
      <c r="CV1021" s="416"/>
      <c r="CW1021" s="416"/>
      <c r="CX1021" s="416"/>
      <c r="CY1021" s="416"/>
      <c r="CZ1021" s="416"/>
      <c r="DF1021" s="416"/>
      <c r="DG1021" s="416"/>
      <c r="DH1021" s="416"/>
      <c r="DI1021" s="416"/>
      <c r="DJ1021" s="416"/>
      <c r="DK1021" s="416"/>
    </row>
    <row r="1022" spans="18:115" s="9" customFormat="1">
      <c r="R1022" s="15"/>
      <c r="S1022" s="15"/>
      <c r="T1022" s="15"/>
      <c r="U1022" s="15"/>
      <c r="V1022" s="15"/>
      <c r="W1022" s="15"/>
      <c r="X1022" s="15"/>
      <c r="Y1022" s="15"/>
      <c r="Z1022" s="15"/>
      <c r="AA1022" s="15"/>
      <c r="AB1022" s="15"/>
      <c r="AC1022" s="15"/>
      <c r="AD1022" s="15"/>
      <c r="AE1022" s="15"/>
      <c r="AF1022" s="15"/>
      <c r="AG1022" s="15"/>
      <c r="AH1022" s="15"/>
      <c r="AI1022" s="15"/>
      <c r="AJ1022" s="15"/>
      <c r="AK1022" s="15"/>
      <c r="AL1022" s="15"/>
      <c r="AM1022" s="15"/>
      <c r="AN1022" s="15"/>
      <c r="AO1022" s="15"/>
      <c r="AP1022" s="15"/>
      <c r="AQ1022" s="15"/>
      <c r="CR1022" s="416"/>
      <c r="CS1022" s="416"/>
      <c r="CT1022" s="416"/>
      <c r="CU1022" s="416"/>
      <c r="CV1022" s="416"/>
      <c r="CW1022" s="416"/>
      <c r="CX1022" s="416"/>
      <c r="CY1022" s="416"/>
      <c r="CZ1022" s="416"/>
      <c r="DF1022" s="416"/>
      <c r="DG1022" s="416"/>
      <c r="DH1022" s="416"/>
      <c r="DI1022" s="416"/>
      <c r="DJ1022" s="416"/>
      <c r="DK1022" s="416"/>
    </row>
    <row r="1023" spans="18:115" s="9" customFormat="1">
      <c r="R1023" s="15"/>
      <c r="S1023" s="15"/>
      <c r="T1023" s="15"/>
      <c r="U1023" s="15"/>
      <c r="V1023" s="15"/>
      <c r="W1023" s="15"/>
      <c r="X1023" s="15"/>
      <c r="Y1023" s="15"/>
      <c r="Z1023" s="15"/>
      <c r="AA1023" s="15"/>
      <c r="AB1023" s="15"/>
      <c r="AC1023" s="15"/>
      <c r="AD1023" s="15"/>
      <c r="AE1023" s="15"/>
      <c r="AF1023" s="15"/>
      <c r="AG1023" s="15"/>
      <c r="AH1023" s="15"/>
      <c r="AI1023" s="15"/>
      <c r="AJ1023" s="15"/>
      <c r="AK1023" s="15"/>
      <c r="AL1023" s="15"/>
      <c r="AM1023" s="15"/>
      <c r="AN1023" s="15"/>
      <c r="AO1023" s="15"/>
      <c r="AP1023" s="15"/>
      <c r="AQ1023" s="15"/>
      <c r="CR1023" s="416"/>
      <c r="CS1023" s="416"/>
      <c r="CT1023" s="416"/>
      <c r="CU1023" s="416"/>
      <c r="CV1023" s="416"/>
      <c r="CW1023" s="416"/>
      <c r="CX1023" s="416"/>
      <c r="CY1023" s="416"/>
      <c r="CZ1023" s="416"/>
      <c r="DF1023" s="416"/>
      <c r="DG1023" s="416"/>
      <c r="DH1023" s="416"/>
      <c r="DI1023" s="416"/>
      <c r="DJ1023" s="416"/>
      <c r="DK1023" s="416"/>
    </row>
    <row r="1024" spans="18:115" s="9" customFormat="1">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c r="AM1024" s="15"/>
      <c r="AN1024" s="15"/>
      <c r="AO1024" s="15"/>
      <c r="AP1024" s="15"/>
      <c r="AQ1024" s="15"/>
      <c r="CR1024" s="416"/>
      <c r="CS1024" s="416"/>
      <c r="CT1024" s="416"/>
      <c r="CU1024" s="416"/>
      <c r="CV1024" s="416"/>
      <c r="CW1024" s="416"/>
      <c r="CX1024" s="416"/>
      <c r="CY1024" s="416"/>
      <c r="CZ1024" s="416"/>
      <c r="DF1024" s="416"/>
      <c r="DG1024" s="416"/>
      <c r="DH1024" s="416"/>
      <c r="DI1024" s="416"/>
      <c r="DJ1024" s="416"/>
      <c r="DK1024" s="416"/>
    </row>
    <row r="1025" spans="18:115" s="9" customFormat="1">
      <c r="R1025" s="15"/>
      <c r="S1025" s="15"/>
      <c r="T1025" s="15"/>
      <c r="U1025" s="15"/>
      <c r="V1025" s="15"/>
      <c r="W1025" s="15"/>
      <c r="X1025" s="15"/>
      <c r="Y1025" s="15"/>
      <c r="Z1025" s="15"/>
      <c r="AA1025" s="15"/>
      <c r="AB1025" s="15"/>
      <c r="AC1025" s="15"/>
      <c r="AD1025" s="15"/>
      <c r="AE1025" s="15"/>
      <c r="AF1025" s="15"/>
      <c r="AG1025" s="15"/>
      <c r="AH1025" s="15"/>
      <c r="AI1025" s="15"/>
      <c r="AJ1025" s="15"/>
      <c r="AK1025" s="15"/>
      <c r="AL1025" s="15"/>
      <c r="AM1025" s="15"/>
      <c r="AN1025" s="15"/>
      <c r="AO1025" s="15"/>
      <c r="AP1025" s="15"/>
      <c r="AQ1025" s="15"/>
      <c r="CR1025" s="416"/>
      <c r="CS1025" s="416"/>
      <c r="CT1025" s="416"/>
      <c r="CU1025" s="416"/>
      <c r="CV1025" s="416"/>
      <c r="CW1025" s="416"/>
      <c r="CX1025" s="416"/>
      <c r="CY1025" s="416"/>
      <c r="CZ1025" s="416"/>
      <c r="DF1025" s="416"/>
      <c r="DG1025" s="416"/>
      <c r="DH1025" s="416"/>
      <c r="DI1025" s="416"/>
      <c r="DJ1025" s="416"/>
      <c r="DK1025" s="416"/>
    </row>
    <row r="1026" spans="18:115" s="9" customFormat="1">
      <c r="R1026" s="15"/>
      <c r="S1026" s="15"/>
      <c r="T1026" s="15"/>
      <c r="U1026" s="15"/>
      <c r="V1026" s="15"/>
      <c r="W1026" s="15"/>
      <c r="X1026" s="15"/>
      <c r="Y1026" s="15"/>
      <c r="Z1026" s="15"/>
      <c r="AA1026" s="15"/>
      <c r="AB1026" s="15"/>
      <c r="AC1026" s="15"/>
      <c r="AD1026" s="15"/>
      <c r="AE1026" s="15"/>
      <c r="AF1026" s="15"/>
      <c r="AG1026" s="15"/>
      <c r="AH1026" s="15"/>
      <c r="AI1026" s="15"/>
      <c r="AJ1026" s="15"/>
      <c r="AK1026" s="15"/>
      <c r="AL1026" s="15"/>
      <c r="AM1026" s="15"/>
      <c r="AN1026" s="15"/>
      <c r="AO1026" s="15"/>
      <c r="AP1026" s="15"/>
      <c r="AQ1026" s="15"/>
      <c r="CR1026" s="416"/>
      <c r="CS1026" s="416"/>
      <c r="CT1026" s="416"/>
      <c r="CU1026" s="416"/>
      <c r="CV1026" s="416"/>
      <c r="CW1026" s="416"/>
      <c r="CX1026" s="416"/>
      <c r="CY1026" s="416"/>
      <c r="CZ1026" s="416"/>
      <c r="DF1026" s="416"/>
      <c r="DG1026" s="416"/>
      <c r="DH1026" s="416"/>
      <c r="DI1026" s="416"/>
      <c r="DJ1026" s="416"/>
      <c r="DK1026" s="416"/>
    </row>
    <row r="1027" spans="18:115" s="9" customFormat="1">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c r="AM1027" s="15"/>
      <c r="AN1027" s="15"/>
      <c r="AO1027" s="15"/>
      <c r="AP1027" s="15"/>
      <c r="AQ1027" s="15"/>
      <c r="CR1027" s="416"/>
      <c r="CS1027" s="416"/>
      <c r="CT1027" s="416"/>
      <c r="CU1027" s="416"/>
      <c r="CV1027" s="416"/>
      <c r="CW1027" s="416"/>
      <c r="CX1027" s="416"/>
      <c r="CY1027" s="416"/>
      <c r="CZ1027" s="416"/>
      <c r="DF1027" s="416"/>
      <c r="DG1027" s="416"/>
      <c r="DH1027" s="416"/>
      <c r="DI1027" s="416"/>
      <c r="DJ1027" s="416"/>
      <c r="DK1027" s="416"/>
    </row>
    <row r="1028" spans="18:115" s="9" customFormat="1">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CR1028" s="416"/>
      <c r="CS1028" s="416"/>
      <c r="CT1028" s="416"/>
      <c r="CU1028" s="416"/>
      <c r="CV1028" s="416"/>
      <c r="CW1028" s="416"/>
      <c r="CX1028" s="416"/>
      <c r="CY1028" s="416"/>
      <c r="CZ1028" s="416"/>
      <c r="DF1028" s="416"/>
      <c r="DG1028" s="416"/>
      <c r="DH1028" s="416"/>
      <c r="DI1028" s="416"/>
      <c r="DJ1028" s="416"/>
      <c r="DK1028" s="416"/>
    </row>
    <row r="1029" spans="18:115" s="9" customFormat="1">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CR1029" s="416"/>
      <c r="CS1029" s="416"/>
      <c r="CT1029" s="416"/>
      <c r="CU1029" s="416"/>
      <c r="CV1029" s="416"/>
      <c r="CW1029" s="416"/>
      <c r="CX1029" s="416"/>
      <c r="CY1029" s="416"/>
      <c r="CZ1029" s="416"/>
      <c r="DF1029" s="416"/>
      <c r="DG1029" s="416"/>
      <c r="DH1029" s="416"/>
      <c r="DI1029" s="416"/>
      <c r="DJ1029" s="416"/>
      <c r="DK1029" s="416"/>
    </row>
    <row r="1030" spans="18:115" s="9" customFormat="1">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CR1030" s="416"/>
      <c r="CS1030" s="416"/>
      <c r="CT1030" s="416"/>
      <c r="CU1030" s="416"/>
      <c r="CV1030" s="416"/>
      <c r="CW1030" s="416"/>
      <c r="CX1030" s="416"/>
      <c r="CY1030" s="416"/>
      <c r="CZ1030" s="416"/>
      <c r="DF1030" s="416"/>
      <c r="DG1030" s="416"/>
      <c r="DH1030" s="416"/>
      <c r="DI1030" s="416"/>
      <c r="DJ1030" s="416"/>
      <c r="DK1030" s="416"/>
    </row>
    <row r="1031" spans="18:115" s="9" customFormat="1">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CR1031" s="416"/>
      <c r="CS1031" s="416"/>
      <c r="CT1031" s="416"/>
      <c r="CU1031" s="416"/>
      <c r="CV1031" s="416"/>
      <c r="CW1031" s="416"/>
      <c r="CX1031" s="416"/>
      <c r="CY1031" s="416"/>
      <c r="CZ1031" s="416"/>
      <c r="DF1031" s="416"/>
      <c r="DG1031" s="416"/>
      <c r="DH1031" s="416"/>
      <c r="DI1031" s="416"/>
      <c r="DJ1031" s="416"/>
      <c r="DK1031" s="416"/>
    </row>
    <row r="1032" spans="18:115" s="9" customFormat="1">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CR1032" s="416"/>
      <c r="CS1032" s="416"/>
      <c r="CT1032" s="416"/>
      <c r="CU1032" s="416"/>
      <c r="CV1032" s="416"/>
      <c r="CW1032" s="416"/>
      <c r="CX1032" s="416"/>
      <c r="CY1032" s="416"/>
      <c r="CZ1032" s="416"/>
      <c r="DF1032" s="416"/>
      <c r="DG1032" s="416"/>
      <c r="DH1032" s="416"/>
      <c r="DI1032" s="416"/>
      <c r="DJ1032" s="416"/>
      <c r="DK1032" s="416"/>
    </row>
    <row r="1033" spans="18:115" s="9" customFormat="1">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CR1033" s="416"/>
      <c r="CS1033" s="416"/>
      <c r="CT1033" s="416"/>
      <c r="CU1033" s="416"/>
      <c r="CV1033" s="416"/>
      <c r="CW1033" s="416"/>
      <c r="CX1033" s="416"/>
      <c r="CY1033" s="416"/>
      <c r="CZ1033" s="416"/>
      <c r="DF1033" s="416"/>
      <c r="DG1033" s="416"/>
      <c r="DH1033" s="416"/>
      <c r="DI1033" s="416"/>
      <c r="DJ1033" s="416"/>
      <c r="DK1033" s="416"/>
    </row>
    <row r="1034" spans="18:115" s="9" customFormat="1">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CR1034" s="416"/>
      <c r="CS1034" s="416"/>
      <c r="CT1034" s="416"/>
      <c r="CU1034" s="416"/>
      <c r="CV1034" s="416"/>
      <c r="CW1034" s="416"/>
      <c r="CX1034" s="416"/>
      <c r="CY1034" s="416"/>
      <c r="CZ1034" s="416"/>
      <c r="DF1034" s="416"/>
      <c r="DG1034" s="416"/>
      <c r="DH1034" s="416"/>
      <c r="DI1034" s="416"/>
      <c r="DJ1034" s="416"/>
      <c r="DK1034" s="416"/>
    </row>
    <row r="1035" spans="18:115" s="9" customFormat="1">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CR1035" s="416"/>
      <c r="CS1035" s="416"/>
      <c r="CT1035" s="416"/>
      <c r="CU1035" s="416"/>
      <c r="CV1035" s="416"/>
      <c r="CW1035" s="416"/>
      <c r="CX1035" s="416"/>
      <c r="CY1035" s="416"/>
      <c r="CZ1035" s="416"/>
      <c r="DF1035" s="416"/>
      <c r="DG1035" s="416"/>
      <c r="DH1035" s="416"/>
      <c r="DI1035" s="416"/>
      <c r="DJ1035" s="416"/>
      <c r="DK1035" s="416"/>
    </row>
    <row r="1036" spans="18:115" s="9" customFormat="1">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CR1036" s="416"/>
      <c r="CS1036" s="416"/>
      <c r="CT1036" s="416"/>
      <c r="CU1036" s="416"/>
      <c r="CV1036" s="416"/>
      <c r="CW1036" s="416"/>
      <c r="CX1036" s="416"/>
      <c r="CY1036" s="416"/>
      <c r="CZ1036" s="416"/>
      <c r="DF1036" s="416"/>
      <c r="DG1036" s="416"/>
      <c r="DH1036" s="416"/>
      <c r="DI1036" s="416"/>
      <c r="DJ1036" s="416"/>
      <c r="DK1036" s="416"/>
    </row>
    <row r="1037" spans="18:115" s="9" customFormat="1">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CR1037" s="416"/>
      <c r="CS1037" s="416"/>
      <c r="CT1037" s="416"/>
      <c r="CU1037" s="416"/>
      <c r="CV1037" s="416"/>
      <c r="CW1037" s="416"/>
      <c r="CX1037" s="416"/>
      <c r="CY1037" s="416"/>
      <c r="CZ1037" s="416"/>
      <c r="DF1037" s="416"/>
      <c r="DG1037" s="416"/>
      <c r="DH1037" s="416"/>
      <c r="DI1037" s="416"/>
      <c r="DJ1037" s="416"/>
      <c r="DK1037" s="416"/>
    </row>
    <row r="1038" spans="18:115" s="9" customFormat="1">
      <c r="CR1038" s="416"/>
      <c r="CS1038" s="416"/>
      <c r="CT1038" s="416"/>
      <c r="CU1038" s="416"/>
      <c r="CV1038" s="416"/>
      <c r="CW1038" s="416"/>
      <c r="CX1038" s="416"/>
      <c r="CY1038" s="416"/>
      <c r="CZ1038" s="416"/>
      <c r="DF1038" s="416"/>
      <c r="DG1038" s="416"/>
      <c r="DH1038" s="416"/>
      <c r="DI1038" s="416"/>
      <c r="DJ1038" s="416"/>
      <c r="DK1038" s="416"/>
    </row>
    <row r="1039" spans="18:115" s="9" customFormat="1">
      <c r="CR1039" s="416"/>
      <c r="CS1039" s="416"/>
      <c r="CT1039" s="416"/>
      <c r="CU1039" s="416"/>
      <c r="CV1039" s="416"/>
      <c r="CW1039" s="416"/>
      <c r="CX1039" s="416"/>
      <c r="CY1039" s="416"/>
      <c r="CZ1039" s="416"/>
      <c r="DF1039" s="416"/>
      <c r="DG1039" s="416"/>
      <c r="DH1039" s="416"/>
      <c r="DI1039" s="416"/>
      <c r="DJ1039" s="416"/>
      <c r="DK1039" s="416"/>
    </row>
    <row r="1040" spans="18:115" s="9" customFormat="1">
      <c r="CR1040" s="416"/>
      <c r="CS1040" s="416"/>
      <c r="CT1040" s="416"/>
      <c r="CU1040" s="416"/>
      <c r="CV1040" s="416"/>
      <c r="CW1040" s="416"/>
      <c r="CX1040" s="416"/>
      <c r="CY1040" s="416"/>
      <c r="CZ1040" s="416"/>
      <c r="DF1040" s="416"/>
      <c r="DG1040" s="416"/>
      <c r="DH1040" s="416"/>
      <c r="DI1040" s="416"/>
      <c r="DJ1040" s="416"/>
      <c r="DK1040" s="416"/>
    </row>
    <row r="1041" spans="96:115" s="9" customFormat="1">
      <c r="CR1041" s="416"/>
      <c r="CS1041" s="416"/>
      <c r="CT1041" s="416"/>
      <c r="CU1041" s="416"/>
      <c r="CV1041" s="416"/>
      <c r="CW1041" s="416"/>
      <c r="CX1041" s="416"/>
      <c r="CY1041" s="416"/>
      <c r="CZ1041" s="416"/>
      <c r="DF1041" s="416"/>
      <c r="DG1041" s="416"/>
      <c r="DH1041" s="416"/>
      <c r="DI1041" s="416"/>
      <c r="DJ1041" s="416"/>
      <c r="DK1041" s="416"/>
    </row>
    <row r="1042" spans="96:115" s="9" customFormat="1">
      <c r="CR1042" s="416"/>
      <c r="CS1042" s="416"/>
      <c r="CT1042" s="416"/>
      <c r="CU1042" s="416"/>
      <c r="CV1042" s="416"/>
      <c r="CW1042" s="416"/>
      <c r="CX1042" s="416"/>
      <c r="CY1042" s="416"/>
      <c r="CZ1042" s="416"/>
      <c r="DF1042" s="416"/>
      <c r="DG1042" s="416"/>
      <c r="DH1042" s="416"/>
      <c r="DI1042" s="416"/>
      <c r="DJ1042" s="416"/>
      <c r="DK1042" s="416"/>
    </row>
    <row r="1043" spans="96:115" s="9" customFormat="1">
      <c r="CR1043" s="416"/>
      <c r="CS1043" s="416"/>
      <c r="CT1043" s="416"/>
      <c r="CU1043" s="416"/>
      <c r="CV1043" s="416"/>
      <c r="CW1043" s="416"/>
      <c r="CX1043" s="416"/>
      <c r="CY1043" s="416"/>
      <c r="CZ1043" s="416"/>
      <c r="DF1043" s="416"/>
      <c r="DG1043" s="416"/>
      <c r="DH1043" s="416"/>
      <c r="DI1043" s="416"/>
      <c r="DJ1043" s="416"/>
      <c r="DK1043" s="416"/>
    </row>
    <row r="1044" spans="96:115" s="9" customFormat="1">
      <c r="CR1044" s="416"/>
      <c r="CS1044" s="416"/>
      <c r="CT1044" s="416"/>
      <c r="CU1044" s="416"/>
      <c r="CV1044" s="416"/>
      <c r="CW1044" s="416"/>
      <c r="CX1044" s="416"/>
      <c r="CY1044" s="416"/>
      <c r="CZ1044" s="416"/>
      <c r="DF1044" s="416"/>
      <c r="DG1044" s="416"/>
      <c r="DH1044" s="416"/>
      <c r="DI1044" s="416"/>
      <c r="DJ1044" s="416"/>
      <c r="DK1044" s="416"/>
    </row>
    <row r="1045" spans="96:115" s="9" customFormat="1">
      <c r="CR1045" s="416"/>
      <c r="CS1045" s="416"/>
      <c r="CT1045" s="416"/>
      <c r="CU1045" s="416"/>
      <c r="CV1045" s="416"/>
      <c r="CW1045" s="416"/>
      <c r="CX1045" s="416"/>
      <c r="CY1045" s="416"/>
      <c r="CZ1045" s="416"/>
      <c r="DF1045" s="416"/>
      <c r="DG1045" s="416"/>
      <c r="DH1045" s="416"/>
      <c r="DI1045" s="416"/>
      <c r="DJ1045" s="416"/>
      <c r="DK1045" s="416"/>
    </row>
    <row r="1046" spans="96:115" s="9" customFormat="1">
      <c r="CR1046" s="416"/>
      <c r="CS1046" s="416"/>
      <c r="CT1046" s="416"/>
      <c r="CU1046" s="416"/>
      <c r="CV1046" s="416"/>
      <c r="CW1046" s="416"/>
      <c r="CX1046" s="416"/>
      <c r="CY1046" s="416"/>
      <c r="CZ1046" s="416"/>
      <c r="DF1046" s="416"/>
      <c r="DG1046" s="416"/>
      <c r="DH1046" s="416"/>
      <c r="DI1046" s="416"/>
      <c r="DJ1046" s="416"/>
      <c r="DK1046" s="416"/>
    </row>
    <row r="1047" spans="96:115" s="9" customFormat="1">
      <c r="CR1047" s="416"/>
      <c r="CS1047" s="416"/>
      <c r="CT1047" s="416"/>
      <c r="CU1047" s="416"/>
      <c r="CV1047" s="416"/>
      <c r="CW1047" s="416"/>
      <c r="CX1047" s="416"/>
      <c r="CY1047" s="416"/>
      <c r="CZ1047" s="416"/>
      <c r="DF1047" s="416"/>
      <c r="DG1047" s="416"/>
      <c r="DH1047" s="416"/>
      <c r="DI1047" s="416"/>
      <c r="DJ1047" s="416"/>
      <c r="DK1047" s="416"/>
    </row>
    <row r="1048" spans="96:115" s="9" customFormat="1">
      <c r="CR1048" s="416"/>
      <c r="CS1048" s="416"/>
      <c r="CT1048" s="416"/>
      <c r="CU1048" s="416"/>
      <c r="CV1048" s="416"/>
      <c r="CW1048" s="416"/>
      <c r="CX1048" s="416"/>
      <c r="CY1048" s="416"/>
      <c r="CZ1048" s="416"/>
      <c r="DF1048" s="416"/>
      <c r="DG1048" s="416"/>
      <c r="DH1048" s="416"/>
      <c r="DI1048" s="416"/>
      <c r="DJ1048" s="416"/>
      <c r="DK1048" s="416"/>
    </row>
    <row r="1049" spans="96:115" s="9" customFormat="1">
      <c r="CR1049" s="416"/>
      <c r="CS1049" s="416"/>
      <c r="CT1049" s="416"/>
      <c r="CU1049" s="416"/>
      <c r="CV1049" s="416"/>
      <c r="CW1049" s="416"/>
      <c r="CX1049" s="416"/>
      <c r="CY1049" s="416"/>
      <c r="CZ1049" s="416"/>
      <c r="DF1049" s="416"/>
      <c r="DG1049" s="416"/>
      <c r="DH1049" s="416"/>
      <c r="DI1049" s="416"/>
      <c r="DJ1049" s="416"/>
      <c r="DK1049" s="416"/>
    </row>
    <row r="1050" spans="96:115" s="9" customFormat="1">
      <c r="CR1050" s="416"/>
      <c r="CS1050" s="416"/>
      <c r="CT1050" s="416"/>
      <c r="CU1050" s="416"/>
      <c r="CV1050" s="416"/>
      <c r="CW1050" s="416"/>
      <c r="CX1050" s="416"/>
      <c r="CY1050" s="416"/>
      <c r="CZ1050" s="416"/>
      <c r="DF1050" s="416"/>
      <c r="DG1050" s="416"/>
      <c r="DH1050" s="416"/>
      <c r="DI1050" s="416"/>
      <c r="DJ1050" s="416"/>
      <c r="DK1050" s="416"/>
    </row>
    <row r="1051" spans="96:115" s="9" customFormat="1">
      <c r="CR1051" s="416"/>
      <c r="CS1051" s="416"/>
      <c r="CT1051" s="416"/>
      <c r="CU1051" s="416"/>
      <c r="CV1051" s="416"/>
      <c r="CW1051" s="416"/>
      <c r="CX1051" s="416"/>
      <c r="CY1051" s="416"/>
      <c r="CZ1051" s="416"/>
      <c r="DF1051" s="416"/>
      <c r="DG1051" s="416"/>
      <c r="DH1051" s="416"/>
      <c r="DI1051" s="416"/>
      <c r="DJ1051" s="416"/>
      <c r="DK1051" s="416"/>
    </row>
    <row r="1052" spans="96:115" s="9" customFormat="1">
      <c r="CR1052" s="416"/>
      <c r="CS1052" s="416"/>
      <c r="CT1052" s="416"/>
      <c r="CU1052" s="416"/>
      <c r="CV1052" s="416"/>
      <c r="CW1052" s="416"/>
      <c r="CX1052" s="416"/>
      <c r="CY1052" s="416"/>
      <c r="CZ1052" s="416"/>
      <c r="DF1052" s="416"/>
      <c r="DG1052" s="416"/>
      <c r="DH1052" s="416"/>
      <c r="DI1052" s="416"/>
      <c r="DJ1052" s="416"/>
      <c r="DK1052" s="416"/>
    </row>
    <row r="1053" spans="96:115" s="9" customFormat="1">
      <c r="CR1053" s="416"/>
      <c r="CS1053" s="416"/>
      <c r="CT1053" s="416"/>
      <c r="CU1053" s="416"/>
      <c r="CV1053" s="416"/>
      <c r="CW1053" s="416"/>
      <c r="CX1053" s="416"/>
      <c r="CY1053" s="416"/>
      <c r="CZ1053" s="416"/>
      <c r="DF1053" s="416"/>
      <c r="DG1053" s="416"/>
      <c r="DH1053" s="416"/>
      <c r="DI1053" s="416"/>
      <c r="DJ1053" s="416"/>
      <c r="DK1053" s="416"/>
    </row>
    <row r="1054" spans="96:115" s="9" customFormat="1">
      <c r="CR1054" s="416"/>
      <c r="CS1054" s="416"/>
      <c r="CT1054" s="416"/>
      <c r="CU1054" s="416"/>
      <c r="CV1054" s="416"/>
      <c r="CW1054" s="416"/>
      <c r="CX1054" s="416"/>
      <c r="CY1054" s="416"/>
      <c r="CZ1054" s="416"/>
      <c r="DF1054" s="416"/>
      <c r="DG1054" s="416"/>
      <c r="DH1054" s="416"/>
      <c r="DI1054" s="416"/>
      <c r="DJ1054" s="416"/>
      <c r="DK1054" s="416"/>
    </row>
    <row r="1055" spans="96:115" s="9" customFormat="1">
      <c r="CR1055" s="416"/>
      <c r="CS1055" s="416"/>
      <c r="CT1055" s="416"/>
      <c r="CU1055" s="416"/>
      <c r="CV1055" s="416"/>
      <c r="CW1055" s="416"/>
      <c r="CX1055" s="416"/>
      <c r="CY1055" s="416"/>
      <c r="CZ1055" s="416"/>
      <c r="DF1055" s="416"/>
      <c r="DG1055" s="416"/>
      <c r="DH1055" s="416"/>
      <c r="DI1055" s="416"/>
      <c r="DJ1055" s="416"/>
      <c r="DK1055" s="416"/>
    </row>
    <row r="1056" spans="96:115" s="9" customFormat="1">
      <c r="CR1056" s="416"/>
      <c r="CS1056" s="416"/>
      <c r="CT1056" s="416"/>
      <c r="CU1056" s="416"/>
      <c r="CV1056" s="416"/>
      <c r="CW1056" s="416"/>
      <c r="CX1056" s="416"/>
      <c r="CY1056" s="416"/>
      <c r="CZ1056" s="416"/>
      <c r="DF1056" s="416"/>
      <c r="DG1056" s="416"/>
      <c r="DH1056" s="416"/>
      <c r="DI1056" s="416"/>
      <c r="DJ1056" s="416"/>
      <c r="DK1056" s="416"/>
    </row>
    <row r="1057" spans="96:115" s="9" customFormat="1">
      <c r="CR1057" s="416"/>
      <c r="CS1057" s="416"/>
      <c r="CT1057" s="416"/>
      <c r="CU1057" s="416"/>
      <c r="CV1057" s="416"/>
      <c r="CW1057" s="416"/>
      <c r="CX1057" s="416"/>
      <c r="CY1057" s="416"/>
      <c r="CZ1057" s="416"/>
      <c r="DF1057" s="416"/>
      <c r="DG1057" s="416"/>
      <c r="DH1057" s="416"/>
      <c r="DI1057" s="416"/>
      <c r="DJ1057" s="416"/>
      <c r="DK1057" s="416"/>
    </row>
    <row r="1058" spans="96:115" s="9" customFormat="1">
      <c r="CR1058" s="416"/>
      <c r="CS1058" s="416"/>
      <c r="CT1058" s="416"/>
      <c r="CU1058" s="416"/>
      <c r="CV1058" s="416"/>
      <c r="CW1058" s="416"/>
      <c r="CX1058" s="416"/>
      <c r="CY1058" s="416"/>
      <c r="CZ1058" s="416"/>
      <c r="DF1058" s="416"/>
      <c r="DG1058" s="416"/>
      <c r="DH1058" s="416"/>
      <c r="DI1058" s="416"/>
      <c r="DJ1058" s="416"/>
      <c r="DK1058" s="416"/>
    </row>
    <row r="1059" spans="96:115" s="9" customFormat="1">
      <c r="CR1059" s="416"/>
      <c r="CS1059" s="416"/>
      <c r="CT1059" s="416"/>
      <c r="CU1059" s="416"/>
      <c r="CV1059" s="416"/>
      <c r="CW1059" s="416"/>
      <c r="CX1059" s="416"/>
      <c r="CY1059" s="416"/>
      <c r="CZ1059" s="416"/>
      <c r="DF1059" s="416"/>
      <c r="DG1059" s="416"/>
      <c r="DH1059" s="416"/>
      <c r="DI1059" s="416"/>
      <c r="DJ1059" s="416"/>
      <c r="DK1059" s="416"/>
    </row>
    <row r="1060" spans="96:115" s="9" customFormat="1">
      <c r="CR1060" s="416"/>
      <c r="CS1060" s="416"/>
      <c r="CT1060" s="416"/>
      <c r="CU1060" s="416"/>
      <c r="CV1060" s="416"/>
      <c r="CW1060" s="416"/>
      <c r="CX1060" s="416"/>
      <c r="CY1060" s="416"/>
      <c r="CZ1060" s="416"/>
      <c r="DF1060" s="416"/>
      <c r="DG1060" s="416"/>
      <c r="DH1060" s="416"/>
      <c r="DI1060" s="416"/>
      <c r="DJ1060" s="416"/>
      <c r="DK1060" s="416"/>
    </row>
    <row r="1061" spans="96:115" s="9" customFormat="1">
      <c r="CR1061" s="416"/>
      <c r="CS1061" s="416"/>
      <c r="CT1061" s="416"/>
      <c r="CU1061" s="416"/>
      <c r="CV1061" s="416"/>
      <c r="CW1061" s="416"/>
      <c r="CX1061" s="416"/>
      <c r="CY1061" s="416"/>
      <c r="CZ1061" s="416"/>
      <c r="DF1061" s="416"/>
      <c r="DG1061" s="416"/>
      <c r="DH1061" s="416"/>
      <c r="DI1061" s="416"/>
      <c r="DJ1061" s="416"/>
      <c r="DK1061" s="416"/>
    </row>
    <row r="1062" spans="96:115" s="9" customFormat="1">
      <c r="CR1062" s="416"/>
      <c r="CS1062" s="416"/>
      <c r="CT1062" s="416"/>
      <c r="CU1062" s="416"/>
      <c r="CV1062" s="416"/>
      <c r="CW1062" s="416"/>
      <c r="CX1062" s="416"/>
      <c r="CY1062" s="416"/>
      <c r="CZ1062" s="416"/>
      <c r="DF1062" s="416"/>
      <c r="DG1062" s="416"/>
      <c r="DH1062" s="416"/>
      <c r="DI1062" s="416"/>
      <c r="DJ1062" s="416"/>
      <c r="DK1062" s="416"/>
    </row>
    <row r="1063" spans="96:115" s="9" customFormat="1">
      <c r="CR1063" s="416"/>
      <c r="CS1063" s="416"/>
      <c r="CT1063" s="416"/>
      <c r="CU1063" s="416"/>
      <c r="CV1063" s="416"/>
      <c r="CW1063" s="416"/>
      <c r="CX1063" s="416"/>
      <c r="CY1063" s="416"/>
      <c r="CZ1063" s="416"/>
      <c r="DF1063" s="416"/>
      <c r="DG1063" s="416"/>
      <c r="DH1063" s="416"/>
      <c r="DI1063" s="416"/>
      <c r="DJ1063" s="416"/>
      <c r="DK1063" s="416"/>
    </row>
    <row r="1064" spans="96:115" s="9" customFormat="1">
      <c r="CR1064" s="416"/>
      <c r="CS1064" s="416"/>
      <c r="CT1064" s="416"/>
      <c r="CU1064" s="416"/>
      <c r="CV1064" s="416"/>
      <c r="CW1064" s="416"/>
      <c r="CX1064" s="416"/>
      <c r="CY1064" s="416"/>
      <c r="CZ1064" s="416"/>
      <c r="DF1064" s="416"/>
      <c r="DG1064" s="416"/>
      <c r="DH1064" s="416"/>
      <c r="DI1064" s="416"/>
      <c r="DJ1064" s="416"/>
      <c r="DK1064" s="416"/>
    </row>
    <row r="1065" spans="96:115" s="9" customFormat="1">
      <c r="CR1065" s="416"/>
      <c r="CS1065" s="416"/>
      <c r="CT1065" s="416"/>
      <c r="CU1065" s="416"/>
      <c r="CV1065" s="416"/>
      <c r="CW1065" s="416"/>
      <c r="CX1065" s="416"/>
      <c r="CY1065" s="416"/>
      <c r="CZ1065" s="416"/>
      <c r="DF1065" s="416"/>
      <c r="DG1065" s="416"/>
      <c r="DH1065" s="416"/>
      <c r="DI1065" s="416"/>
      <c r="DJ1065" s="416"/>
      <c r="DK1065" s="416"/>
    </row>
    <row r="1066" spans="96:115" s="9" customFormat="1">
      <c r="CR1066" s="416"/>
      <c r="CS1066" s="416"/>
      <c r="CT1066" s="416"/>
      <c r="CU1066" s="416"/>
      <c r="CV1066" s="416"/>
      <c r="CW1066" s="416"/>
      <c r="CX1066" s="416"/>
      <c r="CY1066" s="416"/>
      <c r="CZ1066" s="416"/>
      <c r="DF1066" s="416"/>
      <c r="DG1066" s="416"/>
      <c r="DH1066" s="416"/>
      <c r="DI1066" s="416"/>
      <c r="DJ1066" s="416"/>
      <c r="DK1066" s="416"/>
    </row>
    <row r="1067" spans="96:115" s="9" customFormat="1">
      <c r="CR1067" s="416"/>
      <c r="CS1067" s="416"/>
      <c r="CT1067" s="416"/>
      <c r="CU1067" s="416"/>
      <c r="CV1067" s="416"/>
      <c r="CW1067" s="416"/>
      <c r="CX1067" s="416"/>
      <c r="CY1067" s="416"/>
      <c r="CZ1067" s="416"/>
      <c r="DF1067" s="416"/>
      <c r="DG1067" s="416"/>
      <c r="DH1067" s="416"/>
      <c r="DI1067" s="416"/>
      <c r="DJ1067" s="416"/>
      <c r="DK1067" s="416"/>
    </row>
    <row r="1068" spans="96:115" s="9" customFormat="1">
      <c r="CR1068" s="416"/>
      <c r="CS1068" s="416"/>
      <c r="CT1068" s="416"/>
      <c r="CU1068" s="416"/>
      <c r="CV1068" s="416"/>
      <c r="CW1068" s="416"/>
      <c r="CX1068" s="416"/>
      <c r="CY1068" s="416"/>
      <c r="CZ1068" s="416"/>
      <c r="DF1068" s="416"/>
      <c r="DG1068" s="416"/>
      <c r="DH1068" s="416"/>
      <c r="DI1068" s="416"/>
      <c r="DJ1068" s="416"/>
      <c r="DK1068" s="416"/>
    </row>
    <row r="1069" spans="96:115" s="9" customFormat="1">
      <c r="CR1069" s="416"/>
      <c r="CS1069" s="416"/>
      <c r="CT1069" s="416"/>
      <c r="CU1069" s="416"/>
      <c r="CV1069" s="416"/>
      <c r="CW1069" s="416"/>
      <c r="CX1069" s="416"/>
      <c r="CY1069" s="416"/>
      <c r="CZ1069" s="416"/>
      <c r="DF1069" s="416"/>
      <c r="DG1069" s="416"/>
      <c r="DH1069" s="416"/>
      <c r="DI1069" s="416"/>
      <c r="DJ1069" s="416"/>
      <c r="DK1069" s="416"/>
    </row>
    <row r="1070" spans="96:115" s="9" customFormat="1">
      <c r="CR1070" s="416"/>
      <c r="CS1070" s="416"/>
      <c r="CT1070" s="416"/>
      <c r="CU1070" s="416"/>
      <c r="CV1070" s="416"/>
      <c r="CW1070" s="416"/>
      <c r="CX1070" s="416"/>
      <c r="CY1070" s="416"/>
      <c r="CZ1070" s="416"/>
      <c r="DF1070" s="416"/>
      <c r="DG1070" s="416"/>
      <c r="DH1070" s="416"/>
      <c r="DI1070" s="416"/>
      <c r="DJ1070" s="416"/>
      <c r="DK1070" s="416"/>
    </row>
  </sheetData>
  <mergeCells count="7">
    <mergeCell ref="B1:C1"/>
    <mergeCell ref="S1:V1"/>
    <mergeCell ref="W1:X1"/>
    <mergeCell ref="O1:R1"/>
    <mergeCell ref="D1:E1"/>
    <mergeCell ref="G1:I1"/>
    <mergeCell ref="K1:N1"/>
  </mergeCells>
  <phoneticPr fontId="28" type="noConversion"/>
  <hyperlinks>
    <hyperlink ref="B1:C1" location="'Capa | Cover'!A1" display="CAPA/COVER" xr:uid="{00000000-0004-0000-0500-000000000000}"/>
  </hyperlinks>
  <printOptions horizontalCentered="1"/>
  <pageMargins left="0.25" right="0.25" top="0.75" bottom="0.75" header="0.3" footer="0.3"/>
  <pageSetup paperSize="9" scale="48" orientation="portrait" r:id="rId1"/>
  <headerFooter alignWithMargins="0">
    <oddHeader>&amp;L&amp;G</oddHeader>
    <oddFooter>&amp;L&amp;"Calibri"&amp;11&amp;K000000&amp;"Calibri"&amp;11&amp;K000000&amp;"Calibri"&amp;11 Investor Relations Lojas Renner  S.A._x000D_&amp;1#&amp;"Calibri"&amp;10&amp;K317100Classificação: Público</oddFooter>
  </headerFooter>
  <ignoredErrors>
    <ignoredError sqref="CS12:CS16 CQ11:CQ19 CP11 CP19 CK19:CO19 CJ11:CO11 CI12:CI19 BO11:BT11 CC11:CI11 CR11 CR19:CU19 CV11" formulaRange="1"/>
    <ignoredError sqref="CL52:CS52 CU17 CU32 CU34 CU33 CT34 CT32 CS33 CL33:CQ33 CL34:CS34 CL32:CS32 CI33:CK33 CI32:CK32 CI34:CK34 CR33 CI52 CL41:CN41 CP41:CS41 BN41:CK41 CT41:CU41 CO41 BN32:CB32 CV32:CW32 CV52:CW52 CV41:CW41 CW33 CW4:CW5 CW11 BU52:CB52" formula="1"/>
  </ignoredError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tint="-0.14999847407452621"/>
    <pageSetUpPr fitToPage="1"/>
  </sheetPr>
  <dimension ref="B1:Q661"/>
  <sheetViews>
    <sheetView zoomScaleNormal="100" workbookViewId="0">
      <pane ySplit="4" topLeftCell="A5" activePane="bottomLeft" state="frozen"/>
      <selection activeCell="EZ1" sqref="EZ1:FE1048576"/>
      <selection pane="bottomLeft" activeCell="C5" sqref="C5"/>
    </sheetView>
  </sheetViews>
  <sheetFormatPr defaultRowHeight="19.5" customHeight="1"/>
  <cols>
    <col min="1" max="1" width="1.28515625" style="397" customWidth="1"/>
    <col min="2" max="2" width="12.28515625" style="397" customWidth="1"/>
    <col min="3" max="3" width="11.28515625" style="397" customWidth="1"/>
    <col min="4" max="4" width="11.85546875" style="397" bestFit="1" customWidth="1"/>
    <col min="5" max="5" width="12.7109375" style="397" customWidth="1"/>
    <col min="6" max="6" width="10" style="397" customWidth="1"/>
    <col min="7" max="7" width="24.140625" style="397" bestFit="1" customWidth="1"/>
    <col min="8" max="8" width="40.7109375" style="397" customWidth="1"/>
    <col min="9" max="9" width="15.140625" style="397" customWidth="1"/>
    <col min="10" max="10" width="16" style="397" customWidth="1"/>
    <col min="11" max="11" width="13.5703125" style="398" customWidth="1"/>
    <col min="12" max="12" width="12.42578125" style="398" bestFit="1" customWidth="1"/>
    <col min="13" max="16384" width="9.140625" style="397"/>
  </cols>
  <sheetData>
    <row r="1" spans="2:12" ht="14.25">
      <c r="B1" s="612" t="s">
        <v>1132</v>
      </c>
      <c r="C1" s="612"/>
      <c r="G1" s="465"/>
    </row>
    <row r="2" spans="2:12" ht="6" customHeight="1"/>
    <row r="3" spans="2:12" ht="40.5" hidden="1">
      <c r="B3" s="470" t="s">
        <v>1092</v>
      </c>
      <c r="C3" s="471" t="s">
        <v>1093</v>
      </c>
      <c r="D3" s="471" t="s">
        <v>1094</v>
      </c>
      <c r="E3" s="471" t="s">
        <v>458</v>
      </c>
      <c r="F3" s="471" t="s">
        <v>459</v>
      </c>
      <c r="G3" s="471" t="s">
        <v>1095</v>
      </c>
      <c r="H3" s="471" t="s">
        <v>1096</v>
      </c>
      <c r="I3" s="471" t="s">
        <v>1097</v>
      </c>
      <c r="J3" s="471" t="s">
        <v>1098</v>
      </c>
      <c r="K3" s="471" t="s">
        <v>1099</v>
      </c>
      <c r="L3" s="471" t="s">
        <v>1100</v>
      </c>
    </row>
    <row r="4" spans="2:12" s="399" customFormat="1" ht="42" customHeight="1">
      <c r="B4" s="470" t="s">
        <v>1071</v>
      </c>
      <c r="C4" s="471" t="s">
        <v>1072</v>
      </c>
      <c r="D4" s="471" t="s">
        <v>768</v>
      </c>
      <c r="E4" s="471" t="s">
        <v>769</v>
      </c>
      <c r="F4" s="471" t="s">
        <v>770</v>
      </c>
      <c r="G4" s="471" t="s">
        <v>771</v>
      </c>
      <c r="H4" s="471" t="s">
        <v>837</v>
      </c>
      <c r="I4" s="471" t="s">
        <v>988</v>
      </c>
      <c r="J4" s="471" t="s">
        <v>810</v>
      </c>
      <c r="K4" s="471" t="s">
        <v>822</v>
      </c>
      <c r="L4" s="471" t="s">
        <v>811</v>
      </c>
    </row>
    <row r="5" spans="2:12" ht="19.5" customHeight="1">
      <c r="B5" s="472" t="s">
        <v>460</v>
      </c>
      <c r="C5" s="573">
        <v>44258</v>
      </c>
      <c r="D5" s="573" t="s">
        <v>1530</v>
      </c>
      <c r="E5" s="483" t="s">
        <v>806</v>
      </c>
      <c r="F5" s="574" t="s">
        <v>462</v>
      </c>
      <c r="G5" s="575" t="s">
        <v>548</v>
      </c>
      <c r="H5" s="576" t="s">
        <v>1531</v>
      </c>
      <c r="I5" s="576" t="s">
        <v>989</v>
      </c>
      <c r="J5" s="478">
        <v>2689.76</v>
      </c>
      <c r="K5" s="479">
        <f>K6+1</f>
        <v>386</v>
      </c>
      <c r="L5" s="578">
        <f t="shared" ref="L5:L6" si="0">L6+1</f>
        <v>607</v>
      </c>
    </row>
    <row r="6" spans="2:12" ht="19.5" customHeight="1">
      <c r="B6" s="472" t="s">
        <v>460</v>
      </c>
      <c r="C6" s="573">
        <v>44152</v>
      </c>
      <c r="D6" s="573" t="s">
        <v>1520</v>
      </c>
      <c r="E6" s="483" t="s">
        <v>806</v>
      </c>
      <c r="F6" s="574" t="s">
        <v>462</v>
      </c>
      <c r="G6" s="575" t="s">
        <v>469</v>
      </c>
      <c r="H6" s="576" t="s">
        <v>687</v>
      </c>
      <c r="I6" s="576" t="s">
        <v>989</v>
      </c>
      <c r="J6" s="478">
        <v>1873.24</v>
      </c>
      <c r="K6" s="479">
        <f>K7+1</f>
        <v>385</v>
      </c>
      <c r="L6" s="578">
        <f t="shared" si="0"/>
        <v>606</v>
      </c>
    </row>
    <row r="7" spans="2:12" ht="19.5" customHeight="1">
      <c r="B7" s="472" t="s">
        <v>460</v>
      </c>
      <c r="C7" s="573">
        <v>44124</v>
      </c>
      <c r="D7" s="573" t="s">
        <v>1520</v>
      </c>
      <c r="E7" s="483" t="s">
        <v>806</v>
      </c>
      <c r="F7" s="574" t="s">
        <v>466</v>
      </c>
      <c r="G7" s="575" t="s">
        <v>492</v>
      </c>
      <c r="H7" s="576" t="s">
        <v>1521</v>
      </c>
      <c r="I7" s="576" t="s">
        <v>989</v>
      </c>
      <c r="J7" s="478">
        <v>1435.19</v>
      </c>
      <c r="K7" s="479">
        <f>K8+1</f>
        <v>384</v>
      </c>
      <c r="L7" s="578">
        <f t="shared" ref="L7:L11" si="1">L8+1</f>
        <v>605</v>
      </c>
    </row>
    <row r="8" spans="2:12" ht="19.5" customHeight="1">
      <c r="B8" s="472" t="s">
        <v>460</v>
      </c>
      <c r="C8" s="573">
        <v>44103</v>
      </c>
      <c r="D8" s="573" t="s">
        <v>1452</v>
      </c>
      <c r="E8" s="483" t="s">
        <v>806</v>
      </c>
      <c r="F8" s="475" t="s">
        <v>462</v>
      </c>
      <c r="G8" s="476" t="s">
        <v>469</v>
      </c>
      <c r="H8" s="477" t="s">
        <v>1464</v>
      </c>
      <c r="I8" s="576" t="s">
        <v>989</v>
      </c>
      <c r="J8" s="478">
        <v>1075.71</v>
      </c>
      <c r="K8" s="479">
        <f>K9+1</f>
        <v>383</v>
      </c>
      <c r="L8" s="578">
        <f t="shared" si="1"/>
        <v>604</v>
      </c>
    </row>
    <row r="9" spans="2:12" ht="19.5" customHeight="1">
      <c r="B9" s="472" t="s">
        <v>460</v>
      </c>
      <c r="C9" s="573">
        <v>44096</v>
      </c>
      <c r="D9" s="573" t="s">
        <v>1452</v>
      </c>
      <c r="E9" s="484" t="s">
        <v>809</v>
      </c>
      <c r="F9" s="475" t="s">
        <v>463</v>
      </c>
      <c r="G9" s="476" t="s">
        <v>1462</v>
      </c>
      <c r="H9" s="477" t="s">
        <v>1463</v>
      </c>
      <c r="I9" s="576" t="s">
        <v>989</v>
      </c>
      <c r="J9" s="478">
        <v>1818.41</v>
      </c>
      <c r="K9" s="479">
        <f>K12+1</f>
        <v>382</v>
      </c>
      <c r="L9" s="578">
        <f t="shared" si="1"/>
        <v>603</v>
      </c>
    </row>
    <row r="10" spans="2:12" s="399" customFormat="1" ht="19.5" customHeight="1">
      <c r="B10" s="572" t="s">
        <v>491</v>
      </c>
      <c r="C10" s="573">
        <v>44070</v>
      </c>
      <c r="D10" s="573" t="s">
        <v>1452</v>
      </c>
      <c r="E10" s="581" t="s">
        <v>806</v>
      </c>
      <c r="F10" s="574" t="s">
        <v>466</v>
      </c>
      <c r="G10" s="575" t="s">
        <v>492</v>
      </c>
      <c r="H10" s="576" t="s">
        <v>962</v>
      </c>
      <c r="I10" s="576" t="s">
        <v>989</v>
      </c>
      <c r="J10" s="577">
        <v>278.05</v>
      </c>
      <c r="K10" s="582">
        <v>100</v>
      </c>
      <c r="L10" s="578">
        <f t="shared" si="1"/>
        <v>602</v>
      </c>
    </row>
    <row r="11" spans="2:12" s="399" customFormat="1" ht="19.5" customHeight="1">
      <c r="B11" s="572" t="s">
        <v>491</v>
      </c>
      <c r="C11" s="573">
        <v>44063</v>
      </c>
      <c r="D11" s="573" t="s">
        <v>1452</v>
      </c>
      <c r="E11" s="581" t="s">
        <v>808</v>
      </c>
      <c r="F11" s="574" t="s">
        <v>465</v>
      </c>
      <c r="G11" s="575" t="s">
        <v>473</v>
      </c>
      <c r="H11" s="576" t="s">
        <v>590</v>
      </c>
      <c r="I11" s="576" t="s">
        <v>989</v>
      </c>
      <c r="J11" s="577">
        <v>219.23</v>
      </c>
      <c r="K11" s="579">
        <v>99</v>
      </c>
      <c r="L11" s="580">
        <f t="shared" si="1"/>
        <v>601</v>
      </c>
    </row>
    <row r="12" spans="2:12" ht="19.5" customHeight="1">
      <c r="B12" s="472" t="s">
        <v>460</v>
      </c>
      <c r="C12" s="473">
        <v>44054</v>
      </c>
      <c r="D12" s="473" t="s">
        <v>1452</v>
      </c>
      <c r="E12" s="484" t="s">
        <v>809</v>
      </c>
      <c r="F12" s="475" t="s">
        <v>463</v>
      </c>
      <c r="G12" s="476" t="s">
        <v>1455</v>
      </c>
      <c r="H12" s="477" t="s">
        <v>1456</v>
      </c>
      <c r="I12" s="477" t="s">
        <v>989</v>
      </c>
      <c r="J12" s="478">
        <v>1507.76</v>
      </c>
      <c r="K12" s="479">
        <f>K14+1</f>
        <v>381</v>
      </c>
      <c r="L12" s="480">
        <f t="shared" ref="L12:L13" si="2">L13+1</f>
        <v>600</v>
      </c>
    </row>
    <row r="13" spans="2:12" ht="19.5" customHeight="1">
      <c r="B13" s="472" t="s">
        <v>490</v>
      </c>
      <c r="C13" s="473">
        <v>44051</v>
      </c>
      <c r="D13" s="473" t="s">
        <v>1452</v>
      </c>
      <c r="E13" s="483" t="s">
        <v>806</v>
      </c>
      <c r="F13" s="475" t="s">
        <v>462</v>
      </c>
      <c r="G13" s="476" t="s">
        <v>820</v>
      </c>
      <c r="H13" s="477" t="s">
        <v>821</v>
      </c>
      <c r="I13" s="477" t="s">
        <v>989</v>
      </c>
      <c r="J13" s="478">
        <v>470.74</v>
      </c>
      <c r="K13" s="489">
        <f>K16+1</f>
        <v>113</v>
      </c>
      <c r="L13" s="482">
        <f t="shared" si="2"/>
        <v>599</v>
      </c>
    </row>
    <row r="14" spans="2:12" ht="19.5" customHeight="1">
      <c r="B14" s="472" t="s">
        <v>460</v>
      </c>
      <c r="C14" s="473">
        <v>44047</v>
      </c>
      <c r="D14" s="473" t="s">
        <v>1452</v>
      </c>
      <c r="E14" s="484" t="s">
        <v>809</v>
      </c>
      <c r="F14" s="475" t="s">
        <v>467</v>
      </c>
      <c r="G14" s="476" t="s">
        <v>1454</v>
      </c>
      <c r="H14" s="477" t="s">
        <v>1453</v>
      </c>
      <c r="I14" s="477" t="s">
        <v>989</v>
      </c>
      <c r="J14" s="478">
        <v>2039.1</v>
      </c>
      <c r="K14" s="481">
        <f>K15+1</f>
        <v>380</v>
      </c>
      <c r="L14" s="482">
        <f>L15+1</f>
        <v>598</v>
      </c>
    </row>
    <row r="15" spans="2:12" ht="19.5" customHeight="1">
      <c r="B15" s="472" t="s">
        <v>460</v>
      </c>
      <c r="C15" s="473">
        <v>44044</v>
      </c>
      <c r="D15" s="473" t="s">
        <v>1452</v>
      </c>
      <c r="E15" s="483" t="s">
        <v>808</v>
      </c>
      <c r="F15" s="475" t="s">
        <v>464</v>
      </c>
      <c r="G15" s="476" t="s">
        <v>1445</v>
      </c>
      <c r="H15" s="477" t="s">
        <v>1451</v>
      </c>
      <c r="I15" s="477" t="s">
        <v>989</v>
      </c>
      <c r="J15" s="478">
        <v>2902.17</v>
      </c>
      <c r="K15" s="481">
        <f>K17+1</f>
        <v>379</v>
      </c>
      <c r="L15" s="482">
        <f>L16+1</f>
        <v>597</v>
      </c>
    </row>
    <row r="16" spans="2:12" ht="19.5" customHeight="1">
      <c r="B16" s="472" t="s">
        <v>490</v>
      </c>
      <c r="C16" s="473">
        <v>43907</v>
      </c>
      <c r="D16" s="473" t="s">
        <v>1436</v>
      </c>
      <c r="E16" s="483" t="s">
        <v>808</v>
      </c>
      <c r="F16" s="475" t="s">
        <v>464</v>
      </c>
      <c r="G16" s="476" t="s">
        <v>1445</v>
      </c>
      <c r="H16" s="477" t="s">
        <v>1451</v>
      </c>
      <c r="I16" s="477" t="s">
        <v>989</v>
      </c>
      <c r="J16" s="478" t="s">
        <v>1446</v>
      </c>
      <c r="K16" s="481">
        <f>K43+1</f>
        <v>112</v>
      </c>
      <c r="L16" s="482">
        <f>L17+1</f>
        <v>596</v>
      </c>
    </row>
    <row r="17" spans="2:12" ht="19.5" customHeight="1">
      <c r="B17" s="472" t="s">
        <v>460</v>
      </c>
      <c r="C17" s="473">
        <v>43817</v>
      </c>
      <c r="D17" s="473" t="s">
        <v>1397</v>
      </c>
      <c r="E17" s="474" t="s">
        <v>1426</v>
      </c>
      <c r="F17" s="475" t="s">
        <v>1427</v>
      </c>
      <c r="G17" s="476" t="s">
        <v>1424</v>
      </c>
      <c r="H17" s="477" t="s">
        <v>1422</v>
      </c>
      <c r="I17" s="477" t="s">
        <v>987</v>
      </c>
      <c r="J17" s="478">
        <v>5601.6</v>
      </c>
      <c r="K17" s="481">
        <f t="shared" ref="K17:L32" si="3">K18+1</f>
        <v>378</v>
      </c>
      <c r="L17" s="482">
        <f t="shared" si="3"/>
        <v>595</v>
      </c>
    </row>
    <row r="18" spans="2:12" ht="19.5" customHeight="1">
      <c r="B18" s="472" t="s">
        <v>460</v>
      </c>
      <c r="C18" s="473">
        <v>43816</v>
      </c>
      <c r="D18" s="473" t="s">
        <v>1397</v>
      </c>
      <c r="E18" s="474" t="s">
        <v>1426</v>
      </c>
      <c r="F18" s="475" t="s">
        <v>1427</v>
      </c>
      <c r="G18" s="476" t="s">
        <v>1424</v>
      </c>
      <c r="H18" s="477" t="s">
        <v>1423</v>
      </c>
      <c r="I18" s="477" t="s">
        <v>987</v>
      </c>
      <c r="J18" s="478">
        <v>3419.89</v>
      </c>
      <c r="K18" s="481">
        <f t="shared" si="3"/>
        <v>377</v>
      </c>
      <c r="L18" s="482">
        <f t="shared" si="3"/>
        <v>594</v>
      </c>
    </row>
    <row r="19" spans="2:12" ht="19.5" customHeight="1">
      <c r="B19" s="472" t="s">
        <v>460</v>
      </c>
      <c r="C19" s="473">
        <v>43813</v>
      </c>
      <c r="D19" s="473" t="s">
        <v>1397</v>
      </c>
      <c r="E19" s="474" t="s">
        <v>1426</v>
      </c>
      <c r="F19" s="475" t="s">
        <v>1427</v>
      </c>
      <c r="G19" s="476" t="s">
        <v>1425</v>
      </c>
      <c r="H19" s="477" t="s">
        <v>1421</v>
      </c>
      <c r="I19" s="477" t="s">
        <v>989</v>
      </c>
      <c r="J19" s="478">
        <v>4092.31</v>
      </c>
      <c r="K19" s="481">
        <f t="shared" si="3"/>
        <v>376</v>
      </c>
      <c r="L19" s="482">
        <f t="shared" si="3"/>
        <v>593</v>
      </c>
    </row>
    <row r="20" spans="2:12" ht="19.5" customHeight="1">
      <c r="B20" s="472" t="s">
        <v>460</v>
      </c>
      <c r="C20" s="473">
        <v>43811</v>
      </c>
      <c r="D20" s="473" t="s">
        <v>1397</v>
      </c>
      <c r="E20" s="474" t="s">
        <v>1426</v>
      </c>
      <c r="F20" s="475" t="s">
        <v>1427</v>
      </c>
      <c r="G20" s="476" t="s">
        <v>1425</v>
      </c>
      <c r="H20" s="477" t="s">
        <v>1420</v>
      </c>
      <c r="I20" s="477" t="s">
        <v>989</v>
      </c>
      <c r="J20" s="478">
        <v>2531.7600000000002</v>
      </c>
      <c r="K20" s="481">
        <f t="shared" si="3"/>
        <v>375</v>
      </c>
      <c r="L20" s="482">
        <f t="shared" si="3"/>
        <v>592</v>
      </c>
    </row>
    <row r="21" spans="2:12" ht="19.5" customHeight="1">
      <c r="B21" s="472" t="s">
        <v>460</v>
      </c>
      <c r="C21" s="473">
        <v>43813</v>
      </c>
      <c r="D21" s="473" t="s">
        <v>1397</v>
      </c>
      <c r="E21" s="483" t="s">
        <v>806</v>
      </c>
      <c r="F21" s="475" t="s">
        <v>750</v>
      </c>
      <c r="G21" s="476" t="s">
        <v>534</v>
      </c>
      <c r="H21" s="477" t="s">
        <v>1222</v>
      </c>
      <c r="I21" s="477" t="s">
        <v>989</v>
      </c>
      <c r="J21" s="478">
        <v>1330.7</v>
      </c>
      <c r="K21" s="481">
        <f t="shared" si="3"/>
        <v>374</v>
      </c>
      <c r="L21" s="482">
        <f t="shared" si="3"/>
        <v>591</v>
      </c>
    </row>
    <row r="22" spans="2:12" ht="19.5" customHeight="1">
      <c r="B22" s="472" t="s">
        <v>460</v>
      </c>
      <c r="C22" s="473">
        <v>43812</v>
      </c>
      <c r="D22" s="473" t="s">
        <v>1397</v>
      </c>
      <c r="E22" s="484" t="s">
        <v>809</v>
      </c>
      <c r="F22" s="475" t="s">
        <v>761</v>
      </c>
      <c r="G22" s="476" t="s">
        <v>1429</v>
      </c>
      <c r="H22" s="477" t="s">
        <v>1419</v>
      </c>
      <c r="I22" s="477" t="s">
        <v>989</v>
      </c>
      <c r="J22" s="478">
        <v>2089.48</v>
      </c>
      <c r="K22" s="481">
        <f t="shared" si="3"/>
        <v>373</v>
      </c>
      <c r="L22" s="482">
        <f t="shared" si="3"/>
        <v>590</v>
      </c>
    </row>
    <row r="23" spans="2:12" ht="19.5" customHeight="1">
      <c r="B23" s="472" t="s">
        <v>460</v>
      </c>
      <c r="C23" s="473">
        <v>43811</v>
      </c>
      <c r="D23" s="473" t="s">
        <v>1397</v>
      </c>
      <c r="E23" s="484" t="s">
        <v>805</v>
      </c>
      <c r="F23" s="475" t="s">
        <v>461</v>
      </c>
      <c r="G23" s="476" t="s">
        <v>495</v>
      </c>
      <c r="H23" s="477" t="s">
        <v>1418</v>
      </c>
      <c r="I23" s="477" t="s">
        <v>989</v>
      </c>
      <c r="J23" s="478">
        <v>818.3</v>
      </c>
      <c r="K23" s="481">
        <f t="shared" si="3"/>
        <v>372</v>
      </c>
      <c r="L23" s="482">
        <f t="shared" si="3"/>
        <v>589</v>
      </c>
    </row>
    <row r="24" spans="2:12" ht="19.5" customHeight="1">
      <c r="B24" s="472" t="s">
        <v>460</v>
      </c>
      <c r="C24" s="473">
        <v>43811</v>
      </c>
      <c r="D24" s="473" t="s">
        <v>1397</v>
      </c>
      <c r="E24" s="388" t="s">
        <v>1212</v>
      </c>
      <c r="F24" s="475" t="s">
        <v>1213</v>
      </c>
      <c r="G24" s="476" t="s">
        <v>1211</v>
      </c>
      <c r="H24" s="477" t="s">
        <v>1417</v>
      </c>
      <c r="I24" s="477" t="s">
        <v>989</v>
      </c>
      <c r="J24" s="478">
        <v>2502.58</v>
      </c>
      <c r="K24" s="481">
        <f>K25+1</f>
        <v>371</v>
      </c>
      <c r="L24" s="482">
        <f t="shared" si="3"/>
        <v>588</v>
      </c>
    </row>
    <row r="25" spans="2:12" ht="19.5" customHeight="1">
      <c r="B25" s="472" t="s">
        <v>460</v>
      </c>
      <c r="C25" s="473">
        <v>43810</v>
      </c>
      <c r="D25" s="473" t="s">
        <v>1397</v>
      </c>
      <c r="E25" s="388" t="s">
        <v>1212</v>
      </c>
      <c r="F25" s="475" t="s">
        <v>1213</v>
      </c>
      <c r="G25" s="476" t="s">
        <v>1211</v>
      </c>
      <c r="H25" s="477" t="s">
        <v>1428</v>
      </c>
      <c r="I25" s="477" t="s">
        <v>989</v>
      </c>
      <c r="J25" s="478">
        <v>2407.65</v>
      </c>
      <c r="K25" s="481">
        <f>K27+1</f>
        <v>370</v>
      </c>
      <c r="L25" s="482">
        <f t="shared" si="3"/>
        <v>587</v>
      </c>
    </row>
    <row r="26" spans="2:12" ht="19.5" customHeight="1">
      <c r="B26" s="485" t="s">
        <v>1296</v>
      </c>
      <c r="C26" s="473">
        <v>43810</v>
      </c>
      <c r="D26" s="473" t="s">
        <v>1397</v>
      </c>
      <c r="E26" s="483" t="s">
        <v>806</v>
      </c>
      <c r="F26" s="475" t="s">
        <v>462</v>
      </c>
      <c r="G26" s="476" t="s">
        <v>511</v>
      </c>
      <c r="H26" s="477" t="s">
        <v>594</v>
      </c>
      <c r="I26" s="477" t="s">
        <v>989</v>
      </c>
      <c r="J26" s="478">
        <v>241.96</v>
      </c>
      <c r="K26" s="486">
        <f>K39+1</f>
        <v>8</v>
      </c>
      <c r="L26" s="482">
        <f t="shared" si="3"/>
        <v>586</v>
      </c>
    </row>
    <row r="27" spans="2:12" ht="19.5" customHeight="1">
      <c r="B27" s="472" t="s">
        <v>460</v>
      </c>
      <c r="C27" s="473">
        <v>43809</v>
      </c>
      <c r="D27" s="473" t="s">
        <v>1397</v>
      </c>
      <c r="E27" s="484" t="s">
        <v>805</v>
      </c>
      <c r="F27" s="475" t="s">
        <v>461</v>
      </c>
      <c r="G27" s="476" t="s">
        <v>1416</v>
      </c>
      <c r="H27" s="477" t="s">
        <v>1415</v>
      </c>
      <c r="I27" s="477" t="s">
        <v>987</v>
      </c>
      <c r="J27" s="478">
        <v>1709.41</v>
      </c>
      <c r="K27" s="481">
        <f>K28+1</f>
        <v>369</v>
      </c>
      <c r="L27" s="482">
        <f t="shared" si="3"/>
        <v>585</v>
      </c>
    </row>
    <row r="28" spans="2:12" ht="19.5" customHeight="1">
      <c r="B28" s="472" t="s">
        <v>460</v>
      </c>
      <c r="C28" s="473">
        <v>43802</v>
      </c>
      <c r="D28" s="473" t="s">
        <v>1397</v>
      </c>
      <c r="E28" s="483" t="s">
        <v>806</v>
      </c>
      <c r="F28" s="475" t="s">
        <v>462</v>
      </c>
      <c r="G28" s="476" t="s">
        <v>469</v>
      </c>
      <c r="H28" s="477" t="s">
        <v>1412</v>
      </c>
      <c r="I28" s="477" t="s">
        <v>989</v>
      </c>
      <c r="J28" s="478">
        <v>1538.72</v>
      </c>
      <c r="K28" s="481">
        <f>K30+1</f>
        <v>368</v>
      </c>
      <c r="L28" s="482">
        <f t="shared" si="3"/>
        <v>584</v>
      </c>
    </row>
    <row r="29" spans="2:12" ht="19.5" customHeight="1">
      <c r="B29" s="472" t="s">
        <v>491</v>
      </c>
      <c r="C29" s="473">
        <v>43798</v>
      </c>
      <c r="D29" s="473" t="s">
        <v>1397</v>
      </c>
      <c r="E29" s="484" t="s">
        <v>808</v>
      </c>
      <c r="F29" s="475" t="s">
        <v>465</v>
      </c>
      <c r="G29" s="476" t="s">
        <v>473</v>
      </c>
      <c r="H29" s="477" t="s">
        <v>588</v>
      </c>
      <c r="I29" s="477" t="s">
        <v>989</v>
      </c>
      <c r="J29" s="478">
        <v>220.07</v>
      </c>
      <c r="K29" s="487">
        <f>K31+1</f>
        <v>98</v>
      </c>
      <c r="L29" s="482">
        <f t="shared" si="3"/>
        <v>583</v>
      </c>
    </row>
    <row r="30" spans="2:12" ht="19.5" customHeight="1">
      <c r="B30" s="472" t="s">
        <v>460</v>
      </c>
      <c r="C30" s="473">
        <v>43798</v>
      </c>
      <c r="D30" s="473" t="s">
        <v>1397</v>
      </c>
      <c r="E30" s="484" t="s">
        <v>805</v>
      </c>
      <c r="F30" s="475" t="s">
        <v>461</v>
      </c>
      <c r="G30" s="476" t="s">
        <v>1411</v>
      </c>
      <c r="H30" s="477" t="s">
        <v>1410</v>
      </c>
      <c r="I30" s="477" t="s">
        <v>987</v>
      </c>
      <c r="J30" s="478">
        <v>2148.2199999999998</v>
      </c>
      <c r="K30" s="481">
        <f>K32+1</f>
        <v>367</v>
      </c>
      <c r="L30" s="482">
        <f t="shared" si="3"/>
        <v>582</v>
      </c>
    </row>
    <row r="31" spans="2:12" ht="19.5" customHeight="1">
      <c r="B31" s="472" t="s">
        <v>491</v>
      </c>
      <c r="C31" s="473">
        <v>43797</v>
      </c>
      <c r="D31" s="473" t="s">
        <v>1397</v>
      </c>
      <c r="E31" s="484" t="s">
        <v>809</v>
      </c>
      <c r="F31" s="475" t="s">
        <v>757</v>
      </c>
      <c r="G31" s="476" t="s">
        <v>547</v>
      </c>
      <c r="H31" s="477" t="s">
        <v>1414</v>
      </c>
      <c r="I31" s="477" t="s">
        <v>989</v>
      </c>
      <c r="J31" s="478">
        <v>284.23</v>
      </c>
      <c r="K31" s="481">
        <f>K33+1</f>
        <v>97</v>
      </c>
      <c r="L31" s="482">
        <f t="shared" si="3"/>
        <v>581</v>
      </c>
    </row>
    <row r="32" spans="2:12" ht="19.5" customHeight="1">
      <c r="B32" s="472" t="s">
        <v>460</v>
      </c>
      <c r="C32" s="473">
        <v>43795</v>
      </c>
      <c r="D32" s="473" t="s">
        <v>1397</v>
      </c>
      <c r="E32" s="483" t="s">
        <v>806</v>
      </c>
      <c r="F32" s="475" t="s">
        <v>466</v>
      </c>
      <c r="G32" s="476" t="s">
        <v>1413</v>
      </c>
      <c r="H32" s="477" t="s">
        <v>1409</v>
      </c>
      <c r="I32" s="477" t="s">
        <v>989</v>
      </c>
      <c r="J32" s="478">
        <v>1818.26</v>
      </c>
      <c r="K32" s="481">
        <f>K34+1</f>
        <v>366</v>
      </c>
      <c r="L32" s="482">
        <f t="shared" si="3"/>
        <v>580</v>
      </c>
    </row>
    <row r="33" spans="2:12" ht="19.5" customHeight="1">
      <c r="B33" s="472" t="s">
        <v>491</v>
      </c>
      <c r="C33" s="473">
        <v>43790</v>
      </c>
      <c r="D33" s="473" t="s">
        <v>1397</v>
      </c>
      <c r="E33" s="484" t="s">
        <v>805</v>
      </c>
      <c r="F33" s="475" t="s">
        <v>461</v>
      </c>
      <c r="G33" s="476" t="s">
        <v>495</v>
      </c>
      <c r="H33" s="477" t="s">
        <v>1408</v>
      </c>
      <c r="I33" s="477" t="s">
        <v>989</v>
      </c>
      <c r="J33" s="478">
        <v>222.3</v>
      </c>
      <c r="K33" s="481">
        <f>K38+1</f>
        <v>96</v>
      </c>
      <c r="L33" s="482">
        <f>L34+1</f>
        <v>579</v>
      </c>
    </row>
    <row r="34" spans="2:12" ht="19.5" customHeight="1">
      <c r="B34" s="472" t="s">
        <v>460</v>
      </c>
      <c r="C34" s="473">
        <v>43790</v>
      </c>
      <c r="D34" s="473" t="s">
        <v>1397</v>
      </c>
      <c r="E34" s="483" t="s">
        <v>806</v>
      </c>
      <c r="F34" s="475" t="s">
        <v>462</v>
      </c>
      <c r="G34" s="476" t="s">
        <v>469</v>
      </c>
      <c r="H34" s="477" t="s">
        <v>737</v>
      </c>
      <c r="I34" s="477" t="s">
        <v>989</v>
      </c>
      <c r="J34" s="478">
        <v>1979.15</v>
      </c>
      <c r="K34" s="481">
        <f>K35+1</f>
        <v>365</v>
      </c>
      <c r="L34" s="482">
        <f>L35+1</f>
        <v>578</v>
      </c>
    </row>
    <row r="35" spans="2:12" ht="19.5" customHeight="1">
      <c r="B35" s="472" t="s">
        <v>460</v>
      </c>
      <c r="C35" s="473">
        <v>43783</v>
      </c>
      <c r="D35" s="473" t="s">
        <v>1397</v>
      </c>
      <c r="E35" s="483" t="s">
        <v>806</v>
      </c>
      <c r="F35" s="475" t="s">
        <v>462</v>
      </c>
      <c r="G35" s="476" t="s">
        <v>1404</v>
      </c>
      <c r="H35" s="477" t="s">
        <v>1407</v>
      </c>
      <c r="I35" s="477" t="s">
        <v>989</v>
      </c>
      <c r="J35" s="478">
        <v>1805.53</v>
      </c>
      <c r="K35" s="481">
        <f>K36+1</f>
        <v>364</v>
      </c>
      <c r="L35" s="482">
        <f t="shared" ref="L35:L37" si="4">L36+1</f>
        <v>577</v>
      </c>
    </row>
    <row r="36" spans="2:12" ht="19.5" customHeight="1">
      <c r="B36" s="472" t="s">
        <v>460</v>
      </c>
      <c r="C36" s="473">
        <v>43774</v>
      </c>
      <c r="D36" s="473" t="s">
        <v>1397</v>
      </c>
      <c r="E36" s="483" t="s">
        <v>806</v>
      </c>
      <c r="F36" s="475" t="s">
        <v>750</v>
      </c>
      <c r="G36" s="476" t="s">
        <v>1406</v>
      </c>
      <c r="H36" s="477" t="s">
        <v>1403</v>
      </c>
      <c r="I36" s="477" t="s">
        <v>989</v>
      </c>
      <c r="J36" s="478">
        <v>1599.1</v>
      </c>
      <c r="K36" s="481">
        <f>K37+1</f>
        <v>363</v>
      </c>
      <c r="L36" s="482">
        <f t="shared" si="4"/>
        <v>576</v>
      </c>
    </row>
    <row r="37" spans="2:12" ht="19.5" customHeight="1">
      <c r="B37" s="472" t="s">
        <v>460</v>
      </c>
      <c r="C37" s="473">
        <v>43770</v>
      </c>
      <c r="D37" s="473" t="s">
        <v>1397</v>
      </c>
      <c r="E37" s="483" t="s">
        <v>806</v>
      </c>
      <c r="F37" s="475" t="s">
        <v>466</v>
      </c>
      <c r="G37" s="476" t="s">
        <v>877</v>
      </c>
      <c r="H37" s="477" t="s">
        <v>1405</v>
      </c>
      <c r="I37" s="477" t="s">
        <v>989</v>
      </c>
      <c r="J37" s="478">
        <v>2425.89</v>
      </c>
      <c r="K37" s="481">
        <f>K44+1</f>
        <v>362</v>
      </c>
      <c r="L37" s="482">
        <f t="shared" si="4"/>
        <v>575</v>
      </c>
    </row>
    <row r="38" spans="2:12" ht="19.5" customHeight="1">
      <c r="B38" s="472" t="s">
        <v>491</v>
      </c>
      <c r="C38" s="473">
        <v>43769</v>
      </c>
      <c r="D38" s="473" t="s">
        <v>1397</v>
      </c>
      <c r="E38" s="484" t="s">
        <v>805</v>
      </c>
      <c r="F38" s="475" t="s">
        <v>748</v>
      </c>
      <c r="G38" s="476" t="s">
        <v>527</v>
      </c>
      <c r="H38" s="477" t="s">
        <v>1402</v>
      </c>
      <c r="I38" s="477" t="s">
        <v>989</v>
      </c>
      <c r="J38" s="478">
        <v>246.16</v>
      </c>
      <c r="K38" s="481">
        <f>K41+1</f>
        <v>95</v>
      </c>
      <c r="L38" s="482">
        <f>L39+1</f>
        <v>574</v>
      </c>
    </row>
    <row r="39" spans="2:12" ht="19.5" customHeight="1">
      <c r="B39" s="485" t="s">
        <v>1296</v>
      </c>
      <c r="C39" s="473">
        <v>43762</v>
      </c>
      <c r="D39" s="473" t="s">
        <v>1397</v>
      </c>
      <c r="E39" s="483" t="s">
        <v>806</v>
      </c>
      <c r="F39" s="475" t="s">
        <v>466</v>
      </c>
      <c r="G39" s="476" t="s">
        <v>492</v>
      </c>
      <c r="H39" s="477" t="s">
        <v>962</v>
      </c>
      <c r="I39" s="477" t="s">
        <v>989</v>
      </c>
      <c r="J39" s="478">
        <v>256.39</v>
      </c>
      <c r="K39" s="486">
        <f>K40+1</f>
        <v>7</v>
      </c>
      <c r="L39" s="482">
        <f t="shared" ref="L39:L43" si="5">L40+1</f>
        <v>573</v>
      </c>
    </row>
    <row r="40" spans="2:12" ht="19.5" customHeight="1">
      <c r="B40" s="485" t="s">
        <v>1296</v>
      </c>
      <c r="C40" s="473">
        <v>43755</v>
      </c>
      <c r="D40" s="473" t="s">
        <v>1397</v>
      </c>
      <c r="E40" s="484" t="s">
        <v>805</v>
      </c>
      <c r="F40" s="475" t="s">
        <v>461</v>
      </c>
      <c r="G40" s="476" t="s">
        <v>495</v>
      </c>
      <c r="H40" s="488" t="s">
        <v>1399</v>
      </c>
      <c r="I40" s="477" t="s">
        <v>989</v>
      </c>
      <c r="J40" s="478">
        <v>277.02999999999997</v>
      </c>
      <c r="K40" s="481">
        <f>K47+1</f>
        <v>6</v>
      </c>
      <c r="L40" s="482">
        <f t="shared" si="5"/>
        <v>572</v>
      </c>
    </row>
    <row r="41" spans="2:12" ht="19.5" customHeight="1">
      <c r="B41" s="472" t="s">
        <v>491</v>
      </c>
      <c r="C41" s="473">
        <v>43755</v>
      </c>
      <c r="D41" s="473" t="s">
        <v>1397</v>
      </c>
      <c r="E41" s="484" t="s">
        <v>809</v>
      </c>
      <c r="F41" s="475" t="s">
        <v>463</v>
      </c>
      <c r="G41" s="476" t="s">
        <v>508</v>
      </c>
      <c r="H41" s="488" t="s">
        <v>589</v>
      </c>
      <c r="I41" s="477" t="s">
        <v>989</v>
      </c>
      <c r="J41" s="478" t="s">
        <v>1401</v>
      </c>
      <c r="K41" s="481">
        <f>K42+1</f>
        <v>94</v>
      </c>
      <c r="L41" s="482">
        <f t="shared" si="5"/>
        <v>571</v>
      </c>
    </row>
    <row r="42" spans="2:12" ht="19.5" customHeight="1">
      <c r="B42" s="472" t="s">
        <v>491</v>
      </c>
      <c r="C42" s="473">
        <v>43748</v>
      </c>
      <c r="D42" s="473" t="s">
        <v>1397</v>
      </c>
      <c r="E42" s="483" t="s">
        <v>806</v>
      </c>
      <c r="F42" s="475" t="s">
        <v>762</v>
      </c>
      <c r="G42" s="476" t="s">
        <v>683</v>
      </c>
      <c r="H42" s="488" t="s">
        <v>1398</v>
      </c>
      <c r="I42" s="488" t="s">
        <v>989</v>
      </c>
      <c r="J42" s="478">
        <v>222.98</v>
      </c>
      <c r="K42" s="481">
        <f>K55+1</f>
        <v>93</v>
      </c>
      <c r="L42" s="482">
        <f t="shared" si="5"/>
        <v>570</v>
      </c>
    </row>
    <row r="43" spans="2:12" ht="19.5" customHeight="1">
      <c r="B43" s="472" t="s">
        <v>490</v>
      </c>
      <c r="C43" s="473">
        <v>43746</v>
      </c>
      <c r="D43" s="473" t="s">
        <v>1397</v>
      </c>
      <c r="E43" s="483" t="s">
        <v>806</v>
      </c>
      <c r="F43" s="475" t="s">
        <v>462</v>
      </c>
      <c r="G43" s="476" t="s">
        <v>469</v>
      </c>
      <c r="H43" s="488" t="s">
        <v>690</v>
      </c>
      <c r="I43" s="488" t="s">
        <v>989</v>
      </c>
      <c r="J43" s="478">
        <v>386.49</v>
      </c>
      <c r="K43" s="504">
        <f>K59+1</f>
        <v>111</v>
      </c>
      <c r="L43" s="482">
        <f t="shared" si="5"/>
        <v>569</v>
      </c>
    </row>
    <row r="44" spans="2:12" ht="19.5" customHeight="1">
      <c r="B44" s="472" t="s">
        <v>460</v>
      </c>
      <c r="C44" s="473">
        <v>43727</v>
      </c>
      <c r="D44" s="473" t="s">
        <v>1387</v>
      </c>
      <c r="E44" s="484" t="s">
        <v>808</v>
      </c>
      <c r="F44" s="475" t="s">
        <v>764</v>
      </c>
      <c r="G44" s="476" t="s">
        <v>790</v>
      </c>
      <c r="H44" s="488" t="s">
        <v>1392</v>
      </c>
      <c r="I44" s="488" t="s">
        <v>989</v>
      </c>
      <c r="J44" s="478">
        <v>1985.33</v>
      </c>
      <c r="K44" s="481">
        <f>K45+1</f>
        <v>361</v>
      </c>
      <c r="L44" s="482">
        <f>L45+1</f>
        <v>568</v>
      </c>
    </row>
    <row r="45" spans="2:12" ht="19.5" customHeight="1">
      <c r="B45" s="472" t="s">
        <v>460</v>
      </c>
      <c r="C45" s="473">
        <v>43706</v>
      </c>
      <c r="D45" s="473" t="s">
        <v>1387</v>
      </c>
      <c r="E45" s="483" t="s">
        <v>806</v>
      </c>
      <c r="F45" s="490" t="s">
        <v>753</v>
      </c>
      <c r="G45" s="491" t="s">
        <v>1391</v>
      </c>
      <c r="H45" s="488" t="s">
        <v>487</v>
      </c>
      <c r="I45" s="488" t="s">
        <v>989</v>
      </c>
      <c r="J45" s="478">
        <v>2121.91</v>
      </c>
      <c r="K45" s="482">
        <f>K46+1</f>
        <v>360</v>
      </c>
      <c r="L45" s="482">
        <f>L46+1</f>
        <v>567</v>
      </c>
    </row>
    <row r="46" spans="2:12" ht="19.5" customHeight="1">
      <c r="B46" s="472" t="s">
        <v>460</v>
      </c>
      <c r="C46" s="473">
        <v>43698</v>
      </c>
      <c r="D46" s="473" t="s">
        <v>1387</v>
      </c>
      <c r="E46" s="483" t="s">
        <v>808</v>
      </c>
      <c r="F46" s="490" t="s">
        <v>755</v>
      </c>
      <c r="G46" s="491" t="s">
        <v>1389</v>
      </c>
      <c r="H46" s="488" t="s">
        <v>1390</v>
      </c>
      <c r="I46" s="488" t="s">
        <v>989</v>
      </c>
      <c r="J46" s="478">
        <v>1816.69</v>
      </c>
      <c r="K46" s="482">
        <f>K49+1</f>
        <v>359</v>
      </c>
      <c r="L46" s="482">
        <f>L47+1</f>
        <v>566</v>
      </c>
    </row>
    <row r="47" spans="2:12" ht="19.5" customHeight="1">
      <c r="B47" s="485" t="s">
        <v>1296</v>
      </c>
      <c r="C47" s="473">
        <v>43693</v>
      </c>
      <c r="D47" s="473" t="s">
        <v>1387</v>
      </c>
      <c r="E47" s="483" t="s">
        <v>806</v>
      </c>
      <c r="F47" s="490" t="s">
        <v>462</v>
      </c>
      <c r="G47" s="491" t="s">
        <v>469</v>
      </c>
      <c r="H47" s="488" t="s">
        <v>1388</v>
      </c>
      <c r="I47" s="488" t="s">
        <v>989</v>
      </c>
      <c r="J47" s="478">
        <v>228.27</v>
      </c>
      <c r="K47" s="482">
        <f>K48+1</f>
        <v>5</v>
      </c>
      <c r="L47" s="482">
        <f>L48+1</f>
        <v>565</v>
      </c>
    </row>
    <row r="48" spans="2:12" ht="19.5" customHeight="1">
      <c r="B48" s="485" t="s">
        <v>1296</v>
      </c>
      <c r="C48" s="473">
        <v>43678</v>
      </c>
      <c r="D48" s="473" t="s">
        <v>1387</v>
      </c>
      <c r="E48" s="483" t="s">
        <v>805</v>
      </c>
      <c r="F48" s="490" t="s">
        <v>461</v>
      </c>
      <c r="G48" s="491" t="s">
        <v>549</v>
      </c>
      <c r="H48" s="488" t="s">
        <v>649</v>
      </c>
      <c r="I48" s="488" t="s">
        <v>989</v>
      </c>
      <c r="J48" s="478">
        <v>233.09</v>
      </c>
      <c r="K48" s="482">
        <f>K89+1</f>
        <v>4</v>
      </c>
      <c r="L48" s="482">
        <f>L49+1</f>
        <v>564</v>
      </c>
    </row>
    <row r="49" spans="2:12" ht="19.5" customHeight="1">
      <c r="B49" s="472" t="s">
        <v>460</v>
      </c>
      <c r="C49" s="473">
        <v>43678</v>
      </c>
      <c r="D49" s="473" t="s">
        <v>1387</v>
      </c>
      <c r="E49" s="483" t="s">
        <v>806</v>
      </c>
      <c r="F49" s="490" t="s">
        <v>462</v>
      </c>
      <c r="G49" s="491" t="s">
        <v>469</v>
      </c>
      <c r="H49" s="488" t="s">
        <v>1386</v>
      </c>
      <c r="I49" s="488" t="s">
        <v>987</v>
      </c>
      <c r="J49" s="478">
        <v>1927.01</v>
      </c>
      <c r="K49" s="482">
        <f>K51+1</f>
        <v>358</v>
      </c>
      <c r="L49" s="482">
        <f>L51+1</f>
        <v>563</v>
      </c>
    </row>
    <row r="50" spans="2:12" ht="19.5" customHeight="1">
      <c r="B50" s="472" t="s">
        <v>460</v>
      </c>
      <c r="C50" s="473">
        <v>43677</v>
      </c>
      <c r="D50" s="473" t="s">
        <v>1387</v>
      </c>
      <c r="E50" s="483" t="s">
        <v>806</v>
      </c>
      <c r="F50" s="490" t="s">
        <v>462</v>
      </c>
      <c r="G50" s="491" t="s">
        <v>1382</v>
      </c>
      <c r="H50" s="488" t="s">
        <v>1383</v>
      </c>
      <c r="I50" s="488" t="s">
        <v>989</v>
      </c>
      <c r="J50" s="478">
        <v>2101.16</v>
      </c>
      <c r="K50" s="482">
        <f>K52+1</f>
        <v>356</v>
      </c>
      <c r="L50" s="482">
        <f>L52+1</f>
        <v>561</v>
      </c>
    </row>
    <row r="51" spans="2:12" ht="19.5" customHeight="1">
      <c r="B51" s="472" t="s">
        <v>460</v>
      </c>
      <c r="C51" s="473">
        <v>43671</v>
      </c>
      <c r="D51" s="473" t="s">
        <v>1387</v>
      </c>
      <c r="E51" s="483" t="s">
        <v>805</v>
      </c>
      <c r="F51" s="490" t="s">
        <v>461</v>
      </c>
      <c r="G51" s="491" t="s">
        <v>1384</v>
      </c>
      <c r="H51" s="488" t="s">
        <v>1385</v>
      </c>
      <c r="I51" s="488" t="s">
        <v>987</v>
      </c>
      <c r="J51" s="478">
        <v>2011.31</v>
      </c>
      <c r="K51" s="482">
        <f>K50+1</f>
        <v>357</v>
      </c>
      <c r="L51" s="482">
        <f>L50+1</f>
        <v>562</v>
      </c>
    </row>
    <row r="52" spans="2:12" s="399" customFormat="1" ht="19.5" customHeight="1">
      <c r="B52" s="492" t="s">
        <v>460</v>
      </c>
      <c r="C52" s="493">
        <v>43621</v>
      </c>
      <c r="D52" s="493" t="s">
        <v>1362</v>
      </c>
      <c r="E52" s="494" t="s">
        <v>805</v>
      </c>
      <c r="F52" s="495" t="s">
        <v>762</v>
      </c>
      <c r="G52" s="496" t="s">
        <v>683</v>
      </c>
      <c r="H52" s="497" t="s">
        <v>1368</v>
      </c>
      <c r="I52" s="497" t="s">
        <v>989</v>
      </c>
      <c r="J52" s="498">
        <v>3399.9</v>
      </c>
      <c r="K52" s="499">
        <f>K53+1</f>
        <v>355</v>
      </c>
      <c r="L52" s="499">
        <f>L53+1</f>
        <v>560</v>
      </c>
    </row>
    <row r="53" spans="2:12" s="399" customFormat="1" ht="19.5" customHeight="1">
      <c r="B53" s="500" t="s">
        <v>460</v>
      </c>
      <c r="C53" s="501">
        <v>43621</v>
      </c>
      <c r="D53" s="501" t="s">
        <v>1362</v>
      </c>
      <c r="E53" s="484" t="s">
        <v>805</v>
      </c>
      <c r="F53" s="475" t="s">
        <v>762</v>
      </c>
      <c r="G53" s="476" t="s">
        <v>869</v>
      </c>
      <c r="H53" s="477" t="s">
        <v>1367</v>
      </c>
      <c r="I53" s="477" t="s">
        <v>989</v>
      </c>
      <c r="J53" s="502">
        <v>2011.6</v>
      </c>
      <c r="K53" s="503">
        <f>K54+1</f>
        <v>354</v>
      </c>
      <c r="L53" s="503">
        <f>L54+1</f>
        <v>559</v>
      </c>
    </row>
    <row r="54" spans="2:12" s="399" customFormat="1" ht="19.5" customHeight="1">
      <c r="B54" s="500" t="s">
        <v>460</v>
      </c>
      <c r="C54" s="501">
        <v>43620</v>
      </c>
      <c r="D54" s="501" t="s">
        <v>1362</v>
      </c>
      <c r="E54" s="484" t="s">
        <v>808</v>
      </c>
      <c r="F54" s="475" t="s">
        <v>749</v>
      </c>
      <c r="G54" s="476" t="s">
        <v>1369</v>
      </c>
      <c r="H54" s="477" t="s">
        <v>1371</v>
      </c>
      <c r="I54" s="477" t="s">
        <v>989</v>
      </c>
      <c r="J54" s="502">
        <v>1853.9</v>
      </c>
      <c r="K54" s="503">
        <f>K57+1</f>
        <v>353</v>
      </c>
      <c r="L54" s="503">
        <f t="shared" ref="L54:L117" si="6">L55+1</f>
        <v>558</v>
      </c>
    </row>
    <row r="55" spans="2:12" s="399" customFormat="1" ht="19.5" customHeight="1">
      <c r="B55" s="472" t="s">
        <v>491</v>
      </c>
      <c r="C55" s="501">
        <v>43616</v>
      </c>
      <c r="D55" s="501" t="s">
        <v>1362</v>
      </c>
      <c r="E55" s="484" t="s">
        <v>809</v>
      </c>
      <c r="F55" s="475" t="s">
        <v>467</v>
      </c>
      <c r="G55" s="476" t="s">
        <v>545</v>
      </c>
      <c r="H55" s="477" t="s">
        <v>1142</v>
      </c>
      <c r="I55" s="477" t="s">
        <v>989</v>
      </c>
      <c r="J55" s="502">
        <v>265.79000000000002</v>
      </c>
      <c r="K55" s="503">
        <f>K56+1</f>
        <v>92</v>
      </c>
      <c r="L55" s="503">
        <f t="shared" si="6"/>
        <v>557</v>
      </c>
    </row>
    <row r="56" spans="2:12" s="216" customFormat="1" ht="19.5" customHeight="1">
      <c r="B56" s="472" t="s">
        <v>491</v>
      </c>
      <c r="C56" s="501">
        <v>43615</v>
      </c>
      <c r="D56" s="501" t="s">
        <v>1362</v>
      </c>
      <c r="E56" s="483" t="s">
        <v>806</v>
      </c>
      <c r="F56" s="475" t="s">
        <v>462</v>
      </c>
      <c r="G56" s="476" t="s">
        <v>548</v>
      </c>
      <c r="H56" s="477" t="s">
        <v>645</v>
      </c>
      <c r="I56" s="477" t="s">
        <v>989</v>
      </c>
      <c r="J56" s="502">
        <v>240.06</v>
      </c>
      <c r="K56" s="503">
        <f>K63+1</f>
        <v>91</v>
      </c>
      <c r="L56" s="503">
        <f t="shared" si="6"/>
        <v>556</v>
      </c>
    </row>
    <row r="57" spans="2:12" s="216" customFormat="1" ht="19.5" customHeight="1">
      <c r="B57" s="500" t="s">
        <v>460</v>
      </c>
      <c r="C57" s="501">
        <v>43615</v>
      </c>
      <c r="D57" s="501" t="s">
        <v>1362</v>
      </c>
      <c r="E57" s="484" t="s">
        <v>806</v>
      </c>
      <c r="F57" s="475" t="s">
        <v>466</v>
      </c>
      <c r="G57" s="476" t="s">
        <v>492</v>
      </c>
      <c r="H57" s="477" t="s">
        <v>1366</v>
      </c>
      <c r="I57" s="477" t="s">
        <v>989</v>
      </c>
      <c r="J57" s="502">
        <v>1716.4</v>
      </c>
      <c r="K57" s="503">
        <f>K58+1</f>
        <v>352</v>
      </c>
      <c r="L57" s="503">
        <f t="shared" si="6"/>
        <v>555</v>
      </c>
    </row>
    <row r="58" spans="2:12" s="216" customFormat="1" ht="19.5" customHeight="1">
      <c r="B58" s="500" t="s">
        <v>460</v>
      </c>
      <c r="C58" s="501">
        <v>43615</v>
      </c>
      <c r="D58" s="501" t="s">
        <v>1362</v>
      </c>
      <c r="E58" s="484" t="s">
        <v>806</v>
      </c>
      <c r="F58" s="475" t="s">
        <v>462</v>
      </c>
      <c r="G58" s="476" t="s">
        <v>469</v>
      </c>
      <c r="H58" s="477" t="s">
        <v>1164</v>
      </c>
      <c r="I58" s="477" t="s">
        <v>989</v>
      </c>
      <c r="J58" s="502">
        <v>1551.24</v>
      </c>
      <c r="K58" s="503">
        <f>K62+1</f>
        <v>351</v>
      </c>
      <c r="L58" s="503">
        <f t="shared" si="6"/>
        <v>554</v>
      </c>
    </row>
    <row r="59" spans="2:12" s="216" customFormat="1" ht="19.5" customHeight="1">
      <c r="B59" s="500" t="s">
        <v>490</v>
      </c>
      <c r="C59" s="501">
        <v>43592</v>
      </c>
      <c r="D59" s="501" t="s">
        <v>1362</v>
      </c>
      <c r="E59" s="484" t="s">
        <v>807</v>
      </c>
      <c r="F59" s="475" t="s">
        <v>767</v>
      </c>
      <c r="G59" s="476" t="s">
        <v>858</v>
      </c>
      <c r="H59" s="477" t="s">
        <v>1372</v>
      </c>
      <c r="I59" s="477" t="s">
        <v>989</v>
      </c>
      <c r="J59" s="502">
        <v>490.14</v>
      </c>
      <c r="K59" s="504">
        <f>K60+1</f>
        <v>110</v>
      </c>
      <c r="L59" s="503">
        <f t="shared" si="6"/>
        <v>553</v>
      </c>
    </row>
    <row r="60" spans="2:12" s="399" customFormat="1" ht="18.75" customHeight="1">
      <c r="B60" s="500" t="s">
        <v>490</v>
      </c>
      <c r="C60" s="501">
        <v>43588</v>
      </c>
      <c r="D60" s="501" t="s">
        <v>1362</v>
      </c>
      <c r="E60" s="484" t="s">
        <v>806</v>
      </c>
      <c r="F60" s="475" t="s">
        <v>462</v>
      </c>
      <c r="G60" s="476" t="s">
        <v>469</v>
      </c>
      <c r="H60" s="477" t="s">
        <v>1365</v>
      </c>
      <c r="I60" s="477" t="s">
        <v>989</v>
      </c>
      <c r="J60" s="502">
        <v>299</v>
      </c>
      <c r="K60" s="504">
        <f>K61+1</f>
        <v>109</v>
      </c>
      <c r="L60" s="503">
        <f t="shared" si="6"/>
        <v>552</v>
      </c>
    </row>
    <row r="61" spans="2:12" s="399" customFormat="1" ht="18.75" customHeight="1">
      <c r="B61" s="500" t="s">
        <v>490</v>
      </c>
      <c r="C61" s="501">
        <v>43587</v>
      </c>
      <c r="D61" s="501" t="s">
        <v>1362</v>
      </c>
      <c r="E61" s="484" t="s">
        <v>806</v>
      </c>
      <c r="F61" s="475" t="s">
        <v>462</v>
      </c>
      <c r="G61" s="476" t="s">
        <v>469</v>
      </c>
      <c r="H61" s="477" t="s">
        <v>818</v>
      </c>
      <c r="I61" s="477" t="s">
        <v>989</v>
      </c>
      <c r="J61" s="502">
        <v>370.49</v>
      </c>
      <c r="K61" s="503">
        <f>K64+1</f>
        <v>108</v>
      </c>
      <c r="L61" s="503">
        <f t="shared" si="6"/>
        <v>551</v>
      </c>
    </row>
    <row r="62" spans="2:12" s="216" customFormat="1" ht="19.5" customHeight="1">
      <c r="B62" s="500" t="s">
        <v>460</v>
      </c>
      <c r="C62" s="501">
        <v>43580</v>
      </c>
      <c r="D62" s="501" t="s">
        <v>1362</v>
      </c>
      <c r="E62" s="484" t="s">
        <v>806</v>
      </c>
      <c r="F62" s="475" t="s">
        <v>462</v>
      </c>
      <c r="G62" s="476" t="s">
        <v>1355</v>
      </c>
      <c r="H62" s="477" t="s">
        <v>1370</v>
      </c>
      <c r="I62" s="477" t="s">
        <v>989</v>
      </c>
      <c r="J62" s="502">
        <v>1147.57</v>
      </c>
      <c r="K62" s="503">
        <f>K70+1</f>
        <v>350</v>
      </c>
      <c r="L62" s="503">
        <f t="shared" si="6"/>
        <v>550</v>
      </c>
    </row>
    <row r="63" spans="2:12" s="216" customFormat="1" ht="19.5" customHeight="1">
      <c r="B63" s="472" t="s">
        <v>491</v>
      </c>
      <c r="C63" s="501">
        <v>43573</v>
      </c>
      <c r="D63" s="501" t="s">
        <v>1362</v>
      </c>
      <c r="E63" s="484" t="s">
        <v>807</v>
      </c>
      <c r="F63" s="475" t="s">
        <v>765</v>
      </c>
      <c r="G63" s="476" t="s">
        <v>864</v>
      </c>
      <c r="H63" s="477" t="s">
        <v>903</v>
      </c>
      <c r="I63" s="477" t="s">
        <v>989</v>
      </c>
      <c r="J63" s="502">
        <v>208</v>
      </c>
      <c r="K63" s="503">
        <f>K65+1</f>
        <v>90</v>
      </c>
      <c r="L63" s="503">
        <f t="shared" si="6"/>
        <v>549</v>
      </c>
    </row>
    <row r="64" spans="2:12" s="216" customFormat="1" ht="19.5" customHeight="1">
      <c r="B64" s="500" t="s">
        <v>490</v>
      </c>
      <c r="C64" s="501">
        <v>43571</v>
      </c>
      <c r="D64" s="501" t="s">
        <v>1362</v>
      </c>
      <c r="E64" s="484" t="s">
        <v>806</v>
      </c>
      <c r="F64" s="475" t="s">
        <v>462</v>
      </c>
      <c r="G64" s="476" t="s">
        <v>1322</v>
      </c>
      <c r="H64" s="477" t="s">
        <v>1326</v>
      </c>
      <c r="I64" s="477" t="s">
        <v>989</v>
      </c>
      <c r="J64" s="502">
        <v>483.89</v>
      </c>
      <c r="K64" s="503">
        <f>K66+1</f>
        <v>107</v>
      </c>
      <c r="L64" s="503">
        <f t="shared" si="6"/>
        <v>548</v>
      </c>
    </row>
    <row r="65" spans="2:12" s="216" customFormat="1" ht="19.5" customHeight="1">
      <c r="B65" s="472" t="s">
        <v>491</v>
      </c>
      <c r="C65" s="501">
        <v>43566</v>
      </c>
      <c r="D65" s="501" t="s">
        <v>1362</v>
      </c>
      <c r="E65" s="484" t="s">
        <v>809</v>
      </c>
      <c r="F65" s="475" t="s">
        <v>757</v>
      </c>
      <c r="G65" s="476" t="s">
        <v>1356</v>
      </c>
      <c r="H65" s="477" t="s">
        <v>1351</v>
      </c>
      <c r="I65" s="477" t="s">
        <v>989</v>
      </c>
      <c r="J65" s="502">
        <v>232</v>
      </c>
      <c r="K65" s="503">
        <f>K78+1</f>
        <v>89</v>
      </c>
      <c r="L65" s="503">
        <f t="shared" si="6"/>
        <v>547</v>
      </c>
    </row>
    <row r="66" spans="2:12" s="216" customFormat="1" ht="19.5" customHeight="1">
      <c r="B66" s="500" t="s">
        <v>490</v>
      </c>
      <c r="C66" s="501">
        <v>43551</v>
      </c>
      <c r="D66" s="501" t="s">
        <v>1358</v>
      </c>
      <c r="E66" s="484" t="s">
        <v>806</v>
      </c>
      <c r="F66" s="475" t="s">
        <v>753</v>
      </c>
      <c r="G66" s="476" t="s">
        <v>530</v>
      </c>
      <c r="H66" s="477" t="s">
        <v>1352</v>
      </c>
      <c r="I66" s="477" t="s">
        <v>989</v>
      </c>
      <c r="J66" s="502">
        <v>336</v>
      </c>
      <c r="K66" s="503">
        <f>K67+1</f>
        <v>106</v>
      </c>
      <c r="L66" s="503">
        <f t="shared" si="6"/>
        <v>546</v>
      </c>
    </row>
    <row r="67" spans="2:12" s="216" customFormat="1" ht="19.5" customHeight="1">
      <c r="B67" s="500" t="s">
        <v>490</v>
      </c>
      <c r="C67" s="501">
        <v>43545</v>
      </c>
      <c r="D67" s="501" t="s">
        <v>1358</v>
      </c>
      <c r="E67" s="484" t="s">
        <v>805</v>
      </c>
      <c r="F67" s="475" t="s">
        <v>461</v>
      </c>
      <c r="G67" s="476" t="s">
        <v>860</v>
      </c>
      <c r="H67" s="477" t="s">
        <v>1353</v>
      </c>
      <c r="I67" s="477" t="s">
        <v>989</v>
      </c>
      <c r="J67" s="502">
        <v>369</v>
      </c>
      <c r="K67" s="503">
        <f>K68+1</f>
        <v>105</v>
      </c>
      <c r="L67" s="503">
        <f t="shared" si="6"/>
        <v>545</v>
      </c>
    </row>
    <row r="68" spans="2:12" s="216" customFormat="1" ht="19.5" customHeight="1">
      <c r="B68" s="500" t="s">
        <v>490</v>
      </c>
      <c r="C68" s="501">
        <v>43524</v>
      </c>
      <c r="D68" s="501" t="s">
        <v>1358</v>
      </c>
      <c r="E68" s="484" t="s">
        <v>808</v>
      </c>
      <c r="F68" s="475" t="s">
        <v>465</v>
      </c>
      <c r="G68" s="476" t="s">
        <v>473</v>
      </c>
      <c r="H68" s="477" t="s">
        <v>1354</v>
      </c>
      <c r="I68" s="477" t="s">
        <v>989</v>
      </c>
      <c r="J68" s="502">
        <v>300.89</v>
      </c>
      <c r="K68" s="503">
        <f>K69+1</f>
        <v>104</v>
      </c>
      <c r="L68" s="503">
        <f t="shared" si="6"/>
        <v>544</v>
      </c>
    </row>
    <row r="69" spans="2:12" s="216" customFormat="1" ht="19.5" customHeight="1">
      <c r="B69" s="500" t="s">
        <v>490</v>
      </c>
      <c r="C69" s="501">
        <v>43523</v>
      </c>
      <c r="D69" s="501" t="s">
        <v>1358</v>
      </c>
      <c r="E69" s="484" t="s">
        <v>807</v>
      </c>
      <c r="F69" s="475" t="s">
        <v>751</v>
      </c>
      <c r="G69" s="476" t="s">
        <v>503</v>
      </c>
      <c r="H69" s="477" t="s">
        <v>1357</v>
      </c>
      <c r="I69" s="477" t="s">
        <v>989</v>
      </c>
      <c r="J69" s="502">
        <v>539.85</v>
      </c>
      <c r="K69" s="503">
        <f>K84+1</f>
        <v>103</v>
      </c>
      <c r="L69" s="503">
        <f t="shared" si="6"/>
        <v>543</v>
      </c>
    </row>
    <row r="70" spans="2:12" s="216" customFormat="1" ht="19.5" customHeight="1">
      <c r="B70" s="500" t="s">
        <v>460</v>
      </c>
      <c r="C70" s="501">
        <v>43452</v>
      </c>
      <c r="D70" s="501" t="s">
        <v>1307</v>
      </c>
      <c r="E70" s="388" t="s">
        <v>1212</v>
      </c>
      <c r="F70" s="475" t="s">
        <v>1213</v>
      </c>
      <c r="G70" s="476" t="s">
        <v>1211</v>
      </c>
      <c r="H70" s="477" t="s">
        <v>1337</v>
      </c>
      <c r="I70" s="477" t="s">
        <v>989</v>
      </c>
      <c r="J70" s="502">
        <v>1610.92</v>
      </c>
      <c r="K70" s="503">
        <f t="shared" ref="K70:K76" si="7">K71+1</f>
        <v>349</v>
      </c>
      <c r="L70" s="503">
        <f t="shared" si="6"/>
        <v>542</v>
      </c>
    </row>
    <row r="71" spans="2:12" s="216" customFormat="1" ht="19.5" customHeight="1">
      <c r="B71" s="500" t="s">
        <v>460</v>
      </c>
      <c r="C71" s="501">
        <v>43448</v>
      </c>
      <c r="D71" s="501" t="s">
        <v>1307</v>
      </c>
      <c r="E71" s="484" t="s">
        <v>807</v>
      </c>
      <c r="F71" s="475" t="s">
        <v>751</v>
      </c>
      <c r="G71" s="476" t="s">
        <v>1335</v>
      </c>
      <c r="H71" s="477" t="s">
        <v>1338</v>
      </c>
      <c r="I71" s="477" t="s">
        <v>989</v>
      </c>
      <c r="J71" s="502">
        <v>1783</v>
      </c>
      <c r="K71" s="503">
        <f t="shared" si="7"/>
        <v>348</v>
      </c>
      <c r="L71" s="503">
        <f t="shared" si="6"/>
        <v>541</v>
      </c>
    </row>
    <row r="72" spans="2:12" s="216" customFormat="1" ht="19.5" customHeight="1">
      <c r="B72" s="500" t="s">
        <v>460</v>
      </c>
      <c r="C72" s="501">
        <v>43447</v>
      </c>
      <c r="D72" s="501" t="s">
        <v>1307</v>
      </c>
      <c r="E72" s="484" t="s">
        <v>805</v>
      </c>
      <c r="F72" s="475" t="s">
        <v>748</v>
      </c>
      <c r="G72" s="476" t="s">
        <v>1336</v>
      </c>
      <c r="H72" s="477" t="s">
        <v>1339</v>
      </c>
      <c r="I72" s="477" t="s">
        <v>987</v>
      </c>
      <c r="J72" s="502">
        <v>2123</v>
      </c>
      <c r="K72" s="503">
        <f t="shared" si="7"/>
        <v>347</v>
      </c>
      <c r="L72" s="503">
        <f t="shared" si="6"/>
        <v>540</v>
      </c>
    </row>
    <row r="73" spans="2:12" s="216" customFormat="1" ht="19.5" customHeight="1">
      <c r="B73" s="500" t="s">
        <v>460</v>
      </c>
      <c r="C73" s="501">
        <v>43441</v>
      </c>
      <c r="D73" s="501" t="s">
        <v>1307</v>
      </c>
      <c r="E73" s="484" t="s">
        <v>809</v>
      </c>
      <c r="F73" s="475" t="s">
        <v>757</v>
      </c>
      <c r="G73" s="476" t="s">
        <v>547</v>
      </c>
      <c r="H73" s="477" t="s">
        <v>1333</v>
      </c>
      <c r="I73" s="477" t="s">
        <v>989</v>
      </c>
      <c r="J73" s="502">
        <v>1899.64</v>
      </c>
      <c r="K73" s="503">
        <f t="shared" si="7"/>
        <v>346</v>
      </c>
      <c r="L73" s="503">
        <f t="shared" si="6"/>
        <v>539</v>
      </c>
    </row>
    <row r="74" spans="2:12" s="216" customFormat="1" ht="19.5" customHeight="1">
      <c r="B74" s="500" t="s">
        <v>460</v>
      </c>
      <c r="C74" s="501">
        <v>43441</v>
      </c>
      <c r="D74" s="501" t="s">
        <v>1307</v>
      </c>
      <c r="E74" s="484" t="s">
        <v>806</v>
      </c>
      <c r="F74" s="475" t="s">
        <v>750</v>
      </c>
      <c r="G74" s="476" t="s">
        <v>1328</v>
      </c>
      <c r="H74" s="477" t="s">
        <v>1334</v>
      </c>
      <c r="I74" s="477" t="s">
        <v>989</v>
      </c>
      <c r="J74" s="502">
        <v>2365.9</v>
      </c>
      <c r="K74" s="503">
        <f t="shared" si="7"/>
        <v>345</v>
      </c>
      <c r="L74" s="503">
        <f t="shared" si="6"/>
        <v>538</v>
      </c>
    </row>
    <row r="75" spans="2:12" s="216" customFormat="1" ht="19.5" customHeight="1">
      <c r="B75" s="500" t="s">
        <v>460</v>
      </c>
      <c r="C75" s="501">
        <v>43440</v>
      </c>
      <c r="D75" s="501" t="s">
        <v>1307</v>
      </c>
      <c r="E75" s="484" t="s">
        <v>806</v>
      </c>
      <c r="F75" s="475" t="s">
        <v>750</v>
      </c>
      <c r="G75" s="476" t="s">
        <v>1329</v>
      </c>
      <c r="H75" s="477" t="s">
        <v>1332</v>
      </c>
      <c r="I75" s="477" t="s">
        <v>989</v>
      </c>
      <c r="J75" s="502">
        <v>1594.6</v>
      </c>
      <c r="K75" s="503">
        <f t="shared" si="7"/>
        <v>344</v>
      </c>
      <c r="L75" s="503">
        <f t="shared" si="6"/>
        <v>537</v>
      </c>
    </row>
    <row r="76" spans="2:12" s="216" customFormat="1" ht="19.5" customHeight="1">
      <c r="B76" s="500" t="s">
        <v>460</v>
      </c>
      <c r="C76" s="501">
        <v>43439</v>
      </c>
      <c r="D76" s="501" t="s">
        <v>1307</v>
      </c>
      <c r="E76" s="484" t="s">
        <v>809</v>
      </c>
      <c r="F76" s="475" t="s">
        <v>463</v>
      </c>
      <c r="G76" s="476" t="s">
        <v>1330</v>
      </c>
      <c r="H76" s="477" t="s">
        <v>1331</v>
      </c>
      <c r="I76" s="477" t="s">
        <v>989</v>
      </c>
      <c r="J76" s="502">
        <v>2290.56</v>
      </c>
      <c r="K76" s="503">
        <f t="shared" si="7"/>
        <v>343</v>
      </c>
      <c r="L76" s="503">
        <f t="shared" si="6"/>
        <v>536</v>
      </c>
    </row>
    <row r="77" spans="2:12" s="216" customFormat="1" ht="19.5" customHeight="1">
      <c r="B77" s="500" t="s">
        <v>460</v>
      </c>
      <c r="C77" s="501">
        <v>43427</v>
      </c>
      <c r="D77" s="501" t="s">
        <v>1307</v>
      </c>
      <c r="E77" s="505" t="s">
        <v>1212</v>
      </c>
      <c r="F77" s="475" t="s">
        <v>1213</v>
      </c>
      <c r="G77" s="476" t="s">
        <v>1321</v>
      </c>
      <c r="H77" s="477" t="s">
        <v>1327</v>
      </c>
      <c r="I77" s="477" t="s">
        <v>989</v>
      </c>
      <c r="J77" s="502">
        <v>1548.8</v>
      </c>
      <c r="K77" s="503">
        <f>K79+1</f>
        <v>342</v>
      </c>
      <c r="L77" s="503">
        <f t="shared" si="6"/>
        <v>535</v>
      </c>
    </row>
    <row r="78" spans="2:12" s="216" customFormat="1" ht="19.5" customHeight="1">
      <c r="B78" s="472" t="s">
        <v>491</v>
      </c>
      <c r="C78" s="501">
        <v>43423</v>
      </c>
      <c r="D78" s="501" t="s">
        <v>1307</v>
      </c>
      <c r="E78" s="483" t="s">
        <v>806</v>
      </c>
      <c r="F78" s="475" t="s">
        <v>462</v>
      </c>
      <c r="G78" s="476" t="s">
        <v>1322</v>
      </c>
      <c r="H78" s="477" t="s">
        <v>1326</v>
      </c>
      <c r="I78" s="477" t="s">
        <v>989</v>
      </c>
      <c r="J78" s="502">
        <v>235.5</v>
      </c>
      <c r="K78" s="503">
        <f>K85+1</f>
        <v>88</v>
      </c>
      <c r="L78" s="503">
        <f t="shared" si="6"/>
        <v>534</v>
      </c>
    </row>
    <row r="79" spans="2:12" s="216" customFormat="1" ht="19.5" customHeight="1">
      <c r="B79" s="500" t="s">
        <v>460</v>
      </c>
      <c r="C79" s="501">
        <v>43423</v>
      </c>
      <c r="D79" s="501" t="s">
        <v>1307</v>
      </c>
      <c r="E79" s="484" t="s">
        <v>806</v>
      </c>
      <c r="F79" s="475" t="s">
        <v>462</v>
      </c>
      <c r="G79" s="476" t="s">
        <v>1322</v>
      </c>
      <c r="H79" s="477" t="s">
        <v>1326</v>
      </c>
      <c r="I79" s="477" t="s">
        <v>989</v>
      </c>
      <c r="J79" s="502">
        <v>2759</v>
      </c>
      <c r="K79" s="503">
        <f>K80+1</f>
        <v>341</v>
      </c>
      <c r="L79" s="503">
        <f t="shared" si="6"/>
        <v>533</v>
      </c>
    </row>
    <row r="80" spans="2:12" s="216" customFormat="1" ht="19.5" customHeight="1">
      <c r="B80" s="500" t="s">
        <v>460</v>
      </c>
      <c r="C80" s="501">
        <v>43417</v>
      </c>
      <c r="D80" s="501" t="s">
        <v>1307</v>
      </c>
      <c r="E80" s="484" t="s">
        <v>805</v>
      </c>
      <c r="F80" s="475" t="s">
        <v>762</v>
      </c>
      <c r="G80" s="476" t="s">
        <v>1323</v>
      </c>
      <c r="H80" s="477" t="s">
        <v>1325</v>
      </c>
      <c r="I80" s="477" t="s">
        <v>989</v>
      </c>
      <c r="J80" s="502">
        <v>1679.8</v>
      </c>
      <c r="K80" s="503">
        <f>K81+1</f>
        <v>340</v>
      </c>
      <c r="L80" s="503">
        <f t="shared" si="6"/>
        <v>532</v>
      </c>
    </row>
    <row r="81" spans="2:12" s="216" customFormat="1" ht="19.5" customHeight="1">
      <c r="B81" s="500" t="s">
        <v>460</v>
      </c>
      <c r="C81" s="501">
        <v>43412</v>
      </c>
      <c r="D81" s="501" t="s">
        <v>1307</v>
      </c>
      <c r="E81" s="484" t="s">
        <v>805</v>
      </c>
      <c r="F81" s="475" t="s">
        <v>461</v>
      </c>
      <c r="G81" s="476" t="s">
        <v>860</v>
      </c>
      <c r="H81" s="477" t="s">
        <v>1324</v>
      </c>
      <c r="I81" s="477" t="s">
        <v>989</v>
      </c>
      <c r="J81" s="502">
        <v>2840</v>
      </c>
      <c r="K81" s="503">
        <f>K82+1</f>
        <v>339</v>
      </c>
      <c r="L81" s="503">
        <f t="shared" si="6"/>
        <v>531</v>
      </c>
    </row>
    <row r="82" spans="2:12" s="216" customFormat="1" ht="19.5" customHeight="1">
      <c r="B82" s="500" t="s">
        <v>460</v>
      </c>
      <c r="C82" s="501">
        <v>43403</v>
      </c>
      <c r="D82" s="501" t="s">
        <v>1307</v>
      </c>
      <c r="E82" s="484" t="s">
        <v>806</v>
      </c>
      <c r="F82" s="475" t="s">
        <v>462</v>
      </c>
      <c r="G82" s="476" t="s">
        <v>849</v>
      </c>
      <c r="H82" s="477" t="s">
        <v>850</v>
      </c>
      <c r="I82" s="477" t="s">
        <v>989</v>
      </c>
      <c r="J82" s="502">
        <v>1737</v>
      </c>
      <c r="K82" s="503">
        <f>K83+1</f>
        <v>338</v>
      </c>
      <c r="L82" s="503">
        <f t="shared" si="6"/>
        <v>530</v>
      </c>
    </row>
    <row r="83" spans="2:12" s="216" customFormat="1" ht="19.5" customHeight="1">
      <c r="B83" s="500" t="s">
        <v>460</v>
      </c>
      <c r="C83" s="501">
        <v>43396</v>
      </c>
      <c r="D83" s="501" t="s">
        <v>1307</v>
      </c>
      <c r="E83" s="484" t="s">
        <v>809</v>
      </c>
      <c r="F83" s="475" t="s">
        <v>463</v>
      </c>
      <c r="G83" s="476" t="s">
        <v>508</v>
      </c>
      <c r="H83" s="477" t="s">
        <v>1318</v>
      </c>
      <c r="I83" s="477" t="s">
        <v>989</v>
      </c>
      <c r="J83" s="502">
        <v>2898</v>
      </c>
      <c r="K83" s="503">
        <f>K88+1</f>
        <v>337</v>
      </c>
      <c r="L83" s="503">
        <f t="shared" si="6"/>
        <v>529</v>
      </c>
    </row>
    <row r="84" spans="2:12" s="216" customFormat="1" ht="19.5" customHeight="1">
      <c r="B84" s="500" t="s">
        <v>490</v>
      </c>
      <c r="C84" s="501">
        <v>43396</v>
      </c>
      <c r="D84" s="501" t="s">
        <v>1307</v>
      </c>
      <c r="E84" s="484" t="s">
        <v>809</v>
      </c>
      <c r="F84" s="475" t="s">
        <v>463</v>
      </c>
      <c r="G84" s="476" t="s">
        <v>1317</v>
      </c>
      <c r="H84" s="477" t="s">
        <v>1318</v>
      </c>
      <c r="I84" s="477" t="s">
        <v>989</v>
      </c>
      <c r="J84" s="502">
        <v>513.70000000000005</v>
      </c>
      <c r="K84" s="503">
        <f>K90+1</f>
        <v>102</v>
      </c>
      <c r="L84" s="503">
        <f t="shared" si="6"/>
        <v>528</v>
      </c>
    </row>
    <row r="85" spans="2:12" s="216" customFormat="1" ht="19.5" customHeight="1">
      <c r="B85" s="472" t="s">
        <v>491</v>
      </c>
      <c r="C85" s="501">
        <v>43396</v>
      </c>
      <c r="D85" s="501" t="s">
        <v>1307</v>
      </c>
      <c r="E85" s="484" t="s">
        <v>809</v>
      </c>
      <c r="F85" s="475" t="s">
        <v>463</v>
      </c>
      <c r="G85" s="476" t="s">
        <v>1317</v>
      </c>
      <c r="H85" s="477" t="s">
        <v>1318</v>
      </c>
      <c r="I85" s="477" t="s">
        <v>989</v>
      </c>
      <c r="J85" s="502">
        <v>210.84</v>
      </c>
      <c r="K85" s="503">
        <f>K86+1</f>
        <v>87</v>
      </c>
      <c r="L85" s="503">
        <f t="shared" si="6"/>
        <v>527</v>
      </c>
    </row>
    <row r="86" spans="2:12" s="216" customFormat="1" ht="19.5" customHeight="1">
      <c r="B86" s="472" t="s">
        <v>491</v>
      </c>
      <c r="C86" s="501">
        <v>43391</v>
      </c>
      <c r="D86" s="501" t="s">
        <v>1307</v>
      </c>
      <c r="E86" s="484" t="s">
        <v>805</v>
      </c>
      <c r="F86" s="475" t="s">
        <v>762</v>
      </c>
      <c r="G86" s="476" t="s">
        <v>794</v>
      </c>
      <c r="H86" s="477" t="s">
        <v>1319</v>
      </c>
      <c r="I86" s="477" t="s">
        <v>989</v>
      </c>
      <c r="J86" s="502">
        <v>216.81</v>
      </c>
      <c r="K86" s="503">
        <f>K87+1</f>
        <v>86</v>
      </c>
      <c r="L86" s="503">
        <f t="shared" si="6"/>
        <v>526</v>
      </c>
    </row>
    <row r="87" spans="2:12" s="216" customFormat="1" ht="19.5" customHeight="1">
      <c r="B87" s="472" t="s">
        <v>491</v>
      </c>
      <c r="C87" s="501">
        <v>43378</v>
      </c>
      <c r="D87" s="501" t="s">
        <v>1307</v>
      </c>
      <c r="E87" s="484" t="s">
        <v>807</v>
      </c>
      <c r="F87" s="475" t="s">
        <v>758</v>
      </c>
      <c r="G87" s="476" t="s">
        <v>539</v>
      </c>
      <c r="H87" s="477" t="s">
        <v>1293</v>
      </c>
      <c r="I87" s="477" t="s">
        <v>989</v>
      </c>
      <c r="J87" s="502">
        <v>357.76</v>
      </c>
      <c r="K87" s="503">
        <f>K96+1</f>
        <v>85</v>
      </c>
      <c r="L87" s="503">
        <f t="shared" si="6"/>
        <v>525</v>
      </c>
    </row>
    <row r="88" spans="2:12" s="216" customFormat="1" ht="19.5" customHeight="1">
      <c r="B88" s="500" t="s">
        <v>460</v>
      </c>
      <c r="C88" s="501">
        <v>43377</v>
      </c>
      <c r="D88" s="501" t="s">
        <v>1307</v>
      </c>
      <c r="E88" s="484" t="s">
        <v>806</v>
      </c>
      <c r="F88" s="475" t="s">
        <v>462</v>
      </c>
      <c r="G88" s="476" t="s">
        <v>1294</v>
      </c>
      <c r="H88" s="477" t="s">
        <v>1295</v>
      </c>
      <c r="I88" s="477" t="s">
        <v>989</v>
      </c>
      <c r="J88" s="502">
        <v>1795.73</v>
      </c>
      <c r="K88" s="503">
        <f>K91+1</f>
        <v>336</v>
      </c>
      <c r="L88" s="503">
        <f t="shared" si="6"/>
        <v>524</v>
      </c>
    </row>
    <row r="89" spans="2:12" s="216" customFormat="1" ht="19.5" customHeight="1">
      <c r="B89" s="506" t="s">
        <v>1296</v>
      </c>
      <c r="C89" s="501">
        <v>43370</v>
      </c>
      <c r="D89" s="501" t="s">
        <v>1279</v>
      </c>
      <c r="E89" s="484" t="s">
        <v>806</v>
      </c>
      <c r="F89" s="475" t="s">
        <v>462</v>
      </c>
      <c r="G89" s="476" t="s">
        <v>469</v>
      </c>
      <c r="H89" s="477" t="s">
        <v>1297</v>
      </c>
      <c r="I89" s="477" t="s">
        <v>989</v>
      </c>
      <c r="J89" s="502">
        <v>192.84</v>
      </c>
      <c r="K89" s="503">
        <f>K92+1</f>
        <v>3</v>
      </c>
      <c r="L89" s="503">
        <f t="shared" si="6"/>
        <v>523</v>
      </c>
    </row>
    <row r="90" spans="2:12" s="216" customFormat="1" ht="19.5" customHeight="1">
      <c r="B90" s="500" t="s">
        <v>490</v>
      </c>
      <c r="C90" s="501">
        <v>43357</v>
      </c>
      <c r="D90" s="501" t="s">
        <v>1279</v>
      </c>
      <c r="E90" s="484" t="s">
        <v>806</v>
      </c>
      <c r="F90" s="475" t="s">
        <v>750</v>
      </c>
      <c r="G90" s="476" t="s">
        <v>502</v>
      </c>
      <c r="H90" s="477" t="s">
        <v>1298</v>
      </c>
      <c r="I90" s="477" t="s">
        <v>989</v>
      </c>
      <c r="J90" s="502">
        <v>563.1</v>
      </c>
      <c r="K90" s="503">
        <f>K97+1</f>
        <v>101</v>
      </c>
      <c r="L90" s="503">
        <f t="shared" si="6"/>
        <v>522</v>
      </c>
    </row>
    <row r="91" spans="2:12" s="216" customFormat="1" ht="19.5" customHeight="1">
      <c r="B91" s="500" t="s">
        <v>460</v>
      </c>
      <c r="C91" s="501">
        <v>43356</v>
      </c>
      <c r="D91" s="501" t="s">
        <v>1279</v>
      </c>
      <c r="E91" s="484" t="s">
        <v>808</v>
      </c>
      <c r="F91" s="475" t="s">
        <v>755</v>
      </c>
      <c r="G91" s="476" t="s">
        <v>1299</v>
      </c>
      <c r="H91" s="477" t="s">
        <v>1300</v>
      </c>
      <c r="I91" s="477" t="s">
        <v>989</v>
      </c>
      <c r="J91" s="502">
        <v>2027.3</v>
      </c>
      <c r="K91" s="503">
        <f>K93+1</f>
        <v>335</v>
      </c>
      <c r="L91" s="503">
        <f t="shared" si="6"/>
        <v>521</v>
      </c>
    </row>
    <row r="92" spans="2:12" s="216" customFormat="1" ht="19.5" customHeight="1">
      <c r="B92" s="506" t="s">
        <v>1296</v>
      </c>
      <c r="C92" s="501">
        <v>43356</v>
      </c>
      <c r="D92" s="501" t="s">
        <v>1279</v>
      </c>
      <c r="E92" s="484" t="s">
        <v>806</v>
      </c>
      <c r="F92" s="475" t="s">
        <v>462</v>
      </c>
      <c r="G92" s="476" t="s">
        <v>469</v>
      </c>
      <c r="H92" s="477" t="s">
        <v>648</v>
      </c>
      <c r="I92" s="477" t="s">
        <v>989</v>
      </c>
      <c r="J92" s="502">
        <v>241</v>
      </c>
      <c r="K92" s="503">
        <f>K94+1</f>
        <v>2</v>
      </c>
      <c r="L92" s="503">
        <f t="shared" si="6"/>
        <v>520</v>
      </c>
    </row>
    <row r="93" spans="2:12" s="216" customFormat="1" ht="19.5" customHeight="1">
      <c r="B93" s="500" t="s">
        <v>460</v>
      </c>
      <c r="C93" s="501">
        <v>43348</v>
      </c>
      <c r="D93" s="501" t="s">
        <v>1279</v>
      </c>
      <c r="E93" s="484" t="s">
        <v>806</v>
      </c>
      <c r="F93" s="475" t="s">
        <v>466</v>
      </c>
      <c r="G93" s="476" t="s">
        <v>492</v>
      </c>
      <c r="H93" s="477" t="s">
        <v>1301</v>
      </c>
      <c r="I93" s="477" t="s">
        <v>989</v>
      </c>
      <c r="J93" s="502">
        <v>1825.28</v>
      </c>
      <c r="K93" s="503">
        <f>K95+1</f>
        <v>334</v>
      </c>
      <c r="L93" s="503">
        <f t="shared" si="6"/>
        <v>519</v>
      </c>
    </row>
    <row r="94" spans="2:12" s="216" customFormat="1" ht="19.5" customHeight="1">
      <c r="B94" s="506" t="s">
        <v>1296</v>
      </c>
      <c r="C94" s="501">
        <v>43347</v>
      </c>
      <c r="D94" s="501" t="s">
        <v>1279</v>
      </c>
      <c r="E94" s="484" t="s">
        <v>805</v>
      </c>
      <c r="F94" s="475" t="s">
        <v>461</v>
      </c>
      <c r="G94" s="476" t="s">
        <v>495</v>
      </c>
      <c r="H94" s="477" t="s">
        <v>691</v>
      </c>
      <c r="I94" s="477" t="s">
        <v>989</v>
      </c>
      <c r="J94" s="502">
        <v>248.67</v>
      </c>
      <c r="K94" s="503">
        <v>1</v>
      </c>
      <c r="L94" s="503">
        <f t="shared" si="6"/>
        <v>518</v>
      </c>
    </row>
    <row r="95" spans="2:12" s="216" customFormat="1" ht="19.5" customHeight="1">
      <c r="B95" s="500" t="s">
        <v>460</v>
      </c>
      <c r="C95" s="501">
        <v>43333</v>
      </c>
      <c r="D95" s="501" t="s">
        <v>1279</v>
      </c>
      <c r="E95" s="484" t="s">
        <v>806</v>
      </c>
      <c r="F95" s="475" t="s">
        <v>750</v>
      </c>
      <c r="G95" s="476" t="s">
        <v>1302</v>
      </c>
      <c r="H95" s="477" t="s">
        <v>1303</v>
      </c>
      <c r="I95" s="477" t="s">
        <v>989</v>
      </c>
      <c r="J95" s="502">
        <v>1509.29</v>
      </c>
      <c r="K95" s="503">
        <f>K106+1</f>
        <v>333</v>
      </c>
      <c r="L95" s="503">
        <f t="shared" si="6"/>
        <v>517</v>
      </c>
    </row>
    <row r="96" spans="2:12" s="216" customFormat="1" ht="19.5" customHeight="1">
      <c r="B96" s="472" t="s">
        <v>491</v>
      </c>
      <c r="C96" s="501">
        <v>43328</v>
      </c>
      <c r="D96" s="501" t="s">
        <v>1279</v>
      </c>
      <c r="E96" s="484" t="s">
        <v>805</v>
      </c>
      <c r="F96" s="475" t="s">
        <v>748</v>
      </c>
      <c r="G96" s="476" t="s">
        <v>779</v>
      </c>
      <c r="H96" s="477" t="s">
        <v>1304</v>
      </c>
      <c r="I96" s="477" t="s">
        <v>989</v>
      </c>
      <c r="J96" s="502">
        <v>204.5</v>
      </c>
      <c r="K96" s="503">
        <f>K102+1</f>
        <v>84</v>
      </c>
      <c r="L96" s="503">
        <f t="shared" si="6"/>
        <v>516</v>
      </c>
    </row>
    <row r="97" spans="2:17" s="216" customFormat="1" ht="19.5" customHeight="1">
      <c r="B97" s="500" t="s">
        <v>490</v>
      </c>
      <c r="C97" s="501">
        <v>43328</v>
      </c>
      <c r="D97" s="501" t="s">
        <v>1279</v>
      </c>
      <c r="E97" s="484" t="s">
        <v>808</v>
      </c>
      <c r="F97" s="475" t="s">
        <v>764</v>
      </c>
      <c r="G97" s="476" t="s">
        <v>1126</v>
      </c>
      <c r="H97" s="477" t="s">
        <v>1305</v>
      </c>
      <c r="I97" s="477" t="s">
        <v>989</v>
      </c>
      <c r="J97" s="502">
        <v>546.08000000000004</v>
      </c>
      <c r="K97" s="503">
        <f>K98+1</f>
        <v>100</v>
      </c>
      <c r="L97" s="503">
        <f t="shared" si="6"/>
        <v>515</v>
      </c>
    </row>
    <row r="98" spans="2:17" s="216" customFormat="1" ht="19.5" customHeight="1">
      <c r="B98" s="500" t="s">
        <v>490</v>
      </c>
      <c r="C98" s="501">
        <v>43322</v>
      </c>
      <c r="D98" s="501" t="s">
        <v>1279</v>
      </c>
      <c r="E98" s="484" t="s">
        <v>808</v>
      </c>
      <c r="F98" s="475" t="s">
        <v>764</v>
      </c>
      <c r="G98" s="476" t="s">
        <v>790</v>
      </c>
      <c r="H98" s="477" t="s">
        <v>1306</v>
      </c>
      <c r="I98" s="477" t="s">
        <v>989</v>
      </c>
      <c r="J98" s="502">
        <v>689.37</v>
      </c>
      <c r="K98" s="503">
        <f>K99+1</f>
        <v>99</v>
      </c>
      <c r="L98" s="503">
        <f t="shared" si="6"/>
        <v>514</v>
      </c>
    </row>
    <row r="99" spans="2:17" s="216" customFormat="1" ht="18.75" customHeight="1">
      <c r="B99" s="500" t="s">
        <v>490</v>
      </c>
      <c r="C99" s="501">
        <v>43321</v>
      </c>
      <c r="D99" s="501" t="s">
        <v>1279</v>
      </c>
      <c r="E99" s="484" t="s">
        <v>806</v>
      </c>
      <c r="F99" s="475" t="s">
        <v>750</v>
      </c>
      <c r="G99" s="476" t="s">
        <v>534</v>
      </c>
      <c r="H99" s="477" t="s">
        <v>947</v>
      </c>
      <c r="I99" s="477" t="s">
        <v>989</v>
      </c>
      <c r="J99" s="502">
        <v>477.28</v>
      </c>
      <c r="K99" s="503">
        <f>K100+1</f>
        <v>98</v>
      </c>
      <c r="L99" s="503">
        <f t="shared" si="6"/>
        <v>513</v>
      </c>
    </row>
    <row r="100" spans="2:17" s="216" customFormat="1" ht="19.5" customHeight="1">
      <c r="B100" s="500" t="s">
        <v>490</v>
      </c>
      <c r="C100" s="501">
        <v>43312</v>
      </c>
      <c r="D100" s="501" t="s">
        <v>1279</v>
      </c>
      <c r="E100" s="484" t="s">
        <v>807</v>
      </c>
      <c r="F100" s="475" t="s">
        <v>758</v>
      </c>
      <c r="G100" s="476" t="s">
        <v>539</v>
      </c>
      <c r="H100" s="477" t="s">
        <v>1293</v>
      </c>
      <c r="I100" s="477" t="s">
        <v>989</v>
      </c>
      <c r="J100" s="502">
        <v>661</v>
      </c>
      <c r="K100" s="503">
        <f>K101+1</f>
        <v>97</v>
      </c>
      <c r="L100" s="503">
        <f t="shared" si="6"/>
        <v>512</v>
      </c>
    </row>
    <row r="101" spans="2:17" s="216" customFormat="1" ht="19.5" customHeight="1">
      <c r="B101" s="500" t="s">
        <v>490</v>
      </c>
      <c r="C101" s="501">
        <v>43293</v>
      </c>
      <c r="D101" s="501" t="s">
        <v>1279</v>
      </c>
      <c r="E101" s="484" t="s">
        <v>805</v>
      </c>
      <c r="F101" s="475" t="s">
        <v>748</v>
      </c>
      <c r="G101" s="476" t="s">
        <v>518</v>
      </c>
      <c r="H101" s="477" t="s">
        <v>1165</v>
      </c>
      <c r="I101" s="477" t="s">
        <v>989</v>
      </c>
      <c r="J101" s="502">
        <v>383.3</v>
      </c>
      <c r="K101" s="503">
        <f>K105+1</f>
        <v>96</v>
      </c>
      <c r="L101" s="503">
        <f t="shared" si="6"/>
        <v>511</v>
      </c>
    </row>
    <row r="102" spans="2:17" s="216" customFormat="1" ht="19.5" customHeight="1">
      <c r="B102" s="472" t="s">
        <v>491</v>
      </c>
      <c r="C102" s="501">
        <v>43286</v>
      </c>
      <c r="D102" s="501" t="s">
        <v>1279</v>
      </c>
      <c r="E102" s="484" t="s">
        <v>809</v>
      </c>
      <c r="F102" s="475" t="s">
        <v>757</v>
      </c>
      <c r="G102" s="476" t="s">
        <v>547</v>
      </c>
      <c r="H102" s="477" t="s">
        <v>1280</v>
      </c>
      <c r="I102" s="477" t="s">
        <v>989</v>
      </c>
      <c r="J102" s="502">
        <v>172.1</v>
      </c>
      <c r="K102" s="503">
        <f>K103+1</f>
        <v>83</v>
      </c>
      <c r="L102" s="503">
        <f t="shared" si="6"/>
        <v>510</v>
      </c>
    </row>
    <row r="103" spans="2:17" s="216" customFormat="1" ht="19.5" customHeight="1">
      <c r="B103" s="472" t="s">
        <v>491</v>
      </c>
      <c r="C103" s="501">
        <v>43259</v>
      </c>
      <c r="D103" s="501" t="s">
        <v>1256</v>
      </c>
      <c r="E103" s="483" t="s">
        <v>806</v>
      </c>
      <c r="F103" s="475" t="s">
        <v>462</v>
      </c>
      <c r="G103" s="476" t="s">
        <v>859</v>
      </c>
      <c r="H103" s="477" t="s">
        <v>893</v>
      </c>
      <c r="I103" s="477" t="s">
        <v>989</v>
      </c>
      <c r="J103" s="502">
        <v>222.93</v>
      </c>
      <c r="K103" s="503">
        <f>K104+1</f>
        <v>82</v>
      </c>
      <c r="L103" s="503">
        <f t="shared" si="6"/>
        <v>509</v>
      </c>
    </row>
    <row r="104" spans="2:17" s="216" customFormat="1" ht="19.5" customHeight="1">
      <c r="B104" s="472" t="s">
        <v>491</v>
      </c>
      <c r="C104" s="501">
        <v>43258</v>
      </c>
      <c r="D104" s="501" t="s">
        <v>1256</v>
      </c>
      <c r="E104" s="483" t="s">
        <v>806</v>
      </c>
      <c r="F104" s="475" t="s">
        <v>462</v>
      </c>
      <c r="G104" s="476" t="s">
        <v>469</v>
      </c>
      <c r="H104" s="477" t="s">
        <v>1231</v>
      </c>
      <c r="I104" s="477" t="s">
        <v>989</v>
      </c>
      <c r="J104" s="502">
        <v>273.17</v>
      </c>
      <c r="K104" s="503">
        <f>K115+1</f>
        <v>81</v>
      </c>
      <c r="L104" s="503">
        <f t="shared" si="6"/>
        <v>508</v>
      </c>
      <c r="Q104" s="421"/>
    </row>
    <row r="105" spans="2:17" s="216" customFormat="1" ht="19.5" customHeight="1">
      <c r="B105" s="500" t="s">
        <v>490</v>
      </c>
      <c r="C105" s="501">
        <v>43232</v>
      </c>
      <c r="D105" s="501" t="s">
        <v>1256</v>
      </c>
      <c r="E105" s="484" t="s">
        <v>807</v>
      </c>
      <c r="F105" s="475" t="s">
        <v>758</v>
      </c>
      <c r="G105" s="476" t="s">
        <v>539</v>
      </c>
      <c r="H105" s="477" t="s">
        <v>921</v>
      </c>
      <c r="I105" s="477" t="s">
        <v>989</v>
      </c>
      <c r="J105" s="502">
        <v>343.9</v>
      </c>
      <c r="K105" s="503">
        <f>K112+1</f>
        <v>95</v>
      </c>
      <c r="L105" s="503">
        <f t="shared" si="6"/>
        <v>507</v>
      </c>
    </row>
    <row r="106" spans="2:17" s="216" customFormat="1" ht="19.5" customHeight="1">
      <c r="B106" s="500" t="s">
        <v>460</v>
      </c>
      <c r="C106" s="501">
        <v>43228</v>
      </c>
      <c r="D106" s="501" t="s">
        <v>1256</v>
      </c>
      <c r="E106" s="484" t="s">
        <v>808</v>
      </c>
      <c r="F106" s="475" t="s">
        <v>465</v>
      </c>
      <c r="G106" s="476" t="s">
        <v>1277</v>
      </c>
      <c r="H106" s="477" t="s">
        <v>1278</v>
      </c>
      <c r="I106" s="477" t="s">
        <v>989</v>
      </c>
      <c r="J106" s="502">
        <v>3253.3</v>
      </c>
      <c r="K106" s="503">
        <f>K107+1</f>
        <v>332</v>
      </c>
      <c r="L106" s="503">
        <f t="shared" si="6"/>
        <v>506</v>
      </c>
      <c r="N106" s="421"/>
    </row>
    <row r="107" spans="2:17" s="216" customFormat="1" ht="19.5" customHeight="1">
      <c r="B107" s="500" t="s">
        <v>460</v>
      </c>
      <c r="C107" s="501">
        <v>43227</v>
      </c>
      <c r="D107" s="501" t="s">
        <v>1256</v>
      </c>
      <c r="E107" s="505" t="s">
        <v>1212</v>
      </c>
      <c r="F107" s="475" t="s">
        <v>1213</v>
      </c>
      <c r="G107" s="476" t="s">
        <v>1211</v>
      </c>
      <c r="H107" s="477" t="s">
        <v>1276</v>
      </c>
      <c r="I107" s="477" t="s">
        <v>989</v>
      </c>
      <c r="J107" s="502">
        <v>1974</v>
      </c>
      <c r="K107" s="503">
        <f>K109+1</f>
        <v>331</v>
      </c>
      <c r="L107" s="503">
        <f>L109+1</f>
        <v>505</v>
      </c>
    </row>
    <row r="108" spans="2:17" s="216" customFormat="1" ht="19.5" customHeight="1">
      <c r="B108" s="500" t="s">
        <v>460</v>
      </c>
      <c r="C108" s="501">
        <v>43225</v>
      </c>
      <c r="D108" s="501" t="s">
        <v>1256</v>
      </c>
      <c r="E108" s="505" t="s">
        <v>1212</v>
      </c>
      <c r="F108" s="475" t="s">
        <v>1213</v>
      </c>
      <c r="G108" s="476" t="s">
        <v>1274</v>
      </c>
      <c r="H108" s="477" t="s">
        <v>1275</v>
      </c>
      <c r="I108" s="477" t="s">
        <v>989</v>
      </c>
      <c r="J108" s="502">
        <v>1877</v>
      </c>
      <c r="K108" s="503" t="s">
        <v>1523</v>
      </c>
      <c r="L108" s="503" t="s">
        <v>1523</v>
      </c>
    </row>
    <row r="109" spans="2:17" s="216" customFormat="1" ht="19.5" customHeight="1">
      <c r="B109" s="500" t="s">
        <v>460</v>
      </c>
      <c r="C109" s="501">
        <v>43223</v>
      </c>
      <c r="D109" s="501" t="s">
        <v>1256</v>
      </c>
      <c r="E109" s="484" t="s">
        <v>809</v>
      </c>
      <c r="F109" s="475" t="s">
        <v>761</v>
      </c>
      <c r="G109" s="476" t="s">
        <v>1272</v>
      </c>
      <c r="H109" s="477" t="s">
        <v>1273</v>
      </c>
      <c r="I109" s="477" t="s">
        <v>989</v>
      </c>
      <c r="J109" s="502">
        <v>1558</v>
      </c>
      <c r="K109" s="503">
        <f>K110+1</f>
        <v>330</v>
      </c>
      <c r="L109" s="503">
        <f t="shared" si="6"/>
        <v>504</v>
      </c>
    </row>
    <row r="110" spans="2:17" s="216" customFormat="1" ht="19.5" customHeight="1">
      <c r="B110" s="500" t="s">
        <v>460</v>
      </c>
      <c r="C110" s="501">
        <v>43223</v>
      </c>
      <c r="D110" s="501" t="s">
        <v>1256</v>
      </c>
      <c r="E110" s="484" t="s">
        <v>806</v>
      </c>
      <c r="F110" s="475" t="s">
        <v>462</v>
      </c>
      <c r="G110" s="476" t="s">
        <v>1270</v>
      </c>
      <c r="H110" s="477" t="s">
        <v>1271</v>
      </c>
      <c r="I110" s="477" t="s">
        <v>989</v>
      </c>
      <c r="J110" s="502">
        <v>2345.3000000000002</v>
      </c>
      <c r="K110" s="503">
        <f>K111+1</f>
        <v>329</v>
      </c>
      <c r="L110" s="503">
        <f t="shared" si="6"/>
        <v>503</v>
      </c>
    </row>
    <row r="111" spans="2:17" s="216" customFormat="1" ht="19.5" customHeight="1">
      <c r="B111" s="500" t="s">
        <v>460</v>
      </c>
      <c r="C111" s="501">
        <v>43222</v>
      </c>
      <c r="D111" s="501" t="s">
        <v>1256</v>
      </c>
      <c r="E111" s="484" t="s">
        <v>808</v>
      </c>
      <c r="F111" s="475" t="s">
        <v>465</v>
      </c>
      <c r="G111" s="476" t="s">
        <v>1268</v>
      </c>
      <c r="H111" s="477" t="s">
        <v>1269</v>
      </c>
      <c r="I111" s="477" t="s">
        <v>989</v>
      </c>
      <c r="J111" s="502">
        <v>2538.6999999999998</v>
      </c>
      <c r="K111" s="503">
        <f>K113+1</f>
        <v>328</v>
      </c>
      <c r="L111" s="503">
        <f t="shared" si="6"/>
        <v>502</v>
      </c>
    </row>
    <row r="112" spans="2:17" s="216" customFormat="1" ht="19.5" customHeight="1">
      <c r="B112" s="500" t="s">
        <v>490</v>
      </c>
      <c r="C112" s="501">
        <v>43216</v>
      </c>
      <c r="D112" s="501" t="s">
        <v>1256</v>
      </c>
      <c r="E112" s="484" t="s">
        <v>807</v>
      </c>
      <c r="F112" s="475" t="s">
        <v>765</v>
      </c>
      <c r="G112" s="476" t="s">
        <v>864</v>
      </c>
      <c r="H112" s="477" t="s">
        <v>903</v>
      </c>
      <c r="I112" s="477" t="s">
        <v>989</v>
      </c>
      <c r="J112" s="502">
        <v>649</v>
      </c>
      <c r="K112" s="503">
        <f>K117+1</f>
        <v>94</v>
      </c>
      <c r="L112" s="503">
        <f t="shared" si="6"/>
        <v>501</v>
      </c>
    </row>
    <row r="113" spans="2:12" s="216" customFormat="1" ht="19.5" customHeight="1">
      <c r="B113" s="500" t="s">
        <v>460</v>
      </c>
      <c r="C113" s="501">
        <v>43216</v>
      </c>
      <c r="D113" s="501" t="s">
        <v>1256</v>
      </c>
      <c r="E113" s="484" t="s">
        <v>808</v>
      </c>
      <c r="F113" s="475" t="s">
        <v>464</v>
      </c>
      <c r="G113" s="476" t="s">
        <v>796</v>
      </c>
      <c r="H113" s="477" t="s">
        <v>1263</v>
      </c>
      <c r="I113" s="477" t="s">
        <v>989</v>
      </c>
      <c r="J113" s="502">
        <v>1565.2</v>
      </c>
      <c r="K113" s="503">
        <f>K114+1</f>
        <v>327</v>
      </c>
      <c r="L113" s="503">
        <f t="shared" si="6"/>
        <v>500</v>
      </c>
    </row>
    <row r="114" spans="2:12" s="216" customFormat="1" ht="19.5" customHeight="1">
      <c r="B114" s="500" t="s">
        <v>460</v>
      </c>
      <c r="C114" s="501">
        <v>43216</v>
      </c>
      <c r="D114" s="501" t="s">
        <v>1256</v>
      </c>
      <c r="E114" s="484" t="s">
        <v>805</v>
      </c>
      <c r="F114" s="475" t="s">
        <v>762</v>
      </c>
      <c r="G114" s="476" t="s">
        <v>1264</v>
      </c>
      <c r="H114" s="477" t="s">
        <v>1265</v>
      </c>
      <c r="I114" s="477" t="s">
        <v>989</v>
      </c>
      <c r="J114" s="502">
        <v>2084.77</v>
      </c>
      <c r="K114" s="503">
        <f>K121+1</f>
        <v>326</v>
      </c>
      <c r="L114" s="503">
        <f t="shared" si="6"/>
        <v>499</v>
      </c>
    </row>
    <row r="115" spans="2:12" s="216" customFormat="1" ht="19.5" customHeight="1">
      <c r="B115" s="472" t="s">
        <v>491</v>
      </c>
      <c r="C115" s="501">
        <v>43216</v>
      </c>
      <c r="D115" s="501" t="s">
        <v>1256</v>
      </c>
      <c r="E115" s="484" t="s">
        <v>809</v>
      </c>
      <c r="F115" s="475" t="s">
        <v>757</v>
      </c>
      <c r="G115" s="476" t="s">
        <v>547</v>
      </c>
      <c r="H115" s="477" t="s">
        <v>1266</v>
      </c>
      <c r="I115" s="477" t="s">
        <v>989</v>
      </c>
      <c r="J115" s="502">
        <v>186</v>
      </c>
      <c r="K115" s="503">
        <f>K116+1</f>
        <v>80</v>
      </c>
      <c r="L115" s="503">
        <f t="shared" si="6"/>
        <v>498</v>
      </c>
    </row>
    <row r="116" spans="2:12" s="216" customFormat="1" ht="19.5" customHeight="1">
      <c r="B116" s="472" t="s">
        <v>491</v>
      </c>
      <c r="C116" s="501">
        <v>43215</v>
      </c>
      <c r="D116" s="501" t="s">
        <v>1256</v>
      </c>
      <c r="E116" s="483" t="s">
        <v>806</v>
      </c>
      <c r="F116" s="475" t="s">
        <v>462</v>
      </c>
      <c r="G116" s="476" t="s">
        <v>784</v>
      </c>
      <c r="H116" s="477" t="s">
        <v>733</v>
      </c>
      <c r="I116" s="477" t="s">
        <v>989</v>
      </c>
      <c r="J116" s="502">
        <v>247</v>
      </c>
      <c r="K116" s="503">
        <f>K118+1</f>
        <v>79</v>
      </c>
      <c r="L116" s="503">
        <f t="shared" si="6"/>
        <v>497</v>
      </c>
    </row>
    <row r="117" spans="2:12" s="216" customFormat="1" ht="19.5" customHeight="1">
      <c r="B117" s="500" t="s">
        <v>490</v>
      </c>
      <c r="C117" s="501">
        <v>43210</v>
      </c>
      <c r="D117" s="501" t="s">
        <v>1256</v>
      </c>
      <c r="E117" s="484" t="s">
        <v>806</v>
      </c>
      <c r="F117" s="475" t="s">
        <v>466</v>
      </c>
      <c r="G117" s="476" t="s">
        <v>492</v>
      </c>
      <c r="H117" s="477" t="s">
        <v>922</v>
      </c>
      <c r="I117" s="477" t="s">
        <v>989</v>
      </c>
      <c r="J117" s="502">
        <v>446</v>
      </c>
      <c r="K117" s="503">
        <f>K129+1</f>
        <v>93</v>
      </c>
      <c r="L117" s="503">
        <f t="shared" si="6"/>
        <v>496</v>
      </c>
    </row>
    <row r="118" spans="2:12" s="216" customFormat="1" ht="19.5" customHeight="1">
      <c r="B118" s="472" t="s">
        <v>491</v>
      </c>
      <c r="C118" s="501">
        <v>43209</v>
      </c>
      <c r="D118" s="501" t="s">
        <v>1256</v>
      </c>
      <c r="E118" s="484" t="s">
        <v>805</v>
      </c>
      <c r="F118" s="475" t="s">
        <v>748</v>
      </c>
      <c r="G118" s="476" t="s">
        <v>527</v>
      </c>
      <c r="H118" s="477" t="s">
        <v>1260</v>
      </c>
      <c r="I118" s="477" t="s">
        <v>989</v>
      </c>
      <c r="J118" s="502">
        <v>239</v>
      </c>
      <c r="K118" s="503">
        <f>K119+1</f>
        <v>78</v>
      </c>
      <c r="L118" s="503">
        <f t="shared" ref="L118:L181" si="8">L119+1</f>
        <v>495</v>
      </c>
    </row>
    <row r="119" spans="2:12" s="216" customFormat="1" ht="19.5" customHeight="1">
      <c r="B119" s="472" t="s">
        <v>491</v>
      </c>
      <c r="C119" s="501">
        <v>43203</v>
      </c>
      <c r="D119" s="501" t="s">
        <v>1256</v>
      </c>
      <c r="E119" s="484" t="s">
        <v>809</v>
      </c>
      <c r="F119" s="475" t="s">
        <v>467</v>
      </c>
      <c r="G119" s="476" t="s">
        <v>865</v>
      </c>
      <c r="H119" s="477" t="s">
        <v>1255</v>
      </c>
      <c r="I119" s="477" t="s">
        <v>989</v>
      </c>
      <c r="J119" s="502">
        <v>228</v>
      </c>
      <c r="K119" s="503">
        <f>K120+1</f>
        <v>77</v>
      </c>
      <c r="L119" s="503">
        <f t="shared" si="8"/>
        <v>494</v>
      </c>
    </row>
    <row r="120" spans="2:12" s="216" customFormat="1" ht="19.5" customHeight="1">
      <c r="B120" s="472" t="s">
        <v>491</v>
      </c>
      <c r="C120" s="501">
        <v>43202</v>
      </c>
      <c r="D120" s="501" t="s">
        <v>1256</v>
      </c>
      <c r="E120" s="484" t="s">
        <v>808</v>
      </c>
      <c r="F120" s="475" t="s">
        <v>464</v>
      </c>
      <c r="G120" s="476" t="s">
        <v>509</v>
      </c>
      <c r="H120" s="477" t="s">
        <v>591</v>
      </c>
      <c r="I120" s="477" t="s">
        <v>989</v>
      </c>
      <c r="J120" s="502">
        <v>206</v>
      </c>
      <c r="K120" s="503">
        <f>K122+1</f>
        <v>76</v>
      </c>
      <c r="L120" s="503">
        <f t="shared" si="8"/>
        <v>493</v>
      </c>
    </row>
    <row r="121" spans="2:12" s="216" customFormat="1" ht="19.5" customHeight="1">
      <c r="B121" s="500" t="s">
        <v>460</v>
      </c>
      <c r="C121" s="501">
        <v>43188</v>
      </c>
      <c r="D121" s="501" t="s">
        <v>1251</v>
      </c>
      <c r="E121" s="484" t="s">
        <v>808</v>
      </c>
      <c r="F121" s="475" t="s">
        <v>752</v>
      </c>
      <c r="G121" s="476" t="s">
        <v>1253</v>
      </c>
      <c r="H121" s="477" t="s">
        <v>1254</v>
      </c>
      <c r="I121" s="477" t="s">
        <v>989</v>
      </c>
      <c r="J121" s="502">
        <v>2015.4</v>
      </c>
      <c r="K121" s="503">
        <f>K125+1</f>
        <v>325</v>
      </c>
      <c r="L121" s="503">
        <f t="shared" si="8"/>
        <v>492</v>
      </c>
    </row>
    <row r="122" spans="2:12" s="216" customFormat="1" ht="19.5" customHeight="1">
      <c r="B122" s="472" t="s">
        <v>491</v>
      </c>
      <c r="C122" s="501">
        <v>43181</v>
      </c>
      <c r="D122" s="501" t="s">
        <v>1251</v>
      </c>
      <c r="E122" s="484" t="s">
        <v>809</v>
      </c>
      <c r="F122" s="475" t="s">
        <v>467</v>
      </c>
      <c r="G122" s="476" t="s">
        <v>545</v>
      </c>
      <c r="H122" s="477" t="s">
        <v>1252</v>
      </c>
      <c r="I122" s="477" t="s">
        <v>989</v>
      </c>
      <c r="J122" s="502">
        <v>317</v>
      </c>
      <c r="K122" s="503">
        <f>K123+1</f>
        <v>75</v>
      </c>
      <c r="L122" s="503">
        <f t="shared" si="8"/>
        <v>491</v>
      </c>
    </row>
    <row r="123" spans="2:12" s="216" customFormat="1" ht="19.5" customHeight="1">
      <c r="B123" s="472" t="s">
        <v>491</v>
      </c>
      <c r="C123" s="501">
        <v>43174</v>
      </c>
      <c r="D123" s="501" t="s">
        <v>1251</v>
      </c>
      <c r="E123" s="483" t="s">
        <v>806</v>
      </c>
      <c r="F123" s="475" t="s">
        <v>750</v>
      </c>
      <c r="G123" s="476" t="s">
        <v>828</v>
      </c>
      <c r="H123" s="477" t="s">
        <v>829</v>
      </c>
      <c r="I123" s="477" t="s">
        <v>989</v>
      </c>
      <c r="J123" s="502">
        <v>199</v>
      </c>
      <c r="K123" s="503">
        <f>K124+1</f>
        <v>74</v>
      </c>
      <c r="L123" s="503">
        <f t="shared" si="8"/>
        <v>490</v>
      </c>
    </row>
    <row r="124" spans="2:12" s="216" customFormat="1" ht="19.5" customHeight="1">
      <c r="B124" s="472" t="s">
        <v>491</v>
      </c>
      <c r="C124" s="501">
        <v>43167</v>
      </c>
      <c r="D124" s="501" t="s">
        <v>1251</v>
      </c>
      <c r="E124" s="484" t="s">
        <v>805</v>
      </c>
      <c r="F124" s="475" t="s">
        <v>748</v>
      </c>
      <c r="G124" s="476" t="s">
        <v>792</v>
      </c>
      <c r="H124" s="477" t="s">
        <v>726</v>
      </c>
      <c r="I124" s="477" t="s">
        <v>989</v>
      </c>
      <c r="J124" s="502">
        <v>242</v>
      </c>
      <c r="K124" s="503">
        <f>K127+1</f>
        <v>73</v>
      </c>
      <c r="L124" s="503">
        <f t="shared" si="8"/>
        <v>489</v>
      </c>
    </row>
    <row r="125" spans="2:12" s="216" customFormat="1" ht="19.5" customHeight="1">
      <c r="B125" s="500" t="s">
        <v>460</v>
      </c>
      <c r="C125" s="501">
        <v>43083</v>
      </c>
      <c r="D125" s="501" t="s">
        <v>1220</v>
      </c>
      <c r="E125" s="484" t="s">
        <v>807</v>
      </c>
      <c r="F125" s="475" t="s">
        <v>751</v>
      </c>
      <c r="G125" s="476" t="s">
        <v>1244</v>
      </c>
      <c r="H125" s="477" t="s">
        <v>1243</v>
      </c>
      <c r="I125" s="477" t="s">
        <v>989</v>
      </c>
      <c r="J125" s="502">
        <v>3137.6</v>
      </c>
      <c r="K125" s="503">
        <f>K126+1</f>
        <v>324</v>
      </c>
      <c r="L125" s="503">
        <f t="shared" si="8"/>
        <v>488</v>
      </c>
    </row>
    <row r="126" spans="2:12" s="216" customFormat="1" ht="19.5" customHeight="1">
      <c r="B126" s="500" t="s">
        <v>460</v>
      </c>
      <c r="C126" s="501">
        <v>43077</v>
      </c>
      <c r="D126" s="501" t="s">
        <v>1220</v>
      </c>
      <c r="E126" s="388" t="s">
        <v>1212</v>
      </c>
      <c r="F126" s="475" t="s">
        <v>1213</v>
      </c>
      <c r="G126" s="476" t="s">
        <v>1211</v>
      </c>
      <c r="H126" s="477" t="s">
        <v>1242</v>
      </c>
      <c r="I126" s="477" t="s">
        <v>989</v>
      </c>
      <c r="J126" s="502">
        <v>2036</v>
      </c>
      <c r="K126" s="503">
        <f>K128+1</f>
        <v>323</v>
      </c>
      <c r="L126" s="503">
        <f t="shared" si="8"/>
        <v>487</v>
      </c>
    </row>
    <row r="127" spans="2:12" s="216" customFormat="1" ht="19.5" customHeight="1">
      <c r="B127" s="472" t="s">
        <v>491</v>
      </c>
      <c r="C127" s="501">
        <v>43070</v>
      </c>
      <c r="D127" s="501" t="s">
        <v>1220</v>
      </c>
      <c r="E127" s="484" t="s">
        <v>805</v>
      </c>
      <c r="F127" s="475" t="s">
        <v>762</v>
      </c>
      <c r="G127" s="476" t="s">
        <v>683</v>
      </c>
      <c r="H127" s="477" t="s">
        <v>932</v>
      </c>
      <c r="I127" s="477" t="s">
        <v>989</v>
      </c>
      <c r="J127" s="502">
        <v>284</v>
      </c>
      <c r="K127" s="503">
        <f>K132+1</f>
        <v>72</v>
      </c>
      <c r="L127" s="503">
        <f t="shared" si="8"/>
        <v>486</v>
      </c>
    </row>
    <row r="128" spans="2:12" s="216" customFormat="1" ht="19.5" customHeight="1">
      <c r="B128" s="500" t="s">
        <v>460</v>
      </c>
      <c r="C128" s="501">
        <v>43068</v>
      </c>
      <c r="D128" s="501" t="s">
        <v>1220</v>
      </c>
      <c r="E128" s="484" t="s">
        <v>809</v>
      </c>
      <c r="F128" s="475" t="s">
        <v>757</v>
      </c>
      <c r="G128" s="476" t="s">
        <v>547</v>
      </c>
      <c r="H128" s="477" t="s">
        <v>1241</v>
      </c>
      <c r="I128" s="477" t="s">
        <v>989</v>
      </c>
      <c r="J128" s="502">
        <v>884.4</v>
      </c>
      <c r="K128" s="503">
        <f>K130+1</f>
        <v>322</v>
      </c>
      <c r="L128" s="503">
        <f t="shared" si="8"/>
        <v>485</v>
      </c>
    </row>
    <row r="129" spans="2:12" s="216" customFormat="1" ht="19.5" customHeight="1">
      <c r="B129" s="500" t="s">
        <v>490</v>
      </c>
      <c r="C129" s="501">
        <v>43063</v>
      </c>
      <c r="D129" s="501" t="s">
        <v>1220</v>
      </c>
      <c r="E129" s="484" t="s">
        <v>805</v>
      </c>
      <c r="F129" s="475" t="s">
        <v>461</v>
      </c>
      <c r="G129" s="476" t="s">
        <v>840</v>
      </c>
      <c r="H129" s="477" t="s">
        <v>1236</v>
      </c>
      <c r="I129" s="477" t="s">
        <v>989</v>
      </c>
      <c r="J129" s="502">
        <v>312</v>
      </c>
      <c r="K129" s="503">
        <f>K143+1</f>
        <v>92</v>
      </c>
      <c r="L129" s="503">
        <f t="shared" si="8"/>
        <v>484</v>
      </c>
    </row>
    <row r="130" spans="2:12" s="216" customFormat="1" ht="19.5" customHeight="1">
      <c r="B130" s="500" t="s">
        <v>460</v>
      </c>
      <c r="C130" s="501">
        <v>43063</v>
      </c>
      <c r="D130" s="501" t="s">
        <v>1220</v>
      </c>
      <c r="E130" s="484" t="s">
        <v>805</v>
      </c>
      <c r="F130" s="475" t="s">
        <v>461</v>
      </c>
      <c r="G130" s="476" t="s">
        <v>840</v>
      </c>
      <c r="H130" s="477" t="s">
        <v>1236</v>
      </c>
      <c r="I130" s="477" t="s">
        <v>989</v>
      </c>
      <c r="J130" s="502">
        <v>3977</v>
      </c>
      <c r="K130" s="503">
        <f>K131+1</f>
        <v>321</v>
      </c>
      <c r="L130" s="503">
        <f t="shared" si="8"/>
        <v>483</v>
      </c>
    </row>
    <row r="131" spans="2:12" s="216" customFormat="1" ht="19.5" customHeight="1">
      <c r="B131" s="500" t="s">
        <v>460</v>
      </c>
      <c r="C131" s="501">
        <v>43063</v>
      </c>
      <c r="D131" s="501" t="s">
        <v>1220</v>
      </c>
      <c r="E131" s="388" t="s">
        <v>1212</v>
      </c>
      <c r="F131" s="475" t="s">
        <v>1213</v>
      </c>
      <c r="G131" s="476" t="s">
        <v>1211</v>
      </c>
      <c r="H131" s="477" t="s">
        <v>1240</v>
      </c>
      <c r="I131" s="477" t="s">
        <v>989</v>
      </c>
      <c r="J131" s="502">
        <v>2176</v>
      </c>
      <c r="K131" s="503">
        <f>K135+1</f>
        <v>320</v>
      </c>
      <c r="L131" s="503">
        <f>L132+1</f>
        <v>482</v>
      </c>
    </row>
    <row r="132" spans="2:12" s="216" customFormat="1" ht="19.5" customHeight="1">
      <c r="B132" s="530" t="s">
        <v>491</v>
      </c>
      <c r="C132" s="531">
        <v>43063</v>
      </c>
      <c r="D132" s="531" t="s">
        <v>1220</v>
      </c>
      <c r="E132" s="532" t="s">
        <v>805</v>
      </c>
      <c r="F132" s="533" t="s">
        <v>461</v>
      </c>
      <c r="G132" s="534" t="s">
        <v>840</v>
      </c>
      <c r="H132" s="535" t="s">
        <v>1236</v>
      </c>
      <c r="I132" s="535" t="s">
        <v>989</v>
      </c>
      <c r="J132" s="536">
        <v>234</v>
      </c>
      <c r="K132" s="537">
        <f>K133+1</f>
        <v>71</v>
      </c>
      <c r="L132" s="537">
        <f>L133+1</f>
        <v>481</v>
      </c>
    </row>
    <row r="133" spans="2:12" s="216" customFormat="1" ht="19.5" customHeight="1">
      <c r="B133" s="472" t="s">
        <v>491</v>
      </c>
      <c r="C133" s="501">
        <v>43063</v>
      </c>
      <c r="D133" s="501" t="s">
        <v>1220</v>
      </c>
      <c r="E133" s="483" t="s">
        <v>806</v>
      </c>
      <c r="F133" s="475" t="s">
        <v>462</v>
      </c>
      <c r="G133" s="476" t="s">
        <v>1239</v>
      </c>
      <c r="H133" s="477" t="s">
        <v>1238</v>
      </c>
      <c r="I133" s="477" t="s">
        <v>989</v>
      </c>
      <c r="J133" s="502">
        <v>276</v>
      </c>
      <c r="K133" s="503">
        <f>K134+1</f>
        <v>70</v>
      </c>
      <c r="L133" s="503">
        <f t="shared" si="8"/>
        <v>480</v>
      </c>
    </row>
    <row r="134" spans="2:12" s="216" customFormat="1" ht="19.5" customHeight="1">
      <c r="B134" s="472" t="s">
        <v>491</v>
      </c>
      <c r="C134" s="501">
        <v>43062</v>
      </c>
      <c r="D134" s="501" t="s">
        <v>1220</v>
      </c>
      <c r="E134" s="483" t="s">
        <v>806</v>
      </c>
      <c r="F134" s="475" t="s">
        <v>462</v>
      </c>
      <c r="G134" s="476" t="s">
        <v>493</v>
      </c>
      <c r="H134" s="477" t="s">
        <v>1237</v>
      </c>
      <c r="I134" s="477" t="s">
        <v>989</v>
      </c>
      <c r="J134" s="502">
        <v>289</v>
      </c>
      <c r="K134" s="503">
        <f>K136+1</f>
        <v>69</v>
      </c>
      <c r="L134" s="503">
        <f t="shared" si="8"/>
        <v>479</v>
      </c>
    </row>
    <row r="135" spans="2:12" s="216" customFormat="1" ht="19.5" customHeight="1">
      <c r="B135" s="500" t="s">
        <v>460</v>
      </c>
      <c r="C135" s="501">
        <v>43062</v>
      </c>
      <c r="D135" s="501" t="s">
        <v>1220</v>
      </c>
      <c r="E135" s="484" t="s">
        <v>806</v>
      </c>
      <c r="F135" s="475" t="s">
        <v>462</v>
      </c>
      <c r="G135" s="476" t="s">
        <v>469</v>
      </c>
      <c r="H135" s="477" t="s">
        <v>1203</v>
      </c>
      <c r="I135" s="477" t="s">
        <v>989</v>
      </c>
      <c r="J135" s="502">
        <v>1273.3</v>
      </c>
      <c r="K135" s="503">
        <f>K137+1</f>
        <v>319</v>
      </c>
      <c r="L135" s="503">
        <f t="shared" si="8"/>
        <v>478</v>
      </c>
    </row>
    <row r="136" spans="2:12" s="216" customFormat="1" ht="19.5" customHeight="1">
      <c r="B136" s="472" t="s">
        <v>491</v>
      </c>
      <c r="C136" s="501">
        <v>43056</v>
      </c>
      <c r="D136" s="501" t="s">
        <v>1220</v>
      </c>
      <c r="E136" s="483" t="s">
        <v>806</v>
      </c>
      <c r="F136" s="475" t="s">
        <v>462</v>
      </c>
      <c r="G136" s="476" t="s">
        <v>867</v>
      </c>
      <c r="H136" s="477" t="s">
        <v>1235</v>
      </c>
      <c r="I136" s="477" t="s">
        <v>989</v>
      </c>
      <c r="J136" s="502">
        <v>235</v>
      </c>
      <c r="K136" s="503">
        <f>K141+1</f>
        <v>68</v>
      </c>
      <c r="L136" s="503">
        <f t="shared" si="8"/>
        <v>477</v>
      </c>
    </row>
    <row r="137" spans="2:12" s="216" customFormat="1" ht="19.5" customHeight="1">
      <c r="B137" s="500" t="s">
        <v>460</v>
      </c>
      <c r="C137" s="501">
        <v>43055</v>
      </c>
      <c r="D137" s="501" t="s">
        <v>1220</v>
      </c>
      <c r="E137" s="484" t="s">
        <v>806</v>
      </c>
      <c r="F137" s="475" t="s">
        <v>462</v>
      </c>
      <c r="G137" s="476" t="s">
        <v>469</v>
      </c>
      <c r="H137" s="477" t="s">
        <v>1234</v>
      </c>
      <c r="I137" s="477" t="s">
        <v>989</v>
      </c>
      <c r="J137" s="502">
        <v>1986.2</v>
      </c>
      <c r="K137" s="503">
        <f>K138+1</f>
        <v>318</v>
      </c>
      <c r="L137" s="503">
        <f t="shared" si="8"/>
        <v>476</v>
      </c>
    </row>
    <row r="138" spans="2:12" s="216" customFormat="1" ht="19.5" customHeight="1">
      <c r="B138" s="500" t="s">
        <v>460</v>
      </c>
      <c r="C138" s="501">
        <v>43054</v>
      </c>
      <c r="D138" s="501" t="s">
        <v>1220</v>
      </c>
      <c r="E138" s="484" t="s">
        <v>807</v>
      </c>
      <c r="F138" s="475" t="s">
        <v>751</v>
      </c>
      <c r="G138" s="476" t="s">
        <v>503</v>
      </c>
      <c r="H138" s="477" t="s">
        <v>1233</v>
      </c>
      <c r="I138" s="477" t="s">
        <v>989</v>
      </c>
      <c r="J138" s="502">
        <v>2899.7</v>
      </c>
      <c r="K138" s="503">
        <f>K139+1</f>
        <v>317</v>
      </c>
      <c r="L138" s="503">
        <f t="shared" si="8"/>
        <v>475</v>
      </c>
    </row>
    <row r="139" spans="2:12" s="216" customFormat="1" ht="19.5" customHeight="1">
      <c r="B139" s="500" t="s">
        <v>460</v>
      </c>
      <c r="C139" s="501">
        <v>43046</v>
      </c>
      <c r="D139" s="501" t="s">
        <v>1220</v>
      </c>
      <c r="E139" s="484" t="s">
        <v>805</v>
      </c>
      <c r="F139" s="475" t="s">
        <v>461</v>
      </c>
      <c r="G139" s="476" t="s">
        <v>495</v>
      </c>
      <c r="H139" s="477" t="s">
        <v>1232</v>
      </c>
      <c r="I139" s="477" t="s">
        <v>989</v>
      </c>
      <c r="J139" s="502">
        <v>1776.5</v>
      </c>
      <c r="K139" s="503">
        <f>K140+1</f>
        <v>316</v>
      </c>
      <c r="L139" s="503">
        <f t="shared" si="8"/>
        <v>474</v>
      </c>
    </row>
    <row r="140" spans="2:12" s="216" customFormat="1" ht="19.5" customHeight="1">
      <c r="B140" s="500" t="s">
        <v>460</v>
      </c>
      <c r="C140" s="501">
        <v>43034</v>
      </c>
      <c r="D140" s="501" t="s">
        <v>1220</v>
      </c>
      <c r="E140" s="484" t="s">
        <v>806</v>
      </c>
      <c r="F140" s="475" t="s">
        <v>462</v>
      </c>
      <c r="G140" s="476" t="s">
        <v>469</v>
      </c>
      <c r="H140" s="477" t="s">
        <v>1231</v>
      </c>
      <c r="I140" s="477" t="s">
        <v>989</v>
      </c>
      <c r="J140" s="502">
        <v>3497.5</v>
      </c>
      <c r="K140" s="503">
        <f>K142+1</f>
        <v>315</v>
      </c>
      <c r="L140" s="503">
        <f t="shared" si="8"/>
        <v>473</v>
      </c>
    </row>
    <row r="141" spans="2:12" s="216" customFormat="1" ht="19.5" customHeight="1">
      <c r="B141" s="472" t="s">
        <v>491</v>
      </c>
      <c r="C141" s="501">
        <v>43027</v>
      </c>
      <c r="D141" s="501" t="s">
        <v>1220</v>
      </c>
      <c r="E141" s="484" t="s">
        <v>805</v>
      </c>
      <c r="F141" s="475" t="s">
        <v>762</v>
      </c>
      <c r="G141" s="476" t="s">
        <v>869</v>
      </c>
      <c r="H141" s="477" t="s">
        <v>1229</v>
      </c>
      <c r="I141" s="477" t="s">
        <v>989</v>
      </c>
      <c r="J141" s="502">
        <v>255</v>
      </c>
      <c r="K141" s="503">
        <f>K144+1</f>
        <v>67</v>
      </c>
      <c r="L141" s="503">
        <f t="shared" si="8"/>
        <v>472</v>
      </c>
    </row>
    <row r="142" spans="2:12" s="216" customFormat="1" ht="19.5" customHeight="1">
      <c r="B142" s="500" t="s">
        <v>460</v>
      </c>
      <c r="C142" s="501">
        <v>43027</v>
      </c>
      <c r="D142" s="501" t="s">
        <v>1220</v>
      </c>
      <c r="E142" s="484" t="s">
        <v>806</v>
      </c>
      <c r="F142" s="475" t="s">
        <v>750</v>
      </c>
      <c r="G142" s="476" t="s">
        <v>534</v>
      </c>
      <c r="H142" s="477" t="s">
        <v>1230</v>
      </c>
      <c r="I142" s="477" t="s">
        <v>989</v>
      </c>
      <c r="J142" s="502">
        <v>1228.7</v>
      </c>
      <c r="K142" s="503">
        <f>K146+1</f>
        <v>314</v>
      </c>
      <c r="L142" s="503">
        <f t="shared" si="8"/>
        <v>471</v>
      </c>
    </row>
    <row r="143" spans="2:12" s="216" customFormat="1" ht="19.5" customHeight="1">
      <c r="B143" s="500" t="s">
        <v>490</v>
      </c>
      <c r="C143" s="501">
        <v>43014</v>
      </c>
      <c r="D143" s="501" t="s">
        <v>1220</v>
      </c>
      <c r="E143" s="484" t="s">
        <v>806</v>
      </c>
      <c r="F143" s="475" t="s">
        <v>750</v>
      </c>
      <c r="G143" s="476" t="s">
        <v>534</v>
      </c>
      <c r="H143" s="477" t="s">
        <v>1222</v>
      </c>
      <c r="I143" s="477" t="s">
        <v>989</v>
      </c>
      <c r="J143" s="502">
        <v>348.6</v>
      </c>
      <c r="K143" s="503">
        <f>K158+1</f>
        <v>91</v>
      </c>
      <c r="L143" s="503">
        <f t="shared" si="8"/>
        <v>470</v>
      </c>
    </row>
    <row r="144" spans="2:12" s="216" customFormat="1" ht="19.5" customHeight="1">
      <c r="B144" s="472" t="s">
        <v>491</v>
      </c>
      <c r="C144" s="501">
        <v>43014</v>
      </c>
      <c r="D144" s="501" t="s">
        <v>1220</v>
      </c>
      <c r="E144" s="483" t="s">
        <v>806</v>
      </c>
      <c r="F144" s="475" t="s">
        <v>462</v>
      </c>
      <c r="G144" s="476" t="s">
        <v>782</v>
      </c>
      <c r="H144" s="477" t="s">
        <v>716</v>
      </c>
      <c r="I144" s="477" t="s">
        <v>989</v>
      </c>
      <c r="J144" s="502">
        <v>264</v>
      </c>
      <c r="K144" s="503">
        <f>K145+1</f>
        <v>66</v>
      </c>
      <c r="L144" s="503">
        <f t="shared" si="8"/>
        <v>469</v>
      </c>
    </row>
    <row r="145" spans="2:12" s="216" customFormat="1" ht="19.5" customHeight="1">
      <c r="B145" s="472" t="s">
        <v>491</v>
      </c>
      <c r="C145" s="501">
        <v>43013</v>
      </c>
      <c r="D145" s="501" t="s">
        <v>1220</v>
      </c>
      <c r="E145" s="484" t="s">
        <v>805</v>
      </c>
      <c r="F145" s="475" t="s">
        <v>748</v>
      </c>
      <c r="G145" s="476" t="s">
        <v>532</v>
      </c>
      <c r="H145" s="477" t="s">
        <v>620</v>
      </c>
      <c r="I145" s="477" t="s">
        <v>989</v>
      </c>
      <c r="J145" s="502">
        <v>198</v>
      </c>
      <c r="K145" s="503">
        <f>K148+1</f>
        <v>65</v>
      </c>
      <c r="L145" s="503">
        <f t="shared" si="8"/>
        <v>468</v>
      </c>
    </row>
    <row r="146" spans="2:12" s="216" customFormat="1" ht="19.5" customHeight="1">
      <c r="B146" s="500" t="s">
        <v>460</v>
      </c>
      <c r="C146" s="501">
        <v>43012</v>
      </c>
      <c r="D146" s="501" t="s">
        <v>1220</v>
      </c>
      <c r="E146" s="484" t="s">
        <v>808</v>
      </c>
      <c r="F146" s="475" t="s">
        <v>749</v>
      </c>
      <c r="G146" s="476" t="s">
        <v>501</v>
      </c>
      <c r="H146" s="477" t="s">
        <v>1221</v>
      </c>
      <c r="I146" s="477" t="s">
        <v>989</v>
      </c>
      <c r="J146" s="502">
        <v>1621.7</v>
      </c>
      <c r="K146" s="503">
        <f>K147+1</f>
        <v>313</v>
      </c>
      <c r="L146" s="503">
        <f t="shared" si="8"/>
        <v>467</v>
      </c>
    </row>
    <row r="147" spans="2:12" s="216" customFormat="1" ht="19.5" customHeight="1">
      <c r="B147" s="500" t="s">
        <v>460</v>
      </c>
      <c r="C147" s="501">
        <v>43007</v>
      </c>
      <c r="D147" s="501" t="s">
        <v>1198</v>
      </c>
      <c r="E147" s="484" t="s">
        <v>808</v>
      </c>
      <c r="F147" s="475" t="s">
        <v>755</v>
      </c>
      <c r="G147" s="476" t="s">
        <v>798</v>
      </c>
      <c r="H147" s="477" t="s">
        <v>1219</v>
      </c>
      <c r="I147" s="477" t="s">
        <v>989</v>
      </c>
      <c r="J147" s="502">
        <v>1812.1</v>
      </c>
      <c r="K147" s="503">
        <f>K149+1</f>
        <v>312</v>
      </c>
      <c r="L147" s="503">
        <f t="shared" si="8"/>
        <v>466</v>
      </c>
    </row>
    <row r="148" spans="2:12" s="216" customFormat="1" ht="19.5" customHeight="1">
      <c r="B148" s="472" t="s">
        <v>491</v>
      </c>
      <c r="C148" s="501">
        <v>43007</v>
      </c>
      <c r="D148" s="501" t="s">
        <v>1198</v>
      </c>
      <c r="E148" s="483" t="s">
        <v>806</v>
      </c>
      <c r="F148" s="475" t="s">
        <v>462</v>
      </c>
      <c r="G148" s="476" t="s">
        <v>469</v>
      </c>
      <c r="H148" s="477" t="s">
        <v>1217</v>
      </c>
      <c r="I148" s="477" t="s">
        <v>989</v>
      </c>
      <c r="J148" s="502">
        <v>237</v>
      </c>
      <c r="K148" s="503">
        <f>K150+1</f>
        <v>64</v>
      </c>
      <c r="L148" s="503">
        <f t="shared" si="8"/>
        <v>465</v>
      </c>
    </row>
    <row r="149" spans="2:12" s="216" customFormat="1" ht="19.5" customHeight="1">
      <c r="B149" s="500" t="s">
        <v>460</v>
      </c>
      <c r="C149" s="501">
        <v>43006</v>
      </c>
      <c r="D149" s="501" t="s">
        <v>1198</v>
      </c>
      <c r="E149" s="484" t="s">
        <v>806</v>
      </c>
      <c r="F149" s="475" t="s">
        <v>750</v>
      </c>
      <c r="G149" s="476" t="s">
        <v>534</v>
      </c>
      <c r="H149" s="477" t="s">
        <v>1218</v>
      </c>
      <c r="I149" s="477" t="s">
        <v>989</v>
      </c>
      <c r="J149" s="502">
        <v>2338.1</v>
      </c>
      <c r="K149" s="503">
        <f>K152+1</f>
        <v>311</v>
      </c>
      <c r="L149" s="503">
        <f t="shared" si="8"/>
        <v>464</v>
      </c>
    </row>
    <row r="150" spans="2:12" s="216" customFormat="1" ht="19.5" customHeight="1">
      <c r="B150" s="472" t="s">
        <v>491</v>
      </c>
      <c r="C150" s="501">
        <v>43006</v>
      </c>
      <c r="D150" s="501" t="s">
        <v>1198</v>
      </c>
      <c r="E150" s="484" t="s">
        <v>805</v>
      </c>
      <c r="F150" s="475" t="s">
        <v>461</v>
      </c>
      <c r="G150" s="476" t="s">
        <v>855</v>
      </c>
      <c r="H150" s="477" t="s">
        <v>1209</v>
      </c>
      <c r="I150" s="477" t="s">
        <v>989</v>
      </c>
      <c r="J150" s="502">
        <v>199</v>
      </c>
      <c r="K150" s="503">
        <f>K151+1</f>
        <v>63</v>
      </c>
      <c r="L150" s="503">
        <f t="shared" si="8"/>
        <v>463</v>
      </c>
    </row>
    <row r="151" spans="2:12" s="216" customFormat="1" ht="19.5" customHeight="1">
      <c r="B151" s="472" t="s">
        <v>491</v>
      </c>
      <c r="C151" s="501">
        <v>43005</v>
      </c>
      <c r="D151" s="501" t="s">
        <v>1198</v>
      </c>
      <c r="E151" s="483" t="s">
        <v>806</v>
      </c>
      <c r="F151" s="475" t="s">
        <v>462</v>
      </c>
      <c r="G151" s="476" t="s">
        <v>469</v>
      </c>
      <c r="H151" s="477" t="s">
        <v>951</v>
      </c>
      <c r="I151" s="477" t="s">
        <v>989</v>
      </c>
      <c r="J151" s="502">
        <v>296</v>
      </c>
      <c r="K151" s="503">
        <f>K154+1</f>
        <v>62</v>
      </c>
      <c r="L151" s="503">
        <f t="shared" si="8"/>
        <v>462</v>
      </c>
    </row>
    <row r="152" spans="2:12" s="216" customFormat="1" ht="19.5" customHeight="1">
      <c r="B152" s="500" t="s">
        <v>460</v>
      </c>
      <c r="C152" s="501">
        <v>42998</v>
      </c>
      <c r="D152" s="501" t="s">
        <v>1198</v>
      </c>
      <c r="E152" s="484" t="s">
        <v>805</v>
      </c>
      <c r="F152" s="475" t="s">
        <v>461</v>
      </c>
      <c r="G152" s="476" t="s">
        <v>1215</v>
      </c>
      <c r="H152" s="477" t="s">
        <v>1216</v>
      </c>
      <c r="I152" s="477" t="s">
        <v>987</v>
      </c>
      <c r="J152" s="502">
        <v>1834</v>
      </c>
      <c r="K152" s="503">
        <f>K153+1</f>
        <v>310</v>
      </c>
      <c r="L152" s="503">
        <f t="shared" si="8"/>
        <v>461</v>
      </c>
    </row>
    <row r="153" spans="2:12" s="216" customFormat="1" ht="19.5" customHeight="1">
      <c r="B153" s="500" t="s">
        <v>460</v>
      </c>
      <c r="C153" s="501">
        <v>42985</v>
      </c>
      <c r="D153" s="501" t="s">
        <v>1198</v>
      </c>
      <c r="E153" s="388" t="s">
        <v>1212</v>
      </c>
      <c r="F153" s="475" t="s">
        <v>1213</v>
      </c>
      <c r="G153" s="476" t="s">
        <v>1211</v>
      </c>
      <c r="H153" s="477" t="s">
        <v>1214</v>
      </c>
      <c r="I153" s="477" t="s">
        <v>987</v>
      </c>
      <c r="J153" s="502">
        <v>2461.2199999999998</v>
      </c>
      <c r="K153" s="503">
        <f>K155+1</f>
        <v>309</v>
      </c>
      <c r="L153" s="503">
        <f t="shared" si="8"/>
        <v>460</v>
      </c>
    </row>
    <row r="154" spans="2:12" s="216" customFormat="1" ht="19.5" customHeight="1">
      <c r="B154" s="472" t="s">
        <v>491</v>
      </c>
      <c r="C154" s="501">
        <v>42984</v>
      </c>
      <c r="D154" s="501" t="s">
        <v>1198</v>
      </c>
      <c r="E154" s="484" t="s">
        <v>805</v>
      </c>
      <c r="F154" s="475" t="s">
        <v>762</v>
      </c>
      <c r="G154" s="476" t="s">
        <v>552</v>
      </c>
      <c r="H154" s="477" t="s">
        <v>1210</v>
      </c>
      <c r="I154" s="477" t="s">
        <v>989</v>
      </c>
      <c r="J154" s="502">
        <v>278</v>
      </c>
      <c r="K154" s="503">
        <f>K156+1</f>
        <v>61</v>
      </c>
      <c r="L154" s="503">
        <f t="shared" si="8"/>
        <v>459</v>
      </c>
    </row>
    <row r="155" spans="2:12" s="216" customFormat="1" ht="19.5" customHeight="1">
      <c r="B155" s="500" t="s">
        <v>460</v>
      </c>
      <c r="C155" s="501">
        <v>42979</v>
      </c>
      <c r="D155" s="501" t="s">
        <v>1198</v>
      </c>
      <c r="E155" s="484" t="s">
        <v>805</v>
      </c>
      <c r="F155" s="475" t="s">
        <v>461</v>
      </c>
      <c r="G155" s="476" t="s">
        <v>855</v>
      </c>
      <c r="H155" s="477" t="s">
        <v>1209</v>
      </c>
      <c r="I155" s="477" t="s">
        <v>989</v>
      </c>
      <c r="J155" s="502">
        <v>2500.3000000000002</v>
      </c>
      <c r="K155" s="503">
        <f>K157+1</f>
        <v>308</v>
      </c>
      <c r="L155" s="503">
        <f t="shared" si="8"/>
        <v>458</v>
      </c>
    </row>
    <row r="156" spans="2:12" s="216" customFormat="1" ht="19.5" customHeight="1">
      <c r="B156" s="472" t="s">
        <v>491</v>
      </c>
      <c r="C156" s="501">
        <v>42978</v>
      </c>
      <c r="D156" s="501" t="s">
        <v>1198</v>
      </c>
      <c r="E156" s="484" t="s">
        <v>805</v>
      </c>
      <c r="F156" s="475" t="s">
        <v>461</v>
      </c>
      <c r="G156" s="476" t="s">
        <v>876</v>
      </c>
      <c r="H156" s="477" t="s">
        <v>1208</v>
      </c>
      <c r="I156" s="477" t="s">
        <v>989</v>
      </c>
      <c r="J156" s="502">
        <v>204</v>
      </c>
      <c r="K156" s="503">
        <f>K159+1</f>
        <v>60</v>
      </c>
      <c r="L156" s="503">
        <f t="shared" si="8"/>
        <v>457</v>
      </c>
    </row>
    <row r="157" spans="2:12" s="216" customFormat="1" ht="19.5" customHeight="1">
      <c r="B157" s="500" t="s">
        <v>460</v>
      </c>
      <c r="C157" s="501">
        <v>42972</v>
      </c>
      <c r="D157" s="501" t="s">
        <v>1198</v>
      </c>
      <c r="E157" s="484" t="s">
        <v>806</v>
      </c>
      <c r="F157" s="475" t="s">
        <v>462</v>
      </c>
      <c r="G157" s="476" t="s">
        <v>469</v>
      </c>
      <c r="H157" s="477" t="s">
        <v>1206</v>
      </c>
      <c r="I157" s="477" t="s">
        <v>987</v>
      </c>
      <c r="J157" s="502">
        <v>4489.6000000000004</v>
      </c>
      <c r="K157" s="503">
        <f>K160+1</f>
        <v>307</v>
      </c>
      <c r="L157" s="503">
        <f t="shared" si="8"/>
        <v>456</v>
      </c>
    </row>
    <row r="158" spans="2:12" s="216" customFormat="1" ht="19.5" customHeight="1">
      <c r="B158" s="500" t="s">
        <v>490</v>
      </c>
      <c r="C158" s="501">
        <v>42972</v>
      </c>
      <c r="D158" s="501" t="s">
        <v>1198</v>
      </c>
      <c r="E158" s="484" t="s">
        <v>806</v>
      </c>
      <c r="F158" s="475" t="s">
        <v>466</v>
      </c>
      <c r="G158" s="476" t="s">
        <v>492</v>
      </c>
      <c r="H158" s="477" t="s">
        <v>1207</v>
      </c>
      <c r="I158" s="477" t="s">
        <v>989</v>
      </c>
      <c r="J158" s="502">
        <v>714</v>
      </c>
      <c r="K158" s="503">
        <f>K161+1</f>
        <v>90</v>
      </c>
      <c r="L158" s="503">
        <f t="shared" si="8"/>
        <v>455</v>
      </c>
    </row>
    <row r="159" spans="2:12" s="216" customFormat="1" ht="19.5" customHeight="1">
      <c r="B159" s="472" t="s">
        <v>491</v>
      </c>
      <c r="C159" s="501">
        <v>42971</v>
      </c>
      <c r="D159" s="501" t="s">
        <v>1198</v>
      </c>
      <c r="E159" s="483" t="s">
        <v>806</v>
      </c>
      <c r="F159" s="475" t="s">
        <v>462</v>
      </c>
      <c r="G159" s="476" t="s">
        <v>562</v>
      </c>
      <c r="H159" s="477" t="s">
        <v>1205</v>
      </c>
      <c r="I159" s="477" t="s">
        <v>989</v>
      </c>
      <c r="J159" s="502">
        <v>193</v>
      </c>
      <c r="K159" s="503">
        <f>K166+1</f>
        <v>59</v>
      </c>
      <c r="L159" s="503">
        <f t="shared" si="8"/>
        <v>454</v>
      </c>
    </row>
    <row r="160" spans="2:12" s="216" customFormat="1" ht="19.5" customHeight="1">
      <c r="B160" s="500" t="s">
        <v>460</v>
      </c>
      <c r="C160" s="501">
        <v>42950</v>
      </c>
      <c r="D160" s="501" t="s">
        <v>1198</v>
      </c>
      <c r="E160" s="484" t="s">
        <v>807</v>
      </c>
      <c r="F160" s="475" t="s">
        <v>751</v>
      </c>
      <c r="G160" s="476" t="s">
        <v>503</v>
      </c>
      <c r="H160" s="477" t="s">
        <v>1204</v>
      </c>
      <c r="I160" s="477" t="s">
        <v>989</v>
      </c>
      <c r="J160" s="502">
        <v>2648.15</v>
      </c>
      <c r="K160" s="503">
        <f>K162+1</f>
        <v>306</v>
      </c>
      <c r="L160" s="503">
        <f t="shared" si="8"/>
        <v>453</v>
      </c>
    </row>
    <row r="161" spans="2:12" s="216" customFormat="1" ht="19.5" customHeight="1">
      <c r="B161" s="500" t="s">
        <v>490</v>
      </c>
      <c r="C161" s="501">
        <v>42943</v>
      </c>
      <c r="D161" s="501" t="s">
        <v>1198</v>
      </c>
      <c r="E161" s="484" t="s">
        <v>806</v>
      </c>
      <c r="F161" s="475" t="s">
        <v>462</v>
      </c>
      <c r="G161" s="476" t="s">
        <v>469</v>
      </c>
      <c r="H161" s="477" t="s">
        <v>1203</v>
      </c>
      <c r="I161" s="477" t="s">
        <v>989</v>
      </c>
      <c r="J161" s="502">
        <v>332</v>
      </c>
      <c r="K161" s="503">
        <f>K163+1</f>
        <v>89</v>
      </c>
      <c r="L161" s="503">
        <f t="shared" si="8"/>
        <v>452</v>
      </c>
    </row>
    <row r="162" spans="2:12" s="216" customFormat="1" ht="19.5" customHeight="1">
      <c r="B162" s="500" t="s">
        <v>460</v>
      </c>
      <c r="C162" s="501">
        <v>42930</v>
      </c>
      <c r="D162" s="501" t="s">
        <v>1198</v>
      </c>
      <c r="E162" s="484" t="s">
        <v>805</v>
      </c>
      <c r="F162" s="475" t="s">
        <v>461</v>
      </c>
      <c r="G162" s="476" t="s">
        <v>1199</v>
      </c>
      <c r="H162" s="477" t="s">
        <v>1200</v>
      </c>
      <c r="I162" s="477" t="s">
        <v>989</v>
      </c>
      <c r="J162" s="502">
        <v>1756</v>
      </c>
      <c r="K162" s="503">
        <f>K164+1</f>
        <v>305</v>
      </c>
      <c r="L162" s="503">
        <f t="shared" si="8"/>
        <v>451</v>
      </c>
    </row>
    <row r="163" spans="2:12" s="216" customFormat="1" ht="19.5" customHeight="1">
      <c r="B163" s="500" t="s">
        <v>490</v>
      </c>
      <c r="C163" s="501">
        <v>42921</v>
      </c>
      <c r="D163" s="501" t="s">
        <v>1198</v>
      </c>
      <c r="E163" s="484" t="s">
        <v>808</v>
      </c>
      <c r="F163" s="475" t="s">
        <v>760</v>
      </c>
      <c r="G163" s="476" t="s">
        <v>557</v>
      </c>
      <c r="H163" s="477" t="s">
        <v>891</v>
      </c>
      <c r="I163" s="477" t="s">
        <v>989</v>
      </c>
      <c r="J163" s="502">
        <v>500</v>
      </c>
      <c r="K163" s="503">
        <f>K167+1</f>
        <v>88</v>
      </c>
      <c r="L163" s="503">
        <f t="shared" si="8"/>
        <v>450</v>
      </c>
    </row>
    <row r="164" spans="2:12" s="216" customFormat="1" ht="19.5" customHeight="1">
      <c r="B164" s="500" t="s">
        <v>460</v>
      </c>
      <c r="C164" s="501">
        <v>42915</v>
      </c>
      <c r="D164" s="501" t="s">
        <v>1172</v>
      </c>
      <c r="E164" s="484" t="s">
        <v>806</v>
      </c>
      <c r="F164" s="475" t="s">
        <v>462</v>
      </c>
      <c r="G164" s="476" t="s">
        <v>469</v>
      </c>
      <c r="H164" s="477" t="s">
        <v>1196</v>
      </c>
      <c r="I164" s="477" t="s">
        <v>989</v>
      </c>
      <c r="J164" s="502">
        <v>1713.15</v>
      </c>
      <c r="K164" s="503">
        <f>K165+1</f>
        <v>304</v>
      </c>
      <c r="L164" s="503">
        <f t="shared" si="8"/>
        <v>449</v>
      </c>
    </row>
    <row r="165" spans="2:12" s="216" customFormat="1" ht="19.5" customHeight="1">
      <c r="B165" s="500" t="s">
        <v>460</v>
      </c>
      <c r="C165" s="501">
        <v>42915</v>
      </c>
      <c r="D165" s="501" t="s">
        <v>1172</v>
      </c>
      <c r="E165" s="484" t="s">
        <v>808</v>
      </c>
      <c r="F165" s="475" t="s">
        <v>752</v>
      </c>
      <c r="G165" s="476" t="s">
        <v>505</v>
      </c>
      <c r="H165" s="477" t="s">
        <v>1195</v>
      </c>
      <c r="I165" s="477" t="s">
        <v>987</v>
      </c>
      <c r="J165" s="502">
        <v>3313.28</v>
      </c>
      <c r="K165" s="503">
        <f>K168+1</f>
        <v>303</v>
      </c>
      <c r="L165" s="503">
        <f t="shared" si="8"/>
        <v>448</v>
      </c>
    </row>
    <row r="166" spans="2:12" s="216" customFormat="1" ht="19.5" customHeight="1">
      <c r="B166" s="472" t="s">
        <v>491</v>
      </c>
      <c r="C166" s="501">
        <v>42908</v>
      </c>
      <c r="D166" s="501" t="s">
        <v>1172</v>
      </c>
      <c r="E166" s="483" t="s">
        <v>806</v>
      </c>
      <c r="F166" s="475" t="s">
        <v>750</v>
      </c>
      <c r="G166" s="476" t="s">
        <v>534</v>
      </c>
      <c r="H166" s="477" t="s">
        <v>642</v>
      </c>
      <c r="I166" s="477" t="s">
        <v>989</v>
      </c>
      <c r="J166" s="502">
        <v>278</v>
      </c>
      <c r="K166" s="503">
        <f>K170+1</f>
        <v>58</v>
      </c>
      <c r="L166" s="503">
        <f t="shared" si="8"/>
        <v>447</v>
      </c>
    </row>
    <row r="167" spans="2:12" s="216" customFormat="1" ht="19.5" customHeight="1">
      <c r="B167" s="500" t="s">
        <v>490</v>
      </c>
      <c r="C167" s="501">
        <v>42907</v>
      </c>
      <c r="D167" s="501" t="s">
        <v>1172</v>
      </c>
      <c r="E167" s="484" t="s">
        <v>808</v>
      </c>
      <c r="F167" s="475" t="s">
        <v>754</v>
      </c>
      <c r="G167" s="476" t="s">
        <v>560</v>
      </c>
      <c r="H167" s="477" t="s">
        <v>1194</v>
      </c>
      <c r="I167" s="477" t="s">
        <v>989</v>
      </c>
      <c r="J167" s="502">
        <v>594</v>
      </c>
      <c r="K167" s="503">
        <f>K172+1</f>
        <v>87</v>
      </c>
      <c r="L167" s="503">
        <f t="shared" si="8"/>
        <v>446</v>
      </c>
    </row>
    <row r="168" spans="2:12" s="216" customFormat="1" ht="19.5" customHeight="1">
      <c r="B168" s="500" t="s">
        <v>460</v>
      </c>
      <c r="C168" s="501">
        <v>42902</v>
      </c>
      <c r="D168" s="501" t="s">
        <v>1172</v>
      </c>
      <c r="E168" s="484" t="s">
        <v>808</v>
      </c>
      <c r="F168" s="475" t="s">
        <v>464</v>
      </c>
      <c r="G168" s="476" t="s">
        <v>1192</v>
      </c>
      <c r="H168" s="477" t="s">
        <v>1193</v>
      </c>
      <c r="I168" s="477" t="s">
        <v>989</v>
      </c>
      <c r="J168" s="502">
        <v>2431.88</v>
      </c>
      <c r="K168" s="503">
        <f>K169+1</f>
        <v>302</v>
      </c>
      <c r="L168" s="503">
        <f t="shared" si="8"/>
        <v>445</v>
      </c>
    </row>
    <row r="169" spans="2:12" s="216" customFormat="1" ht="19.5" customHeight="1">
      <c r="B169" s="500" t="s">
        <v>460</v>
      </c>
      <c r="C169" s="501">
        <v>42895</v>
      </c>
      <c r="D169" s="501" t="s">
        <v>1172</v>
      </c>
      <c r="E169" s="484" t="s">
        <v>805</v>
      </c>
      <c r="F169" s="475" t="s">
        <v>461</v>
      </c>
      <c r="G169" s="476" t="s">
        <v>1191</v>
      </c>
      <c r="H169" s="477" t="s">
        <v>1267</v>
      </c>
      <c r="I169" s="477" t="s">
        <v>987</v>
      </c>
      <c r="J169" s="502">
        <v>2010</v>
      </c>
      <c r="K169" s="503">
        <f>K177+1</f>
        <v>301</v>
      </c>
      <c r="L169" s="503">
        <f t="shared" si="8"/>
        <v>444</v>
      </c>
    </row>
    <row r="170" spans="2:12" s="216" customFormat="1" ht="19.5" customHeight="1">
      <c r="B170" s="472" t="s">
        <v>491</v>
      </c>
      <c r="C170" s="501">
        <v>42895</v>
      </c>
      <c r="D170" s="501" t="s">
        <v>1172</v>
      </c>
      <c r="E170" s="484" t="s">
        <v>805</v>
      </c>
      <c r="F170" s="475" t="s">
        <v>461</v>
      </c>
      <c r="G170" s="476" t="s">
        <v>495</v>
      </c>
      <c r="H170" s="477" t="s">
        <v>655</v>
      </c>
      <c r="I170" s="477" t="s">
        <v>989</v>
      </c>
      <c r="J170" s="502">
        <v>231</v>
      </c>
      <c r="K170" s="503">
        <f>K171+1</f>
        <v>57</v>
      </c>
      <c r="L170" s="503">
        <f t="shared" si="8"/>
        <v>443</v>
      </c>
    </row>
    <row r="171" spans="2:12" s="216" customFormat="1" ht="19.5" customHeight="1">
      <c r="B171" s="472" t="s">
        <v>491</v>
      </c>
      <c r="C171" s="501">
        <v>42894</v>
      </c>
      <c r="D171" s="501" t="s">
        <v>1172</v>
      </c>
      <c r="E171" s="483" t="s">
        <v>806</v>
      </c>
      <c r="F171" s="475" t="s">
        <v>750</v>
      </c>
      <c r="G171" s="476" t="s">
        <v>870</v>
      </c>
      <c r="H171" s="477" t="s">
        <v>1190</v>
      </c>
      <c r="I171" s="477" t="s">
        <v>989</v>
      </c>
      <c r="J171" s="502">
        <v>228</v>
      </c>
      <c r="K171" s="503">
        <f>K175+1</f>
        <v>56</v>
      </c>
      <c r="L171" s="503">
        <f t="shared" si="8"/>
        <v>442</v>
      </c>
    </row>
    <row r="172" spans="2:12" s="216" customFormat="1" ht="19.5" customHeight="1">
      <c r="B172" s="500" t="s">
        <v>490</v>
      </c>
      <c r="C172" s="501">
        <v>42894</v>
      </c>
      <c r="D172" s="501" t="s">
        <v>1172</v>
      </c>
      <c r="E172" s="484" t="s">
        <v>808</v>
      </c>
      <c r="F172" s="475" t="s">
        <v>764</v>
      </c>
      <c r="G172" s="476" t="s">
        <v>790</v>
      </c>
      <c r="H172" s="477" t="s">
        <v>920</v>
      </c>
      <c r="I172" s="477" t="s">
        <v>989</v>
      </c>
      <c r="J172" s="502">
        <v>490</v>
      </c>
      <c r="K172" s="503">
        <f>K173+1</f>
        <v>86</v>
      </c>
      <c r="L172" s="503">
        <f t="shared" si="8"/>
        <v>441</v>
      </c>
    </row>
    <row r="173" spans="2:12" s="216" customFormat="1" ht="19.5" customHeight="1">
      <c r="B173" s="500" t="s">
        <v>490</v>
      </c>
      <c r="C173" s="501">
        <v>42892</v>
      </c>
      <c r="D173" s="501" t="s">
        <v>1172</v>
      </c>
      <c r="E173" s="484" t="s">
        <v>806</v>
      </c>
      <c r="F173" s="475" t="s">
        <v>750</v>
      </c>
      <c r="G173" s="476" t="s">
        <v>870</v>
      </c>
      <c r="H173" s="477" t="s">
        <v>1190</v>
      </c>
      <c r="I173" s="477" t="s">
        <v>989</v>
      </c>
      <c r="J173" s="502">
        <v>470</v>
      </c>
      <c r="K173" s="503">
        <f>K174+1</f>
        <v>85</v>
      </c>
      <c r="L173" s="503">
        <f t="shared" si="8"/>
        <v>440</v>
      </c>
    </row>
    <row r="174" spans="2:12" s="216" customFormat="1" ht="19.5" customHeight="1">
      <c r="B174" s="500" t="s">
        <v>490</v>
      </c>
      <c r="C174" s="501">
        <v>42888</v>
      </c>
      <c r="D174" s="501" t="s">
        <v>1172</v>
      </c>
      <c r="E174" s="484" t="s">
        <v>806</v>
      </c>
      <c r="F174" s="475" t="s">
        <v>466</v>
      </c>
      <c r="G174" s="476" t="s">
        <v>492</v>
      </c>
      <c r="H174" s="477" t="s">
        <v>1189</v>
      </c>
      <c r="I174" s="477" t="s">
        <v>989</v>
      </c>
      <c r="J174" s="502">
        <v>303</v>
      </c>
      <c r="K174" s="503">
        <f>K176+1</f>
        <v>84</v>
      </c>
      <c r="L174" s="503">
        <f t="shared" si="8"/>
        <v>439</v>
      </c>
    </row>
    <row r="175" spans="2:12" s="216" customFormat="1" ht="19.5" customHeight="1">
      <c r="B175" s="472" t="s">
        <v>491</v>
      </c>
      <c r="C175" s="501">
        <v>42882</v>
      </c>
      <c r="D175" s="501" t="s">
        <v>1172</v>
      </c>
      <c r="E175" s="484" t="s">
        <v>805</v>
      </c>
      <c r="F175" s="475" t="s">
        <v>748</v>
      </c>
      <c r="G175" s="476" t="s">
        <v>494</v>
      </c>
      <c r="H175" s="477" t="s">
        <v>571</v>
      </c>
      <c r="I175" s="477" t="s">
        <v>989</v>
      </c>
      <c r="J175" s="502">
        <v>176</v>
      </c>
      <c r="K175" s="503">
        <f>K179+1</f>
        <v>55</v>
      </c>
      <c r="L175" s="503">
        <f t="shared" si="8"/>
        <v>438</v>
      </c>
    </row>
    <row r="176" spans="2:12" s="216" customFormat="1" ht="19.5" customHeight="1">
      <c r="B176" s="500" t="s">
        <v>490</v>
      </c>
      <c r="C176" s="501">
        <v>42873</v>
      </c>
      <c r="D176" s="501" t="s">
        <v>1172</v>
      </c>
      <c r="E176" s="484" t="s">
        <v>805</v>
      </c>
      <c r="F176" s="475" t="s">
        <v>762</v>
      </c>
      <c r="G176" s="476" t="s">
        <v>683</v>
      </c>
      <c r="H176" s="477" t="s">
        <v>1188</v>
      </c>
      <c r="I176" s="477" t="s">
        <v>989</v>
      </c>
      <c r="J176" s="502">
        <v>396</v>
      </c>
      <c r="K176" s="503">
        <f>K178+1</f>
        <v>83</v>
      </c>
      <c r="L176" s="503">
        <f t="shared" si="8"/>
        <v>437</v>
      </c>
    </row>
    <row r="177" spans="2:12" s="216" customFormat="1" ht="19.5" customHeight="1">
      <c r="B177" s="500" t="s">
        <v>460</v>
      </c>
      <c r="C177" s="501">
        <v>42860</v>
      </c>
      <c r="D177" s="501" t="s">
        <v>1172</v>
      </c>
      <c r="E177" s="484" t="s">
        <v>806</v>
      </c>
      <c r="F177" s="475" t="s">
        <v>466</v>
      </c>
      <c r="G177" s="476" t="s">
        <v>834</v>
      </c>
      <c r="H177" s="477" t="s">
        <v>1250</v>
      </c>
      <c r="I177" s="477" t="s">
        <v>989</v>
      </c>
      <c r="J177" s="502">
        <v>1729.55</v>
      </c>
      <c r="K177" s="503">
        <f>K181+1</f>
        <v>300</v>
      </c>
      <c r="L177" s="503">
        <f t="shared" si="8"/>
        <v>436</v>
      </c>
    </row>
    <row r="178" spans="2:12" s="216" customFormat="1" ht="19.5" customHeight="1">
      <c r="B178" s="500" t="s">
        <v>490</v>
      </c>
      <c r="C178" s="501">
        <v>42859</v>
      </c>
      <c r="D178" s="501" t="s">
        <v>1172</v>
      </c>
      <c r="E178" s="484" t="s">
        <v>808</v>
      </c>
      <c r="F178" s="475" t="s">
        <v>464</v>
      </c>
      <c r="G178" s="476" t="s">
        <v>509</v>
      </c>
      <c r="H178" s="477" t="s">
        <v>914</v>
      </c>
      <c r="I178" s="477" t="s">
        <v>989</v>
      </c>
      <c r="J178" s="502">
        <v>296</v>
      </c>
      <c r="K178" s="503">
        <f>K180+1</f>
        <v>82</v>
      </c>
      <c r="L178" s="503">
        <f t="shared" si="8"/>
        <v>435</v>
      </c>
    </row>
    <row r="179" spans="2:12" s="216" customFormat="1" ht="19.5" customHeight="1">
      <c r="B179" s="472" t="s">
        <v>491</v>
      </c>
      <c r="C179" s="501">
        <v>42852</v>
      </c>
      <c r="D179" s="501" t="s">
        <v>1172</v>
      </c>
      <c r="E179" s="484" t="s">
        <v>805</v>
      </c>
      <c r="F179" s="475" t="s">
        <v>461</v>
      </c>
      <c r="G179" s="476" t="s">
        <v>860</v>
      </c>
      <c r="H179" s="477" t="s">
        <v>1186</v>
      </c>
      <c r="I179" s="477" t="s">
        <v>989</v>
      </c>
      <c r="J179" s="502">
        <v>250</v>
      </c>
      <c r="K179" s="503">
        <f>K184+1</f>
        <v>54</v>
      </c>
      <c r="L179" s="503">
        <f t="shared" si="8"/>
        <v>434</v>
      </c>
    </row>
    <row r="180" spans="2:12" s="216" customFormat="1" ht="19.5" customHeight="1">
      <c r="B180" s="500" t="s">
        <v>490</v>
      </c>
      <c r="C180" s="501">
        <v>42852</v>
      </c>
      <c r="D180" s="501" t="s">
        <v>1172</v>
      </c>
      <c r="E180" s="484" t="s">
        <v>808</v>
      </c>
      <c r="F180" s="475" t="s">
        <v>464</v>
      </c>
      <c r="G180" s="476" t="s">
        <v>509</v>
      </c>
      <c r="H180" s="477" t="s">
        <v>881</v>
      </c>
      <c r="I180" s="477" t="s">
        <v>989</v>
      </c>
      <c r="J180" s="502">
        <v>663</v>
      </c>
      <c r="K180" s="503">
        <f>K182+1</f>
        <v>81</v>
      </c>
      <c r="L180" s="503">
        <f t="shared" si="8"/>
        <v>433</v>
      </c>
    </row>
    <row r="181" spans="2:12" s="216" customFormat="1" ht="19.5" customHeight="1">
      <c r="B181" s="500" t="s">
        <v>460</v>
      </c>
      <c r="C181" s="501">
        <v>42850</v>
      </c>
      <c r="D181" s="501" t="s">
        <v>1172</v>
      </c>
      <c r="E181" s="484" t="s">
        <v>806</v>
      </c>
      <c r="F181" s="475" t="s">
        <v>462</v>
      </c>
      <c r="G181" s="476" t="s">
        <v>1184</v>
      </c>
      <c r="H181" s="477" t="s">
        <v>1185</v>
      </c>
      <c r="I181" s="477" t="s">
        <v>989</v>
      </c>
      <c r="J181" s="502">
        <v>1980.9</v>
      </c>
      <c r="K181" s="503">
        <f>K185+1</f>
        <v>299</v>
      </c>
      <c r="L181" s="503">
        <f t="shared" si="8"/>
        <v>432</v>
      </c>
    </row>
    <row r="182" spans="2:12" s="216" customFormat="1" ht="19.5" customHeight="1">
      <c r="B182" s="500" t="s">
        <v>490</v>
      </c>
      <c r="C182" s="501">
        <v>42845</v>
      </c>
      <c r="D182" s="501" t="s">
        <v>1172</v>
      </c>
      <c r="E182" s="484" t="s">
        <v>808</v>
      </c>
      <c r="F182" s="475" t="s">
        <v>752</v>
      </c>
      <c r="G182" s="476" t="s">
        <v>505</v>
      </c>
      <c r="H182" s="477" t="s">
        <v>660</v>
      </c>
      <c r="I182" s="477" t="s">
        <v>989</v>
      </c>
      <c r="J182" s="502">
        <v>525</v>
      </c>
      <c r="K182" s="503">
        <f>K183+1</f>
        <v>80</v>
      </c>
      <c r="L182" s="503">
        <f t="shared" ref="L182:L185" si="9">L183+1</f>
        <v>431</v>
      </c>
    </row>
    <row r="183" spans="2:12" s="216" customFormat="1" ht="19.5" customHeight="1">
      <c r="B183" s="500" t="s">
        <v>490</v>
      </c>
      <c r="C183" s="501">
        <v>42837</v>
      </c>
      <c r="D183" s="501" t="s">
        <v>1172</v>
      </c>
      <c r="E183" s="484" t="s">
        <v>806</v>
      </c>
      <c r="F183" s="475" t="s">
        <v>462</v>
      </c>
      <c r="G183" s="476" t="s">
        <v>567</v>
      </c>
      <c r="H183" s="477" t="s">
        <v>1173</v>
      </c>
      <c r="I183" s="477" t="s">
        <v>989</v>
      </c>
      <c r="J183" s="502">
        <v>344</v>
      </c>
      <c r="K183" s="503">
        <f>K187+1</f>
        <v>79</v>
      </c>
      <c r="L183" s="503">
        <f t="shared" si="9"/>
        <v>430</v>
      </c>
    </row>
    <row r="184" spans="2:12" s="216" customFormat="1" ht="19.5" customHeight="1">
      <c r="B184" s="472" t="s">
        <v>491</v>
      </c>
      <c r="C184" s="501">
        <v>42831</v>
      </c>
      <c r="D184" s="501" t="s">
        <v>1172</v>
      </c>
      <c r="E184" s="483" t="s">
        <v>806</v>
      </c>
      <c r="F184" s="475" t="s">
        <v>750</v>
      </c>
      <c r="G184" s="476" t="s">
        <v>772</v>
      </c>
      <c r="H184" s="477" t="s">
        <v>1174</v>
      </c>
      <c r="I184" s="477" t="s">
        <v>989</v>
      </c>
      <c r="J184" s="502">
        <v>197</v>
      </c>
      <c r="K184" s="503">
        <f>K186+1</f>
        <v>53</v>
      </c>
      <c r="L184" s="503">
        <f t="shared" si="9"/>
        <v>429</v>
      </c>
    </row>
    <row r="185" spans="2:12" s="216" customFormat="1" ht="19.5" customHeight="1">
      <c r="B185" s="500" t="s">
        <v>460</v>
      </c>
      <c r="C185" s="501">
        <v>42831</v>
      </c>
      <c r="D185" s="501" t="s">
        <v>1172</v>
      </c>
      <c r="E185" s="484" t="s">
        <v>806</v>
      </c>
      <c r="F185" s="475" t="s">
        <v>462</v>
      </c>
      <c r="G185" s="476" t="s">
        <v>567</v>
      </c>
      <c r="H185" s="477" t="s">
        <v>1173</v>
      </c>
      <c r="I185" s="477" t="s">
        <v>989</v>
      </c>
      <c r="J185" s="502">
        <v>1873.9</v>
      </c>
      <c r="K185" s="503">
        <f>K188+1</f>
        <v>298</v>
      </c>
      <c r="L185" s="503">
        <f t="shared" si="9"/>
        <v>428</v>
      </c>
    </row>
    <row r="186" spans="2:12" s="216" customFormat="1" ht="19.5" customHeight="1">
      <c r="B186" s="472" t="s">
        <v>491</v>
      </c>
      <c r="C186" s="501">
        <v>42824</v>
      </c>
      <c r="D186" s="501" t="s">
        <v>1163</v>
      </c>
      <c r="E186" s="484" t="s">
        <v>805</v>
      </c>
      <c r="F186" s="475" t="s">
        <v>748</v>
      </c>
      <c r="G186" s="476" t="s">
        <v>513</v>
      </c>
      <c r="H186" s="477" t="s">
        <v>703</v>
      </c>
      <c r="I186" s="477" t="s">
        <v>989</v>
      </c>
      <c r="J186" s="502">
        <v>231</v>
      </c>
      <c r="K186" s="503">
        <f>K192+1</f>
        <v>52</v>
      </c>
      <c r="L186" s="503">
        <f>L192+1</f>
        <v>427</v>
      </c>
    </row>
    <row r="187" spans="2:12" s="216" customFormat="1" ht="19.5" customHeight="1">
      <c r="B187" s="500" t="s">
        <v>490</v>
      </c>
      <c r="C187" s="501">
        <v>42824</v>
      </c>
      <c r="D187" s="501" t="s">
        <v>1163</v>
      </c>
      <c r="E187" s="484" t="s">
        <v>805</v>
      </c>
      <c r="F187" s="475" t="s">
        <v>461</v>
      </c>
      <c r="G187" s="476" t="s">
        <v>549</v>
      </c>
      <c r="H187" s="477" t="s">
        <v>649</v>
      </c>
      <c r="I187" s="477" t="s">
        <v>989</v>
      </c>
      <c r="J187" s="502">
        <v>486</v>
      </c>
      <c r="K187" s="503">
        <f>K195+1</f>
        <v>78</v>
      </c>
      <c r="L187" s="503">
        <f>L188+1-2</f>
        <v>428</v>
      </c>
    </row>
    <row r="188" spans="2:12" s="216" customFormat="1" ht="19.5" customHeight="1">
      <c r="B188" s="500" t="s">
        <v>460</v>
      </c>
      <c r="C188" s="501">
        <v>42823</v>
      </c>
      <c r="D188" s="501" t="s">
        <v>1163</v>
      </c>
      <c r="E188" s="484" t="s">
        <v>806</v>
      </c>
      <c r="F188" s="475" t="s">
        <v>753</v>
      </c>
      <c r="G188" s="476" t="s">
        <v>1170</v>
      </c>
      <c r="H188" s="477" t="s">
        <v>1171</v>
      </c>
      <c r="I188" s="477" t="s">
        <v>989</v>
      </c>
      <c r="J188" s="502">
        <v>1531</v>
      </c>
      <c r="K188" s="503">
        <f>K189+1</f>
        <v>297</v>
      </c>
      <c r="L188" s="503">
        <f>L189+1</f>
        <v>429</v>
      </c>
    </row>
    <row r="189" spans="2:12" s="216" customFormat="1" ht="19.5" customHeight="1">
      <c r="B189" s="500" t="s">
        <v>460</v>
      </c>
      <c r="C189" s="501">
        <v>42817</v>
      </c>
      <c r="D189" s="501" t="s">
        <v>1163</v>
      </c>
      <c r="E189" s="484" t="s">
        <v>806</v>
      </c>
      <c r="F189" s="475" t="s">
        <v>750</v>
      </c>
      <c r="G189" s="476" t="s">
        <v>1167</v>
      </c>
      <c r="H189" s="477" t="s">
        <v>1169</v>
      </c>
      <c r="I189" s="477" t="s">
        <v>989</v>
      </c>
      <c r="J189" s="502">
        <v>1791</v>
      </c>
      <c r="K189" s="503">
        <f>K190+1</f>
        <v>296</v>
      </c>
      <c r="L189" s="503">
        <f>L190+1</f>
        <v>428</v>
      </c>
    </row>
    <row r="190" spans="2:12" s="216" customFormat="1" ht="19.5" customHeight="1">
      <c r="B190" s="500" t="s">
        <v>460</v>
      </c>
      <c r="C190" s="501">
        <v>42817</v>
      </c>
      <c r="D190" s="501" t="s">
        <v>1163</v>
      </c>
      <c r="E190" s="484" t="s">
        <v>807</v>
      </c>
      <c r="F190" s="475" t="s">
        <v>751</v>
      </c>
      <c r="G190" s="476" t="s">
        <v>1166</v>
      </c>
      <c r="H190" s="477" t="s">
        <v>1168</v>
      </c>
      <c r="I190" s="477" t="s">
        <v>989</v>
      </c>
      <c r="J190" s="502">
        <v>1746.6</v>
      </c>
      <c r="K190" s="503">
        <f>K197+1</f>
        <v>295</v>
      </c>
      <c r="L190" s="503">
        <f>L192+1</f>
        <v>427</v>
      </c>
    </row>
    <row r="191" spans="2:12" s="216" customFormat="1" ht="19.5" customHeight="1">
      <c r="B191" s="464" t="s">
        <v>491</v>
      </c>
      <c r="C191" s="426">
        <v>42810</v>
      </c>
      <c r="D191" s="426" t="s">
        <v>1163</v>
      </c>
      <c r="E191" s="529" t="s">
        <v>806</v>
      </c>
      <c r="F191" s="428" t="s">
        <v>462</v>
      </c>
      <c r="G191" s="429" t="s">
        <v>469</v>
      </c>
      <c r="H191" s="430" t="s">
        <v>1164</v>
      </c>
      <c r="I191" s="430" t="s">
        <v>989</v>
      </c>
      <c r="J191" s="431">
        <v>200</v>
      </c>
      <c r="K191" s="508" t="s">
        <v>1447</v>
      </c>
      <c r="L191" s="508" t="s">
        <v>1447</v>
      </c>
    </row>
    <row r="192" spans="2:12" s="216" customFormat="1" ht="19.5" customHeight="1">
      <c r="B192" s="472" t="s">
        <v>491</v>
      </c>
      <c r="C192" s="501">
        <v>42810</v>
      </c>
      <c r="D192" s="501" t="s">
        <v>1163</v>
      </c>
      <c r="E192" s="484" t="s">
        <v>805</v>
      </c>
      <c r="F192" s="475" t="s">
        <v>748</v>
      </c>
      <c r="G192" s="476" t="s">
        <v>518</v>
      </c>
      <c r="H192" s="477" t="s">
        <v>1165</v>
      </c>
      <c r="I192" s="477" t="s">
        <v>989</v>
      </c>
      <c r="J192" s="502">
        <v>209</v>
      </c>
      <c r="K192" s="503">
        <f>K193+1</f>
        <v>51</v>
      </c>
      <c r="L192" s="503">
        <f t="shared" ref="L192:L253" si="10">L193+1</f>
        <v>426</v>
      </c>
    </row>
    <row r="193" spans="2:12" s="216" customFormat="1" ht="19.5" customHeight="1">
      <c r="B193" s="472" t="s">
        <v>491</v>
      </c>
      <c r="C193" s="501">
        <v>42803</v>
      </c>
      <c r="D193" s="501" t="s">
        <v>1163</v>
      </c>
      <c r="E193" s="484" t="s">
        <v>805</v>
      </c>
      <c r="F193" s="475" t="s">
        <v>748</v>
      </c>
      <c r="G193" s="476" t="s">
        <v>825</v>
      </c>
      <c r="H193" s="477" t="s">
        <v>824</v>
      </c>
      <c r="I193" s="477" t="s">
        <v>989</v>
      </c>
      <c r="J193" s="502">
        <v>263</v>
      </c>
      <c r="K193" s="503">
        <f>K194+1</f>
        <v>50</v>
      </c>
      <c r="L193" s="503">
        <f t="shared" si="10"/>
        <v>425</v>
      </c>
    </row>
    <row r="194" spans="2:12" s="216" customFormat="1" ht="19.5" customHeight="1">
      <c r="B194" s="472" t="s">
        <v>491</v>
      </c>
      <c r="C194" s="501">
        <v>42797</v>
      </c>
      <c r="D194" s="501" t="s">
        <v>1163</v>
      </c>
      <c r="E194" s="483" t="s">
        <v>806</v>
      </c>
      <c r="F194" s="475" t="s">
        <v>462</v>
      </c>
      <c r="G194" s="476" t="s">
        <v>514</v>
      </c>
      <c r="H194" s="477" t="s">
        <v>975</v>
      </c>
      <c r="I194" s="477" t="s">
        <v>989</v>
      </c>
      <c r="J194" s="502">
        <v>219</v>
      </c>
      <c r="K194" s="503">
        <f>K196+1</f>
        <v>49</v>
      </c>
      <c r="L194" s="503">
        <f t="shared" si="10"/>
        <v>424</v>
      </c>
    </row>
    <row r="195" spans="2:12" s="216" customFormat="1" ht="19.5" customHeight="1">
      <c r="B195" s="500" t="s">
        <v>490</v>
      </c>
      <c r="C195" s="501">
        <v>42720</v>
      </c>
      <c r="D195" s="501" t="s">
        <v>1124</v>
      </c>
      <c r="E195" s="484" t="s">
        <v>808</v>
      </c>
      <c r="F195" s="475" t="s">
        <v>759</v>
      </c>
      <c r="G195" s="476" t="s">
        <v>541</v>
      </c>
      <c r="H195" s="477" t="s">
        <v>1159</v>
      </c>
      <c r="I195" s="477" t="s">
        <v>989</v>
      </c>
      <c r="J195" s="502">
        <v>678</v>
      </c>
      <c r="K195" s="503">
        <f>K199+1</f>
        <v>77</v>
      </c>
      <c r="L195" s="503">
        <f t="shared" si="10"/>
        <v>423</v>
      </c>
    </row>
    <row r="196" spans="2:12" s="216" customFormat="1" ht="19.5" customHeight="1">
      <c r="B196" s="472" t="s">
        <v>491</v>
      </c>
      <c r="C196" s="501">
        <v>42712</v>
      </c>
      <c r="D196" s="501" t="s">
        <v>1124</v>
      </c>
      <c r="E196" s="483" t="s">
        <v>806</v>
      </c>
      <c r="F196" s="475" t="s">
        <v>462</v>
      </c>
      <c r="G196" s="476" t="s">
        <v>566</v>
      </c>
      <c r="H196" s="477" t="s">
        <v>844</v>
      </c>
      <c r="I196" s="477" t="s">
        <v>989</v>
      </c>
      <c r="J196" s="502">
        <v>254</v>
      </c>
      <c r="K196" s="503">
        <f>K198+1</f>
        <v>48</v>
      </c>
      <c r="L196" s="503">
        <f t="shared" si="10"/>
        <v>422</v>
      </c>
    </row>
    <row r="197" spans="2:12" s="216" customFormat="1" ht="19.5" customHeight="1">
      <c r="B197" s="500" t="s">
        <v>460</v>
      </c>
      <c r="C197" s="501">
        <v>42702</v>
      </c>
      <c r="D197" s="501" t="s">
        <v>1124</v>
      </c>
      <c r="E197" s="484" t="s">
        <v>808</v>
      </c>
      <c r="F197" s="475" t="s">
        <v>749</v>
      </c>
      <c r="G197" s="476" t="s">
        <v>501</v>
      </c>
      <c r="H197" s="477" t="s">
        <v>1157</v>
      </c>
      <c r="I197" s="477" t="s">
        <v>989</v>
      </c>
      <c r="J197" s="502">
        <v>2064.1</v>
      </c>
      <c r="K197" s="503">
        <f>K201+1</f>
        <v>294</v>
      </c>
      <c r="L197" s="503">
        <f t="shared" si="10"/>
        <v>421</v>
      </c>
    </row>
    <row r="198" spans="2:12" s="216" customFormat="1" ht="19.5" customHeight="1">
      <c r="B198" s="472" t="s">
        <v>491</v>
      </c>
      <c r="C198" s="501">
        <v>42698</v>
      </c>
      <c r="D198" s="501" t="s">
        <v>1124</v>
      </c>
      <c r="E198" s="484" t="s">
        <v>805</v>
      </c>
      <c r="F198" s="475" t="s">
        <v>762</v>
      </c>
      <c r="G198" s="476" t="s">
        <v>866</v>
      </c>
      <c r="H198" s="477" t="s">
        <v>1146</v>
      </c>
      <c r="I198" s="477" t="s">
        <v>989</v>
      </c>
      <c r="J198" s="502">
        <v>292</v>
      </c>
      <c r="K198" s="503">
        <f>K202+1</f>
        <v>47</v>
      </c>
      <c r="L198" s="503">
        <f t="shared" si="10"/>
        <v>420</v>
      </c>
    </row>
    <row r="199" spans="2:12" s="216" customFormat="1" ht="19.5" customHeight="1">
      <c r="B199" s="500" t="s">
        <v>490</v>
      </c>
      <c r="C199" s="501">
        <v>42698</v>
      </c>
      <c r="D199" s="501" t="s">
        <v>1124</v>
      </c>
      <c r="E199" s="484" t="s">
        <v>805</v>
      </c>
      <c r="F199" s="475" t="s">
        <v>762</v>
      </c>
      <c r="G199" s="476" t="s">
        <v>869</v>
      </c>
      <c r="H199" s="477" t="s">
        <v>1145</v>
      </c>
      <c r="I199" s="477" t="s">
        <v>989</v>
      </c>
      <c r="J199" s="502">
        <v>593.1</v>
      </c>
      <c r="K199" s="503">
        <f>K200+1</f>
        <v>76</v>
      </c>
      <c r="L199" s="503">
        <f t="shared" si="10"/>
        <v>419</v>
      </c>
    </row>
    <row r="200" spans="2:12" s="216" customFormat="1" ht="19.5" customHeight="1">
      <c r="B200" s="500" t="s">
        <v>490</v>
      </c>
      <c r="C200" s="501">
        <v>42697</v>
      </c>
      <c r="D200" s="501" t="s">
        <v>1124</v>
      </c>
      <c r="E200" s="484" t="s">
        <v>809</v>
      </c>
      <c r="F200" s="475" t="s">
        <v>467</v>
      </c>
      <c r="G200" s="476" t="s">
        <v>545</v>
      </c>
      <c r="H200" s="477" t="s">
        <v>1142</v>
      </c>
      <c r="I200" s="477" t="s">
        <v>989</v>
      </c>
      <c r="J200" s="502">
        <v>507</v>
      </c>
      <c r="K200" s="503">
        <f>K204+1</f>
        <v>75</v>
      </c>
      <c r="L200" s="503">
        <f t="shared" si="10"/>
        <v>418</v>
      </c>
    </row>
    <row r="201" spans="2:12" s="216" customFormat="1" ht="19.5" customHeight="1">
      <c r="B201" s="500" t="s">
        <v>460</v>
      </c>
      <c r="C201" s="501">
        <v>42696</v>
      </c>
      <c r="D201" s="501" t="s">
        <v>1124</v>
      </c>
      <c r="E201" s="484" t="s">
        <v>806</v>
      </c>
      <c r="F201" s="475" t="s">
        <v>462</v>
      </c>
      <c r="G201" s="476" t="s">
        <v>1144</v>
      </c>
      <c r="H201" s="477" t="s">
        <v>1143</v>
      </c>
      <c r="I201" s="477" t="s">
        <v>989</v>
      </c>
      <c r="J201" s="502">
        <v>2501.62</v>
      </c>
      <c r="K201" s="503">
        <f>K205+1</f>
        <v>293</v>
      </c>
      <c r="L201" s="503">
        <f t="shared" si="10"/>
        <v>417</v>
      </c>
    </row>
    <row r="202" spans="2:12" s="216" customFormat="1" ht="19.5" customHeight="1">
      <c r="B202" s="472" t="s">
        <v>491</v>
      </c>
      <c r="C202" s="501">
        <v>42690</v>
      </c>
      <c r="D202" s="501" t="s">
        <v>1124</v>
      </c>
      <c r="E202" s="484" t="s">
        <v>809</v>
      </c>
      <c r="F202" s="475" t="s">
        <v>757</v>
      </c>
      <c r="G202" s="476" t="s">
        <v>547</v>
      </c>
      <c r="H202" s="477" t="s">
        <v>946</v>
      </c>
      <c r="I202" s="477" t="s">
        <v>989</v>
      </c>
      <c r="J202" s="502">
        <v>201</v>
      </c>
      <c r="K202" s="503">
        <f>K203+1</f>
        <v>46</v>
      </c>
      <c r="L202" s="503">
        <f t="shared" si="10"/>
        <v>416</v>
      </c>
    </row>
    <row r="203" spans="2:12" s="216" customFormat="1" ht="19.5" customHeight="1">
      <c r="B203" s="472" t="s">
        <v>491</v>
      </c>
      <c r="C203" s="501">
        <v>42690</v>
      </c>
      <c r="D203" s="501" t="s">
        <v>1124</v>
      </c>
      <c r="E203" s="483" t="s">
        <v>806</v>
      </c>
      <c r="F203" s="475" t="s">
        <v>750</v>
      </c>
      <c r="G203" s="476" t="s">
        <v>534</v>
      </c>
      <c r="H203" s="477" t="s">
        <v>947</v>
      </c>
      <c r="I203" s="477" t="s">
        <v>989</v>
      </c>
      <c r="J203" s="502">
        <v>192</v>
      </c>
      <c r="K203" s="503">
        <f>K209+1</f>
        <v>45</v>
      </c>
      <c r="L203" s="503">
        <f t="shared" si="10"/>
        <v>415</v>
      </c>
    </row>
    <row r="204" spans="2:12" s="216" customFormat="1" ht="19.5" customHeight="1">
      <c r="B204" s="500" t="s">
        <v>490</v>
      </c>
      <c r="C204" s="501">
        <v>42684</v>
      </c>
      <c r="D204" s="501" t="s">
        <v>1124</v>
      </c>
      <c r="E204" s="484" t="s">
        <v>808</v>
      </c>
      <c r="F204" s="475" t="s">
        <v>465</v>
      </c>
      <c r="G204" s="476" t="s">
        <v>473</v>
      </c>
      <c r="H204" s="477" t="s">
        <v>1141</v>
      </c>
      <c r="I204" s="477" t="s">
        <v>989</v>
      </c>
      <c r="J204" s="502">
        <v>277.63</v>
      </c>
      <c r="K204" s="503">
        <f>K210+1</f>
        <v>74</v>
      </c>
      <c r="L204" s="503">
        <f t="shared" si="10"/>
        <v>414</v>
      </c>
    </row>
    <row r="205" spans="2:12" s="216" customFormat="1" ht="19.5" customHeight="1">
      <c r="B205" s="500" t="s">
        <v>460</v>
      </c>
      <c r="C205" s="501">
        <v>42681</v>
      </c>
      <c r="D205" s="501" t="s">
        <v>1124</v>
      </c>
      <c r="E205" s="484" t="s">
        <v>806</v>
      </c>
      <c r="F205" s="475" t="s">
        <v>462</v>
      </c>
      <c r="G205" s="476" t="s">
        <v>469</v>
      </c>
      <c r="H205" s="477" t="s">
        <v>1140</v>
      </c>
      <c r="I205" s="477" t="s">
        <v>989</v>
      </c>
      <c r="J205" s="502">
        <v>2336.61</v>
      </c>
      <c r="K205" s="503">
        <f>K206+1</f>
        <v>292</v>
      </c>
      <c r="L205" s="503">
        <f t="shared" si="10"/>
        <v>413</v>
      </c>
    </row>
    <row r="206" spans="2:12" s="216" customFormat="1" ht="19.5" customHeight="1">
      <c r="B206" s="500" t="s">
        <v>460</v>
      </c>
      <c r="C206" s="501">
        <v>42674</v>
      </c>
      <c r="D206" s="501" t="s">
        <v>1124</v>
      </c>
      <c r="E206" s="484" t="s">
        <v>806</v>
      </c>
      <c r="F206" s="475" t="s">
        <v>466</v>
      </c>
      <c r="G206" s="476" t="s">
        <v>1138</v>
      </c>
      <c r="H206" s="477" t="s">
        <v>1139</v>
      </c>
      <c r="I206" s="477" t="s">
        <v>989</v>
      </c>
      <c r="J206" s="502">
        <v>1506.0900000000001</v>
      </c>
      <c r="K206" s="503">
        <f>K207+1</f>
        <v>291</v>
      </c>
      <c r="L206" s="503">
        <f t="shared" si="10"/>
        <v>412</v>
      </c>
    </row>
    <row r="207" spans="2:12" s="216" customFormat="1" ht="19.5" customHeight="1">
      <c r="B207" s="500" t="s">
        <v>460</v>
      </c>
      <c r="C207" s="501">
        <v>42670</v>
      </c>
      <c r="D207" s="501" t="s">
        <v>1124</v>
      </c>
      <c r="E207" s="484" t="s">
        <v>806</v>
      </c>
      <c r="F207" s="475" t="s">
        <v>462</v>
      </c>
      <c r="G207" s="476" t="s">
        <v>1135</v>
      </c>
      <c r="H207" s="477" t="s">
        <v>1137</v>
      </c>
      <c r="I207" s="477" t="s">
        <v>989</v>
      </c>
      <c r="J207" s="502">
        <v>1864.7900000000002</v>
      </c>
      <c r="K207" s="503">
        <f>K208+1</f>
        <v>290</v>
      </c>
      <c r="L207" s="503">
        <f t="shared" si="10"/>
        <v>411</v>
      </c>
    </row>
    <row r="208" spans="2:12" s="216" customFormat="1" ht="19.5" customHeight="1">
      <c r="B208" s="500" t="s">
        <v>460</v>
      </c>
      <c r="C208" s="501">
        <v>42669</v>
      </c>
      <c r="D208" s="501" t="s">
        <v>1124</v>
      </c>
      <c r="E208" s="484" t="s">
        <v>808</v>
      </c>
      <c r="F208" s="475" t="s">
        <v>749</v>
      </c>
      <c r="G208" s="476" t="s">
        <v>501</v>
      </c>
      <c r="H208" s="477" t="s">
        <v>1136</v>
      </c>
      <c r="I208" s="477" t="s">
        <v>989</v>
      </c>
      <c r="J208" s="502">
        <v>3160.46</v>
      </c>
      <c r="K208" s="503">
        <f>K211+1</f>
        <v>289</v>
      </c>
      <c r="L208" s="503">
        <f t="shared" si="10"/>
        <v>410</v>
      </c>
    </row>
    <row r="209" spans="2:12" s="216" customFormat="1" ht="19.5" customHeight="1">
      <c r="B209" s="472" t="s">
        <v>491</v>
      </c>
      <c r="C209" s="501">
        <v>42663</v>
      </c>
      <c r="D209" s="501" t="s">
        <v>1124</v>
      </c>
      <c r="E209" s="483" t="s">
        <v>806</v>
      </c>
      <c r="F209" s="475" t="s">
        <v>750</v>
      </c>
      <c r="G209" s="476" t="s">
        <v>534</v>
      </c>
      <c r="H209" s="477" t="s">
        <v>919</v>
      </c>
      <c r="I209" s="477" t="s">
        <v>989</v>
      </c>
      <c r="J209" s="502">
        <v>235</v>
      </c>
      <c r="K209" s="503">
        <f>K215+1</f>
        <v>44</v>
      </c>
      <c r="L209" s="503">
        <f t="shared" si="10"/>
        <v>409</v>
      </c>
    </row>
    <row r="210" spans="2:12" s="216" customFormat="1" ht="19.5" customHeight="1">
      <c r="B210" s="500" t="s">
        <v>490</v>
      </c>
      <c r="C210" s="501">
        <v>42663</v>
      </c>
      <c r="D210" s="501" t="s">
        <v>1124</v>
      </c>
      <c r="E210" s="484" t="s">
        <v>807</v>
      </c>
      <c r="F210" s="475" t="s">
        <v>751</v>
      </c>
      <c r="G210" s="476" t="s">
        <v>503</v>
      </c>
      <c r="H210" s="477" t="s">
        <v>1134</v>
      </c>
      <c r="I210" s="477" t="s">
        <v>989</v>
      </c>
      <c r="J210" s="502">
        <v>604.11</v>
      </c>
      <c r="K210" s="503">
        <f>K212+1</f>
        <v>73</v>
      </c>
      <c r="L210" s="503">
        <f t="shared" si="10"/>
        <v>408</v>
      </c>
    </row>
    <row r="211" spans="2:12" s="216" customFormat="1" ht="19.5" customHeight="1">
      <c r="B211" s="500" t="s">
        <v>460</v>
      </c>
      <c r="C211" s="501">
        <v>42661</v>
      </c>
      <c r="D211" s="501" t="s">
        <v>1124</v>
      </c>
      <c r="E211" s="484" t="s">
        <v>806</v>
      </c>
      <c r="F211" s="475" t="s">
        <v>466</v>
      </c>
      <c r="G211" s="476" t="s">
        <v>492</v>
      </c>
      <c r="H211" s="477" t="s">
        <v>1133</v>
      </c>
      <c r="I211" s="477" t="s">
        <v>989</v>
      </c>
      <c r="J211" s="502">
        <v>1769.09</v>
      </c>
      <c r="K211" s="503">
        <f>K214+1</f>
        <v>288</v>
      </c>
      <c r="L211" s="503">
        <f t="shared" si="10"/>
        <v>407</v>
      </c>
    </row>
    <row r="212" spans="2:12" s="216" customFormat="1" ht="19.5" customHeight="1">
      <c r="B212" s="500" t="s">
        <v>490</v>
      </c>
      <c r="C212" s="501">
        <v>42656</v>
      </c>
      <c r="D212" s="501" t="s">
        <v>1124</v>
      </c>
      <c r="E212" s="484" t="s">
        <v>805</v>
      </c>
      <c r="F212" s="475" t="s">
        <v>748</v>
      </c>
      <c r="G212" s="476" t="s">
        <v>512</v>
      </c>
      <c r="H212" s="477" t="s">
        <v>1129</v>
      </c>
      <c r="I212" s="477" t="s">
        <v>989</v>
      </c>
      <c r="J212" s="502">
        <v>546.92999999999995</v>
      </c>
      <c r="K212" s="503">
        <f>K213+1</f>
        <v>72</v>
      </c>
      <c r="L212" s="503">
        <f t="shared" si="10"/>
        <v>406</v>
      </c>
    </row>
    <row r="213" spans="2:12" s="216" customFormat="1" ht="19.5" customHeight="1">
      <c r="B213" s="500" t="s">
        <v>490</v>
      </c>
      <c r="C213" s="501">
        <v>42654</v>
      </c>
      <c r="D213" s="501" t="s">
        <v>1124</v>
      </c>
      <c r="E213" s="484" t="s">
        <v>808</v>
      </c>
      <c r="F213" s="475" t="s">
        <v>464</v>
      </c>
      <c r="G213" s="476" t="s">
        <v>509</v>
      </c>
      <c r="H213" s="477" t="s">
        <v>1130</v>
      </c>
      <c r="I213" s="477" t="s">
        <v>989</v>
      </c>
      <c r="J213" s="502">
        <v>662.29</v>
      </c>
      <c r="K213" s="503">
        <f>K216+1</f>
        <v>71</v>
      </c>
      <c r="L213" s="503">
        <f t="shared" si="10"/>
        <v>405</v>
      </c>
    </row>
    <row r="214" spans="2:12" s="216" customFormat="1" ht="19.5" customHeight="1">
      <c r="B214" s="500" t="s">
        <v>460</v>
      </c>
      <c r="C214" s="501">
        <v>42654</v>
      </c>
      <c r="D214" s="501" t="s">
        <v>1124</v>
      </c>
      <c r="E214" s="484" t="s">
        <v>806</v>
      </c>
      <c r="F214" s="475" t="s">
        <v>462</v>
      </c>
      <c r="G214" s="476" t="s">
        <v>469</v>
      </c>
      <c r="H214" s="477" t="s">
        <v>1131</v>
      </c>
      <c r="I214" s="477" t="s">
        <v>989</v>
      </c>
      <c r="J214" s="502">
        <v>2163.5</v>
      </c>
      <c r="K214" s="503">
        <f>K218+1</f>
        <v>287</v>
      </c>
      <c r="L214" s="503">
        <f t="shared" si="10"/>
        <v>404</v>
      </c>
    </row>
    <row r="215" spans="2:12" s="216" customFormat="1" ht="19.5" customHeight="1">
      <c r="B215" s="472" t="s">
        <v>491</v>
      </c>
      <c r="C215" s="501">
        <v>42654</v>
      </c>
      <c r="D215" s="501" t="s">
        <v>1124</v>
      </c>
      <c r="E215" s="483" t="s">
        <v>806</v>
      </c>
      <c r="F215" s="475" t="s">
        <v>462</v>
      </c>
      <c r="G215" s="476" t="s">
        <v>469</v>
      </c>
      <c r="H215" s="477" t="s">
        <v>1131</v>
      </c>
      <c r="I215" s="477" t="s">
        <v>989</v>
      </c>
      <c r="J215" s="502">
        <v>209</v>
      </c>
      <c r="K215" s="503">
        <f>K217+1</f>
        <v>43</v>
      </c>
      <c r="L215" s="503">
        <f t="shared" si="10"/>
        <v>403</v>
      </c>
    </row>
    <row r="216" spans="2:12" s="216" customFormat="1" ht="19.5" customHeight="1">
      <c r="B216" s="500" t="s">
        <v>490</v>
      </c>
      <c r="C216" s="501">
        <v>42653</v>
      </c>
      <c r="D216" s="501" t="s">
        <v>1124</v>
      </c>
      <c r="E216" s="484" t="s">
        <v>809</v>
      </c>
      <c r="F216" s="475" t="s">
        <v>757</v>
      </c>
      <c r="G216" s="476" t="s">
        <v>547</v>
      </c>
      <c r="H216" s="477" t="s">
        <v>949</v>
      </c>
      <c r="I216" s="477" t="s">
        <v>989</v>
      </c>
      <c r="J216" s="502">
        <v>577.36</v>
      </c>
      <c r="K216" s="503">
        <f>K220+1</f>
        <v>70</v>
      </c>
      <c r="L216" s="503">
        <f t="shared" si="10"/>
        <v>402</v>
      </c>
    </row>
    <row r="217" spans="2:12" s="216" customFormat="1" ht="19.5" customHeight="1">
      <c r="B217" s="472" t="s">
        <v>491</v>
      </c>
      <c r="C217" s="501">
        <v>42653</v>
      </c>
      <c r="D217" s="501" t="s">
        <v>1124</v>
      </c>
      <c r="E217" s="484" t="s">
        <v>809</v>
      </c>
      <c r="F217" s="475" t="s">
        <v>757</v>
      </c>
      <c r="G217" s="476" t="s">
        <v>547</v>
      </c>
      <c r="H217" s="477" t="s">
        <v>949</v>
      </c>
      <c r="I217" s="477" t="s">
        <v>989</v>
      </c>
      <c r="J217" s="502">
        <v>251</v>
      </c>
      <c r="K217" s="503">
        <f>K232+1</f>
        <v>42</v>
      </c>
      <c r="L217" s="503">
        <f t="shared" si="10"/>
        <v>401</v>
      </c>
    </row>
    <row r="218" spans="2:12" s="216" customFormat="1" ht="19.5" customHeight="1">
      <c r="B218" s="500" t="s">
        <v>460</v>
      </c>
      <c r="C218" s="501">
        <v>42650</v>
      </c>
      <c r="D218" s="501" t="s">
        <v>1124</v>
      </c>
      <c r="E218" s="484" t="s">
        <v>808</v>
      </c>
      <c r="F218" s="475" t="s">
        <v>759</v>
      </c>
      <c r="G218" s="476" t="s">
        <v>1126</v>
      </c>
      <c r="H218" s="477" t="s">
        <v>1125</v>
      </c>
      <c r="I218" s="477" t="s">
        <v>989</v>
      </c>
      <c r="J218" s="502">
        <v>2897.3999999999996</v>
      </c>
      <c r="K218" s="503">
        <f>K219+1</f>
        <v>286</v>
      </c>
      <c r="L218" s="503">
        <f t="shared" si="10"/>
        <v>400</v>
      </c>
    </row>
    <row r="219" spans="2:12" s="216" customFormat="1" ht="19.5" customHeight="1">
      <c r="B219" s="500" t="s">
        <v>460</v>
      </c>
      <c r="C219" s="501">
        <v>42647</v>
      </c>
      <c r="D219" s="501" t="s">
        <v>1124</v>
      </c>
      <c r="E219" s="484" t="s">
        <v>806</v>
      </c>
      <c r="F219" s="475" t="s">
        <v>462</v>
      </c>
      <c r="G219" s="476" t="s">
        <v>566</v>
      </c>
      <c r="H219" s="477" t="s">
        <v>1127</v>
      </c>
      <c r="I219" s="477" t="s">
        <v>989</v>
      </c>
      <c r="J219" s="502">
        <v>1388</v>
      </c>
      <c r="K219" s="503">
        <f>K221+1</f>
        <v>285</v>
      </c>
      <c r="L219" s="503">
        <f t="shared" si="10"/>
        <v>399</v>
      </c>
    </row>
    <row r="220" spans="2:12" s="216" customFormat="1" ht="19.5" customHeight="1">
      <c r="B220" s="500" t="s">
        <v>490</v>
      </c>
      <c r="C220" s="501">
        <v>42644</v>
      </c>
      <c r="D220" s="501" t="s">
        <v>1124</v>
      </c>
      <c r="E220" s="484" t="s">
        <v>806</v>
      </c>
      <c r="F220" s="475" t="s">
        <v>462</v>
      </c>
      <c r="G220" s="476" t="s">
        <v>514</v>
      </c>
      <c r="H220" s="477" t="s">
        <v>975</v>
      </c>
      <c r="I220" s="477" t="s">
        <v>989</v>
      </c>
      <c r="J220" s="502">
        <v>458.86</v>
      </c>
      <c r="K220" s="503">
        <f>K225+1</f>
        <v>69</v>
      </c>
      <c r="L220" s="503">
        <f t="shared" si="10"/>
        <v>398</v>
      </c>
    </row>
    <row r="221" spans="2:12" s="216" customFormat="1" ht="19.5" customHeight="1">
      <c r="B221" s="500" t="s">
        <v>460</v>
      </c>
      <c r="C221" s="501">
        <v>42643</v>
      </c>
      <c r="D221" s="501" t="s">
        <v>1077</v>
      </c>
      <c r="E221" s="484" t="s">
        <v>805</v>
      </c>
      <c r="F221" s="475" t="s">
        <v>461</v>
      </c>
      <c r="G221" s="476" t="s">
        <v>1121</v>
      </c>
      <c r="H221" s="477" t="s">
        <v>1122</v>
      </c>
      <c r="I221" s="477" t="s">
        <v>987</v>
      </c>
      <c r="J221" s="502">
        <v>1305</v>
      </c>
      <c r="K221" s="503">
        <f>K222+1</f>
        <v>284</v>
      </c>
      <c r="L221" s="503">
        <f t="shared" si="10"/>
        <v>397</v>
      </c>
    </row>
    <row r="222" spans="2:12" s="216" customFormat="1" ht="19.5" customHeight="1">
      <c r="B222" s="500" t="s">
        <v>460</v>
      </c>
      <c r="C222" s="501">
        <v>42642</v>
      </c>
      <c r="D222" s="501" t="s">
        <v>1077</v>
      </c>
      <c r="E222" s="484" t="s">
        <v>806</v>
      </c>
      <c r="F222" s="475" t="s">
        <v>462</v>
      </c>
      <c r="G222" s="476" t="s">
        <v>511</v>
      </c>
      <c r="H222" s="477" t="s">
        <v>1123</v>
      </c>
      <c r="I222" s="477" t="s">
        <v>989</v>
      </c>
      <c r="J222" s="502">
        <v>1463</v>
      </c>
      <c r="K222" s="503">
        <f>K223+1</f>
        <v>283</v>
      </c>
      <c r="L222" s="503">
        <f t="shared" si="10"/>
        <v>396</v>
      </c>
    </row>
    <row r="223" spans="2:12" s="216" customFormat="1" ht="19.5" customHeight="1">
      <c r="B223" s="500" t="s">
        <v>460</v>
      </c>
      <c r="C223" s="501">
        <v>42621</v>
      </c>
      <c r="D223" s="501" t="s">
        <v>1077</v>
      </c>
      <c r="E223" s="484" t="s">
        <v>805</v>
      </c>
      <c r="F223" s="475" t="s">
        <v>461</v>
      </c>
      <c r="G223" s="476" t="s">
        <v>1115</v>
      </c>
      <c r="H223" s="477" t="s">
        <v>1117</v>
      </c>
      <c r="I223" s="477" t="s">
        <v>987</v>
      </c>
      <c r="J223" s="502">
        <v>1163</v>
      </c>
      <c r="K223" s="503">
        <f>K224+1</f>
        <v>282</v>
      </c>
      <c r="L223" s="503">
        <f t="shared" si="10"/>
        <v>395</v>
      </c>
    </row>
    <row r="224" spans="2:12" s="216" customFormat="1" ht="19.5" customHeight="1">
      <c r="B224" s="500" t="s">
        <v>460</v>
      </c>
      <c r="C224" s="501">
        <v>42619</v>
      </c>
      <c r="D224" s="501" t="s">
        <v>1077</v>
      </c>
      <c r="E224" s="484" t="s">
        <v>806</v>
      </c>
      <c r="F224" s="475" t="s">
        <v>753</v>
      </c>
      <c r="G224" s="476" t="s">
        <v>530</v>
      </c>
      <c r="H224" s="477" t="s">
        <v>1116</v>
      </c>
      <c r="I224" s="477" t="s">
        <v>989</v>
      </c>
      <c r="J224" s="502">
        <v>3236.37</v>
      </c>
      <c r="K224" s="503">
        <f>K229+1</f>
        <v>281</v>
      </c>
      <c r="L224" s="503">
        <f t="shared" si="10"/>
        <v>394</v>
      </c>
    </row>
    <row r="225" spans="2:12" s="216" customFormat="1" ht="19.5" customHeight="1">
      <c r="B225" s="500" t="s">
        <v>490</v>
      </c>
      <c r="C225" s="501">
        <v>42595</v>
      </c>
      <c r="D225" s="501" t="s">
        <v>1077</v>
      </c>
      <c r="E225" s="484" t="s">
        <v>806</v>
      </c>
      <c r="F225" s="475" t="s">
        <v>462</v>
      </c>
      <c r="G225" s="476" t="s">
        <v>469</v>
      </c>
      <c r="H225" s="477" t="s">
        <v>929</v>
      </c>
      <c r="I225" s="477" t="s">
        <v>989</v>
      </c>
      <c r="J225" s="502">
        <v>311.48</v>
      </c>
      <c r="K225" s="503">
        <f>K226+1</f>
        <v>68</v>
      </c>
      <c r="L225" s="503">
        <f t="shared" si="10"/>
        <v>393</v>
      </c>
    </row>
    <row r="226" spans="2:12" s="216" customFormat="1" ht="19.5" customHeight="1">
      <c r="B226" s="500" t="s">
        <v>490</v>
      </c>
      <c r="C226" s="501">
        <v>42592</v>
      </c>
      <c r="D226" s="501" t="s">
        <v>1077</v>
      </c>
      <c r="E226" s="484" t="s">
        <v>808</v>
      </c>
      <c r="F226" s="475" t="s">
        <v>755</v>
      </c>
      <c r="G226" s="476" t="s">
        <v>798</v>
      </c>
      <c r="H226" s="477" t="s">
        <v>745</v>
      </c>
      <c r="I226" s="477" t="s">
        <v>989</v>
      </c>
      <c r="J226" s="502">
        <v>589.71</v>
      </c>
      <c r="K226" s="503">
        <f>K227+1</f>
        <v>67</v>
      </c>
      <c r="L226" s="503">
        <f t="shared" si="10"/>
        <v>392</v>
      </c>
    </row>
    <row r="227" spans="2:12" s="216" customFormat="1" ht="19.5" customHeight="1">
      <c r="B227" s="500" t="s">
        <v>490</v>
      </c>
      <c r="C227" s="501">
        <v>42586</v>
      </c>
      <c r="D227" s="501" t="s">
        <v>1077</v>
      </c>
      <c r="E227" s="484" t="s">
        <v>806</v>
      </c>
      <c r="F227" s="475" t="s">
        <v>466</v>
      </c>
      <c r="G227" s="476" t="s">
        <v>492</v>
      </c>
      <c r="H227" s="477" t="s">
        <v>1087</v>
      </c>
      <c r="I227" s="477" t="s">
        <v>989</v>
      </c>
      <c r="J227" s="502">
        <v>433.51</v>
      </c>
      <c r="K227" s="503">
        <f>K230+1</f>
        <v>66</v>
      </c>
      <c r="L227" s="503">
        <f>L229+1</f>
        <v>391</v>
      </c>
    </row>
    <row r="228" spans="2:12" s="216" customFormat="1" ht="19.5" customHeight="1">
      <c r="B228" s="425" t="s">
        <v>460</v>
      </c>
      <c r="C228" s="426">
        <v>42580</v>
      </c>
      <c r="D228" s="426" t="s">
        <v>1077</v>
      </c>
      <c r="E228" s="427" t="s">
        <v>806</v>
      </c>
      <c r="F228" s="428" t="s">
        <v>466</v>
      </c>
      <c r="G228" s="429" t="s">
        <v>492</v>
      </c>
      <c r="H228" s="430" t="s">
        <v>1086</v>
      </c>
      <c r="I228" s="430" t="s">
        <v>987</v>
      </c>
      <c r="J228" s="431">
        <v>842.8</v>
      </c>
      <c r="K228" s="508" t="s">
        <v>1292</v>
      </c>
      <c r="L228" s="508" t="s">
        <v>1292</v>
      </c>
    </row>
    <row r="229" spans="2:12" s="216" customFormat="1" ht="19.5" customHeight="1">
      <c r="B229" s="500" t="s">
        <v>460</v>
      </c>
      <c r="C229" s="501">
        <v>42563</v>
      </c>
      <c r="D229" s="501" t="s">
        <v>1077</v>
      </c>
      <c r="E229" s="484" t="s">
        <v>806</v>
      </c>
      <c r="F229" s="475" t="s">
        <v>750</v>
      </c>
      <c r="G229" s="476" t="s">
        <v>870</v>
      </c>
      <c r="H229" s="477" t="s">
        <v>1080</v>
      </c>
      <c r="I229" s="477" t="s">
        <v>989</v>
      </c>
      <c r="J229" s="502">
        <v>2734.67</v>
      </c>
      <c r="K229" s="503">
        <f>K231+1</f>
        <v>280</v>
      </c>
      <c r="L229" s="503">
        <f t="shared" si="10"/>
        <v>390</v>
      </c>
    </row>
    <row r="230" spans="2:12" s="216" customFormat="1" ht="19.5" customHeight="1">
      <c r="B230" s="500" t="s">
        <v>490</v>
      </c>
      <c r="C230" s="501">
        <v>42559</v>
      </c>
      <c r="D230" s="501" t="s">
        <v>1077</v>
      </c>
      <c r="E230" s="484" t="s">
        <v>808</v>
      </c>
      <c r="F230" s="475" t="s">
        <v>754</v>
      </c>
      <c r="G230" s="476" t="s">
        <v>560</v>
      </c>
      <c r="H230" s="477" t="s">
        <v>676</v>
      </c>
      <c r="I230" s="477" t="s">
        <v>989</v>
      </c>
      <c r="J230" s="502">
        <v>430.18</v>
      </c>
      <c r="K230" s="503">
        <f>K238+1</f>
        <v>65</v>
      </c>
      <c r="L230" s="503">
        <f t="shared" si="10"/>
        <v>389</v>
      </c>
    </row>
    <row r="231" spans="2:12" s="216" customFormat="1" ht="19.5" customHeight="1">
      <c r="B231" s="500" t="s">
        <v>460</v>
      </c>
      <c r="C231" s="501">
        <v>42531</v>
      </c>
      <c r="D231" s="501" t="s">
        <v>819</v>
      </c>
      <c r="E231" s="484" t="s">
        <v>805</v>
      </c>
      <c r="F231" s="475" t="s">
        <v>762</v>
      </c>
      <c r="G231" s="476" t="s">
        <v>847</v>
      </c>
      <c r="H231" s="477" t="s">
        <v>848</v>
      </c>
      <c r="I231" s="477" t="s">
        <v>989</v>
      </c>
      <c r="J231" s="502">
        <v>2515.77</v>
      </c>
      <c r="K231" s="503">
        <f>K242+1</f>
        <v>279</v>
      </c>
      <c r="L231" s="503">
        <f t="shared" si="10"/>
        <v>388</v>
      </c>
    </row>
    <row r="232" spans="2:12" s="216" customFormat="1" ht="19.5" customHeight="1">
      <c r="B232" s="472" t="s">
        <v>491</v>
      </c>
      <c r="C232" s="501">
        <v>42524</v>
      </c>
      <c r="D232" s="501" t="s">
        <v>819</v>
      </c>
      <c r="E232" s="483" t="s">
        <v>806</v>
      </c>
      <c r="F232" s="475" t="s">
        <v>462</v>
      </c>
      <c r="G232" s="476" t="s">
        <v>849</v>
      </c>
      <c r="H232" s="477" t="s">
        <v>850</v>
      </c>
      <c r="I232" s="477" t="s">
        <v>989</v>
      </c>
      <c r="J232" s="502">
        <v>150</v>
      </c>
      <c r="K232" s="503">
        <f>K233+1</f>
        <v>41</v>
      </c>
      <c r="L232" s="503">
        <f t="shared" si="10"/>
        <v>387</v>
      </c>
    </row>
    <row r="233" spans="2:12" s="216" customFormat="1" ht="19.5" customHeight="1">
      <c r="B233" s="472" t="s">
        <v>491</v>
      </c>
      <c r="C233" s="501">
        <v>42523</v>
      </c>
      <c r="D233" s="501" t="s">
        <v>819</v>
      </c>
      <c r="E233" s="483" t="s">
        <v>806</v>
      </c>
      <c r="F233" s="475" t="s">
        <v>462</v>
      </c>
      <c r="G233" s="476" t="s">
        <v>556</v>
      </c>
      <c r="H233" s="477" t="s">
        <v>851</v>
      </c>
      <c r="I233" s="477" t="s">
        <v>989</v>
      </c>
      <c r="J233" s="502">
        <v>216</v>
      </c>
      <c r="K233" s="503">
        <f>K234+1</f>
        <v>40</v>
      </c>
      <c r="L233" s="503">
        <f t="shared" si="10"/>
        <v>386</v>
      </c>
    </row>
    <row r="234" spans="2:12" s="216" customFormat="1" ht="19.5" customHeight="1">
      <c r="B234" s="472" t="s">
        <v>491</v>
      </c>
      <c r="C234" s="501">
        <v>42515</v>
      </c>
      <c r="D234" s="501" t="s">
        <v>819</v>
      </c>
      <c r="E234" s="483" t="s">
        <v>806</v>
      </c>
      <c r="F234" s="475" t="s">
        <v>462</v>
      </c>
      <c r="G234" s="476" t="s">
        <v>781</v>
      </c>
      <c r="H234" s="477" t="s">
        <v>852</v>
      </c>
      <c r="I234" s="477" t="s">
        <v>989</v>
      </c>
      <c r="J234" s="502">
        <v>230</v>
      </c>
      <c r="K234" s="503">
        <f>K235+1</f>
        <v>39</v>
      </c>
      <c r="L234" s="503">
        <f t="shared" si="10"/>
        <v>385</v>
      </c>
    </row>
    <row r="235" spans="2:12" s="216" customFormat="1" ht="19.5" customHeight="1">
      <c r="B235" s="472" t="s">
        <v>491</v>
      </c>
      <c r="C235" s="501">
        <v>42515</v>
      </c>
      <c r="D235" s="501" t="s">
        <v>819</v>
      </c>
      <c r="E235" s="484" t="s">
        <v>805</v>
      </c>
      <c r="F235" s="475" t="s">
        <v>762</v>
      </c>
      <c r="G235" s="476" t="s">
        <v>683</v>
      </c>
      <c r="H235" s="477" t="s">
        <v>853</v>
      </c>
      <c r="I235" s="477" t="s">
        <v>989</v>
      </c>
      <c r="J235" s="502">
        <v>225</v>
      </c>
      <c r="K235" s="503">
        <f>K236+1</f>
        <v>38</v>
      </c>
      <c r="L235" s="503">
        <f t="shared" si="10"/>
        <v>384</v>
      </c>
    </row>
    <row r="236" spans="2:12" s="216" customFormat="1" ht="19.5" customHeight="1">
      <c r="B236" s="472" t="s">
        <v>491</v>
      </c>
      <c r="C236" s="444">
        <v>42509</v>
      </c>
      <c r="D236" s="444" t="s">
        <v>819</v>
      </c>
      <c r="E236" s="483" t="s">
        <v>806</v>
      </c>
      <c r="F236" s="445" t="s">
        <v>750</v>
      </c>
      <c r="G236" s="446" t="s">
        <v>559</v>
      </c>
      <c r="H236" s="447" t="s">
        <v>842</v>
      </c>
      <c r="I236" s="447" t="s">
        <v>989</v>
      </c>
      <c r="J236" s="448">
        <v>256</v>
      </c>
      <c r="K236" s="507">
        <f>K237+1</f>
        <v>37</v>
      </c>
      <c r="L236" s="507">
        <f t="shared" si="10"/>
        <v>383</v>
      </c>
    </row>
    <row r="237" spans="2:12" s="216" customFormat="1" ht="19.5" customHeight="1">
      <c r="B237" s="472" t="s">
        <v>491</v>
      </c>
      <c r="C237" s="501">
        <v>42509</v>
      </c>
      <c r="D237" s="501" t="s">
        <v>819</v>
      </c>
      <c r="E237" s="483" t="s">
        <v>806</v>
      </c>
      <c r="F237" s="475" t="s">
        <v>462</v>
      </c>
      <c r="G237" s="476" t="s">
        <v>566</v>
      </c>
      <c r="H237" s="477" t="s">
        <v>843</v>
      </c>
      <c r="I237" s="477" t="s">
        <v>989</v>
      </c>
      <c r="J237" s="502">
        <v>211</v>
      </c>
      <c r="K237" s="503">
        <f>K239+1</f>
        <v>36</v>
      </c>
      <c r="L237" s="503">
        <f t="shared" si="10"/>
        <v>382</v>
      </c>
    </row>
    <row r="238" spans="2:12" s="216" customFormat="1" ht="19.5" customHeight="1">
      <c r="B238" s="500" t="s">
        <v>490</v>
      </c>
      <c r="C238" s="501">
        <v>42508</v>
      </c>
      <c r="D238" s="501" t="s">
        <v>819</v>
      </c>
      <c r="E238" s="484" t="s">
        <v>806</v>
      </c>
      <c r="F238" s="475" t="s">
        <v>462</v>
      </c>
      <c r="G238" s="476" t="s">
        <v>566</v>
      </c>
      <c r="H238" s="477" t="s">
        <v>844</v>
      </c>
      <c r="I238" s="477" t="s">
        <v>989</v>
      </c>
      <c r="J238" s="502">
        <v>673.5</v>
      </c>
      <c r="K238" s="503">
        <f>K241+1</f>
        <v>64</v>
      </c>
      <c r="L238" s="503">
        <f t="shared" si="10"/>
        <v>381</v>
      </c>
    </row>
    <row r="239" spans="2:12" s="216" customFormat="1" ht="19.5" customHeight="1">
      <c r="B239" s="472" t="s">
        <v>491</v>
      </c>
      <c r="C239" s="501">
        <v>42495</v>
      </c>
      <c r="D239" s="501" t="s">
        <v>819</v>
      </c>
      <c r="E239" s="483" t="s">
        <v>806</v>
      </c>
      <c r="F239" s="475" t="s">
        <v>750</v>
      </c>
      <c r="G239" s="476" t="s">
        <v>534</v>
      </c>
      <c r="H239" s="477" t="s">
        <v>695</v>
      </c>
      <c r="I239" s="477" t="s">
        <v>989</v>
      </c>
      <c r="J239" s="502">
        <v>241</v>
      </c>
      <c r="K239" s="503">
        <f>K245+1</f>
        <v>35</v>
      </c>
      <c r="L239" s="503">
        <f>L241+1</f>
        <v>380</v>
      </c>
    </row>
    <row r="240" spans="2:12" s="216" customFormat="1" ht="19.5" customHeight="1">
      <c r="B240" s="464" t="s">
        <v>491</v>
      </c>
      <c r="C240" s="426">
        <v>42495</v>
      </c>
      <c r="D240" s="426" t="s">
        <v>819</v>
      </c>
      <c r="E240" s="427" t="s">
        <v>805</v>
      </c>
      <c r="F240" s="428" t="s">
        <v>461</v>
      </c>
      <c r="G240" s="429" t="s">
        <v>840</v>
      </c>
      <c r="H240" s="430" t="s">
        <v>841</v>
      </c>
      <c r="I240" s="430" t="s">
        <v>989</v>
      </c>
      <c r="J240" s="431">
        <v>207</v>
      </c>
      <c r="K240" s="508" t="s">
        <v>1447</v>
      </c>
      <c r="L240" s="508" t="s">
        <v>1447</v>
      </c>
    </row>
    <row r="241" spans="2:13" s="216" customFormat="1" ht="19.5" customHeight="1">
      <c r="B241" s="500" t="s">
        <v>490</v>
      </c>
      <c r="C241" s="501">
        <v>42494</v>
      </c>
      <c r="D241" s="501" t="s">
        <v>819</v>
      </c>
      <c r="E241" s="484" t="s">
        <v>808</v>
      </c>
      <c r="F241" s="475" t="s">
        <v>760</v>
      </c>
      <c r="G241" s="476" t="s">
        <v>557</v>
      </c>
      <c r="H241" s="477" t="s">
        <v>668</v>
      </c>
      <c r="I241" s="477" t="s">
        <v>989</v>
      </c>
      <c r="J241" s="502">
        <v>547.6</v>
      </c>
      <c r="K241" s="503">
        <f>K243+1</f>
        <v>63</v>
      </c>
      <c r="L241" s="503">
        <f t="shared" si="10"/>
        <v>379</v>
      </c>
    </row>
    <row r="242" spans="2:13" s="216" customFormat="1" ht="19.5" customHeight="1">
      <c r="B242" s="500" t="s">
        <v>460</v>
      </c>
      <c r="C242" s="501">
        <v>42488</v>
      </c>
      <c r="D242" s="501" t="s">
        <v>819</v>
      </c>
      <c r="E242" s="484" t="s">
        <v>806</v>
      </c>
      <c r="F242" s="475" t="s">
        <v>466</v>
      </c>
      <c r="G242" s="476" t="s">
        <v>834</v>
      </c>
      <c r="H242" s="477" t="s">
        <v>835</v>
      </c>
      <c r="I242" s="477" t="s">
        <v>989</v>
      </c>
      <c r="J242" s="502">
        <v>3272.8</v>
      </c>
      <c r="K242" s="503">
        <f>K244+1</f>
        <v>278</v>
      </c>
      <c r="L242" s="503">
        <f t="shared" si="10"/>
        <v>378</v>
      </c>
    </row>
    <row r="243" spans="2:13" s="216" customFormat="1" ht="19.5" customHeight="1">
      <c r="B243" s="500" t="s">
        <v>490</v>
      </c>
      <c r="C243" s="501">
        <v>42488</v>
      </c>
      <c r="D243" s="501" t="s">
        <v>819</v>
      </c>
      <c r="E243" s="484" t="s">
        <v>806</v>
      </c>
      <c r="F243" s="475" t="s">
        <v>466</v>
      </c>
      <c r="G243" s="476" t="s">
        <v>834</v>
      </c>
      <c r="H243" s="477" t="s">
        <v>835</v>
      </c>
      <c r="I243" s="477" t="s">
        <v>989</v>
      </c>
      <c r="J243" s="502">
        <v>448.1</v>
      </c>
      <c r="K243" s="503">
        <f>K255+1</f>
        <v>62</v>
      </c>
      <c r="L243" s="503">
        <f t="shared" si="10"/>
        <v>377</v>
      </c>
    </row>
    <row r="244" spans="2:13" s="216" customFormat="1" ht="19.5" customHeight="1">
      <c r="B244" s="500" t="s">
        <v>460</v>
      </c>
      <c r="C244" s="501">
        <v>42487</v>
      </c>
      <c r="D244" s="501" t="s">
        <v>819</v>
      </c>
      <c r="E244" s="484" t="s">
        <v>806</v>
      </c>
      <c r="F244" s="475" t="s">
        <v>462</v>
      </c>
      <c r="G244" s="476" t="s">
        <v>469</v>
      </c>
      <c r="H244" s="477" t="s">
        <v>833</v>
      </c>
      <c r="I244" s="477" t="s">
        <v>989</v>
      </c>
      <c r="J244" s="502">
        <v>1999</v>
      </c>
      <c r="K244" s="503">
        <f>K246+1</f>
        <v>277</v>
      </c>
      <c r="L244" s="503">
        <f t="shared" si="10"/>
        <v>376</v>
      </c>
    </row>
    <row r="245" spans="2:13" s="216" customFormat="1" ht="19.5" customHeight="1">
      <c r="B245" s="472" t="s">
        <v>491</v>
      </c>
      <c r="C245" s="501">
        <v>42487</v>
      </c>
      <c r="D245" s="501" t="s">
        <v>819</v>
      </c>
      <c r="E245" s="484" t="s">
        <v>805</v>
      </c>
      <c r="F245" s="475" t="s">
        <v>461</v>
      </c>
      <c r="G245" s="476" t="s">
        <v>495</v>
      </c>
      <c r="H245" s="477" t="s">
        <v>836</v>
      </c>
      <c r="I245" s="477" t="s">
        <v>989</v>
      </c>
      <c r="J245" s="502">
        <v>228</v>
      </c>
      <c r="K245" s="503">
        <f>K248+1</f>
        <v>34</v>
      </c>
      <c r="L245" s="503">
        <f t="shared" si="10"/>
        <v>375</v>
      </c>
    </row>
    <row r="246" spans="2:13" s="216" customFormat="1" ht="19.5" customHeight="1">
      <c r="B246" s="500" t="s">
        <v>460</v>
      </c>
      <c r="C246" s="501">
        <v>42486</v>
      </c>
      <c r="D246" s="501" t="s">
        <v>819</v>
      </c>
      <c r="E246" s="484" t="s">
        <v>809</v>
      </c>
      <c r="F246" s="475" t="s">
        <v>467</v>
      </c>
      <c r="G246" s="476" t="s">
        <v>545</v>
      </c>
      <c r="H246" s="477" t="s">
        <v>830</v>
      </c>
      <c r="I246" s="477" t="s">
        <v>989</v>
      </c>
      <c r="J246" s="502">
        <v>2599.9</v>
      </c>
      <c r="K246" s="503">
        <f>K247+1</f>
        <v>276</v>
      </c>
      <c r="L246" s="503">
        <f t="shared" si="10"/>
        <v>374</v>
      </c>
    </row>
    <row r="247" spans="2:13" s="216" customFormat="1" ht="19.5" customHeight="1">
      <c r="B247" s="500" t="s">
        <v>460</v>
      </c>
      <c r="C247" s="501">
        <v>42486</v>
      </c>
      <c r="D247" s="501" t="s">
        <v>819</v>
      </c>
      <c r="E247" s="484" t="s">
        <v>808</v>
      </c>
      <c r="F247" s="475" t="s">
        <v>465</v>
      </c>
      <c r="G247" s="476" t="s">
        <v>831</v>
      </c>
      <c r="H247" s="477" t="s">
        <v>832</v>
      </c>
      <c r="I247" s="477" t="s">
        <v>989</v>
      </c>
      <c r="J247" s="502">
        <v>2514.9</v>
      </c>
      <c r="K247" s="503">
        <f>K249+1</f>
        <v>275</v>
      </c>
      <c r="L247" s="503">
        <f t="shared" si="10"/>
        <v>373</v>
      </c>
    </row>
    <row r="248" spans="2:13" ht="19.5" customHeight="1">
      <c r="B248" s="472" t="s">
        <v>491</v>
      </c>
      <c r="C248" s="501">
        <v>42480</v>
      </c>
      <c r="D248" s="501" t="s">
        <v>819</v>
      </c>
      <c r="E248" s="483" t="s">
        <v>806</v>
      </c>
      <c r="F248" s="475" t="s">
        <v>462</v>
      </c>
      <c r="G248" s="476" t="s">
        <v>469</v>
      </c>
      <c r="H248" s="476" t="s">
        <v>823</v>
      </c>
      <c r="I248" s="476" t="s">
        <v>989</v>
      </c>
      <c r="J248" s="502">
        <v>167</v>
      </c>
      <c r="K248" s="503">
        <f>K251+1</f>
        <v>33</v>
      </c>
      <c r="L248" s="503">
        <f t="shared" si="10"/>
        <v>372</v>
      </c>
      <c r="M248" s="216"/>
    </row>
    <row r="249" spans="2:13" s="216" customFormat="1" ht="19.5" customHeight="1">
      <c r="B249" s="500" t="s">
        <v>460</v>
      </c>
      <c r="C249" s="501">
        <v>42476</v>
      </c>
      <c r="D249" s="501" t="s">
        <v>819</v>
      </c>
      <c r="E249" s="484" t="s">
        <v>805</v>
      </c>
      <c r="F249" s="475" t="s">
        <v>748</v>
      </c>
      <c r="G249" s="476" t="s">
        <v>825</v>
      </c>
      <c r="H249" s="476" t="s">
        <v>824</v>
      </c>
      <c r="I249" s="476" t="s">
        <v>989</v>
      </c>
      <c r="J249" s="502">
        <v>2874.1</v>
      </c>
      <c r="K249" s="503">
        <f>K250+1</f>
        <v>274</v>
      </c>
      <c r="L249" s="503">
        <f t="shared" si="10"/>
        <v>371</v>
      </c>
    </row>
    <row r="250" spans="2:13" s="216" customFormat="1" ht="19.5" customHeight="1">
      <c r="B250" s="500" t="s">
        <v>460</v>
      </c>
      <c r="C250" s="501">
        <v>42472</v>
      </c>
      <c r="D250" s="501" t="s">
        <v>819</v>
      </c>
      <c r="E250" s="484" t="s">
        <v>806</v>
      </c>
      <c r="F250" s="475" t="s">
        <v>750</v>
      </c>
      <c r="G250" s="476" t="s">
        <v>828</v>
      </c>
      <c r="H250" s="476" t="s">
        <v>829</v>
      </c>
      <c r="I250" s="476" t="s">
        <v>989</v>
      </c>
      <c r="J250" s="502">
        <v>2048.5</v>
      </c>
      <c r="K250" s="503">
        <f>K256+1</f>
        <v>273</v>
      </c>
      <c r="L250" s="503">
        <f t="shared" si="10"/>
        <v>370</v>
      </c>
    </row>
    <row r="251" spans="2:13" ht="19.5" customHeight="1">
      <c r="B251" s="472" t="s">
        <v>491</v>
      </c>
      <c r="C251" s="501">
        <v>42467</v>
      </c>
      <c r="D251" s="501" t="s">
        <v>819</v>
      </c>
      <c r="E251" s="483" t="s">
        <v>806</v>
      </c>
      <c r="F251" s="475" t="s">
        <v>462</v>
      </c>
      <c r="G251" s="476" t="s">
        <v>820</v>
      </c>
      <c r="H251" s="477" t="s">
        <v>821</v>
      </c>
      <c r="I251" s="477" t="s">
        <v>989</v>
      </c>
      <c r="J251" s="502">
        <v>214</v>
      </c>
      <c r="K251" s="503">
        <f>K252+1</f>
        <v>32</v>
      </c>
      <c r="L251" s="503">
        <f t="shared" si="10"/>
        <v>369</v>
      </c>
      <c r="M251" s="216"/>
    </row>
    <row r="252" spans="2:13" ht="19.5" customHeight="1">
      <c r="B252" s="472" t="s">
        <v>491</v>
      </c>
      <c r="C252" s="501">
        <v>42459</v>
      </c>
      <c r="D252" s="501" t="s">
        <v>455</v>
      </c>
      <c r="E252" s="483" t="s">
        <v>806</v>
      </c>
      <c r="F252" s="475" t="s">
        <v>462</v>
      </c>
      <c r="G252" s="476" t="s">
        <v>528</v>
      </c>
      <c r="H252" s="477" t="s">
        <v>615</v>
      </c>
      <c r="I252" s="477" t="s">
        <v>989</v>
      </c>
      <c r="J252" s="502">
        <v>263</v>
      </c>
      <c r="K252" s="503">
        <f>K253+1</f>
        <v>31</v>
      </c>
      <c r="L252" s="503">
        <f t="shared" si="10"/>
        <v>368</v>
      </c>
      <c r="M252" s="216"/>
    </row>
    <row r="253" spans="2:13" ht="19.5" customHeight="1">
      <c r="B253" s="472" t="s">
        <v>491</v>
      </c>
      <c r="C253" s="501">
        <v>42459</v>
      </c>
      <c r="D253" s="501" t="s">
        <v>455</v>
      </c>
      <c r="E253" s="483" t="s">
        <v>806</v>
      </c>
      <c r="F253" s="475" t="s">
        <v>462</v>
      </c>
      <c r="G253" s="476" t="s">
        <v>469</v>
      </c>
      <c r="H253" s="477" t="s">
        <v>818</v>
      </c>
      <c r="I253" s="477" t="s">
        <v>989</v>
      </c>
      <c r="J253" s="502">
        <v>208</v>
      </c>
      <c r="K253" s="503">
        <f>K254+1</f>
        <v>30</v>
      </c>
      <c r="L253" s="503">
        <f t="shared" si="10"/>
        <v>367</v>
      </c>
      <c r="M253" s="216"/>
    </row>
    <row r="254" spans="2:13" ht="19.5" customHeight="1">
      <c r="B254" s="472" t="s">
        <v>491</v>
      </c>
      <c r="C254" s="501">
        <v>42453</v>
      </c>
      <c r="D254" s="501" t="s">
        <v>455</v>
      </c>
      <c r="E254" s="483" t="s">
        <v>806</v>
      </c>
      <c r="F254" s="475" t="s">
        <v>462</v>
      </c>
      <c r="G254" s="476" t="s">
        <v>469</v>
      </c>
      <c r="H254" s="477" t="s">
        <v>817</v>
      </c>
      <c r="I254" s="477" t="s">
        <v>989</v>
      </c>
      <c r="J254" s="502">
        <v>150</v>
      </c>
      <c r="K254" s="503">
        <f>K258+1</f>
        <v>29</v>
      </c>
      <c r="L254" s="503">
        <f t="shared" ref="L254:L270" si="11">L255+1</f>
        <v>366</v>
      </c>
      <c r="M254" s="216"/>
    </row>
    <row r="255" spans="2:13" ht="19.5" customHeight="1">
      <c r="B255" s="500" t="s">
        <v>490</v>
      </c>
      <c r="C255" s="501">
        <v>42452</v>
      </c>
      <c r="D255" s="501" t="s">
        <v>455</v>
      </c>
      <c r="E255" s="484" t="s">
        <v>808</v>
      </c>
      <c r="F255" s="475" t="s">
        <v>755</v>
      </c>
      <c r="G255" s="476" t="s">
        <v>798</v>
      </c>
      <c r="H255" s="477" t="s">
        <v>1088</v>
      </c>
      <c r="I255" s="477" t="s">
        <v>989</v>
      </c>
      <c r="J255" s="502">
        <v>484.9</v>
      </c>
      <c r="K255" s="503">
        <f>K268+1</f>
        <v>61</v>
      </c>
      <c r="L255" s="503">
        <f t="shared" si="11"/>
        <v>365</v>
      </c>
      <c r="M255" s="216"/>
    </row>
    <row r="256" spans="2:13" s="216" customFormat="1" ht="19.5" customHeight="1">
      <c r="B256" s="500" t="s">
        <v>460</v>
      </c>
      <c r="C256" s="501">
        <v>42451</v>
      </c>
      <c r="D256" s="501" t="s">
        <v>455</v>
      </c>
      <c r="E256" s="484" t="s">
        <v>808</v>
      </c>
      <c r="F256" s="475" t="s">
        <v>464</v>
      </c>
      <c r="G256" s="476" t="s">
        <v>815</v>
      </c>
      <c r="H256" s="477" t="s">
        <v>816</v>
      </c>
      <c r="I256" s="477" t="s">
        <v>989</v>
      </c>
      <c r="J256" s="502">
        <v>2076.8000000000002</v>
      </c>
      <c r="K256" s="503">
        <f>K257+1</f>
        <v>272</v>
      </c>
      <c r="L256" s="503">
        <f t="shared" si="11"/>
        <v>364</v>
      </c>
    </row>
    <row r="257" spans="2:13" s="216" customFormat="1" ht="19.5" customHeight="1">
      <c r="B257" s="500" t="s">
        <v>460</v>
      </c>
      <c r="C257" s="501">
        <v>42445</v>
      </c>
      <c r="D257" s="501" t="s">
        <v>455</v>
      </c>
      <c r="E257" s="484" t="s">
        <v>806</v>
      </c>
      <c r="F257" s="475" t="s">
        <v>750</v>
      </c>
      <c r="G257" s="476" t="s">
        <v>534</v>
      </c>
      <c r="H257" s="477" t="s">
        <v>812</v>
      </c>
      <c r="I257" s="477" t="s">
        <v>989</v>
      </c>
      <c r="J257" s="502">
        <v>1135.5</v>
      </c>
      <c r="K257" s="503">
        <f>K259+1</f>
        <v>271</v>
      </c>
      <c r="L257" s="503">
        <f t="shared" si="11"/>
        <v>363</v>
      </c>
    </row>
    <row r="258" spans="2:13" ht="19.5" customHeight="1">
      <c r="B258" s="472" t="s">
        <v>491</v>
      </c>
      <c r="C258" s="501">
        <v>42439</v>
      </c>
      <c r="D258" s="501" t="s">
        <v>455</v>
      </c>
      <c r="E258" s="484" t="s">
        <v>805</v>
      </c>
      <c r="F258" s="475" t="s">
        <v>748</v>
      </c>
      <c r="G258" s="476" t="s">
        <v>527</v>
      </c>
      <c r="H258" s="477" t="s">
        <v>614</v>
      </c>
      <c r="I258" s="477" t="s">
        <v>989</v>
      </c>
      <c r="J258" s="502">
        <v>185.1</v>
      </c>
      <c r="K258" s="503">
        <f>K260+1</f>
        <v>28</v>
      </c>
      <c r="L258" s="503">
        <f t="shared" si="11"/>
        <v>362</v>
      </c>
      <c r="M258" s="216"/>
    </row>
    <row r="259" spans="2:13" s="216" customFormat="1" ht="19.5" customHeight="1">
      <c r="B259" s="500" t="s">
        <v>460</v>
      </c>
      <c r="C259" s="501">
        <v>42348</v>
      </c>
      <c r="D259" s="501" t="s">
        <v>396</v>
      </c>
      <c r="E259" s="484" t="s">
        <v>805</v>
      </c>
      <c r="F259" s="475" t="s">
        <v>461</v>
      </c>
      <c r="G259" s="476" t="s">
        <v>478</v>
      </c>
      <c r="H259" s="477" t="s">
        <v>489</v>
      </c>
      <c r="I259" s="477" t="s">
        <v>987</v>
      </c>
      <c r="J259" s="502">
        <v>1584</v>
      </c>
      <c r="K259" s="503">
        <f>K262+1</f>
        <v>270</v>
      </c>
      <c r="L259" s="503">
        <f t="shared" si="11"/>
        <v>361</v>
      </c>
    </row>
    <row r="260" spans="2:13" ht="19.5" customHeight="1">
      <c r="B260" s="472" t="s">
        <v>491</v>
      </c>
      <c r="C260" s="501">
        <v>42348</v>
      </c>
      <c r="D260" s="501" t="s">
        <v>396</v>
      </c>
      <c r="E260" s="484" t="s">
        <v>805</v>
      </c>
      <c r="F260" s="475" t="s">
        <v>748</v>
      </c>
      <c r="G260" s="476" t="s">
        <v>518</v>
      </c>
      <c r="H260" s="477" t="s">
        <v>605</v>
      </c>
      <c r="I260" s="477" t="s">
        <v>989</v>
      </c>
      <c r="J260" s="502">
        <v>159.19999999999999</v>
      </c>
      <c r="K260" s="503">
        <f>K273+1</f>
        <v>27</v>
      </c>
      <c r="L260" s="503">
        <f>L262+1</f>
        <v>360</v>
      </c>
      <c r="M260" s="216"/>
    </row>
    <row r="261" spans="2:13" ht="19.5" customHeight="1">
      <c r="B261" s="464" t="s">
        <v>491</v>
      </c>
      <c r="C261" s="426">
        <v>42341</v>
      </c>
      <c r="D261" s="426" t="s">
        <v>396</v>
      </c>
      <c r="E261" s="529" t="s">
        <v>806</v>
      </c>
      <c r="F261" s="428" t="s">
        <v>462</v>
      </c>
      <c r="G261" s="429" t="s">
        <v>517</v>
      </c>
      <c r="H261" s="430" t="s">
        <v>604</v>
      </c>
      <c r="I261" s="430" t="s">
        <v>989</v>
      </c>
      <c r="J261" s="431">
        <v>182.4</v>
      </c>
      <c r="K261" s="508" t="s">
        <v>1447</v>
      </c>
      <c r="L261" s="508" t="s">
        <v>1447</v>
      </c>
      <c r="M261" s="216"/>
    </row>
    <row r="262" spans="2:13" ht="19.5" customHeight="1">
      <c r="B262" s="500" t="s">
        <v>460</v>
      </c>
      <c r="C262" s="501">
        <v>42335</v>
      </c>
      <c r="D262" s="501" t="s">
        <v>396</v>
      </c>
      <c r="E262" s="484" t="s">
        <v>809</v>
      </c>
      <c r="F262" s="475" t="s">
        <v>467</v>
      </c>
      <c r="G262" s="476" t="s">
        <v>476</v>
      </c>
      <c r="H262" s="477" t="s">
        <v>487</v>
      </c>
      <c r="I262" s="477" t="s">
        <v>989</v>
      </c>
      <c r="J262" s="502">
        <v>2358.6999999999998</v>
      </c>
      <c r="K262" s="503">
        <f>K263+1</f>
        <v>269</v>
      </c>
      <c r="L262" s="503">
        <f t="shared" si="11"/>
        <v>359</v>
      </c>
      <c r="M262" s="216"/>
    </row>
    <row r="263" spans="2:13" ht="19.5" customHeight="1">
      <c r="B263" s="500" t="s">
        <v>460</v>
      </c>
      <c r="C263" s="501">
        <v>42335</v>
      </c>
      <c r="D263" s="501" t="s">
        <v>396</v>
      </c>
      <c r="E263" s="484" t="s">
        <v>806</v>
      </c>
      <c r="F263" s="475" t="s">
        <v>462</v>
      </c>
      <c r="G263" s="476" t="s">
        <v>477</v>
      </c>
      <c r="H263" s="477" t="s">
        <v>488</v>
      </c>
      <c r="I263" s="477" t="s">
        <v>989</v>
      </c>
      <c r="J263" s="502">
        <v>2002</v>
      </c>
      <c r="K263" s="503">
        <f>K264+1</f>
        <v>268</v>
      </c>
      <c r="L263" s="503">
        <f t="shared" si="11"/>
        <v>358</v>
      </c>
      <c r="M263" s="216"/>
    </row>
    <row r="264" spans="2:13" ht="19.5" customHeight="1">
      <c r="B264" s="500" t="s">
        <v>460</v>
      </c>
      <c r="C264" s="501">
        <v>42334</v>
      </c>
      <c r="D264" s="501" t="s">
        <v>396</v>
      </c>
      <c r="E264" s="484" t="s">
        <v>808</v>
      </c>
      <c r="F264" s="475" t="s">
        <v>465</v>
      </c>
      <c r="G264" s="476" t="s">
        <v>473</v>
      </c>
      <c r="H264" s="477" t="s">
        <v>484</v>
      </c>
      <c r="I264" s="477" t="s">
        <v>989</v>
      </c>
      <c r="J264" s="502">
        <v>2258.1</v>
      </c>
      <c r="K264" s="503">
        <f>K265+1</f>
        <v>267</v>
      </c>
      <c r="L264" s="503">
        <f t="shared" si="11"/>
        <v>357</v>
      </c>
      <c r="M264" s="216"/>
    </row>
    <row r="265" spans="2:13" ht="19.5" customHeight="1">
      <c r="B265" s="500" t="s">
        <v>460</v>
      </c>
      <c r="C265" s="501">
        <v>42334</v>
      </c>
      <c r="D265" s="501" t="s">
        <v>396</v>
      </c>
      <c r="E265" s="484" t="s">
        <v>808</v>
      </c>
      <c r="F265" s="475" t="s">
        <v>464</v>
      </c>
      <c r="G265" s="476" t="s">
        <v>472</v>
      </c>
      <c r="H265" s="477" t="s">
        <v>483</v>
      </c>
      <c r="I265" s="477" t="s">
        <v>989</v>
      </c>
      <c r="J265" s="502">
        <v>2213.6999999999998</v>
      </c>
      <c r="K265" s="503">
        <f>K266+1</f>
        <v>266</v>
      </c>
      <c r="L265" s="503">
        <f t="shared" si="11"/>
        <v>356</v>
      </c>
      <c r="M265" s="216"/>
    </row>
    <row r="266" spans="2:13" ht="19.5" customHeight="1">
      <c r="B266" s="500" t="s">
        <v>460</v>
      </c>
      <c r="C266" s="501">
        <v>42334</v>
      </c>
      <c r="D266" s="501" t="s">
        <v>396</v>
      </c>
      <c r="E266" s="484" t="s">
        <v>806</v>
      </c>
      <c r="F266" s="475" t="s">
        <v>462</v>
      </c>
      <c r="G266" s="476" t="s">
        <v>474</v>
      </c>
      <c r="H266" s="477" t="s">
        <v>485</v>
      </c>
      <c r="I266" s="477" t="s">
        <v>989</v>
      </c>
      <c r="J266" s="502">
        <v>2073.5</v>
      </c>
      <c r="K266" s="503">
        <f>K267+1</f>
        <v>265</v>
      </c>
      <c r="L266" s="503">
        <f t="shared" si="11"/>
        <v>355</v>
      </c>
      <c r="M266" s="216"/>
    </row>
    <row r="267" spans="2:13" ht="19.5" customHeight="1">
      <c r="B267" s="500" t="s">
        <v>460</v>
      </c>
      <c r="C267" s="501">
        <v>42334</v>
      </c>
      <c r="D267" s="501" t="s">
        <v>396</v>
      </c>
      <c r="E267" s="484" t="s">
        <v>806</v>
      </c>
      <c r="F267" s="475" t="s">
        <v>466</v>
      </c>
      <c r="G267" s="476" t="s">
        <v>475</v>
      </c>
      <c r="H267" s="477" t="s">
        <v>486</v>
      </c>
      <c r="I267" s="477" t="s">
        <v>989</v>
      </c>
      <c r="J267" s="502">
        <v>1626.8</v>
      </c>
      <c r="K267" s="503">
        <f>K269+1</f>
        <v>264</v>
      </c>
      <c r="L267" s="503">
        <f t="shared" si="11"/>
        <v>354</v>
      </c>
      <c r="M267" s="216"/>
    </row>
    <row r="268" spans="2:13" ht="19.5" customHeight="1">
      <c r="B268" s="500" t="s">
        <v>490</v>
      </c>
      <c r="C268" s="501">
        <v>42326</v>
      </c>
      <c r="D268" s="501" t="s">
        <v>396</v>
      </c>
      <c r="E268" s="484" t="s">
        <v>808</v>
      </c>
      <c r="F268" s="475" t="s">
        <v>752</v>
      </c>
      <c r="G268" s="476" t="s">
        <v>505</v>
      </c>
      <c r="H268" s="477" t="s">
        <v>593</v>
      </c>
      <c r="I268" s="477" t="s">
        <v>989</v>
      </c>
      <c r="J268" s="502">
        <v>654.70000000000005</v>
      </c>
      <c r="K268" s="503">
        <f>K271+1</f>
        <v>60</v>
      </c>
      <c r="L268" s="503">
        <f t="shared" si="11"/>
        <v>353</v>
      </c>
      <c r="M268" s="216"/>
    </row>
    <row r="269" spans="2:13" ht="19.5" customHeight="1">
      <c r="B269" s="500" t="s">
        <v>460</v>
      </c>
      <c r="C269" s="501">
        <v>42325</v>
      </c>
      <c r="D269" s="501" t="s">
        <v>396</v>
      </c>
      <c r="E269" s="484" t="s">
        <v>809</v>
      </c>
      <c r="F269" s="475" t="s">
        <v>463</v>
      </c>
      <c r="G269" s="476" t="s">
        <v>471</v>
      </c>
      <c r="H269" s="477" t="s">
        <v>482</v>
      </c>
      <c r="I269" s="477" t="s">
        <v>989</v>
      </c>
      <c r="J269" s="502">
        <v>1728.8</v>
      </c>
      <c r="K269" s="503">
        <f>K270+1</f>
        <v>263</v>
      </c>
      <c r="L269" s="503">
        <f t="shared" si="11"/>
        <v>352</v>
      </c>
      <c r="M269" s="216"/>
    </row>
    <row r="270" spans="2:13" ht="19.5" customHeight="1">
      <c r="B270" s="500" t="s">
        <v>460</v>
      </c>
      <c r="C270" s="501">
        <v>42322</v>
      </c>
      <c r="D270" s="501" t="s">
        <v>396</v>
      </c>
      <c r="E270" s="484" t="s">
        <v>806</v>
      </c>
      <c r="F270" s="475" t="s">
        <v>462</v>
      </c>
      <c r="G270" s="476" t="s">
        <v>470</v>
      </c>
      <c r="H270" s="477" t="s">
        <v>481</v>
      </c>
      <c r="I270" s="477" t="s">
        <v>989</v>
      </c>
      <c r="J270" s="502">
        <v>1148.5</v>
      </c>
      <c r="K270" s="503">
        <f>K274+1</f>
        <v>262</v>
      </c>
      <c r="L270" s="503">
        <f t="shared" si="11"/>
        <v>351</v>
      </c>
      <c r="M270" s="216"/>
    </row>
    <row r="271" spans="2:13" ht="19.5" customHeight="1">
      <c r="B271" s="500" t="s">
        <v>490</v>
      </c>
      <c r="C271" s="501">
        <v>42322</v>
      </c>
      <c r="D271" s="501" t="s">
        <v>396</v>
      </c>
      <c r="E271" s="484" t="s">
        <v>806</v>
      </c>
      <c r="F271" s="475" t="s">
        <v>462</v>
      </c>
      <c r="G271" s="476" t="s">
        <v>469</v>
      </c>
      <c r="H271" s="477" t="s">
        <v>592</v>
      </c>
      <c r="I271" s="477" t="s">
        <v>989</v>
      </c>
      <c r="J271" s="502">
        <v>429</v>
      </c>
      <c r="K271" s="503">
        <f>K275+1</f>
        <v>59</v>
      </c>
      <c r="L271" s="503">
        <f>L273+1</f>
        <v>350</v>
      </c>
      <c r="M271" s="216"/>
    </row>
    <row r="272" spans="2:13" ht="19.5" customHeight="1">
      <c r="B272" s="472" t="s">
        <v>491</v>
      </c>
      <c r="C272" s="426">
        <v>42321</v>
      </c>
      <c r="D272" s="426" t="s">
        <v>396</v>
      </c>
      <c r="E272" s="427" t="s">
        <v>806</v>
      </c>
      <c r="F272" s="428" t="s">
        <v>462</v>
      </c>
      <c r="G272" s="429" t="s">
        <v>516</v>
      </c>
      <c r="H272" s="430" t="s">
        <v>603</v>
      </c>
      <c r="I272" s="430" t="s">
        <v>989</v>
      </c>
      <c r="J272" s="431">
        <v>320.2</v>
      </c>
      <c r="K272" s="508" t="s">
        <v>1292</v>
      </c>
      <c r="L272" s="508" t="s">
        <v>1292</v>
      </c>
      <c r="M272" s="216"/>
    </row>
    <row r="273" spans="2:13" ht="19.5" customHeight="1">
      <c r="B273" s="472" t="s">
        <v>491</v>
      </c>
      <c r="C273" s="501">
        <v>42320</v>
      </c>
      <c r="D273" s="501" t="s">
        <v>396</v>
      </c>
      <c r="E273" s="483" t="s">
        <v>806</v>
      </c>
      <c r="F273" s="475" t="s">
        <v>462</v>
      </c>
      <c r="G273" s="476" t="s">
        <v>515</v>
      </c>
      <c r="H273" s="477" t="s">
        <v>602</v>
      </c>
      <c r="I273" s="477" t="s">
        <v>989</v>
      </c>
      <c r="J273" s="502">
        <v>206.3</v>
      </c>
      <c r="K273" s="503">
        <f>K276+1</f>
        <v>26</v>
      </c>
      <c r="L273" s="503">
        <f>L274+1</f>
        <v>349</v>
      </c>
      <c r="M273" s="216"/>
    </row>
    <row r="274" spans="2:13" ht="19.5" customHeight="1">
      <c r="B274" s="500" t="s">
        <v>460</v>
      </c>
      <c r="C274" s="501">
        <v>42319</v>
      </c>
      <c r="D274" s="501" t="s">
        <v>396</v>
      </c>
      <c r="E274" s="484" t="s">
        <v>806</v>
      </c>
      <c r="F274" s="475" t="s">
        <v>462</v>
      </c>
      <c r="G274" s="476" t="s">
        <v>469</v>
      </c>
      <c r="H274" s="477" t="s">
        <v>480</v>
      </c>
      <c r="I274" s="477" t="s">
        <v>987</v>
      </c>
      <c r="J274" s="502">
        <v>2368</v>
      </c>
      <c r="K274" s="503">
        <f>K277+1</f>
        <v>261</v>
      </c>
      <c r="L274" s="503">
        <f>L275+1</f>
        <v>348</v>
      </c>
      <c r="M274" s="216"/>
    </row>
    <row r="275" spans="2:13" ht="19.5" customHeight="1">
      <c r="B275" s="500" t="s">
        <v>490</v>
      </c>
      <c r="C275" s="501">
        <v>42314</v>
      </c>
      <c r="D275" s="501" t="s">
        <v>396</v>
      </c>
      <c r="E275" s="484" t="s">
        <v>808</v>
      </c>
      <c r="F275" s="475" t="s">
        <v>464</v>
      </c>
      <c r="G275" s="476" t="s">
        <v>509</v>
      </c>
      <c r="H275" s="477" t="s">
        <v>591</v>
      </c>
      <c r="I275" s="477" t="s">
        <v>989</v>
      </c>
      <c r="J275" s="502">
        <v>756.2</v>
      </c>
      <c r="K275" s="503">
        <f>K278+1</f>
        <v>58</v>
      </c>
      <c r="L275" s="503">
        <f>L276+1</f>
        <v>347</v>
      </c>
      <c r="M275" s="216"/>
    </row>
    <row r="276" spans="2:13" ht="19.5" customHeight="1">
      <c r="B276" s="472" t="s">
        <v>491</v>
      </c>
      <c r="C276" s="501">
        <v>42314</v>
      </c>
      <c r="D276" s="501" t="s">
        <v>396</v>
      </c>
      <c r="E276" s="483" t="s">
        <v>806</v>
      </c>
      <c r="F276" s="475" t="s">
        <v>462</v>
      </c>
      <c r="G276" s="476" t="s">
        <v>514</v>
      </c>
      <c r="H276" s="477" t="s">
        <v>601</v>
      </c>
      <c r="I276" s="477" t="s">
        <v>989</v>
      </c>
      <c r="J276" s="502">
        <v>374.8</v>
      </c>
      <c r="K276" s="503">
        <f>K280+1</f>
        <v>25</v>
      </c>
      <c r="L276" s="503">
        <f>L277+1</f>
        <v>346</v>
      </c>
      <c r="M276" s="216"/>
    </row>
    <row r="277" spans="2:13" ht="19.5" customHeight="1">
      <c r="B277" s="500" t="s">
        <v>460</v>
      </c>
      <c r="C277" s="501">
        <v>42313</v>
      </c>
      <c r="D277" s="501" t="s">
        <v>396</v>
      </c>
      <c r="E277" s="484" t="s">
        <v>805</v>
      </c>
      <c r="F277" s="475" t="s">
        <v>461</v>
      </c>
      <c r="G277" s="476" t="s">
        <v>468</v>
      </c>
      <c r="H277" s="477" t="s">
        <v>479</v>
      </c>
      <c r="I277" s="477" t="s">
        <v>989</v>
      </c>
      <c r="J277" s="502">
        <v>2425.5</v>
      </c>
      <c r="K277" s="503">
        <f>K283+1</f>
        <v>260</v>
      </c>
      <c r="L277" s="503">
        <f>L278+1</f>
        <v>345</v>
      </c>
      <c r="M277" s="216"/>
    </row>
    <row r="278" spans="2:13" ht="19.5" customHeight="1">
      <c r="B278" s="500" t="s">
        <v>490</v>
      </c>
      <c r="C278" s="501">
        <v>42313</v>
      </c>
      <c r="D278" s="501" t="s">
        <v>396</v>
      </c>
      <c r="E278" s="484" t="s">
        <v>808</v>
      </c>
      <c r="F278" s="475" t="s">
        <v>465</v>
      </c>
      <c r="G278" s="476" t="s">
        <v>473</v>
      </c>
      <c r="H278" s="477" t="s">
        <v>590</v>
      </c>
      <c r="I278" s="477" t="s">
        <v>989</v>
      </c>
      <c r="J278" s="502">
        <v>649</v>
      </c>
      <c r="K278" s="503">
        <f>K287+1</f>
        <v>57</v>
      </c>
      <c r="L278" s="503">
        <f>L280+1</f>
        <v>344</v>
      </c>
      <c r="M278" s="216"/>
    </row>
    <row r="279" spans="2:13" ht="19.5" customHeight="1">
      <c r="B279" s="472" t="s">
        <v>491</v>
      </c>
      <c r="C279" s="426">
        <v>42313</v>
      </c>
      <c r="D279" s="426" t="s">
        <v>396</v>
      </c>
      <c r="E279" s="427" t="s">
        <v>806</v>
      </c>
      <c r="F279" s="428" t="s">
        <v>462</v>
      </c>
      <c r="G279" s="429" t="s">
        <v>469</v>
      </c>
      <c r="H279" s="430" t="s">
        <v>600</v>
      </c>
      <c r="I279" s="430" t="s">
        <v>989</v>
      </c>
      <c r="J279" s="431">
        <v>205.1</v>
      </c>
      <c r="K279" s="508" t="s">
        <v>1292</v>
      </c>
      <c r="L279" s="508" t="s">
        <v>1292</v>
      </c>
      <c r="M279" s="216"/>
    </row>
    <row r="280" spans="2:13" ht="19.5" customHeight="1">
      <c r="B280" s="472" t="s">
        <v>491</v>
      </c>
      <c r="C280" s="501">
        <v>42307</v>
      </c>
      <c r="D280" s="501" t="s">
        <v>396</v>
      </c>
      <c r="E280" s="484" t="s">
        <v>805</v>
      </c>
      <c r="F280" s="475" t="s">
        <v>748</v>
      </c>
      <c r="G280" s="476" t="s">
        <v>513</v>
      </c>
      <c r="H280" s="477" t="s">
        <v>599</v>
      </c>
      <c r="I280" s="477" t="s">
        <v>989</v>
      </c>
      <c r="J280" s="502">
        <v>161.88</v>
      </c>
      <c r="K280" s="503">
        <f>K281+1</f>
        <v>24</v>
      </c>
      <c r="L280" s="503">
        <f>L281+1</f>
        <v>343</v>
      </c>
      <c r="M280" s="216"/>
    </row>
    <row r="281" spans="2:13" ht="19.5" customHeight="1">
      <c r="B281" s="472" t="s">
        <v>491</v>
      </c>
      <c r="C281" s="501">
        <v>42292</v>
      </c>
      <c r="D281" s="501" t="s">
        <v>396</v>
      </c>
      <c r="E281" s="484" t="s">
        <v>805</v>
      </c>
      <c r="F281" s="475" t="s">
        <v>748</v>
      </c>
      <c r="G281" s="476" t="s">
        <v>512</v>
      </c>
      <c r="H281" s="477" t="s">
        <v>598</v>
      </c>
      <c r="I281" s="477" t="s">
        <v>989</v>
      </c>
      <c r="J281" s="502">
        <v>258</v>
      </c>
      <c r="K281" s="503">
        <f>K282+1</f>
        <v>23</v>
      </c>
      <c r="L281" s="503">
        <f>L282+1</f>
        <v>342</v>
      </c>
      <c r="M281" s="216"/>
    </row>
    <row r="282" spans="2:13" ht="19.5" customHeight="1">
      <c r="B282" s="472" t="s">
        <v>491</v>
      </c>
      <c r="C282" s="501">
        <v>42285</v>
      </c>
      <c r="D282" s="501" t="s">
        <v>396</v>
      </c>
      <c r="E282" s="483" t="s">
        <v>806</v>
      </c>
      <c r="F282" s="475" t="s">
        <v>462</v>
      </c>
      <c r="G282" s="476" t="s">
        <v>469</v>
      </c>
      <c r="H282" s="477" t="s">
        <v>597</v>
      </c>
      <c r="I282" s="477" t="s">
        <v>989</v>
      </c>
      <c r="J282" s="502">
        <v>250</v>
      </c>
      <c r="K282" s="503">
        <f>K290+1</f>
        <v>22</v>
      </c>
      <c r="L282" s="503">
        <f>L283+1</f>
        <v>341</v>
      </c>
      <c r="M282" s="216"/>
    </row>
    <row r="283" spans="2:13" ht="19.5" customHeight="1">
      <c r="B283" s="500" t="s">
        <v>460</v>
      </c>
      <c r="C283" s="501">
        <v>42276</v>
      </c>
      <c r="D283" s="501" t="s">
        <v>393</v>
      </c>
      <c r="E283" s="484" t="s">
        <v>808</v>
      </c>
      <c r="F283" s="475" t="s">
        <v>752</v>
      </c>
      <c r="G283" s="476" t="s">
        <v>505</v>
      </c>
      <c r="H283" s="477" t="s">
        <v>584</v>
      </c>
      <c r="I283" s="477" t="s">
        <v>989</v>
      </c>
      <c r="J283" s="502">
        <v>3160</v>
      </c>
      <c r="K283" s="503">
        <f>K284+1</f>
        <v>259</v>
      </c>
      <c r="L283" s="503">
        <f>L284+1</f>
        <v>340</v>
      </c>
      <c r="M283" s="216"/>
    </row>
    <row r="284" spans="2:13" ht="19.5" customHeight="1">
      <c r="B284" s="500" t="s">
        <v>460</v>
      </c>
      <c r="C284" s="501">
        <v>42271</v>
      </c>
      <c r="D284" s="501" t="s">
        <v>393</v>
      </c>
      <c r="E284" s="484" t="s">
        <v>806</v>
      </c>
      <c r="F284" s="475" t="s">
        <v>750</v>
      </c>
      <c r="G284" s="476" t="s">
        <v>504</v>
      </c>
      <c r="H284" s="477" t="s">
        <v>583</v>
      </c>
      <c r="I284" s="477" t="s">
        <v>989</v>
      </c>
      <c r="J284" s="502">
        <v>2427</v>
      </c>
      <c r="K284" s="503">
        <f>K285+1</f>
        <v>258</v>
      </c>
      <c r="L284" s="503">
        <f>L285+1</f>
        <v>339</v>
      </c>
      <c r="M284" s="216"/>
    </row>
    <row r="285" spans="2:13" ht="19.5" customHeight="1">
      <c r="B285" s="500" t="s">
        <v>460</v>
      </c>
      <c r="C285" s="501">
        <v>42243</v>
      </c>
      <c r="D285" s="501" t="s">
        <v>393</v>
      </c>
      <c r="E285" s="484" t="s">
        <v>807</v>
      </c>
      <c r="F285" s="475" t="s">
        <v>751</v>
      </c>
      <c r="G285" s="476" t="s">
        <v>503</v>
      </c>
      <c r="H285" s="477" t="s">
        <v>582</v>
      </c>
      <c r="I285" s="477" t="s">
        <v>989</v>
      </c>
      <c r="J285" s="502">
        <v>2400</v>
      </c>
      <c r="K285" s="503">
        <f>K288+1</f>
        <v>257</v>
      </c>
      <c r="L285" s="503">
        <f>L287+1</f>
        <v>338</v>
      </c>
      <c r="M285" s="216"/>
    </row>
    <row r="286" spans="2:13" ht="19.5" customHeight="1">
      <c r="B286" s="425" t="s">
        <v>460</v>
      </c>
      <c r="C286" s="426">
        <v>42235</v>
      </c>
      <c r="D286" s="426" t="s">
        <v>393</v>
      </c>
      <c r="E286" s="427" t="s">
        <v>806</v>
      </c>
      <c r="F286" s="428" t="s">
        <v>750</v>
      </c>
      <c r="G286" s="429" t="s">
        <v>502</v>
      </c>
      <c r="H286" s="430" t="s">
        <v>581</v>
      </c>
      <c r="I286" s="430" t="s">
        <v>989</v>
      </c>
      <c r="J286" s="431">
        <v>1745</v>
      </c>
      <c r="K286" s="508" t="s">
        <v>1292</v>
      </c>
      <c r="L286" s="508" t="s">
        <v>1292</v>
      </c>
      <c r="M286" s="216"/>
    </row>
    <row r="287" spans="2:13" ht="19.5" customHeight="1">
      <c r="B287" s="500" t="s">
        <v>490</v>
      </c>
      <c r="C287" s="501">
        <v>42223</v>
      </c>
      <c r="D287" s="501" t="s">
        <v>393</v>
      </c>
      <c r="E287" s="484" t="s">
        <v>809</v>
      </c>
      <c r="F287" s="475" t="s">
        <v>463</v>
      </c>
      <c r="G287" s="476" t="s">
        <v>508</v>
      </c>
      <c r="H287" s="477" t="s">
        <v>589</v>
      </c>
      <c r="I287" s="477" t="s">
        <v>989</v>
      </c>
      <c r="J287" s="502">
        <v>515</v>
      </c>
      <c r="K287" s="503">
        <f>K291+1</f>
        <v>56</v>
      </c>
      <c r="L287" s="503">
        <f t="shared" ref="L287:L305" si="12">L288+1</f>
        <v>337</v>
      </c>
      <c r="M287" s="216"/>
    </row>
    <row r="288" spans="2:13" ht="19.5" customHeight="1">
      <c r="B288" s="500" t="s">
        <v>460</v>
      </c>
      <c r="C288" s="501">
        <v>42199</v>
      </c>
      <c r="D288" s="501" t="s">
        <v>393</v>
      </c>
      <c r="E288" s="484" t="s">
        <v>808</v>
      </c>
      <c r="F288" s="475" t="s">
        <v>749</v>
      </c>
      <c r="G288" s="476" t="s">
        <v>501</v>
      </c>
      <c r="H288" s="477" t="s">
        <v>580</v>
      </c>
      <c r="I288" s="477" t="s">
        <v>987</v>
      </c>
      <c r="J288" s="502">
        <v>2500</v>
      </c>
      <c r="K288" s="503">
        <f>K289+1</f>
        <v>256</v>
      </c>
      <c r="L288" s="503">
        <f t="shared" si="12"/>
        <v>336</v>
      </c>
      <c r="M288" s="216"/>
    </row>
    <row r="289" spans="2:13" ht="19.5" customHeight="1">
      <c r="B289" s="500" t="s">
        <v>460</v>
      </c>
      <c r="C289" s="501">
        <v>42185</v>
      </c>
      <c r="D289" s="501" t="s">
        <v>371</v>
      </c>
      <c r="E289" s="484" t="s">
        <v>806</v>
      </c>
      <c r="F289" s="475" t="s">
        <v>462</v>
      </c>
      <c r="G289" s="476" t="s">
        <v>500</v>
      </c>
      <c r="H289" s="477" t="s">
        <v>579</v>
      </c>
      <c r="I289" s="477" t="s">
        <v>989</v>
      </c>
      <c r="J289" s="502">
        <v>2006.6</v>
      </c>
      <c r="K289" s="503">
        <f>K295+1</f>
        <v>255</v>
      </c>
      <c r="L289" s="503">
        <f t="shared" si="12"/>
        <v>335</v>
      </c>
      <c r="M289" s="216"/>
    </row>
    <row r="290" spans="2:13" ht="19.5" customHeight="1">
      <c r="B290" s="472" t="s">
        <v>491</v>
      </c>
      <c r="C290" s="501">
        <v>42164</v>
      </c>
      <c r="D290" s="501" t="s">
        <v>371</v>
      </c>
      <c r="E290" s="483" t="s">
        <v>806</v>
      </c>
      <c r="F290" s="475" t="s">
        <v>462</v>
      </c>
      <c r="G290" s="476" t="s">
        <v>511</v>
      </c>
      <c r="H290" s="477" t="s">
        <v>596</v>
      </c>
      <c r="I290" s="477" t="s">
        <v>989</v>
      </c>
      <c r="J290" s="502">
        <v>296.10000000000002</v>
      </c>
      <c r="K290" s="503">
        <f>K292+1</f>
        <v>21</v>
      </c>
      <c r="L290" s="503">
        <f t="shared" si="12"/>
        <v>334</v>
      </c>
      <c r="M290" s="216"/>
    </row>
    <row r="291" spans="2:13" ht="19.5" customHeight="1">
      <c r="B291" s="500" t="s">
        <v>490</v>
      </c>
      <c r="C291" s="501">
        <v>42159</v>
      </c>
      <c r="D291" s="501" t="s">
        <v>371</v>
      </c>
      <c r="E291" s="484" t="s">
        <v>808</v>
      </c>
      <c r="F291" s="475" t="s">
        <v>465</v>
      </c>
      <c r="G291" s="476" t="s">
        <v>473</v>
      </c>
      <c r="H291" s="477" t="s">
        <v>588</v>
      </c>
      <c r="I291" s="477" t="s">
        <v>989</v>
      </c>
      <c r="J291" s="502">
        <v>649.4</v>
      </c>
      <c r="K291" s="503">
        <f>K293+1</f>
        <v>55</v>
      </c>
      <c r="L291" s="503">
        <f t="shared" si="12"/>
        <v>333</v>
      </c>
      <c r="M291" s="216"/>
    </row>
    <row r="292" spans="2:13" ht="19.5" customHeight="1">
      <c r="B292" s="472" t="s">
        <v>491</v>
      </c>
      <c r="C292" s="501">
        <v>42158</v>
      </c>
      <c r="D292" s="501" t="s">
        <v>371</v>
      </c>
      <c r="E292" s="484" t="s">
        <v>805</v>
      </c>
      <c r="F292" s="475" t="s">
        <v>461</v>
      </c>
      <c r="G292" s="476" t="s">
        <v>510</v>
      </c>
      <c r="H292" s="477" t="s">
        <v>595</v>
      </c>
      <c r="I292" s="477" t="s">
        <v>989</v>
      </c>
      <c r="J292" s="502">
        <v>184.2</v>
      </c>
      <c r="K292" s="503">
        <f>K294+1</f>
        <v>20</v>
      </c>
      <c r="L292" s="503">
        <f t="shared" si="12"/>
        <v>332</v>
      </c>
      <c r="M292" s="216"/>
    </row>
    <row r="293" spans="2:13" ht="19.5" customHeight="1">
      <c r="B293" s="500" t="s">
        <v>490</v>
      </c>
      <c r="C293" s="501">
        <v>42144</v>
      </c>
      <c r="D293" s="501" t="s">
        <v>371</v>
      </c>
      <c r="E293" s="484" t="s">
        <v>806</v>
      </c>
      <c r="F293" s="475" t="s">
        <v>466</v>
      </c>
      <c r="G293" s="476" t="s">
        <v>492</v>
      </c>
      <c r="H293" s="477" t="s">
        <v>587</v>
      </c>
      <c r="I293" s="477" t="s">
        <v>989</v>
      </c>
      <c r="J293" s="502">
        <v>437</v>
      </c>
      <c r="K293" s="503">
        <f>K304+1</f>
        <v>54</v>
      </c>
      <c r="L293" s="503">
        <f t="shared" si="12"/>
        <v>331</v>
      </c>
      <c r="M293" s="216"/>
    </row>
    <row r="294" spans="2:13" ht="19.5" customHeight="1">
      <c r="B294" s="472" t="s">
        <v>491</v>
      </c>
      <c r="C294" s="501">
        <v>42131</v>
      </c>
      <c r="D294" s="501" t="s">
        <v>371</v>
      </c>
      <c r="E294" s="483" t="s">
        <v>806</v>
      </c>
      <c r="F294" s="475" t="s">
        <v>462</v>
      </c>
      <c r="G294" s="476" t="s">
        <v>469</v>
      </c>
      <c r="H294" s="477" t="s">
        <v>594</v>
      </c>
      <c r="I294" s="477" t="s">
        <v>989</v>
      </c>
      <c r="J294" s="502">
        <v>181</v>
      </c>
      <c r="K294" s="503">
        <f>K316+1</f>
        <v>19</v>
      </c>
      <c r="L294" s="503">
        <f t="shared" si="12"/>
        <v>330</v>
      </c>
      <c r="M294" s="216"/>
    </row>
    <row r="295" spans="2:13" ht="19.5" customHeight="1">
      <c r="B295" s="500" t="s">
        <v>460</v>
      </c>
      <c r="C295" s="501">
        <v>42129</v>
      </c>
      <c r="D295" s="501" t="s">
        <v>371</v>
      </c>
      <c r="E295" s="484" t="s">
        <v>805</v>
      </c>
      <c r="F295" s="475" t="s">
        <v>748</v>
      </c>
      <c r="G295" s="476" t="s">
        <v>499</v>
      </c>
      <c r="H295" s="477" t="s">
        <v>578</v>
      </c>
      <c r="I295" s="477" t="s">
        <v>989</v>
      </c>
      <c r="J295" s="502">
        <v>1682</v>
      </c>
      <c r="K295" s="503">
        <f t="shared" ref="K295:K302" si="13">K296+1</f>
        <v>254</v>
      </c>
      <c r="L295" s="503">
        <f t="shared" si="12"/>
        <v>329</v>
      </c>
      <c r="M295" s="216"/>
    </row>
    <row r="296" spans="2:13" ht="19.5" customHeight="1">
      <c r="B296" s="500" t="s">
        <v>460</v>
      </c>
      <c r="C296" s="501">
        <v>42124</v>
      </c>
      <c r="D296" s="501" t="s">
        <v>371</v>
      </c>
      <c r="E296" s="484" t="s">
        <v>806</v>
      </c>
      <c r="F296" s="475" t="s">
        <v>462</v>
      </c>
      <c r="G296" s="476" t="s">
        <v>498</v>
      </c>
      <c r="H296" s="477" t="s">
        <v>577</v>
      </c>
      <c r="I296" s="477" t="s">
        <v>989</v>
      </c>
      <c r="J296" s="502">
        <v>2685.4</v>
      </c>
      <c r="K296" s="503">
        <f t="shared" si="13"/>
        <v>253</v>
      </c>
      <c r="L296" s="503">
        <f t="shared" si="12"/>
        <v>328</v>
      </c>
      <c r="M296" s="216"/>
    </row>
    <row r="297" spans="2:13" ht="19.5" customHeight="1">
      <c r="B297" s="500" t="s">
        <v>460</v>
      </c>
      <c r="C297" s="501">
        <v>42123</v>
      </c>
      <c r="D297" s="501" t="s">
        <v>371</v>
      </c>
      <c r="E297" s="484" t="s">
        <v>806</v>
      </c>
      <c r="F297" s="468" t="s">
        <v>462</v>
      </c>
      <c r="G297" s="476" t="s">
        <v>497</v>
      </c>
      <c r="H297" s="477" t="s">
        <v>575</v>
      </c>
      <c r="I297" s="477" t="s">
        <v>989</v>
      </c>
      <c r="J297" s="502">
        <v>2173.3000000000002</v>
      </c>
      <c r="K297" s="503">
        <f t="shared" si="13"/>
        <v>252</v>
      </c>
      <c r="L297" s="503">
        <f t="shared" si="12"/>
        <v>327</v>
      </c>
      <c r="M297" s="216"/>
    </row>
    <row r="298" spans="2:13" ht="19.5" customHeight="1">
      <c r="B298" s="500" t="s">
        <v>460</v>
      </c>
      <c r="C298" s="501">
        <v>42123</v>
      </c>
      <c r="D298" s="501" t="s">
        <v>371</v>
      </c>
      <c r="E298" s="484" t="s">
        <v>806</v>
      </c>
      <c r="F298" s="468" t="s">
        <v>466</v>
      </c>
      <c r="G298" s="476" t="s">
        <v>492</v>
      </c>
      <c r="H298" s="477" t="s">
        <v>576</v>
      </c>
      <c r="I298" s="477" t="s">
        <v>989</v>
      </c>
      <c r="J298" s="502">
        <v>2085.56</v>
      </c>
      <c r="K298" s="503">
        <f t="shared" si="13"/>
        <v>251</v>
      </c>
      <c r="L298" s="503">
        <f t="shared" si="12"/>
        <v>326</v>
      </c>
      <c r="M298" s="216"/>
    </row>
    <row r="299" spans="2:13" ht="19.5" customHeight="1">
      <c r="B299" s="500" t="s">
        <v>460</v>
      </c>
      <c r="C299" s="501">
        <v>42123</v>
      </c>
      <c r="D299" s="501" t="s">
        <v>371</v>
      </c>
      <c r="E299" s="484" t="s">
        <v>806</v>
      </c>
      <c r="F299" s="468" t="s">
        <v>462</v>
      </c>
      <c r="G299" s="476" t="s">
        <v>496</v>
      </c>
      <c r="H299" s="477" t="s">
        <v>574</v>
      </c>
      <c r="I299" s="477" t="s">
        <v>989</v>
      </c>
      <c r="J299" s="502">
        <v>1786.06</v>
      </c>
      <c r="K299" s="503">
        <f t="shared" si="13"/>
        <v>250</v>
      </c>
      <c r="L299" s="503">
        <f t="shared" si="12"/>
        <v>325</v>
      </c>
      <c r="M299" s="216"/>
    </row>
    <row r="300" spans="2:13" ht="19.5" customHeight="1">
      <c r="B300" s="500" t="s">
        <v>460</v>
      </c>
      <c r="C300" s="501">
        <v>42123</v>
      </c>
      <c r="D300" s="501" t="s">
        <v>371</v>
      </c>
      <c r="E300" s="484" t="s">
        <v>806</v>
      </c>
      <c r="F300" s="468" t="s">
        <v>466</v>
      </c>
      <c r="G300" s="476" t="s">
        <v>492</v>
      </c>
      <c r="H300" s="477" t="s">
        <v>573</v>
      </c>
      <c r="I300" s="477" t="s">
        <v>989</v>
      </c>
      <c r="J300" s="502">
        <v>1567.06</v>
      </c>
      <c r="K300" s="503">
        <f t="shared" si="13"/>
        <v>249</v>
      </c>
      <c r="L300" s="503">
        <f t="shared" si="12"/>
        <v>324</v>
      </c>
      <c r="M300" s="216"/>
    </row>
    <row r="301" spans="2:13" ht="19.5" customHeight="1">
      <c r="B301" s="500" t="s">
        <v>460</v>
      </c>
      <c r="C301" s="501">
        <v>42117</v>
      </c>
      <c r="D301" s="501" t="s">
        <v>371</v>
      </c>
      <c r="E301" s="484" t="s">
        <v>805</v>
      </c>
      <c r="F301" s="468" t="s">
        <v>461</v>
      </c>
      <c r="G301" s="476" t="s">
        <v>495</v>
      </c>
      <c r="H301" s="477" t="s">
        <v>572</v>
      </c>
      <c r="I301" s="477" t="s">
        <v>987</v>
      </c>
      <c r="J301" s="502">
        <v>720.3</v>
      </c>
      <c r="K301" s="503">
        <f t="shared" si="13"/>
        <v>248</v>
      </c>
      <c r="L301" s="503">
        <f t="shared" si="12"/>
        <v>323</v>
      </c>
      <c r="M301" s="216"/>
    </row>
    <row r="302" spans="2:13" ht="19.5" customHeight="1">
      <c r="B302" s="500" t="s">
        <v>460</v>
      </c>
      <c r="C302" s="501">
        <v>42110</v>
      </c>
      <c r="D302" s="501" t="s">
        <v>371</v>
      </c>
      <c r="E302" s="484" t="s">
        <v>805</v>
      </c>
      <c r="F302" s="468" t="s">
        <v>748</v>
      </c>
      <c r="G302" s="476" t="s">
        <v>494</v>
      </c>
      <c r="H302" s="477" t="s">
        <v>571</v>
      </c>
      <c r="I302" s="477" t="s">
        <v>989</v>
      </c>
      <c r="J302" s="502">
        <v>2287.9</v>
      </c>
      <c r="K302" s="503">
        <f t="shared" si="13"/>
        <v>247</v>
      </c>
      <c r="L302" s="503">
        <f t="shared" si="12"/>
        <v>322</v>
      </c>
      <c r="M302" s="216"/>
    </row>
    <row r="303" spans="2:13" ht="19.5" customHeight="1">
      <c r="B303" s="500" t="s">
        <v>460</v>
      </c>
      <c r="C303" s="501">
        <v>42110</v>
      </c>
      <c r="D303" s="501" t="s">
        <v>371</v>
      </c>
      <c r="E303" s="484" t="s">
        <v>806</v>
      </c>
      <c r="F303" s="468" t="s">
        <v>462</v>
      </c>
      <c r="G303" s="477" t="s">
        <v>493</v>
      </c>
      <c r="H303" s="477" t="s">
        <v>570</v>
      </c>
      <c r="I303" s="477" t="s">
        <v>989</v>
      </c>
      <c r="J303" s="502">
        <v>2279.9</v>
      </c>
      <c r="K303" s="503">
        <f>K307+1</f>
        <v>246</v>
      </c>
      <c r="L303" s="503">
        <f t="shared" si="12"/>
        <v>321</v>
      </c>
      <c r="M303" s="216"/>
    </row>
    <row r="304" spans="2:13" ht="19.5" customHeight="1">
      <c r="B304" s="500" t="s">
        <v>490</v>
      </c>
      <c r="C304" s="501">
        <v>42110</v>
      </c>
      <c r="D304" s="501" t="s">
        <v>371</v>
      </c>
      <c r="E304" s="484" t="s">
        <v>806</v>
      </c>
      <c r="F304" s="475" t="s">
        <v>466</v>
      </c>
      <c r="G304" s="476" t="s">
        <v>507</v>
      </c>
      <c r="H304" s="477" t="s">
        <v>586</v>
      </c>
      <c r="I304" s="477" t="s">
        <v>989</v>
      </c>
      <c r="J304" s="502">
        <v>634</v>
      </c>
      <c r="K304" s="503">
        <f>K305+1</f>
        <v>53</v>
      </c>
      <c r="L304" s="503">
        <f t="shared" si="12"/>
        <v>320</v>
      </c>
      <c r="M304" s="216"/>
    </row>
    <row r="305" spans="2:13" ht="19.5" customHeight="1">
      <c r="B305" s="500" t="s">
        <v>490</v>
      </c>
      <c r="C305" s="501">
        <v>42110</v>
      </c>
      <c r="D305" s="501" t="s">
        <v>371</v>
      </c>
      <c r="E305" s="484" t="s">
        <v>806</v>
      </c>
      <c r="F305" s="475" t="s">
        <v>462</v>
      </c>
      <c r="G305" s="476" t="s">
        <v>493</v>
      </c>
      <c r="H305" s="477" t="s">
        <v>570</v>
      </c>
      <c r="I305" s="477" t="s">
        <v>989</v>
      </c>
      <c r="J305" s="502">
        <v>475</v>
      </c>
      <c r="K305" s="503">
        <f>K306+1</f>
        <v>52</v>
      </c>
      <c r="L305" s="503">
        <f t="shared" si="12"/>
        <v>319</v>
      </c>
      <c r="M305" s="216"/>
    </row>
    <row r="306" spans="2:13" ht="19.5" customHeight="1">
      <c r="B306" s="500" t="s">
        <v>490</v>
      </c>
      <c r="C306" s="501">
        <v>42096</v>
      </c>
      <c r="D306" s="501" t="s">
        <v>371</v>
      </c>
      <c r="E306" s="484" t="s">
        <v>808</v>
      </c>
      <c r="F306" s="475" t="s">
        <v>749</v>
      </c>
      <c r="G306" s="476" t="s">
        <v>506</v>
      </c>
      <c r="H306" s="477" t="s">
        <v>585</v>
      </c>
      <c r="I306" s="477" t="s">
        <v>989</v>
      </c>
      <c r="J306" s="502">
        <v>522</v>
      </c>
      <c r="K306" s="503">
        <f>K321+1</f>
        <v>51</v>
      </c>
      <c r="L306" s="503">
        <f>L307+1</f>
        <v>318</v>
      </c>
      <c r="M306" s="216"/>
    </row>
    <row r="307" spans="2:13" ht="19.5" customHeight="1">
      <c r="B307" s="500" t="s">
        <v>460</v>
      </c>
      <c r="C307" s="501">
        <v>42061</v>
      </c>
      <c r="D307" s="501" t="s">
        <v>361</v>
      </c>
      <c r="E307" s="484" t="s">
        <v>806</v>
      </c>
      <c r="F307" s="475" t="s">
        <v>466</v>
      </c>
      <c r="G307" s="476" t="s">
        <v>492</v>
      </c>
      <c r="H307" s="477" t="s">
        <v>569</v>
      </c>
      <c r="I307" s="477" t="s">
        <v>989</v>
      </c>
      <c r="J307" s="502">
        <v>1982.1</v>
      </c>
      <c r="K307" s="503">
        <f>K308+1</f>
        <v>245</v>
      </c>
      <c r="L307" s="503">
        <f>L308+1</f>
        <v>317</v>
      </c>
      <c r="M307" s="216"/>
    </row>
    <row r="308" spans="2:13" ht="19.5" customHeight="1">
      <c r="B308" s="500" t="s">
        <v>460</v>
      </c>
      <c r="C308" s="501">
        <v>41984</v>
      </c>
      <c r="D308" s="501" t="s">
        <v>356</v>
      </c>
      <c r="E308" s="484" t="s">
        <v>807</v>
      </c>
      <c r="F308" s="475" t="s">
        <v>758</v>
      </c>
      <c r="G308" s="476" t="s">
        <v>539</v>
      </c>
      <c r="H308" s="477" t="s">
        <v>636</v>
      </c>
      <c r="I308" s="477" t="s">
        <v>987</v>
      </c>
      <c r="J308" s="502">
        <v>2460.4</v>
      </c>
      <c r="K308" s="503">
        <f>+K309+1</f>
        <v>244</v>
      </c>
      <c r="L308" s="503">
        <f t="shared" ref="L308:L343" si="14">L309+1</f>
        <v>316</v>
      </c>
      <c r="M308" s="216"/>
    </row>
    <row r="309" spans="2:13" ht="19.5" customHeight="1">
      <c r="B309" s="500" t="s">
        <v>460</v>
      </c>
      <c r="C309" s="501">
        <v>41978</v>
      </c>
      <c r="D309" s="501" t="s">
        <v>356</v>
      </c>
      <c r="E309" s="484" t="s">
        <v>808</v>
      </c>
      <c r="F309" s="475" t="s">
        <v>760</v>
      </c>
      <c r="G309" s="476" t="s">
        <v>542</v>
      </c>
      <c r="H309" s="477" t="s">
        <v>635</v>
      </c>
      <c r="I309" s="477" t="s">
        <v>989</v>
      </c>
      <c r="J309" s="502">
        <v>1571.8</v>
      </c>
      <c r="K309" s="503">
        <f t="shared" ref="K309:K314" si="15">K310+1</f>
        <v>243</v>
      </c>
      <c r="L309" s="503">
        <f t="shared" si="14"/>
        <v>315</v>
      </c>
      <c r="M309" s="216"/>
    </row>
    <row r="310" spans="2:13" ht="19.5" customHeight="1">
      <c r="B310" s="500" t="s">
        <v>460</v>
      </c>
      <c r="C310" s="501">
        <v>41975</v>
      </c>
      <c r="D310" s="501" t="s">
        <v>356</v>
      </c>
      <c r="E310" s="484" t="s">
        <v>807</v>
      </c>
      <c r="F310" s="475" t="s">
        <v>756</v>
      </c>
      <c r="G310" s="476" t="s">
        <v>538</v>
      </c>
      <c r="H310" s="477" t="s">
        <v>634</v>
      </c>
      <c r="I310" s="477" t="s">
        <v>989</v>
      </c>
      <c r="J310" s="502">
        <v>2109.6999999999998</v>
      </c>
      <c r="K310" s="503">
        <f t="shared" si="15"/>
        <v>242</v>
      </c>
      <c r="L310" s="503">
        <f t="shared" si="14"/>
        <v>314</v>
      </c>
      <c r="M310" s="216"/>
    </row>
    <row r="311" spans="2:13" ht="19.5" customHeight="1">
      <c r="B311" s="500" t="s">
        <v>460</v>
      </c>
      <c r="C311" s="501">
        <v>41973</v>
      </c>
      <c r="D311" s="501" t="s">
        <v>356</v>
      </c>
      <c r="E311" s="484" t="s">
        <v>808</v>
      </c>
      <c r="F311" s="475" t="s">
        <v>759</v>
      </c>
      <c r="G311" s="476" t="s">
        <v>541</v>
      </c>
      <c r="H311" s="477" t="s">
        <v>633</v>
      </c>
      <c r="I311" s="477" t="s">
        <v>989</v>
      </c>
      <c r="J311" s="502">
        <v>2658.5</v>
      </c>
      <c r="K311" s="503">
        <f t="shared" si="15"/>
        <v>241</v>
      </c>
      <c r="L311" s="503">
        <f t="shared" si="14"/>
        <v>313</v>
      </c>
      <c r="M311" s="216"/>
    </row>
    <row r="312" spans="2:13" ht="19.5" customHeight="1">
      <c r="B312" s="500" t="s">
        <v>460</v>
      </c>
      <c r="C312" s="501">
        <v>41971</v>
      </c>
      <c r="D312" s="501" t="s">
        <v>356</v>
      </c>
      <c r="E312" s="484" t="s">
        <v>807</v>
      </c>
      <c r="F312" s="475" t="s">
        <v>758</v>
      </c>
      <c r="G312" s="476" t="s">
        <v>539</v>
      </c>
      <c r="H312" s="477" t="s">
        <v>630</v>
      </c>
      <c r="I312" s="477" t="s">
        <v>989</v>
      </c>
      <c r="J312" s="502">
        <v>2500.8000000000002</v>
      </c>
      <c r="K312" s="503">
        <f t="shared" si="15"/>
        <v>240</v>
      </c>
      <c r="L312" s="503">
        <f t="shared" si="14"/>
        <v>312</v>
      </c>
      <c r="M312" s="216"/>
    </row>
    <row r="313" spans="2:13" ht="19.5" customHeight="1">
      <c r="B313" s="500" t="s">
        <v>460</v>
      </c>
      <c r="C313" s="501">
        <v>41971</v>
      </c>
      <c r="D313" s="501" t="s">
        <v>356</v>
      </c>
      <c r="E313" s="484" t="s">
        <v>806</v>
      </c>
      <c r="F313" s="475" t="s">
        <v>466</v>
      </c>
      <c r="G313" s="476" t="s">
        <v>540</v>
      </c>
      <c r="H313" s="477" t="s">
        <v>632</v>
      </c>
      <c r="I313" s="477" t="s">
        <v>987</v>
      </c>
      <c r="J313" s="502">
        <v>2475.5</v>
      </c>
      <c r="K313" s="503">
        <f t="shared" si="15"/>
        <v>239</v>
      </c>
      <c r="L313" s="503">
        <f t="shared" si="14"/>
        <v>311</v>
      </c>
      <c r="M313" s="216"/>
    </row>
    <row r="314" spans="2:13" ht="19.5" customHeight="1">
      <c r="B314" s="500" t="s">
        <v>460</v>
      </c>
      <c r="C314" s="501">
        <v>41971</v>
      </c>
      <c r="D314" s="501" t="s">
        <v>356</v>
      </c>
      <c r="E314" s="484" t="s">
        <v>806</v>
      </c>
      <c r="F314" s="475" t="s">
        <v>462</v>
      </c>
      <c r="G314" s="476" t="s">
        <v>515</v>
      </c>
      <c r="H314" s="477" t="s">
        <v>631</v>
      </c>
      <c r="I314" s="477" t="s">
        <v>989</v>
      </c>
      <c r="J314" s="502">
        <v>2175</v>
      </c>
      <c r="K314" s="503">
        <f t="shared" si="15"/>
        <v>238</v>
      </c>
      <c r="L314" s="503">
        <f t="shared" si="14"/>
        <v>310</v>
      </c>
      <c r="M314" s="216"/>
    </row>
    <row r="315" spans="2:13" ht="19.5" customHeight="1">
      <c r="B315" s="500" t="s">
        <v>460</v>
      </c>
      <c r="C315" s="501">
        <v>41970</v>
      </c>
      <c r="D315" s="501" t="s">
        <v>356</v>
      </c>
      <c r="E315" s="484" t="s">
        <v>807</v>
      </c>
      <c r="F315" s="475" t="s">
        <v>758</v>
      </c>
      <c r="G315" s="476" t="s">
        <v>539</v>
      </c>
      <c r="H315" s="477" t="s">
        <v>629</v>
      </c>
      <c r="I315" s="477" t="s">
        <v>989</v>
      </c>
      <c r="J315" s="502">
        <v>1960.1</v>
      </c>
      <c r="K315" s="503">
        <f>K317+1</f>
        <v>237</v>
      </c>
      <c r="L315" s="503">
        <f t="shared" si="14"/>
        <v>309</v>
      </c>
      <c r="M315" s="216"/>
    </row>
    <row r="316" spans="2:13" ht="19.5" customHeight="1">
      <c r="B316" s="472" t="s">
        <v>491</v>
      </c>
      <c r="C316" s="501">
        <v>41970</v>
      </c>
      <c r="D316" s="501" t="s">
        <v>356</v>
      </c>
      <c r="E316" s="483" t="s">
        <v>806</v>
      </c>
      <c r="F316" s="475" t="s">
        <v>462</v>
      </c>
      <c r="G316" s="476" t="s">
        <v>544</v>
      </c>
      <c r="H316" s="477" t="s">
        <v>654</v>
      </c>
      <c r="I316" s="477" t="s">
        <v>989</v>
      </c>
      <c r="J316" s="502">
        <v>171.1</v>
      </c>
      <c r="K316" s="503">
        <f>K322+1</f>
        <v>18</v>
      </c>
      <c r="L316" s="503">
        <f t="shared" si="14"/>
        <v>308</v>
      </c>
      <c r="M316" s="216"/>
    </row>
    <row r="317" spans="2:13" ht="19.5" customHeight="1">
      <c r="B317" s="500" t="s">
        <v>460</v>
      </c>
      <c r="C317" s="501">
        <v>41969</v>
      </c>
      <c r="D317" s="501" t="s">
        <v>356</v>
      </c>
      <c r="E317" s="484" t="s">
        <v>809</v>
      </c>
      <c r="F317" s="475" t="s">
        <v>757</v>
      </c>
      <c r="G317" s="476" t="s">
        <v>547</v>
      </c>
      <c r="H317" s="477" t="s">
        <v>628</v>
      </c>
      <c r="I317" s="477" t="s">
        <v>989</v>
      </c>
      <c r="J317" s="502">
        <v>1257.8</v>
      </c>
      <c r="K317" s="503">
        <f>K318+1</f>
        <v>236</v>
      </c>
      <c r="L317" s="503">
        <f t="shared" si="14"/>
        <v>307</v>
      </c>
      <c r="M317" s="216"/>
    </row>
    <row r="318" spans="2:13" ht="19.5" customHeight="1">
      <c r="B318" s="500" t="s">
        <v>460</v>
      </c>
      <c r="C318" s="501">
        <v>41968</v>
      </c>
      <c r="D318" s="501" t="s">
        <v>356</v>
      </c>
      <c r="E318" s="484" t="s">
        <v>807</v>
      </c>
      <c r="F318" s="475" t="s">
        <v>756</v>
      </c>
      <c r="G318" s="476" t="s">
        <v>538</v>
      </c>
      <c r="H318" s="477" t="s">
        <v>627</v>
      </c>
      <c r="I318" s="477" t="s">
        <v>989</v>
      </c>
      <c r="J318" s="502">
        <v>2475</v>
      </c>
      <c r="K318" s="503">
        <f>K319+1</f>
        <v>235</v>
      </c>
      <c r="L318" s="503">
        <f t="shared" si="14"/>
        <v>306</v>
      </c>
      <c r="M318" s="216"/>
    </row>
    <row r="319" spans="2:13" ht="19.5" customHeight="1">
      <c r="B319" s="500" t="s">
        <v>460</v>
      </c>
      <c r="C319" s="501">
        <v>41963</v>
      </c>
      <c r="D319" s="501" t="s">
        <v>356</v>
      </c>
      <c r="E319" s="484" t="s">
        <v>809</v>
      </c>
      <c r="F319" s="475" t="s">
        <v>467</v>
      </c>
      <c r="G319" s="476" t="s">
        <v>537</v>
      </c>
      <c r="H319" s="477" t="s">
        <v>626</v>
      </c>
      <c r="I319" s="477" t="s">
        <v>989</v>
      </c>
      <c r="J319" s="502">
        <v>2176.4</v>
      </c>
      <c r="K319" s="503">
        <f>K320+1</f>
        <v>234</v>
      </c>
      <c r="L319" s="503">
        <f t="shared" si="14"/>
        <v>305</v>
      </c>
      <c r="M319" s="216"/>
    </row>
    <row r="320" spans="2:13" ht="19.5" customHeight="1">
      <c r="B320" s="500" t="s">
        <v>460</v>
      </c>
      <c r="C320" s="501">
        <v>41963</v>
      </c>
      <c r="D320" s="501" t="s">
        <v>356</v>
      </c>
      <c r="E320" s="484" t="s">
        <v>805</v>
      </c>
      <c r="F320" s="475" t="s">
        <v>748</v>
      </c>
      <c r="G320" s="476" t="s">
        <v>536</v>
      </c>
      <c r="H320" s="477" t="s">
        <v>625</v>
      </c>
      <c r="I320" s="477" t="s">
        <v>989</v>
      </c>
      <c r="J320" s="502">
        <v>2141.1</v>
      </c>
      <c r="K320" s="503">
        <f>K323+1</f>
        <v>233</v>
      </c>
      <c r="L320" s="503">
        <f t="shared" si="14"/>
        <v>304</v>
      </c>
      <c r="M320" s="216"/>
    </row>
    <row r="321" spans="2:13" ht="19.5" customHeight="1">
      <c r="B321" s="500" t="s">
        <v>490</v>
      </c>
      <c r="C321" s="501">
        <v>41962</v>
      </c>
      <c r="D321" s="501" t="s">
        <v>356</v>
      </c>
      <c r="E321" s="484" t="s">
        <v>808</v>
      </c>
      <c r="F321" s="475" t="s">
        <v>749</v>
      </c>
      <c r="G321" s="476" t="s">
        <v>501</v>
      </c>
      <c r="H321" s="477" t="s">
        <v>622</v>
      </c>
      <c r="I321" s="477" t="s">
        <v>989</v>
      </c>
      <c r="J321" s="502">
        <v>622</v>
      </c>
      <c r="K321" s="503">
        <f>K327+1</f>
        <v>50</v>
      </c>
      <c r="L321" s="503">
        <f t="shared" si="14"/>
        <v>303</v>
      </c>
      <c r="M321" s="216"/>
    </row>
    <row r="322" spans="2:13" ht="19.5" customHeight="1">
      <c r="B322" s="472" t="s">
        <v>491</v>
      </c>
      <c r="C322" s="501">
        <v>41962</v>
      </c>
      <c r="D322" s="501" t="s">
        <v>356</v>
      </c>
      <c r="E322" s="483" t="s">
        <v>806</v>
      </c>
      <c r="F322" s="475" t="s">
        <v>462</v>
      </c>
      <c r="G322" s="476" t="s">
        <v>544</v>
      </c>
      <c r="H322" s="477" t="s">
        <v>653</v>
      </c>
      <c r="I322" s="477" t="s">
        <v>989</v>
      </c>
      <c r="J322" s="502">
        <v>138</v>
      </c>
      <c r="K322" s="503">
        <f>K328+1</f>
        <v>17</v>
      </c>
      <c r="L322" s="503">
        <f t="shared" si="14"/>
        <v>302</v>
      </c>
      <c r="M322" s="216"/>
    </row>
    <row r="323" spans="2:13" ht="19.5" customHeight="1">
      <c r="B323" s="500" t="s">
        <v>460</v>
      </c>
      <c r="C323" s="501">
        <v>41954</v>
      </c>
      <c r="D323" s="501" t="s">
        <v>356</v>
      </c>
      <c r="E323" s="484" t="s">
        <v>806</v>
      </c>
      <c r="F323" s="475" t="s">
        <v>462</v>
      </c>
      <c r="G323" s="476" t="s">
        <v>535</v>
      </c>
      <c r="H323" s="477" t="s">
        <v>624</v>
      </c>
      <c r="I323" s="477" t="s">
        <v>989</v>
      </c>
      <c r="J323" s="502">
        <v>2057</v>
      </c>
      <c r="K323" s="503">
        <f>K324+1</f>
        <v>232</v>
      </c>
      <c r="L323" s="503">
        <f t="shared" si="14"/>
        <v>301</v>
      </c>
      <c r="M323" s="216"/>
    </row>
    <row r="324" spans="2:13" ht="19.5" customHeight="1">
      <c r="B324" s="500" t="s">
        <v>460</v>
      </c>
      <c r="C324" s="501">
        <v>41947</v>
      </c>
      <c r="D324" s="501" t="s">
        <v>356</v>
      </c>
      <c r="E324" s="484" t="s">
        <v>806</v>
      </c>
      <c r="F324" s="475" t="s">
        <v>750</v>
      </c>
      <c r="G324" s="476" t="s">
        <v>534</v>
      </c>
      <c r="H324" s="477" t="s">
        <v>623</v>
      </c>
      <c r="I324" s="477" t="s">
        <v>989</v>
      </c>
      <c r="J324" s="502">
        <v>630.5</v>
      </c>
      <c r="K324" s="503">
        <f>K325+1</f>
        <v>231</v>
      </c>
      <c r="L324" s="503">
        <f t="shared" si="14"/>
        <v>300</v>
      </c>
      <c r="M324" s="216"/>
    </row>
    <row r="325" spans="2:13" ht="19.5" customHeight="1">
      <c r="B325" s="500" t="s">
        <v>460</v>
      </c>
      <c r="C325" s="501">
        <v>41941</v>
      </c>
      <c r="D325" s="501" t="s">
        <v>356</v>
      </c>
      <c r="E325" s="484" t="s">
        <v>808</v>
      </c>
      <c r="F325" s="475" t="s">
        <v>749</v>
      </c>
      <c r="G325" s="476" t="s">
        <v>501</v>
      </c>
      <c r="H325" s="477" t="s">
        <v>622</v>
      </c>
      <c r="I325" s="477" t="s">
        <v>989</v>
      </c>
      <c r="J325" s="502">
        <v>4068.4</v>
      </c>
      <c r="K325" s="503">
        <f>K326+1</f>
        <v>230</v>
      </c>
      <c r="L325" s="503">
        <f t="shared" si="14"/>
        <v>299</v>
      </c>
      <c r="M325" s="216"/>
    </row>
    <row r="326" spans="2:13" ht="19.5" customHeight="1">
      <c r="B326" s="500" t="s">
        <v>460</v>
      </c>
      <c r="C326" s="501">
        <v>41928</v>
      </c>
      <c r="D326" s="501" t="s">
        <v>356</v>
      </c>
      <c r="E326" s="484" t="s">
        <v>806</v>
      </c>
      <c r="F326" s="475" t="s">
        <v>462</v>
      </c>
      <c r="G326" s="476" t="s">
        <v>533</v>
      </c>
      <c r="H326" s="477" t="s">
        <v>621</v>
      </c>
      <c r="I326" s="477" t="s">
        <v>989</v>
      </c>
      <c r="J326" s="502">
        <v>1992.3</v>
      </c>
      <c r="K326" s="503">
        <f>K329+1</f>
        <v>229</v>
      </c>
      <c r="L326" s="503">
        <f t="shared" si="14"/>
        <v>298</v>
      </c>
      <c r="M326" s="216"/>
    </row>
    <row r="327" spans="2:13" ht="19.5" customHeight="1">
      <c r="B327" s="500" t="s">
        <v>490</v>
      </c>
      <c r="C327" s="501">
        <v>41908</v>
      </c>
      <c r="D327" s="501" t="s">
        <v>349</v>
      </c>
      <c r="E327" s="484" t="s">
        <v>805</v>
      </c>
      <c r="F327" s="475" t="s">
        <v>748</v>
      </c>
      <c r="G327" s="476" t="s">
        <v>527</v>
      </c>
      <c r="H327" s="477" t="s">
        <v>644</v>
      </c>
      <c r="I327" s="477" t="s">
        <v>989</v>
      </c>
      <c r="J327" s="502">
        <v>527.1</v>
      </c>
      <c r="K327" s="503">
        <f>K332+1</f>
        <v>49</v>
      </c>
      <c r="L327" s="503">
        <f t="shared" si="14"/>
        <v>297</v>
      </c>
      <c r="M327" s="216"/>
    </row>
    <row r="328" spans="2:13" ht="19.5" customHeight="1">
      <c r="B328" s="472" t="s">
        <v>491</v>
      </c>
      <c r="C328" s="501">
        <v>41906</v>
      </c>
      <c r="D328" s="501" t="s">
        <v>349</v>
      </c>
      <c r="E328" s="483" t="s">
        <v>806</v>
      </c>
      <c r="F328" s="475" t="s">
        <v>750</v>
      </c>
      <c r="G328" s="476" t="s">
        <v>534</v>
      </c>
      <c r="H328" s="477" t="s">
        <v>652</v>
      </c>
      <c r="I328" s="477" t="s">
        <v>989</v>
      </c>
      <c r="J328" s="502">
        <v>174.3</v>
      </c>
      <c r="K328" s="503">
        <f>K334+1</f>
        <v>16</v>
      </c>
      <c r="L328" s="503">
        <f t="shared" si="14"/>
        <v>296</v>
      </c>
      <c r="M328" s="216"/>
    </row>
    <row r="329" spans="2:13" ht="19.5" customHeight="1">
      <c r="B329" s="500" t="s">
        <v>460</v>
      </c>
      <c r="C329" s="501">
        <v>41892</v>
      </c>
      <c r="D329" s="501" t="s">
        <v>349</v>
      </c>
      <c r="E329" s="484" t="s">
        <v>805</v>
      </c>
      <c r="F329" s="475" t="s">
        <v>748</v>
      </c>
      <c r="G329" s="476" t="s">
        <v>532</v>
      </c>
      <c r="H329" s="477" t="s">
        <v>620</v>
      </c>
      <c r="I329" s="477" t="s">
        <v>989</v>
      </c>
      <c r="J329" s="502">
        <v>1831</v>
      </c>
      <c r="K329" s="503">
        <f>K330+1</f>
        <v>228</v>
      </c>
      <c r="L329" s="503">
        <f t="shared" si="14"/>
        <v>295</v>
      </c>
      <c r="M329" s="216"/>
    </row>
    <row r="330" spans="2:13" ht="19.5" customHeight="1">
      <c r="B330" s="500" t="s">
        <v>460</v>
      </c>
      <c r="C330" s="501">
        <v>41880</v>
      </c>
      <c r="D330" s="501" t="s">
        <v>349</v>
      </c>
      <c r="E330" s="484" t="s">
        <v>805</v>
      </c>
      <c r="F330" s="475" t="s">
        <v>461</v>
      </c>
      <c r="G330" s="476" t="s">
        <v>531</v>
      </c>
      <c r="H330" s="477" t="s">
        <v>619</v>
      </c>
      <c r="I330" s="477" t="s">
        <v>989</v>
      </c>
      <c r="J330" s="502">
        <v>2607</v>
      </c>
      <c r="K330" s="503">
        <f>K331+1</f>
        <v>227</v>
      </c>
      <c r="L330" s="503">
        <f t="shared" si="14"/>
        <v>294</v>
      </c>
      <c r="M330" s="216"/>
    </row>
    <row r="331" spans="2:13" ht="19.5" customHeight="1">
      <c r="B331" s="500" t="s">
        <v>460</v>
      </c>
      <c r="C331" s="501">
        <v>41872</v>
      </c>
      <c r="D331" s="501" t="s">
        <v>349</v>
      </c>
      <c r="E331" s="484" t="s">
        <v>806</v>
      </c>
      <c r="F331" s="475" t="s">
        <v>753</v>
      </c>
      <c r="G331" s="476" t="s">
        <v>530</v>
      </c>
      <c r="H331" s="477" t="s">
        <v>618</v>
      </c>
      <c r="I331" s="477" t="s">
        <v>989</v>
      </c>
      <c r="J331" s="502">
        <v>3245</v>
      </c>
      <c r="K331" s="503">
        <f>K335+1</f>
        <v>226</v>
      </c>
      <c r="L331" s="503">
        <f t="shared" si="14"/>
        <v>293</v>
      </c>
      <c r="M331" s="216"/>
    </row>
    <row r="332" spans="2:13" ht="19.5" customHeight="1">
      <c r="B332" s="500" t="s">
        <v>490</v>
      </c>
      <c r="C332" s="501">
        <v>41872</v>
      </c>
      <c r="D332" s="501" t="s">
        <v>349</v>
      </c>
      <c r="E332" s="484" t="s">
        <v>806</v>
      </c>
      <c r="F332" s="475" t="s">
        <v>753</v>
      </c>
      <c r="G332" s="476" t="s">
        <v>530</v>
      </c>
      <c r="H332" s="477" t="s">
        <v>618</v>
      </c>
      <c r="I332" s="477" t="s">
        <v>989</v>
      </c>
      <c r="J332" s="502">
        <v>555</v>
      </c>
      <c r="K332" s="503">
        <f>K333+1</f>
        <v>48</v>
      </c>
      <c r="L332" s="503">
        <f t="shared" si="14"/>
        <v>292</v>
      </c>
      <c r="M332" s="216"/>
    </row>
    <row r="333" spans="2:13" ht="19.5" customHeight="1">
      <c r="B333" s="500" t="s">
        <v>490</v>
      </c>
      <c r="C333" s="501">
        <v>41846</v>
      </c>
      <c r="D333" s="501" t="s">
        <v>349</v>
      </c>
      <c r="E333" s="484" t="s">
        <v>809</v>
      </c>
      <c r="F333" s="475" t="s">
        <v>757</v>
      </c>
      <c r="G333" s="476" t="s">
        <v>547</v>
      </c>
      <c r="H333" s="477" t="s">
        <v>946</v>
      </c>
      <c r="I333" s="477" t="s">
        <v>989</v>
      </c>
      <c r="J333" s="502">
        <v>628</v>
      </c>
      <c r="K333" s="503">
        <f>K343+1</f>
        <v>47</v>
      </c>
      <c r="L333" s="503">
        <f t="shared" si="14"/>
        <v>291</v>
      </c>
      <c r="M333" s="216"/>
    </row>
    <row r="334" spans="2:13" ht="19.5" customHeight="1">
      <c r="B334" s="472" t="s">
        <v>491</v>
      </c>
      <c r="C334" s="501">
        <v>41835</v>
      </c>
      <c r="D334" s="501" t="s">
        <v>349</v>
      </c>
      <c r="E334" s="484" t="s">
        <v>805</v>
      </c>
      <c r="F334" s="475" t="s">
        <v>461</v>
      </c>
      <c r="G334" s="476" t="s">
        <v>550</v>
      </c>
      <c r="H334" s="477" t="s">
        <v>651</v>
      </c>
      <c r="I334" s="477" t="s">
        <v>989</v>
      </c>
      <c r="J334" s="502">
        <v>170</v>
      </c>
      <c r="K334" s="503">
        <f>K336+1</f>
        <v>15</v>
      </c>
      <c r="L334" s="503">
        <f t="shared" si="14"/>
        <v>290</v>
      </c>
      <c r="M334" s="216"/>
    </row>
    <row r="335" spans="2:13" ht="19.5" customHeight="1">
      <c r="B335" s="500" t="s">
        <v>460</v>
      </c>
      <c r="C335" s="501">
        <v>41823</v>
      </c>
      <c r="D335" s="501" t="s">
        <v>349</v>
      </c>
      <c r="E335" s="484" t="s">
        <v>806</v>
      </c>
      <c r="F335" s="475" t="s">
        <v>462</v>
      </c>
      <c r="G335" s="476" t="s">
        <v>529</v>
      </c>
      <c r="H335" s="477" t="s">
        <v>617</v>
      </c>
      <c r="I335" s="477" t="s">
        <v>989</v>
      </c>
      <c r="J335" s="502">
        <v>1796.6</v>
      </c>
      <c r="K335" s="503">
        <f>K337+1</f>
        <v>225</v>
      </c>
      <c r="L335" s="503">
        <f t="shared" si="14"/>
        <v>289</v>
      </c>
      <c r="M335" s="216"/>
    </row>
    <row r="336" spans="2:13" ht="19.5" customHeight="1">
      <c r="B336" s="472" t="s">
        <v>491</v>
      </c>
      <c r="C336" s="501">
        <v>41823</v>
      </c>
      <c r="D336" s="501" t="s">
        <v>349</v>
      </c>
      <c r="E336" s="483" t="s">
        <v>806</v>
      </c>
      <c r="F336" s="475" t="s">
        <v>462</v>
      </c>
      <c r="G336" s="476" t="s">
        <v>469</v>
      </c>
      <c r="H336" s="477" t="s">
        <v>650</v>
      </c>
      <c r="I336" s="477" t="s">
        <v>989</v>
      </c>
      <c r="J336" s="502">
        <v>144.19999999999999</v>
      </c>
      <c r="K336" s="503">
        <f>K340+1</f>
        <v>14</v>
      </c>
      <c r="L336" s="503">
        <f t="shared" si="14"/>
        <v>288</v>
      </c>
      <c r="M336" s="216"/>
    </row>
    <row r="337" spans="2:13" ht="19.5" customHeight="1">
      <c r="B337" s="500" t="s">
        <v>460</v>
      </c>
      <c r="C337" s="501">
        <v>41816</v>
      </c>
      <c r="D337" s="501" t="s">
        <v>345</v>
      </c>
      <c r="E337" s="484" t="s">
        <v>806</v>
      </c>
      <c r="F337" s="475" t="s">
        <v>462</v>
      </c>
      <c r="G337" s="476" t="s">
        <v>528</v>
      </c>
      <c r="H337" s="477" t="s">
        <v>615</v>
      </c>
      <c r="I337" s="477" t="s">
        <v>989</v>
      </c>
      <c r="J337" s="502">
        <v>1230</v>
      </c>
      <c r="K337" s="503">
        <f>K338+1</f>
        <v>224</v>
      </c>
      <c r="L337" s="503">
        <f t="shared" si="14"/>
        <v>287</v>
      </c>
      <c r="M337" s="216"/>
    </row>
    <row r="338" spans="2:13" ht="19.5" customHeight="1">
      <c r="B338" s="500" t="s">
        <v>460</v>
      </c>
      <c r="C338" s="501">
        <v>41816</v>
      </c>
      <c r="D338" s="501" t="s">
        <v>345</v>
      </c>
      <c r="E338" s="484" t="s">
        <v>806</v>
      </c>
      <c r="F338" s="475" t="s">
        <v>466</v>
      </c>
      <c r="G338" s="476" t="s">
        <v>523</v>
      </c>
      <c r="H338" s="477" t="s">
        <v>616</v>
      </c>
      <c r="I338" s="477" t="s">
        <v>987</v>
      </c>
      <c r="J338" s="502">
        <v>1147.9000000000001</v>
      </c>
      <c r="K338" s="503">
        <f>K339+1</f>
        <v>223</v>
      </c>
      <c r="L338" s="503">
        <f t="shared" si="14"/>
        <v>286</v>
      </c>
      <c r="M338" s="216"/>
    </row>
    <row r="339" spans="2:13" ht="19.5" customHeight="1">
      <c r="B339" s="500" t="s">
        <v>460</v>
      </c>
      <c r="C339" s="501">
        <v>41814</v>
      </c>
      <c r="D339" s="501" t="s">
        <v>345</v>
      </c>
      <c r="E339" s="484" t="s">
        <v>805</v>
      </c>
      <c r="F339" s="475" t="s">
        <v>748</v>
      </c>
      <c r="G339" s="476" t="s">
        <v>527</v>
      </c>
      <c r="H339" s="477" t="s">
        <v>614</v>
      </c>
      <c r="I339" s="477" t="s">
        <v>989</v>
      </c>
      <c r="J339" s="502">
        <v>1289.5</v>
      </c>
      <c r="K339" s="503">
        <f>K342+1</f>
        <v>222</v>
      </c>
      <c r="L339" s="503">
        <f t="shared" si="14"/>
        <v>285</v>
      </c>
      <c r="M339" s="216"/>
    </row>
    <row r="340" spans="2:13" ht="19.5" customHeight="1">
      <c r="B340" s="472" t="s">
        <v>491</v>
      </c>
      <c r="C340" s="501">
        <v>41814</v>
      </c>
      <c r="D340" s="501" t="s">
        <v>345</v>
      </c>
      <c r="E340" s="484" t="s">
        <v>805</v>
      </c>
      <c r="F340" s="475" t="s">
        <v>461</v>
      </c>
      <c r="G340" s="476" t="s">
        <v>549</v>
      </c>
      <c r="H340" s="477" t="s">
        <v>649</v>
      </c>
      <c r="I340" s="477" t="s">
        <v>989</v>
      </c>
      <c r="J340" s="502">
        <v>101.9</v>
      </c>
      <c r="K340" s="503">
        <f>K341+1</f>
        <v>13</v>
      </c>
      <c r="L340" s="503">
        <f t="shared" si="14"/>
        <v>284</v>
      </c>
      <c r="M340" s="216"/>
    </row>
    <row r="341" spans="2:13" ht="19.5" customHeight="1">
      <c r="B341" s="472" t="s">
        <v>491</v>
      </c>
      <c r="C341" s="501">
        <v>41810</v>
      </c>
      <c r="D341" s="501" t="s">
        <v>345</v>
      </c>
      <c r="E341" s="483" t="s">
        <v>806</v>
      </c>
      <c r="F341" s="475" t="s">
        <v>462</v>
      </c>
      <c r="G341" s="476" t="s">
        <v>469</v>
      </c>
      <c r="H341" s="477" t="s">
        <v>648</v>
      </c>
      <c r="I341" s="477" t="s">
        <v>989</v>
      </c>
      <c r="J341" s="502">
        <v>100.5</v>
      </c>
      <c r="K341" s="503">
        <f>K364+1</f>
        <v>12</v>
      </c>
      <c r="L341" s="503">
        <f t="shared" si="14"/>
        <v>283</v>
      </c>
      <c r="M341" s="216"/>
    </row>
    <row r="342" spans="2:13" ht="19.5" customHeight="1">
      <c r="B342" s="500" t="s">
        <v>460</v>
      </c>
      <c r="C342" s="501">
        <v>41788</v>
      </c>
      <c r="D342" s="501" t="s">
        <v>345</v>
      </c>
      <c r="E342" s="484" t="s">
        <v>806</v>
      </c>
      <c r="F342" s="475" t="s">
        <v>462</v>
      </c>
      <c r="G342" s="476" t="s">
        <v>526</v>
      </c>
      <c r="H342" s="477" t="s">
        <v>613</v>
      </c>
      <c r="I342" s="477" t="s">
        <v>989</v>
      </c>
      <c r="J342" s="502">
        <v>1933.5</v>
      </c>
      <c r="K342" s="503">
        <f>K347+1</f>
        <v>221</v>
      </c>
      <c r="L342" s="503">
        <f t="shared" si="14"/>
        <v>282</v>
      </c>
      <c r="M342" s="216"/>
    </row>
    <row r="343" spans="2:13" ht="19.5" customHeight="1">
      <c r="B343" s="500" t="s">
        <v>490</v>
      </c>
      <c r="C343" s="501">
        <v>41776</v>
      </c>
      <c r="D343" s="501" t="s">
        <v>345</v>
      </c>
      <c r="E343" s="484" t="s">
        <v>809</v>
      </c>
      <c r="F343" s="475" t="s">
        <v>761</v>
      </c>
      <c r="G343" s="476" t="s">
        <v>546</v>
      </c>
      <c r="H343" s="477" t="s">
        <v>643</v>
      </c>
      <c r="I343" s="477" t="s">
        <v>989</v>
      </c>
      <c r="J343" s="502">
        <v>401</v>
      </c>
      <c r="K343" s="503">
        <f>K344+1</f>
        <v>46</v>
      </c>
      <c r="L343" s="503">
        <f t="shared" si="14"/>
        <v>281</v>
      </c>
      <c r="M343" s="216"/>
    </row>
    <row r="344" spans="2:13" ht="19.5" customHeight="1">
      <c r="B344" s="500" t="s">
        <v>490</v>
      </c>
      <c r="C344" s="501">
        <v>41769</v>
      </c>
      <c r="D344" s="501" t="s">
        <v>345</v>
      </c>
      <c r="E344" s="484" t="s">
        <v>806</v>
      </c>
      <c r="F344" s="475" t="s">
        <v>750</v>
      </c>
      <c r="G344" s="476" t="s">
        <v>534</v>
      </c>
      <c r="H344" s="477" t="s">
        <v>642</v>
      </c>
      <c r="I344" s="477" t="s">
        <v>989</v>
      </c>
      <c r="J344" s="502">
        <v>383</v>
      </c>
      <c r="K344" s="503">
        <f>K350+1</f>
        <v>45</v>
      </c>
      <c r="L344" s="503">
        <f>L347+1</f>
        <v>280</v>
      </c>
      <c r="M344" s="216"/>
    </row>
    <row r="345" spans="2:13" ht="19.5" customHeight="1">
      <c r="B345" s="425" t="s">
        <v>490</v>
      </c>
      <c r="C345" s="426">
        <v>41768</v>
      </c>
      <c r="D345" s="426" t="s">
        <v>345</v>
      </c>
      <c r="E345" s="427" t="s">
        <v>809</v>
      </c>
      <c r="F345" s="428" t="s">
        <v>467</v>
      </c>
      <c r="G345" s="429" t="s">
        <v>545</v>
      </c>
      <c r="H345" s="430" t="s">
        <v>641</v>
      </c>
      <c r="I345" s="430" t="s">
        <v>989</v>
      </c>
      <c r="J345" s="431">
        <v>405</v>
      </c>
      <c r="K345" s="508" t="s">
        <v>1292</v>
      </c>
      <c r="L345" s="508" t="s">
        <v>1292</v>
      </c>
      <c r="M345" s="216"/>
    </row>
    <row r="346" spans="2:13" ht="19.5" customHeight="1">
      <c r="B346" s="464" t="s">
        <v>491</v>
      </c>
      <c r="C346" s="426">
        <v>41767</v>
      </c>
      <c r="D346" s="426" t="s">
        <v>345</v>
      </c>
      <c r="E346" s="427" t="s">
        <v>805</v>
      </c>
      <c r="F346" s="428" t="s">
        <v>461</v>
      </c>
      <c r="G346" s="429" t="s">
        <v>495</v>
      </c>
      <c r="H346" s="430" t="s">
        <v>647</v>
      </c>
      <c r="I346" s="430" t="s">
        <v>989</v>
      </c>
      <c r="J346" s="431">
        <v>139</v>
      </c>
      <c r="K346" s="508" t="s">
        <v>1430</v>
      </c>
      <c r="L346" s="508" t="s">
        <v>1292</v>
      </c>
      <c r="M346" s="216"/>
    </row>
    <row r="347" spans="2:13" ht="19.5" customHeight="1">
      <c r="B347" s="500" t="s">
        <v>460</v>
      </c>
      <c r="C347" s="501">
        <v>41765</v>
      </c>
      <c r="D347" s="501" t="s">
        <v>345</v>
      </c>
      <c r="E347" s="484" t="s">
        <v>808</v>
      </c>
      <c r="F347" s="475" t="s">
        <v>755</v>
      </c>
      <c r="G347" s="476" t="s">
        <v>525</v>
      </c>
      <c r="H347" s="477" t="s">
        <v>612</v>
      </c>
      <c r="I347" s="477" t="s">
        <v>989</v>
      </c>
      <c r="J347" s="502">
        <v>2795</v>
      </c>
      <c r="K347" s="503">
        <f>K348+1</f>
        <v>220</v>
      </c>
      <c r="L347" s="503">
        <f>L348+1</f>
        <v>279</v>
      </c>
      <c r="M347" s="216"/>
    </row>
    <row r="348" spans="2:13" ht="19.5" customHeight="1">
      <c r="B348" s="500" t="s">
        <v>460</v>
      </c>
      <c r="C348" s="501">
        <v>41765</v>
      </c>
      <c r="D348" s="501" t="s">
        <v>345</v>
      </c>
      <c r="E348" s="484" t="s">
        <v>806</v>
      </c>
      <c r="F348" s="475" t="s">
        <v>753</v>
      </c>
      <c r="G348" s="476" t="s">
        <v>524</v>
      </c>
      <c r="H348" s="477" t="s">
        <v>611</v>
      </c>
      <c r="I348" s="477" t="s">
        <v>989</v>
      </c>
      <c r="J348" s="502">
        <v>1940</v>
      </c>
      <c r="K348" s="503">
        <f>K349+1</f>
        <v>219</v>
      </c>
      <c r="L348" s="503">
        <f>L349+1</f>
        <v>278</v>
      </c>
      <c r="M348" s="216"/>
    </row>
    <row r="349" spans="2:13" ht="19.5" customHeight="1">
      <c r="B349" s="500" t="s">
        <v>460</v>
      </c>
      <c r="C349" s="501">
        <v>41758</v>
      </c>
      <c r="D349" s="501" t="s">
        <v>345</v>
      </c>
      <c r="E349" s="484" t="s">
        <v>806</v>
      </c>
      <c r="F349" s="475" t="s">
        <v>466</v>
      </c>
      <c r="G349" s="476" t="s">
        <v>523</v>
      </c>
      <c r="H349" s="477" t="s">
        <v>610</v>
      </c>
      <c r="I349" s="477" t="s">
        <v>989</v>
      </c>
      <c r="J349" s="502">
        <v>2384</v>
      </c>
      <c r="K349" s="503">
        <f>K352+1</f>
        <v>218</v>
      </c>
      <c r="L349" s="503">
        <f>L350+1</f>
        <v>277</v>
      </c>
      <c r="M349" s="216"/>
    </row>
    <row r="350" spans="2:13" ht="19.5" customHeight="1">
      <c r="B350" s="500" t="s">
        <v>490</v>
      </c>
      <c r="C350" s="501">
        <v>41758</v>
      </c>
      <c r="D350" s="501" t="s">
        <v>345</v>
      </c>
      <c r="E350" s="484" t="s">
        <v>806</v>
      </c>
      <c r="F350" s="475" t="s">
        <v>462</v>
      </c>
      <c r="G350" s="476" t="s">
        <v>544</v>
      </c>
      <c r="H350" s="477" t="s">
        <v>594</v>
      </c>
      <c r="I350" s="477" t="s">
        <v>989</v>
      </c>
      <c r="J350" s="502">
        <v>384.1</v>
      </c>
      <c r="K350" s="503">
        <f>K353+1</f>
        <v>44</v>
      </c>
      <c r="L350" s="503">
        <f>L352+1</f>
        <v>276</v>
      </c>
      <c r="M350" s="216"/>
    </row>
    <row r="351" spans="2:13" ht="19.5" customHeight="1">
      <c r="B351" s="464" t="s">
        <v>491</v>
      </c>
      <c r="C351" s="426">
        <v>41758</v>
      </c>
      <c r="D351" s="426" t="s">
        <v>345</v>
      </c>
      <c r="E351" s="427" t="s">
        <v>806</v>
      </c>
      <c r="F351" s="428" t="s">
        <v>462</v>
      </c>
      <c r="G351" s="429" t="s">
        <v>498</v>
      </c>
      <c r="H351" s="430" t="s">
        <v>646</v>
      </c>
      <c r="I351" s="430" t="s">
        <v>989</v>
      </c>
      <c r="J351" s="431">
        <v>154.5</v>
      </c>
      <c r="K351" s="508" t="s">
        <v>1292</v>
      </c>
      <c r="L351" s="508" t="s">
        <v>1292</v>
      </c>
      <c r="M351" s="216"/>
    </row>
    <row r="352" spans="2:13" ht="19.5" customHeight="1">
      <c r="B352" s="500" t="s">
        <v>460</v>
      </c>
      <c r="C352" s="501">
        <v>41755</v>
      </c>
      <c r="D352" s="501" t="s">
        <v>345</v>
      </c>
      <c r="E352" s="484" t="s">
        <v>806</v>
      </c>
      <c r="F352" s="475" t="s">
        <v>462</v>
      </c>
      <c r="G352" s="476" t="s">
        <v>522</v>
      </c>
      <c r="H352" s="477" t="s">
        <v>609</v>
      </c>
      <c r="I352" s="477" t="s">
        <v>989</v>
      </c>
      <c r="J352" s="502">
        <v>2914.1</v>
      </c>
      <c r="K352" s="503">
        <f>K357+1</f>
        <v>217</v>
      </c>
      <c r="L352" s="503">
        <f>L353+1</f>
        <v>275</v>
      </c>
      <c r="M352" s="216"/>
    </row>
    <row r="353" spans="2:13" ht="19.5" customHeight="1">
      <c r="B353" s="500" t="s">
        <v>490</v>
      </c>
      <c r="C353" s="501">
        <v>41755</v>
      </c>
      <c r="D353" s="501" t="s">
        <v>345</v>
      </c>
      <c r="E353" s="484" t="s">
        <v>806</v>
      </c>
      <c r="F353" s="475" t="s">
        <v>462</v>
      </c>
      <c r="G353" s="476" t="s">
        <v>522</v>
      </c>
      <c r="H353" s="477" t="s">
        <v>640</v>
      </c>
      <c r="I353" s="477" t="s">
        <v>989</v>
      </c>
      <c r="J353" s="502">
        <v>439.4</v>
      </c>
      <c r="K353" s="503">
        <f>K360+1</f>
        <v>43</v>
      </c>
      <c r="L353" s="503">
        <f>L357+1</f>
        <v>274</v>
      </c>
      <c r="M353" s="216"/>
    </row>
    <row r="354" spans="2:13" ht="19.5" customHeight="1">
      <c r="B354" s="472" t="s">
        <v>491</v>
      </c>
      <c r="C354" s="426">
        <v>41755</v>
      </c>
      <c r="D354" s="426" t="s">
        <v>345</v>
      </c>
      <c r="E354" s="427" t="s">
        <v>806</v>
      </c>
      <c r="F354" s="428" t="s">
        <v>462</v>
      </c>
      <c r="G354" s="429" t="s">
        <v>548</v>
      </c>
      <c r="H354" s="430" t="s">
        <v>645</v>
      </c>
      <c r="I354" s="430" t="s">
        <v>989</v>
      </c>
      <c r="J354" s="431">
        <v>134.6</v>
      </c>
      <c r="K354" s="508" t="s">
        <v>1292</v>
      </c>
      <c r="L354" s="508" t="s">
        <v>1292</v>
      </c>
      <c r="M354" s="216"/>
    </row>
    <row r="355" spans="2:13" ht="19.5" customHeight="1">
      <c r="B355" s="425" t="s">
        <v>490</v>
      </c>
      <c r="C355" s="426">
        <v>41754</v>
      </c>
      <c r="D355" s="426" t="s">
        <v>345</v>
      </c>
      <c r="E355" s="427" t="s">
        <v>806</v>
      </c>
      <c r="F355" s="428" t="s">
        <v>462</v>
      </c>
      <c r="G355" s="429" t="s">
        <v>544</v>
      </c>
      <c r="H355" s="430" t="s">
        <v>639</v>
      </c>
      <c r="I355" s="430" t="s">
        <v>989</v>
      </c>
      <c r="J355" s="431">
        <v>358.7</v>
      </c>
      <c r="K355" s="508" t="s">
        <v>1292</v>
      </c>
      <c r="L355" s="508" t="s">
        <v>1292</v>
      </c>
      <c r="M355" s="216"/>
    </row>
    <row r="356" spans="2:13" ht="19.5" customHeight="1">
      <c r="B356" s="425" t="s">
        <v>490</v>
      </c>
      <c r="C356" s="426">
        <v>41748</v>
      </c>
      <c r="D356" s="426" t="s">
        <v>345</v>
      </c>
      <c r="E356" s="427" t="s">
        <v>806</v>
      </c>
      <c r="F356" s="428" t="s">
        <v>750</v>
      </c>
      <c r="G356" s="429" t="s">
        <v>543</v>
      </c>
      <c r="H356" s="430" t="s">
        <v>559</v>
      </c>
      <c r="I356" s="430" t="s">
        <v>989</v>
      </c>
      <c r="J356" s="431">
        <v>301.10000000000002</v>
      </c>
      <c r="K356" s="508" t="s">
        <v>1447</v>
      </c>
      <c r="L356" s="508" t="s">
        <v>1447</v>
      </c>
      <c r="M356" s="216"/>
    </row>
    <row r="357" spans="2:13" ht="19.5" customHeight="1">
      <c r="B357" s="500" t="s">
        <v>460</v>
      </c>
      <c r="C357" s="501">
        <v>41746</v>
      </c>
      <c r="D357" s="501" t="s">
        <v>345</v>
      </c>
      <c r="E357" s="484" t="s">
        <v>808</v>
      </c>
      <c r="F357" s="475" t="s">
        <v>754</v>
      </c>
      <c r="G357" s="476" t="s">
        <v>521</v>
      </c>
      <c r="H357" s="477" t="s">
        <v>608</v>
      </c>
      <c r="I357" s="477" t="s">
        <v>989</v>
      </c>
      <c r="J357" s="502">
        <v>2545.5</v>
      </c>
      <c r="K357" s="503">
        <f>K359+1</f>
        <v>216</v>
      </c>
      <c r="L357" s="503">
        <f>L359+1</f>
        <v>273</v>
      </c>
      <c r="M357" s="216"/>
    </row>
    <row r="358" spans="2:13" ht="19.5" customHeight="1">
      <c r="B358" s="425" t="s">
        <v>460</v>
      </c>
      <c r="C358" s="426">
        <v>41739</v>
      </c>
      <c r="D358" s="426" t="s">
        <v>345</v>
      </c>
      <c r="E358" s="427" t="s">
        <v>806</v>
      </c>
      <c r="F358" s="428" t="s">
        <v>750</v>
      </c>
      <c r="G358" s="429" t="s">
        <v>520</v>
      </c>
      <c r="H358" s="430" t="s">
        <v>607</v>
      </c>
      <c r="I358" s="430" t="s">
        <v>989</v>
      </c>
      <c r="J358" s="431">
        <v>2510</v>
      </c>
      <c r="K358" s="508" t="s">
        <v>1292</v>
      </c>
      <c r="L358" s="508" t="s">
        <v>1292</v>
      </c>
      <c r="M358" s="216"/>
    </row>
    <row r="359" spans="2:13" ht="19.5" customHeight="1">
      <c r="B359" s="500" t="s">
        <v>460</v>
      </c>
      <c r="C359" s="501">
        <v>41726</v>
      </c>
      <c r="D359" s="501" t="s">
        <v>336</v>
      </c>
      <c r="E359" s="484" t="s">
        <v>806</v>
      </c>
      <c r="F359" s="475" t="s">
        <v>753</v>
      </c>
      <c r="G359" s="476" t="s">
        <v>519</v>
      </c>
      <c r="H359" s="477" t="s">
        <v>606</v>
      </c>
      <c r="I359" s="477" t="s">
        <v>989</v>
      </c>
      <c r="J359" s="502">
        <v>1259.0999999999999</v>
      </c>
      <c r="K359" s="503">
        <f>K362+1</f>
        <v>215</v>
      </c>
      <c r="L359" s="503">
        <f t="shared" ref="L359:L375" si="16">L360+1</f>
        <v>272</v>
      </c>
      <c r="M359" s="216"/>
    </row>
    <row r="360" spans="2:13" ht="19.5" customHeight="1">
      <c r="B360" s="500" t="s">
        <v>490</v>
      </c>
      <c r="C360" s="501">
        <v>41706</v>
      </c>
      <c r="D360" s="501" t="s">
        <v>336</v>
      </c>
      <c r="E360" s="484" t="s">
        <v>806</v>
      </c>
      <c r="F360" s="475" t="s">
        <v>462</v>
      </c>
      <c r="G360" s="476" t="s">
        <v>469</v>
      </c>
      <c r="H360" s="477" t="s">
        <v>638</v>
      </c>
      <c r="I360" s="477" t="s">
        <v>989</v>
      </c>
      <c r="J360" s="502">
        <v>426</v>
      </c>
      <c r="K360" s="503">
        <f>K361+1</f>
        <v>42</v>
      </c>
      <c r="L360" s="503">
        <f t="shared" si="16"/>
        <v>271</v>
      </c>
      <c r="M360" s="216"/>
    </row>
    <row r="361" spans="2:13" ht="19.5" customHeight="1">
      <c r="B361" s="500" t="s">
        <v>490</v>
      </c>
      <c r="C361" s="501">
        <v>41705</v>
      </c>
      <c r="D361" s="501" t="s">
        <v>336</v>
      </c>
      <c r="E361" s="484" t="s">
        <v>806</v>
      </c>
      <c r="F361" s="475" t="s">
        <v>466</v>
      </c>
      <c r="G361" s="476" t="s">
        <v>492</v>
      </c>
      <c r="H361" s="477" t="s">
        <v>637</v>
      </c>
      <c r="I361" s="477" t="s">
        <v>989</v>
      </c>
      <c r="J361" s="502">
        <v>508</v>
      </c>
      <c r="K361" s="503">
        <f>K363+1</f>
        <v>41</v>
      </c>
      <c r="L361" s="503">
        <f t="shared" si="16"/>
        <v>270</v>
      </c>
      <c r="M361" s="216"/>
    </row>
    <row r="362" spans="2:13" ht="19.5" customHeight="1">
      <c r="B362" s="500" t="s">
        <v>460</v>
      </c>
      <c r="C362" s="501">
        <v>41626</v>
      </c>
      <c r="D362" s="501" t="s">
        <v>333</v>
      </c>
      <c r="E362" s="484" t="s">
        <v>806</v>
      </c>
      <c r="F362" s="475" t="s">
        <v>462</v>
      </c>
      <c r="G362" s="476" t="s">
        <v>469</v>
      </c>
      <c r="H362" s="477" t="s">
        <v>654</v>
      </c>
      <c r="I362" s="477" t="s">
        <v>989</v>
      </c>
      <c r="J362" s="502">
        <v>2552.1</v>
      </c>
      <c r="K362" s="503">
        <f>K365+1</f>
        <v>214</v>
      </c>
      <c r="L362" s="503">
        <f t="shared" si="16"/>
        <v>269</v>
      </c>
      <c r="M362" s="216"/>
    </row>
    <row r="363" spans="2:13" ht="19.5" customHeight="1">
      <c r="B363" s="500" t="s">
        <v>490</v>
      </c>
      <c r="C363" s="501">
        <v>41618</v>
      </c>
      <c r="D363" s="501" t="s">
        <v>333</v>
      </c>
      <c r="E363" s="484" t="s">
        <v>805</v>
      </c>
      <c r="F363" s="475" t="s">
        <v>762</v>
      </c>
      <c r="G363" s="476" t="s">
        <v>683</v>
      </c>
      <c r="H363" s="476" t="s">
        <v>565</v>
      </c>
      <c r="I363" s="476" t="s">
        <v>989</v>
      </c>
      <c r="J363" s="502">
        <v>374</v>
      </c>
      <c r="K363" s="503">
        <f>K366+1</f>
        <v>40</v>
      </c>
      <c r="L363" s="503">
        <f t="shared" si="16"/>
        <v>268</v>
      </c>
      <c r="M363" s="216"/>
    </row>
    <row r="364" spans="2:13" ht="19.5" customHeight="1">
      <c r="B364" s="472" t="s">
        <v>491</v>
      </c>
      <c r="C364" s="501">
        <v>41614</v>
      </c>
      <c r="D364" s="501" t="s">
        <v>333</v>
      </c>
      <c r="E364" s="483" t="s">
        <v>806</v>
      </c>
      <c r="F364" s="475" t="s">
        <v>462</v>
      </c>
      <c r="G364" s="476" t="s">
        <v>568</v>
      </c>
      <c r="H364" s="477" t="s">
        <v>692</v>
      </c>
      <c r="I364" s="477" t="s">
        <v>989</v>
      </c>
      <c r="J364" s="502">
        <v>175</v>
      </c>
      <c r="K364" s="503">
        <f>K380+1</f>
        <v>11</v>
      </c>
      <c r="L364" s="503">
        <f t="shared" si="16"/>
        <v>267</v>
      </c>
      <c r="M364" s="216"/>
    </row>
    <row r="365" spans="2:13" ht="19.5" customHeight="1">
      <c r="B365" s="500" t="s">
        <v>460</v>
      </c>
      <c r="C365" s="501">
        <v>41613</v>
      </c>
      <c r="D365" s="501" t="s">
        <v>333</v>
      </c>
      <c r="E365" s="484" t="s">
        <v>806</v>
      </c>
      <c r="F365" s="475" t="s">
        <v>466</v>
      </c>
      <c r="G365" s="476" t="s">
        <v>492</v>
      </c>
      <c r="H365" s="477" t="s">
        <v>680</v>
      </c>
      <c r="I365" s="477" t="s">
        <v>989</v>
      </c>
      <c r="J365" s="502">
        <v>3435.6</v>
      </c>
      <c r="K365" s="503">
        <f>K367+1</f>
        <v>213</v>
      </c>
      <c r="L365" s="503">
        <f t="shared" si="16"/>
        <v>266</v>
      </c>
      <c r="M365" s="216"/>
    </row>
    <row r="366" spans="2:13" ht="19.5" customHeight="1">
      <c r="B366" s="500" t="s">
        <v>490</v>
      </c>
      <c r="C366" s="501">
        <v>41612</v>
      </c>
      <c r="D366" s="501" t="s">
        <v>333</v>
      </c>
      <c r="E366" s="484" t="s">
        <v>806</v>
      </c>
      <c r="F366" s="475" t="s">
        <v>462</v>
      </c>
      <c r="G366" s="477" t="s">
        <v>548</v>
      </c>
      <c r="H366" s="477" t="s">
        <v>564</v>
      </c>
      <c r="I366" s="477" t="s">
        <v>989</v>
      </c>
      <c r="J366" s="502">
        <v>370</v>
      </c>
      <c r="K366" s="503">
        <f>K379+1</f>
        <v>39</v>
      </c>
      <c r="L366" s="503">
        <f t="shared" si="16"/>
        <v>265</v>
      </c>
      <c r="M366" s="216"/>
    </row>
    <row r="367" spans="2:13" ht="19.5" customHeight="1">
      <c r="B367" s="500" t="s">
        <v>460</v>
      </c>
      <c r="C367" s="501">
        <v>41608</v>
      </c>
      <c r="D367" s="501" t="s">
        <v>333</v>
      </c>
      <c r="E367" s="484" t="s">
        <v>806</v>
      </c>
      <c r="F367" s="475" t="s">
        <v>462</v>
      </c>
      <c r="G367" s="476" t="s">
        <v>561</v>
      </c>
      <c r="H367" s="477" t="s">
        <v>679</v>
      </c>
      <c r="I367" s="477" t="s">
        <v>989</v>
      </c>
      <c r="J367" s="502">
        <v>1913.9</v>
      </c>
      <c r="K367" s="503">
        <f t="shared" ref="K367:K372" si="17">K368+1</f>
        <v>212</v>
      </c>
      <c r="L367" s="503">
        <f t="shared" si="16"/>
        <v>264</v>
      </c>
      <c r="M367" s="216"/>
    </row>
    <row r="368" spans="2:13" ht="19.5" customHeight="1">
      <c r="B368" s="500" t="s">
        <v>460</v>
      </c>
      <c r="C368" s="501">
        <v>41606</v>
      </c>
      <c r="D368" s="501" t="s">
        <v>333</v>
      </c>
      <c r="E368" s="484" t="s">
        <v>806</v>
      </c>
      <c r="F368" s="475" t="s">
        <v>466</v>
      </c>
      <c r="G368" s="476" t="s">
        <v>492</v>
      </c>
      <c r="H368" s="477" t="s">
        <v>677</v>
      </c>
      <c r="I368" s="477" t="s">
        <v>989</v>
      </c>
      <c r="J368" s="502">
        <v>1999</v>
      </c>
      <c r="K368" s="503">
        <f t="shared" si="17"/>
        <v>211</v>
      </c>
      <c r="L368" s="503">
        <f t="shared" si="16"/>
        <v>263</v>
      </c>
      <c r="M368" s="216"/>
    </row>
    <row r="369" spans="2:13" ht="19.5" customHeight="1">
      <c r="B369" s="500" t="s">
        <v>460</v>
      </c>
      <c r="C369" s="501">
        <v>41606</v>
      </c>
      <c r="D369" s="501" t="s">
        <v>333</v>
      </c>
      <c r="E369" s="484" t="s">
        <v>806</v>
      </c>
      <c r="F369" s="475" t="s">
        <v>462</v>
      </c>
      <c r="G369" s="476" t="s">
        <v>514</v>
      </c>
      <c r="H369" s="477" t="s">
        <v>678</v>
      </c>
      <c r="I369" s="477" t="s">
        <v>989</v>
      </c>
      <c r="J369" s="502">
        <v>1689</v>
      </c>
      <c r="K369" s="503">
        <f t="shared" si="17"/>
        <v>210</v>
      </c>
      <c r="L369" s="503">
        <f t="shared" si="16"/>
        <v>262</v>
      </c>
      <c r="M369" s="216"/>
    </row>
    <row r="370" spans="2:13" ht="19.5" customHeight="1">
      <c r="B370" s="500" t="s">
        <v>460</v>
      </c>
      <c r="C370" s="501">
        <v>41605</v>
      </c>
      <c r="D370" s="501" t="s">
        <v>333</v>
      </c>
      <c r="E370" s="484" t="s">
        <v>808</v>
      </c>
      <c r="F370" s="475" t="s">
        <v>754</v>
      </c>
      <c r="G370" s="476" t="s">
        <v>560</v>
      </c>
      <c r="H370" s="477" t="s">
        <v>676</v>
      </c>
      <c r="I370" s="477" t="s">
        <v>989</v>
      </c>
      <c r="J370" s="502">
        <v>2341</v>
      </c>
      <c r="K370" s="503">
        <f t="shared" si="17"/>
        <v>209</v>
      </c>
      <c r="L370" s="503">
        <f t="shared" si="16"/>
        <v>261</v>
      </c>
      <c r="M370" s="216"/>
    </row>
    <row r="371" spans="2:13" ht="19.5" customHeight="1">
      <c r="B371" s="500" t="s">
        <v>460</v>
      </c>
      <c r="C371" s="501">
        <v>41604</v>
      </c>
      <c r="D371" s="501" t="s">
        <v>333</v>
      </c>
      <c r="E371" s="484" t="s">
        <v>808</v>
      </c>
      <c r="F371" s="475" t="s">
        <v>749</v>
      </c>
      <c r="G371" s="476" t="s">
        <v>501</v>
      </c>
      <c r="H371" s="477" t="s">
        <v>675</v>
      </c>
      <c r="I371" s="477" t="s">
        <v>989</v>
      </c>
      <c r="J371" s="502">
        <v>2417.6</v>
      </c>
      <c r="K371" s="503">
        <f t="shared" si="17"/>
        <v>208</v>
      </c>
      <c r="L371" s="503">
        <f t="shared" si="16"/>
        <v>260</v>
      </c>
      <c r="M371" s="216"/>
    </row>
    <row r="372" spans="2:13" ht="19.5" customHeight="1">
      <c r="B372" s="500" t="s">
        <v>460</v>
      </c>
      <c r="C372" s="501">
        <v>41604</v>
      </c>
      <c r="D372" s="501" t="s">
        <v>333</v>
      </c>
      <c r="E372" s="484" t="s">
        <v>806</v>
      </c>
      <c r="F372" s="475" t="s">
        <v>750</v>
      </c>
      <c r="G372" s="476" t="s">
        <v>559</v>
      </c>
      <c r="H372" s="477" t="s">
        <v>674</v>
      </c>
      <c r="I372" s="477" t="s">
        <v>989</v>
      </c>
      <c r="J372" s="502">
        <v>1871</v>
      </c>
      <c r="K372" s="503">
        <f t="shared" si="17"/>
        <v>207</v>
      </c>
      <c r="L372" s="503">
        <f t="shared" si="16"/>
        <v>259</v>
      </c>
      <c r="M372" s="216"/>
    </row>
    <row r="373" spans="2:13" ht="19.5" customHeight="1">
      <c r="B373" s="500" t="s">
        <v>460</v>
      </c>
      <c r="C373" s="501">
        <v>41604</v>
      </c>
      <c r="D373" s="501" t="s">
        <v>333</v>
      </c>
      <c r="E373" s="484" t="s">
        <v>808</v>
      </c>
      <c r="F373" s="475" t="s">
        <v>760</v>
      </c>
      <c r="G373" s="476" t="s">
        <v>557</v>
      </c>
      <c r="H373" s="477" t="s">
        <v>673</v>
      </c>
      <c r="I373" s="477" t="s">
        <v>989</v>
      </c>
      <c r="J373" s="502">
        <v>1870.3</v>
      </c>
      <c r="K373" s="503">
        <f>K375+1</f>
        <v>206</v>
      </c>
      <c r="L373" s="503">
        <f>L375+1</f>
        <v>258</v>
      </c>
      <c r="M373" s="216"/>
    </row>
    <row r="374" spans="2:13" ht="19.5" customHeight="1">
      <c r="B374" s="472" t="s">
        <v>491</v>
      </c>
      <c r="C374" s="426">
        <v>41603</v>
      </c>
      <c r="D374" s="426" t="s">
        <v>333</v>
      </c>
      <c r="E374" s="427" t="s">
        <v>805</v>
      </c>
      <c r="F374" s="428" t="s">
        <v>461</v>
      </c>
      <c r="G374" s="429" t="s">
        <v>495</v>
      </c>
      <c r="H374" s="430" t="s">
        <v>691</v>
      </c>
      <c r="I374" s="430" t="s">
        <v>989</v>
      </c>
      <c r="J374" s="431">
        <v>141.30000000000001</v>
      </c>
      <c r="K374" s="508" t="s">
        <v>1400</v>
      </c>
      <c r="L374" s="508" t="s">
        <v>1400</v>
      </c>
      <c r="M374" s="216"/>
    </row>
    <row r="375" spans="2:13" ht="19.5" customHeight="1">
      <c r="B375" s="500" t="s">
        <v>460</v>
      </c>
      <c r="C375" s="501">
        <v>41600</v>
      </c>
      <c r="D375" s="501" t="s">
        <v>333</v>
      </c>
      <c r="E375" s="484" t="s">
        <v>805</v>
      </c>
      <c r="F375" s="475" t="s">
        <v>461</v>
      </c>
      <c r="G375" s="476" t="s">
        <v>558</v>
      </c>
      <c r="H375" s="477" t="s">
        <v>672</v>
      </c>
      <c r="I375" s="477" t="s">
        <v>989</v>
      </c>
      <c r="J375" s="502">
        <v>1854.4</v>
      </c>
      <c r="K375" s="503">
        <f>K376+1</f>
        <v>205</v>
      </c>
      <c r="L375" s="503">
        <f t="shared" si="16"/>
        <v>257</v>
      </c>
      <c r="M375" s="216"/>
    </row>
    <row r="376" spans="2:13" ht="19.5" customHeight="1">
      <c r="B376" s="500" t="s">
        <v>460</v>
      </c>
      <c r="C376" s="501">
        <v>41599</v>
      </c>
      <c r="D376" s="501" t="s">
        <v>333</v>
      </c>
      <c r="E376" s="484" t="s">
        <v>806</v>
      </c>
      <c r="F376" s="475" t="s">
        <v>462</v>
      </c>
      <c r="G376" s="476" t="s">
        <v>556</v>
      </c>
      <c r="H376" s="477" t="s">
        <v>671</v>
      </c>
      <c r="I376" s="477" t="s">
        <v>989</v>
      </c>
      <c r="J376" s="502">
        <v>3159.4</v>
      </c>
      <c r="K376" s="503">
        <f>K378+1</f>
        <v>204</v>
      </c>
      <c r="L376" s="503">
        <f>L378+1</f>
        <v>256</v>
      </c>
      <c r="M376" s="216"/>
    </row>
    <row r="377" spans="2:13" ht="19.5" customHeight="1">
      <c r="B377" s="472" t="s">
        <v>491</v>
      </c>
      <c r="C377" s="426">
        <v>41597</v>
      </c>
      <c r="D377" s="426" t="s">
        <v>333</v>
      </c>
      <c r="E377" s="427" t="s">
        <v>806</v>
      </c>
      <c r="F377" s="428" t="s">
        <v>750</v>
      </c>
      <c r="G377" s="429" t="s">
        <v>559</v>
      </c>
      <c r="H377" s="430" t="s">
        <v>674</v>
      </c>
      <c r="I377" s="430" t="s">
        <v>989</v>
      </c>
      <c r="J377" s="431">
        <v>162.6</v>
      </c>
      <c r="K377" s="508" t="s">
        <v>1346</v>
      </c>
      <c r="L377" s="508" t="s">
        <v>1346</v>
      </c>
      <c r="M377" s="216"/>
    </row>
    <row r="378" spans="2:13" ht="19.5" customHeight="1">
      <c r="B378" s="500" t="s">
        <v>460</v>
      </c>
      <c r="C378" s="501">
        <v>41594</v>
      </c>
      <c r="D378" s="501" t="s">
        <v>333</v>
      </c>
      <c r="E378" s="484" t="s">
        <v>809</v>
      </c>
      <c r="F378" s="475" t="s">
        <v>757</v>
      </c>
      <c r="G378" s="476" t="s">
        <v>547</v>
      </c>
      <c r="H378" s="477" t="s">
        <v>670</v>
      </c>
      <c r="I378" s="477" t="s">
        <v>989</v>
      </c>
      <c r="J378" s="502">
        <v>1974.3</v>
      </c>
      <c r="K378" s="503">
        <f>K381+1</f>
        <v>203</v>
      </c>
      <c r="L378" s="503">
        <f t="shared" ref="L378:L398" si="18">L379+1</f>
        <v>255</v>
      </c>
      <c r="M378" s="216"/>
    </row>
    <row r="379" spans="2:13" ht="19.5" customHeight="1">
      <c r="B379" s="500" t="s">
        <v>490</v>
      </c>
      <c r="C379" s="501">
        <v>41592</v>
      </c>
      <c r="D379" s="501" t="s">
        <v>333</v>
      </c>
      <c r="E379" s="484" t="s">
        <v>806</v>
      </c>
      <c r="F379" s="475" t="s">
        <v>462</v>
      </c>
      <c r="G379" s="477" t="s">
        <v>556</v>
      </c>
      <c r="H379" s="477" t="s">
        <v>563</v>
      </c>
      <c r="I379" s="477" t="s">
        <v>989</v>
      </c>
      <c r="J379" s="502">
        <v>508</v>
      </c>
      <c r="K379" s="503">
        <f>K386+1</f>
        <v>38</v>
      </c>
      <c r="L379" s="503">
        <f t="shared" si="18"/>
        <v>254</v>
      </c>
      <c r="M379" s="216"/>
    </row>
    <row r="380" spans="2:13" ht="19.5" customHeight="1">
      <c r="B380" s="472" t="s">
        <v>491</v>
      </c>
      <c r="C380" s="501">
        <v>41592</v>
      </c>
      <c r="D380" s="501" t="s">
        <v>333</v>
      </c>
      <c r="E380" s="483" t="s">
        <v>806</v>
      </c>
      <c r="F380" s="475" t="s">
        <v>462</v>
      </c>
      <c r="G380" s="476" t="s">
        <v>514</v>
      </c>
      <c r="H380" s="477" t="s">
        <v>678</v>
      </c>
      <c r="I380" s="477" t="s">
        <v>989</v>
      </c>
      <c r="J380" s="502">
        <v>115.1</v>
      </c>
      <c r="K380" s="503">
        <f>K384+1</f>
        <v>10</v>
      </c>
      <c r="L380" s="503">
        <f t="shared" si="18"/>
        <v>253</v>
      </c>
      <c r="M380" s="216"/>
    </row>
    <row r="381" spans="2:13" ht="19.5" customHeight="1">
      <c r="B381" s="500" t="s">
        <v>460</v>
      </c>
      <c r="C381" s="501">
        <v>41590</v>
      </c>
      <c r="D381" s="501" t="s">
        <v>333</v>
      </c>
      <c r="E381" s="484" t="s">
        <v>808</v>
      </c>
      <c r="F381" s="475" t="s">
        <v>749</v>
      </c>
      <c r="G381" s="476" t="s">
        <v>501</v>
      </c>
      <c r="H381" s="477" t="s">
        <v>669</v>
      </c>
      <c r="I381" s="477" t="s">
        <v>989</v>
      </c>
      <c r="J381" s="502">
        <v>2213.9</v>
      </c>
      <c r="K381" s="503">
        <f>K382+1</f>
        <v>202</v>
      </c>
      <c r="L381" s="503">
        <f t="shared" si="18"/>
        <v>252</v>
      </c>
      <c r="M381" s="216"/>
    </row>
    <row r="382" spans="2:13" ht="19.5" customHeight="1">
      <c r="B382" s="500" t="s">
        <v>460</v>
      </c>
      <c r="C382" s="501">
        <v>41585</v>
      </c>
      <c r="D382" s="501" t="s">
        <v>333</v>
      </c>
      <c r="E382" s="484" t="s">
        <v>808</v>
      </c>
      <c r="F382" s="475" t="s">
        <v>760</v>
      </c>
      <c r="G382" s="476" t="s">
        <v>557</v>
      </c>
      <c r="H382" s="477" t="s">
        <v>668</v>
      </c>
      <c r="I382" s="477" t="s">
        <v>989</v>
      </c>
      <c r="J382" s="502">
        <v>3075.3</v>
      </c>
      <c r="K382" s="503">
        <f>K383+1</f>
        <v>201</v>
      </c>
      <c r="L382" s="503">
        <f t="shared" si="18"/>
        <v>251</v>
      </c>
      <c r="M382" s="216"/>
    </row>
    <row r="383" spans="2:13" ht="19.5" customHeight="1">
      <c r="B383" s="500" t="s">
        <v>460</v>
      </c>
      <c r="C383" s="501">
        <v>41578</v>
      </c>
      <c r="D383" s="501" t="s">
        <v>333</v>
      </c>
      <c r="E383" s="484" t="s">
        <v>808</v>
      </c>
      <c r="F383" s="475" t="s">
        <v>755</v>
      </c>
      <c r="G383" s="476" t="s">
        <v>798</v>
      </c>
      <c r="H383" s="477" t="s">
        <v>667</v>
      </c>
      <c r="I383" s="477" t="s">
        <v>989</v>
      </c>
      <c r="J383" s="502">
        <v>3403</v>
      </c>
      <c r="K383" s="503">
        <f>K385+1</f>
        <v>200</v>
      </c>
      <c r="L383" s="503">
        <f t="shared" si="18"/>
        <v>250</v>
      </c>
      <c r="M383" s="216"/>
    </row>
    <row r="384" spans="2:13" ht="19.5" customHeight="1">
      <c r="B384" s="472" t="s">
        <v>491</v>
      </c>
      <c r="C384" s="501">
        <v>41578</v>
      </c>
      <c r="D384" s="501" t="s">
        <v>333</v>
      </c>
      <c r="E384" s="483" t="s">
        <v>806</v>
      </c>
      <c r="F384" s="475" t="s">
        <v>462</v>
      </c>
      <c r="G384" s="476" t="s">
        <v>469</v>
      </c>
      <c r="H384" s="477" t="s">
        <v>690</v>
      </c>
      <c r="I384" s="477" t="s">
        <v>989</v>
      </c>
      <c r="J384" s="502">
        <v>360</v>
      </c>
      <c r="K384" s="503">
        <f>K387+1</f>
        <v>9</v>
      </c>
      <c r="L384" s="503">
        <f t="shared" si="18"/>
        <v>249</v>
      </c>
      <c r="M384" s="216"/>
    </row>
    <row r="385" spans="2:13" ht="19.5" customHeight="1">
      <c r="B385" s="500" t="s">
        <v>460</v>
      </c>
      <c r="C385" s="501">
        <v>41577</v>
      </c>
      <c r="D385" s="501" t="s">
        <v>333</v>
      </c>
      <c r="E385" s="484" t="s">
        <v>809</v>
      </c>
      <c r="F385" s="475" t="s">
        <v>467</v>
      </c>
      <c r="G385" s="476" t="s">
        <v>545</v>
      </c>
      <c r="H385" s="477" t="s">
        <v>666</v>
      </c>
      <c r="I385" s="477" t="s">
        <v>989</v>
      </c>
      <c r="J385" s="502">
        <v>2951</v>
      </c>
      <c r="K385" s="503">
        <f>K388+1</f>
        <v>199</v>
      </c>
      <c r="L385" s="503">
        <f t="shared" si="18"/>
        <v>248</v>
      </c>
      <c r="M385" s="216"/>
    </row>
    <row r="386" spans="2:13" ht="19.5" customHeight="1">
      <c r="B386" s="500" t="s">
        <v>490</v>
      </c>
      <c r="C386" s="501">
        <v>41569</v>
      </c>
      <c r="D386" s="501" t="s">
        <v>333</v>
      </c>
      <c r="E386" s="484" t="s">
        <v>806</v>
      </c>
      <c r="F386" s="475" t="s">
        <v>462</v>
      </c>
      <c r="G386" s="476" t="s">
        <v>514</v>
      </c>
      <c r="H386" s="477" t="s">
        <v>678</v>
      </c>
      <c r="I386" s="477" t="s">
        <v>989</v>
      </c>
      <c r="J386" s="502">
        <v>580</v>
      </c>
      <c r="K386" s="503">
        <f>K394+1</f>
        <v>37</v>
      </c>
      <c r="L386" s="503">
        <f t="shared" si="18"/>
        <v>247</v>
      </c>
      <c r="M386" s="216"/>
    </row>
    <row r="387" spans="2:13" ht="19.5" customHeight="1">
      <c r="B387" s="472" t="s">
        <v>491</v>
      </c>
      <c r="C387" s="501">
        <v>41564</v>
      </c>
      <c r="D387" s="501" t="s">
        <v>333</v>
      </c>
      <c r="E387" s="483" t="s">
        <v>806</v>
      </c>
      <c r="F387" s="475" t="s">
        <v>462</v>
      </c>
      <c r="G387" s="476" t="s">
        <v>515</v>
      </c>
      <c r="H387" s="477" t="s">
        <v>689</v>
      </c>
      <c r="I387" s="477" t="s">
        <v>989</v>
      </c>
      <c r="J387" s="502">
        <v>188.5</v>
      </c>
      <c r="K387" s="503">
        <f>K390+1</f>
        <v>8</v>
      </c>
      <c r="L387" s="503">
        <f t="shared" si="18"/>
        <v>246</v>
      </c>
      <c r="M387" s="216"/>
    </row>
    <row r="388" spans="2:13" ht="19.5" customHeight="1">
      <c r="B388" s="500" t="s">
        <v>460</v>
      </c>
      <c r="C388" s="501">
        <v>41550</v>
      </c>
      <c r="D388" s="501" t="s">
        <v>333</v>
      </c>
      <c r="E388" s="484" t="s">
        <v>805</v>
      </c>
      <c r="F388" s="475" t="s">
        <v>461</v>
      </c>
      <c r="G388" s="476" t="s">
        <v>550</v>
      </c>
      <c r="H388" s="477" t="s">
        <v>651</v>
      </c>
      <c r="I388" s="477" t="s">
        <v>989</v>
      </c>
      <c r="J388" s="502">
        <v>2732.3</v>
      </c>
      <c r="K388" s="503">
        <f>K389+1</f>
        <v>198</v>
      </c>
      <c r="L388" s="503">
        <f t="shared" si="18"/>
        <v>245</v>
      </c>
      <c r="M388" s="216"/>
    </row>
    <row r="389" spans="2:13" ht="19.5" customHeight="1">
      <c r="B389" s="500" t="s">
        <v>460</v>
      </c>
      <c r="C389" s="501">
        <v>41544</v>
      </c>
      <c r="D389" s="501" t="s">
        <v>328</v>
      </c>
      <c r="E389" s="484" t="s">
        <v>806</v>
      </c>
      <c r="F389" s="475" t="s">
        <v>462</v>
      </c>
      <c r="G389" s="476" t="s">
        <v>556</v>
      </c>
      <c r="H389" s="477" t="s">
        <v>665</v>
      </c>
      <c r="I389" s="477" t="s">
        <v>989</v>
      </c>
      <c r="J389" s="502">
        <v>3027.9</v>
      </c>
      <c r="K389" s="503">
        <f>K392+1</f>
        <v>197</v>
      </c>
      <c r="L389" s="503">
        <f t="shared" si="18"/>
        <v>244</v>
      </c>
      <c r="M389" s="216"/>
    </row>
    <row r="390" spans="2:13" ht="19.5" customHeight="1">
      <c r="B390" s="472" t="s">
        <v>491</v>
      </c>
      <c r="C390" s="501">
        <v>41515</v>
      </c>
      <c r="D390" s="501" t="s">
        <v>328</v>
      </c>
      <c r="E390" s="483" t="s">
        <v>806</v>
      </c>
      <c r="F390" s="475" t="s">
        <v>462</v>
      </c>
      <c r="G390" s="476" t="s">
        <v>469</v>
      </c>
      <c r="H390" s="477" t="s">
        <v>688</v>
      </c>
      <c r="I390" s="477" t="s">
        <v>989</v>
      </c>
      <c r="J390" s="502">
        <v>171</v>
      </c>
      <c r="K390" s="503">
        <f>K391+1</f>
        <v>7</v>
      </c>
      <c r="L390" s="503">
        <f t="shared" si="18"/>
        <v>243</v>
      </c>
      <c r="M390" s="216"/>
    </row>
    <row r="391" spans="2:13" ht="19.5" customHeight="1">
      <c r="B391" s="472" t="s">
        <v>491</v>
      </c>
      <c r="C391" s="501">
        <v>41508</v>
      </c>
      <c r="D391" s="501" t="s">
        <v>328</v>
      </c>
      <c r="E391" s="483" t="s">
        <v>806</v>
      </c>
      <c r="F391" s="475" t="s">
        <v>462</v>
      </c>
      <c r="G391" s="476" t="s">
        <v>469</v>
      </c>
      <c r="H391" s="477" t="s">
        <v>687</v>
      </c>
      <c r="I391" s="477" t="s">
        <v>989</v>
      </c>
      <c r="J391" s="502">
        <v>270</v>
      </c>
      <c r="K391" s="503">
        <f>K397+1</f>
        <v>6</v>
      </c>
      <c r="L391" s="503">
        <f t="shared" si="18"/>
        <v>242</v>
      </c>
      <c r="M391" s="216"/>
    </row>
    <row r="392" spans="2:13" ht="19.5" customHeight="1">
      <c r="B392" s="500" t="s">
        <v>460</v>
      </c>
      <c r="C392" s="501">
        <v>41501</v>
      </c>
      <c r="D392" s="501" t="s">
        <v>328</v>
      </c>
      <c r="E392" s="484" t="s">
        <v>809</v>
      </c>
      <c r="F392" s="475" t="s">
        <v>761</v>
      </c>
      <c r="G392" s="476" t="s">
        <v>546</v>
      </c>
      <c r="H392" s="477" t="s">
        <v>664</v>
      </c>
      <c r="I392" s="477" t="s">
        <v>989</v>
      </c>
      <c r="J392" s="502">
        <v>2611</v>
      </c>
      <c r="K392" s="503">
        <f>K393+1</f>
        <v>196</v>
      </c>
      <c r="L392" s="503">
        <f t="shared" si="18"/>
        <v>241</v>
      </c>
      <c r="M392" s="216"/>
    </row>
    <row r="393" spans="2:13" ht="19.5" customHeight="1">
      <c r="B393" s="500" t="s">
        <v>460</v>
      </c>
      <c r="C393" s="501">
        <v>41494</v>
      </c>
      <c r="D393" s="501" t="s">
        <v>328</v>
      </c>
      <c r="E393" s="484" t="s">
        <v>807</v>
      </c>
      <c r="F393" s="475" t="s">
        <v>758</v>
      </c>
      <c r="G393" s="476" t="s">
        <v>539</v>
      </c>
      <c r="H393" s="477" t="s">
        <v>663</v>
      </c>
      <c r="I393" s="477" t="s">
        <v>989</v>
      </c>
      <c r="J393" s="502">
        <v>3199.4</v>
      </c>
      <c r="K393" s="503">
        <f>K395+1</f>
        <v>195</v>
      </c>
      <c r="L393" s="503">
        <f t="shared" si="18"/>
        <v>240</v>
      </c>
      <c r="M393" s="216"/>
    </row>
    <row r="394" spans="2:13" ht="19.5" customHeight="1">
      <c r="B394" s="500" t="s">
        <v>490</v>
      </c>
      <c r="C394" s="501">
        <v>41487</v>
      </c>
      <c r="D394" s="501" t="s">
        <v>328</v>
      </c>
      <c r="E394" s="484" t="s">
        <v>809</v>
      </c>
      <c r="F394" s="475" t="s">
        <v>757</v>
      </c>
      <c r="G394" s="476" t="s">
        <v>547</v>
      </c>
      <c r="H394" s="477" t="s">
        <v>682</v>
      </c>
      <c r="I394" s="477" t="s">
        <v>989</v>
      </c>
      <c r="J394" s="502">
        <v>452</v>
      </c>
      <c r="K394" s="503">
        <f>K407+1</f>
        <v>36</v>
      </c>
      <c r="L394" s="503">
        <f t="shared" si="18"/>
        <v>239</v>
      </c>
      <c r="M394" s="216"/>
    </row>
    <row r="395" spans="2:13" ht="19.5" customHeight="1">
      <c r="B395" s="500" t="s">
        <v>460</v>
      </c>
      <c r="C395" s="501">
        <v>41485</v>
      </c>
      <c r="D395" s="501" t="s">
        <v>328</v>
      </c>
      <c r="E395" s="484" t="s">
        <v>807</v>
      </c>
      <c r="F395" s="475" t="s">
        <v>763</v>
      </c>
      <c r="G395" s="476" t="s">
        <v>555</v>
      </c>
      <c r="H395" s="477" t="s">
        <v>662</v>
      </c>
      <c r="I395" s="477" t="s">
        <v>989</v>
      </c>
      <c r="J395" s="502">
        <v>2353.1</v>
      </c>
      <c r="K395" s="503">
        <f>K396+1</f>
        <v>194</v>
      </c>
      <c r="L395" s="503">
        <f t="shared" si="18"/>
        <v>238</v>
      </c>
      <c r="M395" s="216"/>
    </row>
    <row r="396" spans="2:13" ht="19.5" customHeight="1">
      <c r="B396" s="500" t="s">
        <v>460</v>
      </c>
      <c r="C396" s="501">
        <v>41478</v>
      </c>
      <c r="D396" s="501" t="s">
        <v>328</v>
      </c>
      <c r="E396" s="484" t="s">
        <v>806</v>
      </c>
      <c r="F396" s="475" t="s">
        <v>750</v>
      </c>
      <c r="G396" s="476" t="s">
        <v>520</v>
      </c>
      <c r="H396" s="477" t="s">
        <v>661</v>
      </c>
      <c r="I396" s="477" t="s">
        <v>989</v>
      </c>
      <c r="J396" s="502">
        <v>2826.8</v>
      </c>
      <c r="K396" s="503">
        <f>K398+1</f>
        <v>193</v>
      </c>
      <c r="L396" s="503">
        <f t="shared" si="18"/>
        <v>237</v>
      </c>
      <c r="M396" s="216"/>
    </row>
    <row r="397" spans="2:13" ht="19.5" customHeight="1">
      <c r="B397" s="500" t="s">
        <v>491</v>
      </c>
      <c r="C397" s="501">
        <v>41439</v>
      </c>
      <c r="D397" s="501" t="s">
        <v>324</v>
      </c>
      <c r="E397" s="483" t="s">
        <v>806</v>
      </c>
      <c r="F397" s="475" t="s">
        <v>462</v>
      </c>
      <c r="G397" s="476" t="s">
        <v>567</v>
      </c>
      <c r="H397" s="477" t="s">
        <v>686</v>
      </c>
      <c r="I397" s="477" t="s">
        <v>989</v>
      </c>
      <c r="J397" s="502">
        <v>165.62</v>
      </c>
      <c r="K397" s="503">
        <f>K411+1</f>
        <v>5</v>
      </c>
      <c r="L397" s="503">
        <f t="shared" si="18"/>
        <v>236</v>
      </c>
      <c r="M397" s="216"/>
    </row>
    <row r="398" spans="2:13" ht="19.5" customHeight="1">
      <c r="B398" s="500" t="s">
        <v>460</v>
      </c>
      <c r="C398" s="501">
        <v>41431</v>
      </c>
      <c r="D398" s="501" t="s">
        <v>324</v>
      </c>
      <c r="E398" s="484" t="s">
        <v>808</v>
      </c>
      <c r="F398" s="475" t="s">
        <v>752</v>
      </c>
      <c r="G398" s="476" t="s">
        <v>505</v>
      </c>
      <c r="H398" s="477" t="s">
        <v>660</v>
      </c>
      <c r="I398" s="477" t="s">
        <v>989</v>
      </c>
      <c r="J398" s="502">
        <v>3111.7</v>
      </c>
      <c r="K398" s="503">
        <f>K399+1</f>
        <v>192</v>
      </c>
      <c r="L398" s="503">
        <f t="shared" si="18"/>
        <v>235</v>
      </c>
      <c r="M398" s="216"/>
    </row>
    <row r="399" spans="2:13" ht="19.5" customHeight="1">
      <c r="B399" s="500" t="s">
        <v>460</v>
      </c>
      <c r="C399" s="501">
        <v>41431</v>
      </c>
      <c r="D399" s="501" t="s">
        <v>324</v>
      </c>
      <c r="E399" s="484" t="s">
        <v>806</v>
      </c>
      <c r="F399" s="475" t="s">
        <v>462</v>
      </c>
      <c r="G399" s="476" t="s">
        <v>554</v>
      </c>
      <c r="H399" s="477" t="s">
        <v>659</v>
      </c>
      <c r="I399" s="477" t="s">
        <v>989</v>
      </c>
      <c r="J399" s="502">
        <v>2014.3</v>
      </c>
      <c r="K399" s="503">
        <f>K401+1</f>
        <v>191</v>
      </c>
      <c r="L399" s="503">
        <f>L401+1</f>
        <v>234</v>
      </c>
      <c r="M399" s="216"/>
    </row>
    <row r="400" spans="2:13" ht="19.5" customHeight="1">
      <c r="B400" s="425" t="s">
        <v>491</v>
      </c>
      <c r="C400" s="426">
        <v>41415</v>
      </c>
      <c r="D400" s="426" t="s">
        <v>324</v>
      </c>
      <c r="E400" s="427" t="s">
        <v>806</v>
      </c>
      <c r="F400" s="428" t="s">
        <v>462</v>
      </c>
      <c r="G400" s="429" t="s">
        <v>566</v>
      </c>
      <c r="H400" s="430" t="s">
        <v>685</v>
      </c>
      <c r="I400" s="430" t="s">
        <v>989</v>
      </c>
      <c r="J400" s="431">
        <v>184.8</v>
      </c>
      <c r="K400" s="508" t="s">
        <v>1292</v>
      </c>
      <c r="L400" s="508" t="s">
        <v>1292</v>
      </c>
      <c r="M400" s="216"/>
    </row>
    <row r="401" spans="2:13" ht="19.5" customHeight="1">
      <c r="B401" s="500" t="s">
        <v>460</v>
      </c>
      <c r="C401" s="501">
        <v>41401</v>
      </c>
      <c r="D401" s="501" t="s">
        <v>324</v>
      </c>
      <c r="E401" s="484" t="s">
        <v>807</v>
      </c>
      <c r="F401" s="475" t="s">
        <v>751</v>
      </c>
      <c r="G401" s="476" t="s">
        <v>553</v>
      </c>
      <c r="H401" s="477" t="s">
        <v>658</v>
      </c>
      <c r="I401" s="477" t="s">
        <v>989</v>
      </c>
      <c r="J401" s="502">
        <v>2530</v>
      </c>
      <c r="K401" s="503">
        <f>K402+1</f>
        <v>190</v>
      </c>
      <c r="L401" s="503">
        <f>L402+1</f>
        <v>233</v>
      </c>
      <c r="M401" s="216"/>
    </row>
    <row r="402" spans="2:13" ht="19.5" customHeight="1">
      <c r="B402" s="500" t="s">
        <v>460</v>
      </c>
      <c r="C402" s="501">
        <v>41397</v>
      </c>
      <c r="D402" s="501" t="s">
        <v>324</v>
      </c>
      <c r="E402" s="484" t="s">
        <v>806</v>
      </c>
      <c r="F402" s="475" t="s">
        <v>750</v>
      </c>
      <c r="G402" s="476" t="s">
        <v>551</v>
      </c>
      <c r="H402" s="477" t="s">
        <v>656</v>
      </c>
      <c r="I402" s="477" t="s">
        <v>989</v>
      </c>
      <c r="J402" s="502">
        <v>2716.9</v>
      </c>
      <c r="K402" s="503">
        <f>K403+1</f>
        <v>189</v>
      </c>
      <c r="L402" s="503">
        <f>L403+1</f>
        <v>232</v>
      </c>
      <c r="M402" s="216"/>
    </row>
    <row r="403" spans="2:13" ht="19.5" customHeight="1">
      <c r="B403" s="500" t="s">
        <v>460</v>
      </c>
      <c r="C403" s="501">
        <v>41397</v>
      </c>
      <c r="D403" s="501" t="s">
        <v>324</v>
      </c>
      <c r="E403" s="484" t="s">
        <v>805</v>
      </c>
      <c r="F403" s="475" t="s">
        <v>762</v>
      </c>
      <c r="G403" s="476" t="s">
        <v>552</v>
      </c>
      <c r="H403" s="477" t="s">
        <v>657</v>
      </c>
      <c r="I403" s="477" t="s">
        <v>989</v>
      </c>
      <c r="J403" s="502">
        <v>2612.3000000000002</v>
      </c>
      <c r="K403" s="503">
        <f>K405+1</f>
        <v>188</v>
      </c>
      <c r="L403" s="503">
        <f>L405+1</f>
        <v>231</v>
      </c>
      <c r="M403" s="216"/>
    </row>
    <row r="404" spans="2:13" ht="19.5" customHeight="1">
      <c r="B404" s="425" t="s">
        <v>491</v>
      </c>
      <c r="C404" s="426">
        <v>41383</v>
      </c>
      <c r="D404" s="426" t="s">
        <v>324</v>
      </c>
      <c r="E404" s="427" t="s">
        <v>805</v>
      </c>
      <c r="F404" s="428" t="s">
        <v>461</v>
      </c>
      <c r="G404" s="429" t="s">
        <v>495</v>
      </c>
      <c r="H404" s="430" t="s">
        <v>684</v>
      </c>
      <c r="I404" s="430" t="s">
        <v>989</v>
      </c>
      <c r="J404" s="431">
        <v>148.4</v>
      </c>
      <c r="K404" s="508" t="s">
        <v>1292</v>
      </c>
      <c r="L404" s="508" t="s">
        <v>1292</v>
      </c>
      <c r="M404" s="216"/>
    </row>
    <row r="405" spans="2:13" ht="19.5" customHeight="1">
      <c r="B405" s="500" t="s">
        <v>460</v>
      </c>
      <c r="C405" s="501">
        <v>41382</v>
      </c>
      <c r="D405" s="501" t="s">
        <v>324</v>
      </c>
      <c r="E405" s="484" t="s">
        <v>806</v>
      </c>
      <c r="F405" s="475" t="s">
        <v>462</v>
      </c>
      <c r="G405" s="476" t="s">
        <v>469</v>
      </c>
      <c r="H405" s="477" t="s">
        <v>597</v>
      </c>
      <c r="I405" s="477" t="s">
        <v>989</v>
      </c>
      <c r="J405" s="502">
        <v>1907.6</v>
      </c>
      <c r="K405" s="503">
        <f>+K406+1</f>
        <v>187</v>
      </c>
      <c r="L405" s="503">
        <f t="shared" ref="L405:L414" si="19">L406+1</f>
        <v>230</v>
      </c>
      <c r="M405" s="216"/>
    </row>
    <row r="406" spans="2:13" ht="19.5" customHeight="1">
      <c r="B406" s="500" t="s">
        <v>460</v>
      </c>
      <c r="C406" s="501">
        <v>41352</v>
      </c>
      <c r="D406" s="501" t="s">
        <v>316</v>
      </c>
      <c r="E406" s="484" t="s">
        <v>805</v>
      </c>
      <c r="F406" s="475" t="s">
        <v>461</v>
      </c>
      <c r="G406" s="476" t="s">
        <v>495</v>
      </c>
      <c r="H406" s="477" t="s">
        <v>655</v>
      </c>
      <c r="I406" s="477" t="s">
        <v>989</v>
      </c>
      <c r="J406" s="502">
        <v>1335.5</v>
      </c>
      <c r="K406" s="503">
        <f>K408+1</f>
        <v>186</v>
      </c>
      <c r="L406" s="503">
        <f t="shared" si="19"/>
        <v>229</v>
      </c>
      <c r="M406" s="216"/>
    </row>
    <row r="407" spans="2:13" ht="19.5" customHeight="1">
      <c r="B407" s="500" t="s">
        <v>490</v>
      </c>
      <c r="C407" s="501">
        <v>41284</v>
      </c>
      <c r="D407" s="501" t="s">
        <v>316</v>
      </c>
      <c r="E407" s="484" t="s">
        <v>806</v>
      </c>
      <c r="F407" s="475" t="s">
        <v>462</v>
      </c>
      <c r="G407" s="476" t="s">
        <v>562</v>
      </c>
      <c r="H407" s="477" t="s">
        <v>681</v>
      </c>
      <c r="I407" s="477" t="s">
        <v>989</v>
      </c>
      <c r="J407" s="502">
        <v>446.6</v>
      </c>
      <c r="K407" s="503">
        <f>K414+1</f>
        <v>35</v>
      </c>
      <c r="L407" s="503">
        <f t="shared" si="19"/>
        <v>228</v>
      </c>
      <c r="M407" s="216"/>
    </row>
    <row r="408" spans="2:13" ht="19.5" customHeight="1">
      <c r="B408" s="500" t="s">
        <v>460</v>
      </c>
      <c r="C408" s="501">
        <v>41258</v>
      </c>
      <c r="D408" s="501" t="s">
        <v>308</v>
      </c>
      <c r="E408" s="484" t="s">
        <v>806</v>
      </c>
      <c r="F408" s="475" t="s">
        <v>462</v>
      </c>
      <c r="G408" s="476" t="s">
        <v>777</v>
      </c>
      <c r="H408" s="477" t="s">
        <v>710</v>
      </c>
      <c r="I408" s="477" t="s">
        <v>989</v>
      </c>
      <c r="J408" s="502">
        <v>2212.6999999999998</v>
      </c>
      <c r="K408" s="503">
        <f>K409+1</f>
        <v>185</v>
      </c>
      <c r="L408" s="503">
        <f t="shared" si="19"/>
        <v>227</v>
      </c>
      <c r="M408" s="216"/>
    </row>
    <row r="409" spans="2:13" ht="19.5" customHeight="1">
      <c r="B409" s="500" t="s">
        <v>460</v>
      </c>
      <c r="C409" s="501">
        <v>41256</v>
      </c>
      <c r="D409" s="501" t="s">
        <v>308</v>
      </c>
      <c r="E409" s="484" t="s">
        <v>806</v>
      </c>
      <c r="F409" s="475" t="s">
        <v>462</v>
      </c>
      <c r="G409" s="476" t="s">
        <v>776</v>
      </c>
      <c r="H409" s="477" t="s">
        <v>709</v>
      </c>
      <c r="I409" s="477" t="s">
        <v>989</v>
      </c>
      <c r="J409" s="502">
        <v>2526.1</v>
      </c>
      <c r="K409" s="503">
        <f>K410+1</f>
        <v>184</v>
      </c>
      <c r="L409" s="503">
        <f t="shared" si="19"/>
        <v>226</v>
      </c>
      <c r="M409" s="216"/>
    </row>
    <row r="410" spans="2:13" ht="19.5" customHeight="1">
      <c r="B410" s="500" t="s">
        <v>460</v>
      </c>
      <c r="C410" s="501">
        <v>41249</v>
      </c>
      <c r="D410" s="501" t="s">
        <v>308</v>
      </c>
      <c r="E410" s="484" t="s">
        <v>806</v>
      </c>
      <c r="F410" s="475" t="s">
        <v>753</v>
      </c>
      <c r="G410" s="476" t="s">
        <v>775</v>
      </c>
      <c r="H410" s="477" t="s">
        <v>708</v>
      </c>
      <c r="I410" s="477" t="s">
        <v>987</v>
      </c>
      <c r="J410" s="502">
        <v>2718.2</v>
      </c>
      <c r="K410" s="503">
        <f>K412+1</f>
        <v>183</v>
      </c>
      <c r="L410" s="503">
        <f t="shared" si="19"/>
        <v>225</v>
      </c>
      <c r="M410" s="216"/>
    </row>
    <row r="411" spans="2:13" ht="19.5" customHeight="1">
      <c r="B411" s="500" t="s">
        <v>491</v>
      </c>
      <c r="C411" s="501">
        <v>41243</v>
      </c>
      <c r="D411" s="501" t="s">
        <v>308</v>
      </c>
      <c r="E411" s="483" t="s">
        <v>806</v>
      </c>
      <c r="F411" s="475" t="s">
        <v>462</v>
      </c>
      <c r="G411" s="476" t="s">
        <v>469</v>
      </c>
      <c r="H411" s="477" t="s">
        <v>803</v>
      </c>
      <c r="I411" s="477" t="s">
        <v>989</v>
      </c>
      <c r="J411" s="502">
        <v>188</v>
      </c>
      <c r="K411" s="503">
        <v>4</v>
      </c>
      <c r="L411" s="503">
        <f t="shared" si="19"/>
        <v>224</v>
      </c>
      <c r="M411" s="216"/>
    </row>
    <row r="412" spans="2:13" ht="19.5" customHeight="1">
      <c r="B412" s="500" t="s">
        <v>460</v>
      </c>
      <c r="C412" s="501">
        <v>41242</v>
      </c>
      <c r="D412" s="501" t="s">
        <v>308</v>
      </c>
      <c r="E412" s="484" t="s">
        <v>806</v>
      </c>
      <c r="F412" s="475" t="s">
        <v>466</v>
      </c>
      <c r="G412" s="476" t="s">
        <v>492</v>
      </c>
      <c r="H412" s="477" t="s">
        <v>801</v>
      </c>
      <c r="I412" s="477" t="s">
        <v>989</v>
      </c>
      <c r="J412" s="502">
        <v>3029.9</v>
      </c>
      <c r="K412" s="503">
        <f>K413+1</f>
        <v>182</v>
      </c>
      <c r="L412" s="503">
        <f t="shared" si="19"/>
        <v>223</v>
      </c>
      <c r="M412" s="216"/>
    </row>
    <row r="413" spans="2:13" ht="19.5" customHeight="1">
      <c r="B413" s="500" t="s">
        <v>460</v>
      </c>
      <c r="C413" s="501">
        <v>41242</v>
      </c>
      <c r="D413" s="501" t="s">
        <v>308</v>
      </c>
      <c r="E413" s="484" t="s">
        <v>809</v>
      </c>
      <c r="F413" s="475" t="s">
        <v>463</v>
      </c>
      <c r="G413" s="476" t="s">
        <v>508</v>
      </c>
      <c r="H413" s="477" t="s">
        <v>802</v>
      </c>
      <c r="I413" s="477" t="s">
        <v>989</v>
      </c>
      <c r="J413" s="502">
        <v>2547.9</v>
      </c>
      <c r="K413" s="503">
        <f>K415+1</f>
        <v>181</v>
      </c>
      <c r="L413" s="503">
        <f t="shared" si="19"/>
        <v>222</v>
      </c>
      <c r="M413" s="216"/>
    </row>
    <row r="414" spans="2:13" ht="19.5" customHeight="1">
      <c r="B414" s="500" t="s">
        <v>490</v>
      </c>
      <c r="C414" s="501">
        <v>41242</v>
      </c>
      <c r="D414" s="501" t="s">
        <v>308</v>
      </c>
      <c r="E414" s="484" t="s">
        <v>806</v>
      </c>
      <c r="F414" s="475" t="s">
        <v>466</v>
      </c>
      <c r="G414" s="476" t="s">
        <v>492</v>
      </c>
      <c r="H414" s="477" t="s">
        <v>801</v>
      </c>
      <c r="I414" s="477" t="s">
        <v>989</v>
      </c>
      <c r="J414" s="502">
        <v>513</v>
      </c>
      <c r="K414" s="503">
        <f>K419+1</f>
        <v>34</v>
      </c>
      <c r="L414" s="503">
        <f t="shared" si="19"/>
        <v>221</v>
      </c>
      <c r="M414" s="216"/>
    </row>
    <row r="415" spans="2:13" ht="19.5" customHeight="1">
      <c r="B415" s="500" t="s">
        <v>460</v>
      </c>
      <c r="C415" s="501">
        <v>41241</v>
      </c>
      <c r="D415" s="501" t="s">
        <v>308</v>
      </c>
      <c r="E415" s="484" t="s">
        <v>806</v>
      </c>
      <c r="F415" s="475" t="s">
        <v>462</v>
      </c>
      <c r="G415" s="476" t="s">
        <v>566</v>
      </c>
      <c r="H415" s="477" t="s">
        <v>804</v>
      </c>
      <c r="I415" s="477" t="s">
        <v>989</v>
      </c>
      <c r="J415" s="502">
        <v>2470.4</v>
      </c>
      <c r="K415" s="503">
        <f>K417+1</f>
        <v>180</v>
      </c>
      <c r="L415" s="503">
        <f>L417+1</f>
        <v>220</v>
      </c>
      <c r="M415" s="216"/>
    </row>
    <row r="416" spans="2:13" ht="19.5" customHeight="1">
      <c r="B416" s="425" t="s">
        <v>460</v>
      </c>
      <c r="C416" s="426">
        <v>41227</v>
      </c>
      <c r="D416" s="426" t="s">
        <v>308</v>
      </c>
      <c r="E416" s="427" t="s">
        <v>809</v>
      </c>
      <c r="F416" s="428" t="s">
        <v>467</v>
      </c>
      <c r="G416" s="429" t="s">
        <v>545</v>
      </c>
      <c r="H416" s="430" t="s">
        <v>707</v>
      </c>
      <c r="I416" s="430" t="s">
        <v>989</v>
      </c>
      <c r="J416" s="431">
        <v>2199.3000000000002</v>
      </c>
      <c r="K416" s="508" t="s">
        <v>1292</v>
      </c>
      <c r="L416" s="508" t="s">
        <v>1292</v>
      </c>
      <c r="M416" s="216"/>
    </row>
    <row r="417" spans="2:13" ht="19.5" customHeight="1">
      <c r="B417" s="500" t="s">
        <v>460</v>
      </c>
      <c r="C417" s="501">
        <v>41227</v>
      </c>
      <c r="D417" s="501" t="s">
        <v>308</v>
      </c>
      <c r="E417" s="484" t="s">
        <v>805</v>
      </c>
      <c r="F417" s="475" t="s">
        <v>762</v>
      </c>
      <c r="G417" s="476" t="s">
        <v>683</v>
      </c>
      <c r="H417" s="477" t="s">
        <v>706</v>
      </c>
      <c r="I417" s="477" t="s">
        <v>989</v>
      </c>
      <c r="J417" s="502">
        <v>1696.7</v>
      </c>
      <c r="K417" s="503">
        <f>K418+1</f>
        <v>179</v>
      </c>
      <c r="L417" s="503">
        <f>L418+1</f>
        <v>219</v>
      </c>
      <c r="M417" s="216"/>
    </row>
    <row r="418" spans="2:13" ht="19.5" customHeight="1">
      <c r="B418" s="500" t="s">
        <v>460</v>
      </c>
      <c r="C418" s="501">
        <v>41226</v>
      </c>
      <c r="D418" s="501" t="s">
        <v>308</v>
      </c>
      <c r="E418" s="484" t="s">
        <v>806</v>
      </c>
      <c r="F418" s="475" t="s">
        <v>462</v>
      </c>
      <c r="G418" s="476" t="s">
        <v>514</v>
      </c>
      <c r="H418" s="477" t="s">
        <v>601</v>
      </c>
      <c r="I418" s="477" t="s">
        <v>989</v>
      </c>
      <c r="J418" s="502">
        <v>2360.9</v>
      </c>
      <c r="K418" s="503">
        <f>K420+1</f>
        <v>178</v>
      </c>
      <c r="L418" s="503">
        <f t="shared" ref="L418:L425" si="20">L419+1</f>
        <v>218</v>
      </c>
      <c r="M418" s="216"/>
    </row>
    <row r="419" spans="2:13" ht="19.5" customHeight="1">
      <c r="B419" s="500" t="s">
        <v>490</v>
      </c>
      <c r="C419" s="501">
        <v>41213</v>
      </c>
      <c r="D419" s="501" t="s">
        <v>308</v>
      </c>
      <c r="E419" s="484" t="s">
        <v>806</v>
      </c>
      <c r="F419" s="475" t="s">
        <v>462</v>
      </c>
      <c r="G419" s="476" t="s">
        <v>469</v>
      </c>
      <c r="H419" s="477" t="s">
        <v>715</v>
      </c>
      <c r="I419" s="477" t="s">
        <v>989</v>
      </c>
      <c r="J419" s="502">
        <v>513</v>
      </c>
      <c r="K419" s="503">
        <f>K424+1</f>
        <v>33</v>
      </c>
      <c r="L419" s="503">
        <f t="shared" si="20"/>
        <v>217</v>
      </c>
      <c r="M419" s="216"/>
    </row>
    <row r="420" spans="2:13" ht="19.5" customHeight="1">
      <c r="B420" s="500" t="s">
        <v>460</v>
      </c>
      <c r="C420" s="501">
        <v>41212</v>
      </c>
      <c r="D420" s="501" t="s">
        <v>308</v>
      </c>
      <c r="E420" s="484" t="s">
        <v>808</v>
      </c>
      <c r="F420" s="475" t="s">
        <v>465</v>
      </c>
      <c r="G420" s="476" t="s">
        <v>473</v>
      </c>
      <c r="H420" s="477" t="s">
        <v>704</v>
      </c>
      <c r="I420" s="477" t="s">
        <v>989</v>
      </c>
      <c r="J420" s="502">
        <v>3949.7</v>
      </c>
      <c r="K420" s="503">
        <f>K421+1</f>
        <v>177</v>
      </c>
      <c r="L420" s="503">
        <f t="shared" si="20"/>
        <v>216</v>
      </c>
      <c r="M420" s="216"/>
    </row>
    <row r="421" spans="2:13" ht="19.5" customHeight="1">
      <c r="B421" s="500" t="s">
        <v>460</v>
      </c>
      <c r="C421" s="501">
        <v>41212</v>
      </c>
      <c r="D421" s="501" t="s">
        <v>308</v>
      </c>
      <c r="E421" s="484" t="s">
        <v>806</v>
      </c>
      <c r="F421" s="475" t="s">
        <v>466</v>
      </c>
      <c r="G421" s="476" t="s">
        <v>492</v>
      </c>
      <c r="H421" s="477" t="s">
        <v>705</v>
      </c>
      <c r="I421" s="477" t="s">
        <v>989</v>
      </c>
      <c r="J421" s="502">
        <v>3294.9</v>
      </c>
      <c r="K421" s="503">
        <f>K422+1</f>
        <v>176</v>
      </c>
      <c r="L421" s="503">
        <f t="shared" si="20"/>
        <v>215</v>
      </c>
      <c r="M421" s="216"/>
    </row>
    <row r="422" spans="2:13" ht="19.5" customHeight="1">
      <c r="B422" s="500" t="s">
        <v>460</v>
      </c>
      <c r="C422" s="501">
        <v>41209</v>
      </c>
      <c r="D422" s="501" t="s">
        <v>308</v>
      </c>
      <c r="E422" s="484" t="s">
        <v>805</v>
      </c>
      <c r="F422" s="475" t="s">
        <v>748</v>
      </c>
      <c r="G422" s="476" t="s">
        <v>513</v>
      </c>
      <c r="H422" s="477" t="s">
        <v>703</v>
      </c>
      <c r="I422" s="477" t="s">
        <v>989</v>
      </c>
      <c r="J422" s="502">
        <v>2709.9</v>
      </c>
      <c r="K422" s="503">
        <f>K423+1</f>
        <v>175</v>
      </c>
      <c r="L422" s="503">
        <f t="shared" si="20"/>
        <v>214</v>
      </c>
      <c r="M422" s="216"/>
    </row>
    <row r="423" spans="2:13" ht="19.5" customHeight="1">
      <c r="B423" s="500" t="s">
        <v>460</v>
      </c>
      <c r="C423" s="501">
        <v>41208</v>
      </c>
      <c r="D423" s="501" t="s">
        <v>308</v>
      </c>
      <c r="E423" s="484" t="s">
        <v>806</v>
      </c>
      <c r="F423" s="475" t="s">
        <v>462</v>
      </c>
      <c r="G423" s="476" t="s">
        <v>511</v>
      </c>
      <c r="H423" s="477" t="s">
        <v>596</v>
      </c>
      <c r="I423" s="477" t="s">
        <v>989</v>
      </c>
      <c r="J423" s="502">
        <v>3322</v>
      </c>
      <c r="K423" s="503">
        <f>K425+1</f>
        <v>174</v>
      </c>
      <c r="L423" s="503">
        <f t="shared" si="20"/>
        <v>213</v>
      </c>
      <c r="M423" s="216"/>
    </row>
    <row r="424" spans="2:13" ht="19.5" customHeight="1">
      <c r="B424" s="500" t="s">
        <v>490</v>
      </c>
      <c r="C424" s="501">
        <v>41208</v>
      </c>
      <c r="D424" s="501" t="s">
        <v>308</v>
      </c>
      <c r="E424" s="484" t="s">
        <v>806</v>
      </c>
      <c r="F424" s="475" t="s">
        <v>750</v>
      </c>
      <c r="G424" s="476" t="s">
        <v>772</v>
      </c>
      <c r="H424" s="477" t="s">
        <v>714</v>
      </c>
      <c r="I424" s="477" t="s">
        <v>989</v>
      </c>
      <c r="J424" s="502">
        <v>450</v>
      </c>
      <c r="K424" s="503">
        <f>K426+1</f>
        <v>32</v>
      </c>
      <c r="L424" s="503">
        <f t="shared" si="20"/>
        <v>212</v>
      </c>
      <c r="M424" s="216"/>
    </row>
    <row r="425" spans="2:13" ht="19.5" customHeight="1">
      <c r="B425" s="500" t="s">
        <v>460</v>
      </c>
      <c r="C425" s="501">
        <v>41200</v>
      </c>
      <c r="D425" s="501" t="s">
        <v>308</v>
      </c>
      <c r="E425" s="484" t="s">
        <v>806</v>
      </c>
      <c r="F425" s="475" t="s">
        <v>462</v>
      </c>
      <c r="G425" s="476" t="s">
        <v>774</v>
      </c>
      <c r="H425" s="477" t="s">
        <v>702</v>
      </c>
      <c r="I425" s="477" t="s">
        <v>989</v>
      </c>
      <c r="J425" s="502">
        <v>2143</v>
      </c>
      <c r="K425" s="503">
        <f>K428+1</f>
        <v>173</v>
      </c>
      <c r="L425" s="503">
        <f t="shared" si="20"/>
        <v>211</v>
      </c>
      <c r="M425" s="216"/>
    </row>
    <row r="426" spans="2:13" ht="19.5" customHeight="1">
      <c r="B426" s="500" t="s">
        <v>490</v>
      </c>
      <c r="C426" s="501">
        <v>41200</v>
      </c>
      <c r="D426" s="501" t="s">
        <v>308</v>
      </c>
      <c r="E426" s="484" t="s">
        <v>806</v>
      </c>
      <c r="F426" s="475" t="s">
        <v>462</v>
      </c>
      <c r="G426" s="476" t="s">
        <v>774</v>
      </c>
      <c r="H426" s="477" t="s">
        <v>799</v>
      </c>
      <c r="I426" s="477" t="s">
        <v>989</v>
      </c>
      <c r="J426" s="502">
        <v>785</v>
      </c>
      <c r="K426" s="503">
        <f>K429+1</f>
        <v>31</v>
      </c>
      <c r="L426" s="503">
        <f>L428+1</f>
        <v>210</v>
      </c>
      <c r="M426" s="216"/>
    </row>
    <row r="427" spans="2:13" ht="19.5" customHeight="1">
      <c r="B427" s="425" t="s">
        <v>490</v>
      </c>
      <c r="C427" s="426">
        <v>41200</v>
      </c>
      <c r="D427" s="426" t="s">
        <v>308</v>
      </c>
      <c r="E427" s="427" t="s">
        <v>806</v>
      </c>
      <c r="F427" s="428" t="s">
        <v>462</v>
      </c>
      <c r="G427" s="429" t="s">
        <v>781</v>
      </c>
      <c r="H427" s="430" t="s">
        <v>713</v>
      </c>
      <c r="I427" s="430" t="s">
        <v>989</v>
      </c>
      <c r="J427" s="431">
        <v>395.5</v>
      </c>
      <c r="K427" s="508" t="s">
        <v>1292</v>
      </c>
      <c r="L427" s="508" t="s">
        <v>1292</v>
      </c>
      <c r="M427" s="216"/>
    </row>
    <row r="428" spans="2:13" ht="19.5" customHeight="1">
      <c r="B428" s="500" t="s">
        <v>460</v>
      </c>
      <c r="C428" s="501">
        <v>41191</v>
      </c>
      <c r="D428" s="501" t="s">
        <v>308</v>
      </c>
      <c r="E428" s="484" t="s">
        <v>808</v>
      </c>
      <c r="F428" s="475" t="s">
        <v>465</v>
      </c>
      <c r="G428" s="476" t="s">
        <v>773</v>
      </c>
      <c r="H428" s="477" t="s">
        <v>701</v>
      </c>
      <c r="I428" s="477" t="s">
        <v>989</v>
      </c>
      <c r="J428" s="502">
        <v>2400</v>
      </c>
      <c r="K428" s="503">
        <f>K430+1</f>
        <v>172</v>
      </c>
      <c r="L428" s="503">
        <f t="shared" ref="L428:L461" si="21">L429+1</f>
        <v>209</v>
      </c>
      <c r="M428" s="216"/>
    </row>
    <row r="429" spans="2:13" ht="19.5" customHeight="1">
      <c r="B429" s="500" t="s">
        <v>490</v>
      </c>
      <c r="C429" s="501">
        <v>41138</v>
      </c>
      <c r="D429" s="501" t="s">
        <v>305</v>
      </c>
      <c r="E429" s="484" t="s">
        <v>806</v>
      </c>
      <c r="F429" s="475" t="s">
        <v>462</v>
      </c>
      <c r="G429" s="476" t="s">
        <v>548</v>
      </c>
      <c r="H429" s="477" t="s">
        <v>700</v>
      </c>
      <c r="I429" s="477" t="s">
        <v>989</v>
      </c>
      <c r="J429" s="502">
        <v>686</v>
      </c>
      <c r="K429" s="503">
        <f>K431+1</f>
        <v>30</v>
      </c>
      <c r="L429" s="503">
        <f t="shared" si="21"/>
        <v>208</v>
      </c>
      <c r="M429" s="216"/>
    </row>
    <row r="430" spans="2:13" ht="19.5" customHeight="1">
      <c r="B430" s="500" t="s">
        <v>460</v>
      </c>
      <c r="C430" s="501">
        <v>41130</v>
      </c>
      <c r="D430" s="501" t="s">
        <v>305</v>
      </c>
      <c r="E430" s="484" t="s">
        <v>806</v>
      </c>
      <c r="F430" s="475" t="s">
        <v>462</v>
      </c>
      <c r="G430" s="476" t="s">
        <v>548</v>
      </c>
      <c r="H430" s="477" t="s">
        <v>700</v>
      </c>
      <c r="I430" s="477" t="s">
        <v>989</v>
      </c>
      <c r="J430" s="502">
        <v>2940</v>
      </c>
      <c r="K430" s="503">
        <f>K432+1</f>
        <v>171</v>
      </c>
      <c r="L430" s="503">
        <f t="shared" si="21"/>
        <v>207</v>
      </c>
      <c r="M430" s="216"/>
    </row>
    <row r="431" spans="2:13" ht="19.5" customHeight="1">
      <c r="B431" s="500" t="s">
        <v>490</v>
      </c>
      <c r="C431" s="501">
        <v>41130</v>
      </c>
      <c r="D431" s="501" t="s">
        <v>305</v>
      </c>
      <c r="E431" s="484" t="s">
        <v>805</v>
      </c>
      <c r="F431" s="475" t="s">
        <v>748</v>
      </c>
      <c r="G431" s="476" t="s">
        <v>779</v>
      </c>
      <c r="H431" s="477" t="s">
        <v>712</v>
      </c>
      <c r="I431" s="477" t="s">
        <v>989</v>
      </c>
      <c r="J431" s="502">
        <v>572</v>
      </c>
      <c r="K431" s="503">
        <f>K435+1</f>
        <v>29</v>
      </c>
      <c r="L431" s="503">
        <f t="shared" si="21"/>
        <v>206</v>
      </c>
      <c r="M431" s="216"/>
    </row>
    <row r="432" spans="2:13" ht="19.5" customHeight="1">
      <c r="B432" s="500" t="s">
        <v>460</v>
      </c>
      <c r="C432" s="501">
        <v>41103</v>
      </c>
      <c r="D432" s="501" t="s">
        <v>305</v>
      </c>
      <c r="E432" s="484" t="s">
        <v>808</v>
      </c>
      <c r="F432" s="475" t="s">
        <v>464</v>
      </c>
      <c r="G432" s="476" t="s">
        <v>509</v>
      </c>
      <c r="H432" s="477" t="s">
        <v>699</v>
      </c>
      <c r="I432" s="477" t="s">
        <v>989</v>
      </c>
      <c r="J432" s="502">
        <v>3118</v>
      </c>
      <c r="K432" s="503">
        <f>+K433+1</f>
        <v>170</v>
      </c>
      <c r="L432" s="503">
        <f t="shared" si="21"/>
        <v>205</v>
      </c>
      <c r="M432" s="216"/>
    </row>
    <row r="433" spans="2:13" ht="19.5" customHeight="1">
      <c r="B433" s="500" t="s">
        <v>460</v>
      </c>
      <c r="C433" s="501">
        <v>41080</v>
      </c>
      <c r="D433" s="501" t="s">
        <v>299</v>
      </c>
      <c r="E433" s="484" t="s">
        <v>806</v>
      </c>
      <c r="F433" s="475" t="s">
        <v>466</v>
      </c>
      <c r="G433" s="476" t="s">
        <v>492</v>
      </c>
      <c r="H433" s="477" t="s">
        <v>698</v>
      </c>
      <c r="I433" s="477" t="s">
        <v>987</v>
      </c>
      <c r="J433" s="502">
        <v>2030</v>
      </c>
      <c r="K433" s="503">
        <f>K434+1</f>
        <v>169</v>
      </c>
      <c r="L433" s="503">
        <f t="shared" si="21"/>
        <v>204</v>
      </c>
      <c r="M433" s="216"/>
    </row>
    <row r="434" spans="2:13" ht="19.5" customHeight="1">
      <c r="B434" s="500" t="s">
        <v>460</v>
      </c>
      <c r="C434" s="501">
        <v>41064</v>
      </c>
      <c r="D434" s="501" t="s">
        <v>299</v>
      </c>
      <c r="E434" s="484" t="s">
        <v>806</v>
      </c>
      <c r="F434" s="475" t="s">
        <v>462</v>
      </c>
      <c r="G434" s="476" t="s">
        <v>515</v>
      </c>
      <c r="H434" s="477" t="s">
        <v>697</v>
      </c>
      <c r="I434" s="477" t="s">
        <v>989</v>
      </c>
      <c r="J434" s="502">
        <v>2714</v>
      </c>
      <c r="K434" s="503">
        <f>K436+1</f>
        <v>168</v>
      </c>
      <c r="L434" s="503">
        <f t="shared" si="21"/>
        <v>203</v>
      </c>
      <c r="M434" s="216"/>
    </row>
    <row r="435" spans="2:13" ht="19.5" customHeight="1">
      <c r="B435" s="500" t="s">
        <v>490</v>
      </c>
      <c r="C435" s="501">
        <v>41060</v>
      </c>
      <c r="D435" s="501" t="s">
        <v>299</v>
      </c>
      <c r="E435" s="484" t="s">
        <v>805</v>
      </c>
      <c r="F435" s="475" t="s">
        <v>748</v>
      </c>
      <c r="G435" s="476" t="s">
        <v>778</v>
      </c>
      <c r="H435" s="477" t="s">
        <v>599</v>
      </c>
      <c r="I435" s="477" t="s">
        <v>989</v>
      </c>
      <c r="J435" s="502">
        <v>454</v>
      </c>
      <c r="K435" s="503">
        <f>K442+1</f>
        <v>28</v>
      </c>
      <c r="L435" s="503">
        <f t="shared" si="21"/>
        <v>202</v>
      </c>
      <c r="M435" s="216"/>
    </row>
    <row r="436" spans="2:13" ht="19.5" customHeight="1">
      <c r="B436" s="500" t="s">
        <v>460</v>
      </c>
      <c r="C436" s="501">
        <v>41059</v>
      </c>
      <c r="D436" s="501" t="s">
        <v>299</v>
      </c>
      <c r="E436" s="484" t="s">
        <v>807</v>
      </c>
      <c r="F436" s="475" t="s">
        <v>751</v>
      </c>
      <c r="G436" s="476" t="s">
        <v>503</v>
      </c>
      <c r="H436" s="477" t="s">
        <v>696</v>
      </c>
      <c r="I436" s="477" t="s">
        <v>989</v>
      </c>
      <c r="J436" s="502">
        <v>3098</v>
      </c>
      <c r="K436" s="503">
        <f>K437+1</f>
        <v>167</v>
      </c>
      <c r="L436" s="503">
        <f t="shared" si="21"/>
        <v>201</v>
      </c>
      <c r="M436" s="216"/>
    </row>
    <row r="437" spans="2:13" ht="19.5" customHeight="1">
      <c r="B437" s="500" t="s">
        <v>460</v>
      </c>
      <c r="C437" s="501">
        <v>41052</v>
      </c>
      <c r="D437" s="501" t="s">
        <v>299</v>
      </c>
      <c r="E437" s="484" t="s">
        <v>806</v>
      </c>
      <c r="F437" s="475" t="s">
        <v>750</v>
      </c>
      <c r="G437" s="476" t="s">
        <v>534</v>
      </c>
      <c r="H437" s="477" t="s">
        <v>695</v>
      </c>
      <c r="I437" s="477" t="s">
        <v>989</v>
      </c>
      <c r="J437" s="502">
        <v>2975</v>
      </c>
      <c r="K437" s="503">
        <f>K438+1</f>
        <v>166</v>
      </c>
      <c r="L437" s="503">
        <f t="shared" si="21"/>
        <v>200</v>
      </c>
      <c r="M437" s="216"/>
    </row>
    <row r="438" spans="2:13" ht="19.5" customHeight="1">
      <c r="B438" s="500" t="s">
        <v>460</v>
      </c>
      <c r="C438" s="501">
        <v>41025</v>
      </c>
      <c r="D438" s="501" t="s">
        <v>299</v>
      </c>
      <c r="E438" s="484" t="s">
        <v>805</v>
      </c>
      <c r="F438" s="475" t="s">
        <v>461</v>
      </c>
      <c r="G438" s="476" t="s">
        <v>495</v>
      </c>
      <c r="H438" s="477" t="s">
        <v>684</v>
      </c>
      <c r="I438" s="477" t="s">
        <v>989</v>
      </c>
      <c r="J438" s="502">
        <v>3520</v>
      </c>
      <c r="K438" s="503">
        <f>K440+1</f>
        <v>165</v>
      </c>
      <c r="L438" s="503">
        <f>L440+1</f>
        <v>199</v>
      </c>
      <c r="M438" s="216"/>
    </row>
    <row r="439" spans="2:13" ht="19.5" customHeight="1">
      <c r="B439" s="425" t="s">
        <v>490</v>
      </c>
      <c r="C439" s="426">
        <v>41025</v>
      </c>
      <c r="D439" s="426" t="s">
        <v>299</v>
      </c>
      <c r="E439" s="427" t="s">
        <v>805</v>
      </c>
      <c r="F439" s="428" t="s">
        <v>461</v>
      </c>
      <c r="G439" s="429" t="s">
        <v>495</v>
      </c>
      <c r="H439" s="430" t="s">
        <v>684</v>
      </c>
      <c r="I439" s="430" t="s">
        <v>989</v>
      </c>
      <c r="J439" s="431">
        <v>642</v>
      </c>
      <c r="K439" s="508" t="s">
        <v>1447</v>
      </c>
      <c r="L439" s="508" t="s">
        <v>1447</v>
      </c>
      <c r="M439" s="216"/>
    </row>
    <row r="440" spans="2:13" ht="19.5" customHeight="1">
      <c r="B440" s="500" t="s">
        <v>460</v>
      </c>
      <c r="C440" s="501">
        <v>40996</v>
      </c>
      <c r="D440" s="501" t="s">
        <v>292</v>
      </c>
      <c r="E440" s="484" t="s">
        <v>806</v>
      </c>
      <c r="F440" s="475" t="s">
        <v>750</v>
      </c>
      <c r="G440" s="476" t="s">
        <v>772</v>
      </c>
      <c r="H440" s="477" t="s">
        <v>694</v>
      </c>
      <c r="I440" s="477" t="s">
        <v>989</v>
      </c>
      <c r="J440" s="502">
        <v>2308</v>
      </c>
      <c r="K440" s="503">
        <f>K441+1</f>
        <v>164</v>
      </c>
      <c r="L440" s="503">
        <f t="shared" si="21"/>
        <v>198</v>
      </c>
      <c r="M440" s="216"/>
    </row>
    <row r="441" spans="2:13" ht="19.5" customHeight="1">
      <c r="B441" s="500" t="s">
        <v>460</v>
      </c>
      <c r="C441" s="501">
        <v>40994</v>
      </c>
      <c r="D441" s="501" t="s">
        <v>292</v>
      </c>
      <c r="E441" s="484" t="s">
        <v>805</v>
      </c>
      <c r="F441" s="475" t="s">
        <v>461</v>
      </c>
      <c r="G441" s="476" t="s">
        <v>495</v>
      </c>
      <c r="H441" s="477" t="s">
        <v>693</v>
      </c>
      <c r="I441" s="477" t="s">
        <v>987</v>
      </c>
      <c r="J441" s="502">
        <v>3246</v>
      </c>
      <c r="K441" s="503">
        <f>K443+1</f>
        <v>163</v>
      </c>
      <c r="L441" s="503">
        <f t="shared" si="21"/>
        <v>197</v>
      </c>
      <c r="M441" s="216"/>
    </row>
    <row r="442" spans="2:13" ht="19.5" customHeight="1">
      <c r="B442" s="500" t="s">
        <v>490</v>
      </c>
      <c r="C442" s="501">
        <v>40962</v>
      </c>
      <c r="D442" s="501" t="s">
        <v>292</v>
      </c>
      <c r="E442" s="484" t="s">
        <v>805</v>
      </c>
      <c r="F442" s="475" t="s">
        <v>461</v>
      </c>
      <c r="G442" s="476" t="s">
        <v>510</v>
      </c>
      <c r="H442" s="477" t="s">
        <v>711</v>
      </c>
      <c r="I442" s="477" t="s">
        <v>989</v>
      </c>
      <c r="J442" s="502">
        <v>585</v>
      </c>
      <c r="K442" s="503">
        <f>K453+1</f>
        <v>27</v>
      </c>
      <c r="L442" s="503">
        <f t="shared" si="21"/>
        <v>196</v>
      </c>
      <c r="M442" s="216"/>
    </row>
    <row r="443" spans="2:13" ht="19.5" customHeight="1">
      <c r="B443" s="500" t="s">
        <v>460</v>
      </c>
      <c r="C443" s="501">
        <v>40897</v>
      </c>
      <c r="D443" s="501" t="s">
        <v>287</v>
      </c>
      <c r="E443" s="484" t="s">
        <v>808</v>
      </c>
      <c r="F443" s="475" t="s">
        <v>755</v>
      </c>
      <c r="G443" s="476" t="s">
        <v>798</v>
      </c>
      <c r="H443" s="477" t="s">
        <v>745</v>
      </c>
      <c r="I443" s="477" t="s">
        <v>989</v>
      </c>
      <c r="J443" s="502">
        <v>3546</v>
      </c>
      <c r="K443" s="503">
        <f t="shared" ref="K443:K451" si="22">K444+1</f>
        <v>162</v>
      </c>
      <c r="L443" s="503">
        <f t="shared" si="21"/>
        <v>195</v>
      </c>
      <c r="M443" s="216"/>
    </row>
    <row r="444" spans="2:13" ht="19.5" customHeight="1">
      <c r="B444" s="500" t="s">
        <v>460</v>
      </c>
      <c r="C444" s="501">
        <v>40897</v>
      </c>
      <c r="D444" s="501" t="s">
        <v>287</v>
      </c>
      <c r="E444" s="484" t="s">
        <v>806</v>
      </c>
      <c r="F444" s="475" t="s">
        <v>462</v>
      </c>
      <c r="G444" s="476" t="s">
        <v>787</v>
      </c>
      <c r="H444" s="477" t="s">
        <v>744</v>
      </c>
      <c r="I444" s="477" t="s">
        <v>989</v>
      </c>
      <c r="J444" s="502">
        <v>1968</v>
      </c>
      <c r="K444" s="503">
        <f t="shared" si="22"/>
        <v>161</v>
      </c>
      <c r="L444" s="503">
        <f t="shared" si="21"/>
        <v>194</v>
      </c>
      <c r="M444" s="216"/>
    </row>
    <row r="445" spans="2:13" ht="19.5" customHeight="1">
      <c r="B445" s="500" t="s">
        <v>460</v>
      </c>
      <c r="C445" s="501">
        <v>40893</v>
      </c>
      <c r="D445" s="501" t="s">
        <v>287</v>
      </c>
      <c r="E445" s="484" t="s">
        <v>805</v>
      </c>
      <c r="F445" s="475" t="s">
        <v>762</v>
      </c>
      <c r="G445" s="476" t="s">
        <v>797</v>
      </c>
      <c r="H445" s="477" t="s">
        <v>743</v>
      </c>
      <c r="I445" s="477" t="s">
        <v>989</v>
      </c>
      <c r="J445" s="502">
        <v>1931</v>
      </c>
      <c r="K445" s="503">
        <f t="shared" si="22"/>
        <v>160</v>
      </c>
      <c r="L445" s="503">
        <f t="shared" si="21"/>
        <v>193</v>
      </c>
      <c r="M445" s="216"/>
    </row>
    <row r="446" spans="2:13" ht="19.5" customHeight="1">
      <c r="B446" s="500" t="s">
        <v>460</v>
      </c>
      <c r="C446" s="501">
        <v>40892</v>
      </c>
      <c r="D446" s="501" t="s">
        <v>287</v>
      </c>
      <c r="E446" s="484" t="s">
        <v>806</v>
      </c>
      <c r="F446" s="475" t="s">
        <v>462</v>
      </c>
      <c r="G446" s="476" t="s">
        <v>786</v>
      </c>
      <c r="H446" s="477" t="s">
        <v>742</v>
      </c>
      <c r="I446" s="477" t="s">
        <v>989</v>
      </c>
      <c r="J446" s="502">
        <v>1597</v>
      </c>
      <c r="K446" s="503">
        <f t="shared" si="22"/>
        <v>159</v>
      </c>
      <c r="L446" s="503">
        <f t="shared" si="21"/>
        <v>192</v>
      </c>
      <c r="M446" s="216"/>
    </row>
    <row r="447" spans="2:13" ht="19.5" customHeight="1">
      <c r="B447" s="500" t="s">
        <v>460</v>
      </c>
      <c r="C447" s="501">
        <v>40891</v>
      </c>
      <c r="D447" s="501" t="s">
        <v>287</v>
      </c>
      <c r="E447" s="484" t="s">
        <v>806</v>
      </c>
      <c r="F447" s="475" t="s">
        <v>462</v>
      </c>
      <c r="G447" s="476" t="s">
        <v>785</v>
      </c>
      <c r="H447" s="477" t="s">
        <v>741</v>
      </c>
      <c r="I447" s="477" t="s">
        <v>989</v>
      </c>
      <c r="J447" s="502">
        <v>2351</v>
      </c>
      <c r="K447" s="503">
        <f t="shared" si="22"/>
        <v>158</v>
      </c>
      <c r="L447" s="503">
        <f t="shared" si="21"/>
        <v>191</v>
      </c>
      <c r="M447" s="216"/>
    </row>
    <row r="448" spans="2:13" ht="19.5" customHeight="1">
      <c r="B448" s="500" t="s">
        <v>460</v>
      </c>
      <c r="C448" s="501">
        <v>40890</v>
      </c>
      <c r="D448" s="501" t="s">
        <v>287</v>
      </c>
      <c r="E448" s="484" t="s">
        <v>806</v>
      </c>
      <c r="F448" s="475" t="s">
        <v>753</v>
      </c>
      <c r="G448" s="476" t="s">
        <v>519</v>
      </c>
      <c r="H448" s="477" t="s">
        <v>740</v>
      </c>
      <c r="I448" s="477" t="s">
        <v>989</v>
      </c>
      <c r="J448" s="502">
        <v>2582</v>
      </c>
      <c r="K448" s="503">
        <f t="shared" si="22"/>
        <v>157</v>
      </c>
      <c r="L448" s="503">
        <f t="shared" si="21"/>
        <v>190</v>
      </c>
      <c r="M448" s="216"/>
    </row>
    <row r="449" spans="2:13" ht="19.5" customHeight="1">
      <c r="B449" s="500" t="s">
        <v>460</v>
      </c>
      <c r="C449" s="501">
        <v>40890</v>
      </c>
      <c r="D449" s="501" t="s">
        <v>287</v>
      </c>
      <c r="E449" s="484" t="s">
        <v>808</v>
      </c>
      <c r="F449" s="475" t="s">
        <v>464</v>
      </c>
      <c r="G449" s="476" t="s">
        <v>796</v>
      </c>
      <c r="H449" s="477" t="s">
        <v>739</v>
      </c>
      <c r="I449" s="477" t="s">
        <v>989</v>
      </c>
      <c r="J449" s="502">
        <v>1991</v>
      </c>
      <c r="K449" s="503">
        <f t="shared" si="22"/>
        <v>156</v>
      </c>
      <c r="L449" s="503">
        <f t="shared" si="21"/>
        <v>189</v>
      </c>
      <c r="M449" s="216"/>
    </row>
    <row r="450" spans="2:13" ht="19.5" customHeight="1">
      <c r="B450" s="500" t="s">
        <v>460</v>
      </c>
      <c r="C450" s="501">
        <v>40884</v>
      </c>
      <c r="D450" s="501" t="s">
        <v>287</v>
      </c>
      <c r="E450" s="484" t="s">
        <v>806</v>
      </c>
      <c r="F450" s="475" t="s">
        <v>750</v>
      </c>
      <c r="G450" s="476" t="s">
        <v>795</v>
      </c>
      <c r="H450" s="477" t="s">
        <v>738</v>
      </c>
      <c r="I450" s="477" t="s">
        <v>989</v>
      </c>
      <c r="J450" s="502">
        <v>1698</v>
      </c>
      <c r="K450" s="503">
        <f t="shared" si="22"/>
        <v>155</v>
      </c>
      <c r="L450" s="503">
        <f t="shared" si="21"/>
        <v>188</v>
      </c>
      <c r="M450" s="216"/>
    </row>
    <row r="451" spans="2:13" ht="19.5" customHeight="1">
      <c r="B451" s="500" t="s">
        <v>460</v>
      </c>
      <c r="C451" s="501">
        <v>40882</v>
      </c>
      <c r="D451" s="501" t="s">
        <v>287</v>
      </c>
      <c r="E451" s="484" t="s">
        <v>808</v>
      </c>
      <c r="F451" s="475" t="s">
        <v>465</v>
      </c>
      <c r="G451" s="476" t="s">
        <v>473</v>
      </c>
      <c r="H451" s="477" t="s">
        <v>737</v>
      </c>
      <c r="I451" s="477" t="s">
        <v>989</v>
      </c>
      <c r="J451" s="502">
        <v>2959</v>
      </c>
      <c r="K451" s="503">
        <f t="shared" si="22"/>
        <v>154</v>
      </c>
      <c r="L451" s="503">
        <f t="shared" si="21"/>
        <v>187</v>
      </c>
      <c r="M451" s="216"/>
    </row>
    <row r="452" spans="2:13" ht="19.5" customHeight="1">
      <c r="B452" s="500" t="s">
        <v>460</v>
      </c>
      <c r="C452" s="501">
        <v>40878</v>
      </c>
      <c r="D452" s="501" t="s">
        <v>287</v>
      </c>
      <c r="E452" s="484" t="s">
        <v>805</v>
      </c>
      <c r="F452" s="475" t="s">
        <v>762</v>
      </c>
      <c r="G452" s="476" t="s">
        <v>794</v>
      </c>
      <c r="H452" s="477" t="s">
        <v>736</v>
      </c>
      <c r="I452" s="477" t="s">
        <v>989</v>
      </c>
      <c r="J452" s="502">
        <v>2592</v>
      </c>
      <c r="K452" s="503">
        <f>K454+1</f>
        <v>153</v>
      </c>
      <c r="L452" s="503">
        <f t="shared" si="21"/>
        <v>186</v>
      </c>
      <c r="M452" s="216"/>
    </row>
    <row r="453" spans="2:13" ht="19.5" customHeight="1">
      <c r="B453" s="500" t="s">
        <v>490</v>
      </c>
      <c r="C453" s="501">
        <v>40878</v>
      </c>
      <c r="D453" s="501" t="s">
        <v>287</v>
      </c>
      <c r="E453" s="484" t="s">
        <v>806</v>
      </c>
      <c r="F453" s="475" t="s">
        <v>753</v>
      </c>
      <c r="G453" s="476" t="s">
        <v>775</v>
      </c>
      <c r="H453" s="477" t="s">
        <v>747</v>
      </c>
      <c r="I453" s="477" t="s">
        <v>989</v>
      </c>
      <c r="J453" s="502">
        <v>634</v>
      </c>
      <c r="K453" s="503">
        <f>K458+1</f>
        <v>26</v>
      </c>
      <c r="L453" s="503">
        <f t="shared" si="21"/>
        <v>185</v>
      </c>
      <c r="M453" s="216"/>
    </row>
    <row r="454" spans="2:13" ht="19.5" customHeight="1">
      <c r="B454" s="500" t="s">
        <v>460</v>
      </c>
      <c r="C454" s="501">
        <v>40877</v>
      </c>
      <c r="D454" s="501" t="s">
        <v>287</v>
      </c>
      <c r="E454" s="484" t="s">
        <v>806</v>
      </c>
      <c r="F454" s="475" t="s">
        <v>462</v>
      </c>
      <c r="G454" s="476" t="s">
        <v>567</v>
      </c>
      <c r="H454" s="477" t="s">
        <v>735</v>
      </c>
      <c r="I454" s="477" t="s">
        <v>989</v>
      </c>
      <c r="J454" s="502">
        <v>2788</v>
      </c>
      <c r="K454" s="503">
        <f>K455+1</f>
        <v>152</v>
      </c>
      <c r="L454" s="503">
        <f t="shared" si="21"/>
        <v>184</v>
      </c>
      <c r="M454" s="216"/>
    </row>
    <row r="455" spans="2:13" ht="19.5" customHeight="1">
      <c r="B455" s="500" t="s">
        <v>460</v>
      </c>
      <c r="C455" s="501">
        <v>40876</v>
      </c>
      <c r="D455" s="501" t="s">
        <v>287</v>
      </c>
      <c r="E455" s="484" t="s">
        <v>806</v>
      </c>
      <c r="F455" s="475" t="s">
        <v>462</v>
      </c>
      <c r="G455" s="476" t="s">
        <v>469</v>
      </c>
      <c r="H455" s="477" t="s">
        <v>734</v>
      </c>
      <c r="I455" s="477" t="s">
        <v>989</v>
      </c>
      <c r="J455" s="502">
        <v>2333</v>
      </c>
      <c r="K455" s="503">
        <f>K456+1</f>
        <v>151</v>
      </c>
      <c r="L455" s="503">
        <f t="shared" si="21"/>
        <v>183</v>
      </c>
      <c r="M455" s="216"/>
    </row>
    <row r="456" spans="2:13" ht="19.5" customHeight="1">
      <c r="B456" s="500" t="s">
        <v>460</v>
      </c>
      <c r="C456" s="501">
        <v>40857</v>
      </c>
      <c r="D456" s="501" t="s">
        <v>287</v>
      </c>
      <c r="E456" s="484" t="s">
        <v>806</v>
      </c>
      <c r="F456" s="475" t="s">
        <v>462</v>
      </c>
      <c r="G456" s="476" t="s">
        <v>784</v>
      </c>
      <c r="H456" s="477" t="s">
        <v>733</v>
      </c>
      <c r="I456" s="477" t="s">
        <v>989</v>
      </c>
      <c r="J456" s="502">
        <v>2665</v>
      </c>
      <c r="K456" s="503">
        <f>K457+1</f>
        <v>150</v>
      </c>
      <c r="L456" s="503">
        <f t="shared" si="21"/>
        <v>182</v>
      </c>
      <c r="M456" s="216"/>
    </row>
    <row r="457" spans="2:13" ht="19.5" customHeight="1">
      <c r="B457" s="500" t="s">
        <v>460</v>
      </c>
      <c r="C457" s="501">
        <v>40856</v>
      </c>
      <c r="D457" s="501" t="s">
        <v>287</v>
      </c>
      <c r="E457" s="484" t="s">
        <v>806</v>
      </c>
      <c r="F457" s="475" t="s">
        <v>462</v>
      </c>
      <c r="G457" s="476" t="s">
        <v>469</v>
      </c>
      <c r="H457" s="477" t="s">
        <v>732</v>
      </c>
      <c r="I457" s="477" t="s">
        <v>989</v>
      </c>
      <c r="J457" s="502">
        <v>1070</v>
      </c>
      <c r="K457" s="503">
        <f>K459+1</f>
        <v>149</v>
      </c>
      <c r="L457" s="503">
        <f t="shared" si="21"/>
        <v>181</v>
      </c>
      <c r="M457" s="216"/>
    </row>
    <row r="458" spans="2:13" ht="19.5" customHeight="1">
      <c r="B458" s="500" t="s">
        <v>490</v>
      </c>
      <c r="C458" s="501">
        <v>40856</v>
      </c>
      <c r="D458" s="501" t="s">
        <v>287</v>
      </c>
      <c r="E458" s="484" t="s">
        <v>806</v>
      </c>
      <c r="F458" s="475" t="s">
        <v>462</v>
      </c>
      <c r="G458" s="476" t="s">
        <v>784</v>
      </c>
      <c r="H458" s="477" t="s">
        <v>746</v>
      </c>
      <c r="I458" s="477" t="s">
        <v>989</v>
      </c>
      <c r="J458" s="502">
        <v>689</v>
      </c>
      <c r="K458" s="503">
        <f>K477+1</f>
        <v>25</v>
      </c>
      <c r="L458" s="503">
        <f t="shared" si="21"/>
        <v>180</v>
      </c>
      <c r="M458" s="216"/>
    </row>
    <row r="459" spans="2:13" ht="19.5" customHeight="1">
      <c r="B459" s="500" t="s">
        <v>460</v>
      </c>
      <c r="C459" s="501">
        <v>40855</v>
      </c>
      <c r="D459" s="501" t="s">
        <v>287</v>
      </c>
      <c r="E459" s="484" t="s">
        <v>807</v>
      </c>
      <c r="F459" s="475" t="s">
        <v>766</v>
      </c>
      <c r="G459" s="476" t="s">
        <v>793</v>
      </c>
      <c r="H459" s="477" t="s">
        <v>731</v>
      </c>
      <c r="I459" s="477" t="s">
        <v>989</v>
      </c>
      <c r="J459" s="502">
        <v>2458</v>
      </c>
      <c r="K459" s="503">
        <f>K460+1</f>
        <v>148</v>
      </c>
      <c r="L459" s="503">
        <f t="shared" si="21"/>
        <v>179</v>
      </c>
      <c r="M459" s="216"/>
    </row>
    <row r="460" spans="2:13" ht="19.5" customHeight="1">
      <c r="B460" s="500" t="s">
        <v>460</v>
      </c>
      <c r="C460" s="501">
        <v>40851</v>
      </c>
      <c r="D460" s="501" t="s">
        <v>287</v>
      </c>
      <c r="E460" s="484" t="s">
        <v>806</v>
      </c>
      <c r="F460" s="475" t="s">
        <v>462</v>
      </c>
      <c r="G460" s="476" t="s">
        <v>783</v>
      </c>
      <c r="H460" s="477" t="s">
        <v>730</v>
      </c>
      <c r="I460" s="477" t="s">
        <v>987</v>
      </c>
      <c r="J460" s="502">
        <v>1739</v>
      </c>
      <c r="K460" s="503">
        <f>K461+1</f>
        <v>147</v>
      </c>
      <c r="L460" s="503">
        <f t="shared" si="21"/>
        <v>178</v>
      </c>
      <c r="M460" s="216"/>
    </row>
    <row r="461" spans="2:13" ht="19.5" customHeight="1">
      <c r="B461" s="500" t="s">
        <v>460</v>
      </c>
      <c r="C461" s="501">
        <v>40836</v>
      </c>
      <c r="D461" s="501" t="s">
        <v>287</v>
      </c>
      <c r="E461" s="484" t="s">
        <v>805</v>
      </c>
      <c r="F461" s="475" t="s">
        <v>461</v>
      </c>
      <c r="G461" s="476" t="s">
        <v>780</v>
      </c>
      <c r="H461" s="477" t="s">
        <v>728</v>
      </c>
      <c r="I461" s="477" t="s">
        <v>987</v>
      </c>
      <c r="J461" s="502">
        <v>1900</v>
      </c>
      <c r="K461" s="503">
        <f>K464+1</f>
        <v>146</v>
      </c>
      <c r="L461" s="503">
        <f t="shared" si="21"/>
        <v>177</v>
      </c>
      <c r="M461" s="216"/>
    </row>
    <row r="462" spans="2:13" ht="19.5" customHeight="1">
      <c r="B462" s="500" t="s">
        <v>491</v>
      </c>
      <c r="C462" s="501">
        <v>40836</v>
      </c>
      <c r="D462" s="501" t="s">
        <v>287</v>
      </c>
      <c r="E462" s="484" t="s">
        <v>805</v>
      </c>
      <c r="F462" s="475" t="s">
        <v>461</v>
      </c>
      <c r="G462" s="476" t="s">
        <v>495</v>
      </c>
      <c r="H462" s="477" t="s">
        <v>729</v>
      </c>
      <c r="I462" s="477" t="s">
        <v>989</v>
      </c>
      <c r="J462" s="502">
        <v>287</v>
      </c>
      <c r="K462" s="503">
        <f>K467+1</f>
        <v>3</v>
      </c>
      <c r="L462" s="503">
        <f>L464+1</f>
        <v>176</v>
      </c>
      <c r="M462" s="216"/>
    </row>
    <row r="463" spans="2:13" ht="19.5" customHeight="1">
      <c r="B463" s="425" t="s">
        <v>460</v>
      </c>
      <c r="C463" s="426">
        <v>40829</v>
      </c>
      <c r="D463" s="426" t="s">
        <v>287</v>
      </c>
      <c r="E463" s="427" t="s">
        <v>808</v>
      </c>
      <c r="F463" s="428" t="s">
        <v>754</v>
      </c>
      <c r="G463" s="429" t="s">
        <v>560</v>
      </c>
      <c r="H463" s="430" t="s">
        <v>727</v>
      </c>
      <c r="I463" s="430" t="s">
        <v>987</v>
      </c>
      <c r="J463" s="431">
        <v>2510</v>
      </c>
      <c r="K463" s="508" t="s">
        <v>1292</v>
      </c>
      <c r="L463" s="508" t="s">
        <v>1292</v>
      </c>
      <c r="M463" s="216"/>
    </row>
    <row r="464" spans="2:13" ht="19.5" customHeight="1">
      <c r="B464" s="500" t="s">
        <v>460</v>
      </c>
      <c r="C464" s="501">
        <v>40821</v>
      </c>
      <c r="D464" s="501" t="s">
        <v>287</v>
      </c>
      <c r="E464" s="484" t="s">
        <v>805</v>
      </c>
      <c r="F464" s="475" t="s">
        <v>748</v>
      </c>
      <c r="G464" s="476" t="s">
        <v>792</v>
      </c>
      <c r="H464" s="477" t="s">
        <v>726</v>
      </c>
      <c r="I464" s="477" t="s">
        <v>989</v>
      </c>
      <c r="J464" s="502">
        <v>2660</v>
      </c>
      <c r="K464" s="503">
        <f>K465+1</f>
        <v>145</v>
      </c>
      <c r="L464" s="503">
        <f>L465+1</f>
        <v>175</v>
      </c>
      <c r="M464" s="216"/>
    </row>
    <row r="465" spans="2:13" ht="19.5" customHeight="1">
      <c r="B465" s="500" t="s">
        <v>460</v>
      </c>
      <c r="C465" s="501">
        <v>40820</v>
      </c>
      <c r="D465" s="501" t="s">
        <v>287</v>
      </c>
      <c r="E465" s="484" t="s">
        <v>806</v>
      </c>
      <c r="F465" s="475" t="s">
        <v>750</v>
      </c>
      <c r="G465" s="476" t="s">
        <v>502</v>
      </c>
      <c r="H465" s="477" t="s">
        <v>725</v>
      </c>
      <c r="I465" s="477" t="s">
        <v>989</v>
      </c>
      <c r="J465" s="502">
        <v>2170</v>
      </c>
      <c r="K465" s="503">
        <f>K466+1</f>
        <v>144</v>
      </c>
      <c r="L465" s="503">
        <f>L466+1</f>
        <v>174</v>
      </c>
      <c r="M465" s="216"/>
    </row>
    <row r="466" spans="2:13" ht="19.5" customHeight="1">
      <c r="B466" s="500" t="s">
        <v>460</v>
      </c>
      <c r="C466" s="501">
        <v>40802</v>
      </c>
      <c r="D466" s="501" t="s">
        <v>283</v>
      </c>
      <c r="E466" s="484" t="s">
        <v>808</v>
      </c>
      <c r="F466" s="475" t="s">
        <v>464</v>
      </c>
      <c r="G466" s="476" t="s">
        <v>791</v>
      </c>
      <c r="H466" s="477" t="s">
        <v>800</v>
      </c>
      <c r="I466" s="477" t="s">
        <v>989</v>
      </c>
      <c r="J466" s="502">
        <v>1492</v>
      </c>
      <c r="K466" s="503">
        <f>K468+1</f>
        <v>143</v>
      </c>
      <c r="L466" s="503">
        <f t="shared" ref="L466:L476" si="23">L467+1</f>
        <v>173</v>
      </c>
      <c r="M466" s="216"/>
    </row>
    <row r="467" spans="2:13" ht="19.5" customHeight="1">
      <c r="B467" s="500" t="s">
        <v>491</v>
      </c>
      <c r="C467" s="501">
        <v>40785</v>
      </c>
      <c r="D467" s="501" t="s">
        <v>283</v>
      </c>
      <c r="E467" s="483" t="s">
        <v>806</v>
      </c>
      <c r="F467" s="475" t="s">
        <v>750</v>
      </c>
      <c r="G467" s="476" t="s">
        <v>534</v>
      </c>
      <c r="H467" s="477" t="s">
        <v>724</v>
      </c>
      <c r="I467" s="477" t="s">
        <v>989</v>
      </c>
      <c r="J467" s="502">
        <v>228</v>
      </c>
      <c r="K467" s="503">
        <f>K478+1</f>
        <v>2</v>
      </c>
      <c r="L467" s="503">
        <f t="shared" si="23"/>
        <v>172</v>
      </c>
      <c r="M467" s="216"/>
    </row>
    <row r="468" spans="2:13" ht="19.5" customHeight="1">
      <c r="B468" s="500" t="s">
        <v>460</v>
      </c>
      <c r="C468" s="501">
        <v>40723</v>
      </c>
      <c r="D468" s="501" t="s">
        <v>253</v>
      </c>
      <c r="E468" s="484" t="s">
        <v>806</v>
      </c>
      <c r="F468" s="475" t="s">
        <v>462</v>
      </c>
      <c r="G468" s="476" t="s">
        <v>548</v>
      </c>
      <c r="H468" s="477" t="s">
        <v>721</v>
      </c>
      <c r="I468" s="477" t="s">
        <v>989</v>
      </c>
      <c r="J468" s="502">
        <v>2988</v>
      </c>
      <c r="K468" s="503">
        <f t="shared" ref="K468:K475" si="24">K469+1</f>
        <v>142</v>
      </c>
      <c r="L468" s="503">
        <f t="shared" si="23"/>
        <v>171</v>
      </c>
      <c r="M468" s="216"/>
    </row>
    <row r="469" spans="2:13" ht="19.5" customHeight="1">
      <c r="B469" s="500" t="s">
        <v>460</v>
      </c>
      <c r="C469" s="501">
        <v>40711</v>
      </c>
      <c r="D469" s="501" t="s">
        <v>253</v>
      </c>
      <c r="E469" s="484" t="s">
        <v>806</v>
      </c>
      <c r="F469" s="475" t="s">
        <v>466</v>
      </c>
      <c r="G469" s="476" t="s">
        <v>789</v>
      </c>
      <c r="H469" s="477" t="s">
        <v>723</v>
      </c>
      <c r="I469" s="477" t="s">
        <v>989</v>
      </c>
      <c r="J469" s="502">
        <v>2078</v>
      </c>
      <c r="K469" s="503">
        <f t="shared" si="24"/>
        <v>141</v>
      </c>
      <c r="L469" s="503">
        <f t="shared" si="23"/>
        <v>170</v>
      </c>
      <c r="M469" s="216"/>
    </row>
    <row r="470" spans="2:13" ht="19.5" customHeight="1">
      <c r="B470" s="500" t="s">
        <v>460</v>
      </c>
      <c r="C470" s="501">
        <v>40710</v>
      </c>
      <c r="D470" s="501" t="s">
        <v>253</v>
      </c>
      <c r="E470" s="484" t="s">
        <v>809</v>
      </c>
      <c r="F470" s="475" t="s">
        <v>757</v>
      </c>
      <c r="G470" s="476" t="s">
        <v>547</v>
      </c>
      <c r="H470" s="477" t="s">
        <v>722</v>
      </c>
      <c r="I470" s="477" t="s">
        <v>989</v>
      </c>
      <c r="J470" s="502">
        <v>1921</v>
      </c>
      <c r="K470" s="503">
        <f t="shared" si="24"/>
        <v>140</v>
      </c>
      <c r="L470" s="503">
        <f t="shared" si="23"/>
        <v>169</v>
      </c>
      <c r="M470" s="216"/>
    </row>
    <row r="471" spans="2:13" ht="19.5" customHeight="1">
      <c r="B471" s="500" t="s">
        <v>460</v>
      </c>
      <c r="C471" s="501">
        <v>40694</v>
      </c>
      <c r="D471" s="501" t="s">
        <v>253</v>
      </c>
      <c r="E471" s="484" t="s">
        <v>808</v>
      </c>
      <c r="F471" s="475" t="s">
        <v>764</v>
      </c>
      <c r="G471" s="476" t="s">
        <v>790</v>
      </c>
      <c r="H471" s="477" t="s">
        <v>719</v>
      </c>
      <c r="I471" s="477" t="s">
        <v>989</v>
      </c>
      <c r="J471" s="502">
        <v>2657.9</v>
      </c>
      <c r="K471" s="503">
        <f t="shared" si="24"/>
        <v>139</v>
      </c>
      <c r="L471" s="503">
        <f t="shared" si="23"/>
        <v>168</v>
      </c>
      <c r="M471" s="216"/>
    </row>
    <row r="472" spans="2:13" ht="19.5" customHeight="1">
      <c r="B472" s="500" t="s">
        <v>460</v>
      </c>
      <c r="C472" s="501">
        <v>40693</v>
      </c>
      <c r="D472" s="501" t="s">
        <v>253</v>
      </c>
      <c r="E472" s="484" t="s">
        <v>806</v>
      </c>
      <c r="F472" s="475" t="s">
        <v>466</v>
      </c>
      <c r="G472" s="476" t="s">
        <v>788</v>
      </c>
      <c r="H472" s="477" t="s">
        <v>720</v>
      </c>
      <c r="I472" s="477" t="s">
        <v>989</v>
      </c>
      <c r="J472" s="502">
        <v>2891.4</v>
      </c>
      <c r="K472" s="503">
        <f t="shared" si="24"/>
        <v>138</v>
      </c>
      <c r="L472" s="503">
        <f t="shared" si="23"/>
        <v>167</v>
      </c>
      <c r="M472" s="216"/>
    </row>
    <row r="473" spans="2:13" ht="19.5" customHeight="1">
      <c r="B473" s="500" t="s">
        <v>460</v>
      </c>
      <c r="C473" s="501">
        <v>40691</v>
      </c>
      <c r="D473" s="501" t="s">
        <v>253</v>
      </c>
      <c r="E473" s="484" t="s">
        <v>805</v>
      </c>
      <c r="F473" s="475" t="s">
        <v>748</v>
      </c>
      <c r="G473" s="476" t="s">
        <v>779</v>
      </c>
      <c r="H473" s="477" t="s">
        <v>717</v>
      </c>
      <c r="I473" s="477" t="s">
        <v>989</v>
      </c>
      <c r="J473" s="502">
        <v>2239.1999999999998</v>
      </c>
      <c r="K473" s="503">
        <f t="shared" si="24"/>
        <v>137</v>
      </c>
      <c r="L473" s="503">
        <f t="shared" si="23"/>
        <v>166</v>
      </c>
      <c r="M473" s="216"/>
    </row>
    <row r="474" spans="2:13" ht="19.5" customHeight="1">
      <c r="B474" s="500" t="s">
        <v>460</v>
      </c>
      <c r="C474" s="501">
        <v>40688</v>
      </c>
      <c r="D474" s="501" t="s">
        <v>253</v>
      </c>
      <c r="E474" s="484" t="s">
        <v>809</v>
      </c>
      <c r="F474" s="475" t="s">
        <v>761</v>
      </c>
      <c r="G474" s="476" t="s">
        <v>546</v>
      </c>
      <c r="H474" s="477" t="s">
        <v>718</v>
      </c>
      <c r="I474" s="477" t="s">
        <v>989</v>
      </c>
      <c r="J474" s="502">
        <v>2970</v>
      </c>
      <c r="K474" s="503">
        <f t="shared" si="24"/>
        <v>136</v>
      </c>
      <c r="L474" s="503">
        <f t="shared" si="23"/>
        <v>165</v>
      </c>
      <c r="M474" s="216"/>
    </row>
    <row r="475" spans="2:13" ht="19.5" customHeight="1">
      <c r="B475" s="500" t="s">
        <v>460</v>
      </c>
      <c r="C475" s="501">
        <v>40661</v>
      </c>
      <c r="D475" s="501" t="s">
        <v>253</v>
      </c>
      <c r="E475" s="484" t="s">
        <v>806</v>
      </c>
      <c r="F475" s="475" t="s">
        <v>462</v>
      </c>
      <c r="G475" s="476" t="s">
        <v>567</v>
      </c>
      <c r="H475" s="477" t="s">
        <v>686</v>
      </c>
      <c r="I475" s="477" t="s">
        <v>989</v>
      </c>
      <c r="J475" s="502">
        <v>3100</v>
      </c>
      <c r="K475" s="503">
        <f t="shared" si="24"/>
        <v>135</v>
      </c>
      <c r="L475" s="503">
        <f t="shared" si="23"/>
        <v>164</v>
      </c>
      <c r="M475" s="216"/>
    </row>
    <row r="476" spans="2:13" ht="19.5" customHeight="1">
      <c r="B476" s="500" t="s">
        <v>460</v>
      </c>
      <c r="C476" s="501">
        <v>40661</v>
      </c>
      <c r="D476" s="501" t="s">
        <v>253</v>
      </c>
      <c r="E476" s="484" t="s">
        <v>806</v>
      </c>
      <c r="F476" s="475" t="s">
        <v>462</v>
      </c>
      <c r="G476" s="476" t="s">
        <v>782</v>
      </c>
      <c r="H476" s="477" t="s">
        <v>716</v>
      </c>
      <c r="I476" s="477" t="s">
        <v>989</v>
      </c>
      <c r="J476" s="502">
        <v>2300</v>
      </c>
      <c r="K476" s="503">
        <f>K479+1</f>
        <v>134</v>
      </c>
      <c r="L476" s="503">
        <f t="shared" si="23"/>
        <v>163</v>
      </c>
      <c r="M476" s="216"/>
    </row>
    <row r="477" spans="2:13" ht="19.5" customHeight="1">
      <c r="B477" s="500" t="s">
        <v>490</v>
      </c>
      <c r="C477" s="501">
        <v>40661</v>
      </c>
      <c r="D477" s="501" t="s">
        <v>253</v>
      </c>
      <c r="E477" s="484" t="s">
        <v>806</v>
      </c>
      <c r="F477" s="475" t="s">
        <v>462</v>
      </c>
      <c r="G477" s="476" t="s">
        <v>567</v>
      </c>
      <c r="H477" s="477" t="s">
        <v>686</v>
      </c>
      <c r="I477" s="477" t="s">
        <v>989</v>
      </c>
      <c r="J477" s="502">
        <v>668</v>
      </c>
      <c r="K477" s="503">
        <f>27+1-4</f>
        <v>24</v>
      </c>
      <c r="L477" s="503">
        <f>L478+1+27</f>
        <v>162</v>
      </c>
      <c r="M477" s="216"/>
    </row>
    <row r="478" spans="2:13" ht="19.5" customHeight="1">
      <c r="B478" s="500" t="s">
        <v>491</v>
      </c>
      <c r="C478" s="501">
        <v>40633</v>
      </c>
      <c r="D478" s="501" t="s">
        <v>220</v>
      </c>
      <c r="E478" s="483" t="s">
        <v>806</v>
      </c>
      <c r="F478" s="475" t="s">
        <v>462</v>
      </c>
      <c r="G478" s="476" t="s">
        <v>469</v>
      </c>
      <c r="H478" s="477" t="s">
        <v>839</v>
      </c>
      <c r="I478" s="477" t="s">
        <v>989</v>
      </c>
      <c r="J478" s="502">
        <v>480</v>
      </c>
      <c r="K478" s="503">
        <v>1</v>
      </c>
      <c r="L478" s="503">
        <f t="shared" ref="L478:L541" si="25">L479+1</f>
        <v>134</v>
      </c>
      <c r="M478" s="216"/>
    </row>
    <row r="479" spans="2:13" ht="19.5" customHeight="1">
      <c r="B479" s="500" t="s">
        <v>460</v>
      </c>
      <c r="C479" s="501">
        <v>40527</v>
      </c>
      <c r="D479" s="501" t="s">
        <v>110</v>
      </c>
      <c r="E479" s="484" t="s">
        <v>806</v>
      </c>
      <c r="F479" s="475" t="s">
        <v>462</v>
      </c>
      <c r="G479" s="476" t="s">
        <v>854</v>
      </c>
      <c r="H479" s="477" t="s">
        <v>878</v>
      </c>
      <c r="I479" s="477" t="s">
        <v>989</v>
      </c>
      <c r="J479" s="502">
        <v>2130.89</v>
      </c>
      <c r="K479" s="503">
        <f t="shared" ref="K479:L542" si="26">K480+1</f>
        <v>133</v>
      </c>
      <c r="L479" s="503">
        <f t="shared" si="25"/>
        <v>133</v>
      </c>
      <c r="M479" s="216"/>
    </row>
    <row r="480" spans="2:13" ht="19.5" customHeight="1">
      <c r="B480" s="500" t="s">
        <v>460</v>
      </c>
      <c r="C480" s="501">
        <v>40521</v>
      </c>
      <c r="D480" s="501" t="s">
        <v>110</v>
      </c>
      <c r="E480" s="484" t="s">
        <v>806</v>
      </c>
      <c r="F480" s="475" t="s">
        <v>466</v>
      </c>
      <c r="G480" s="476" t="s">
        <v>856</v>
      </c>
      <c r="H480" s="477" t="s">
        <v>880</v>
      </c>
      <c r="I480" s="477" t="s">
        <v>989</v>
      </c>
      <c r="J480" s="502">
        <v>2631.56</v>
      </c>
      <c r="K480" s="503">
        <f t="shared" si="26"/>
        <v>132</v>
      </c>
      <c r="L480" s="503">
        <f t="shared" si="25"/>
        <v>132</v>
      </c>
      <c r="M480" s="216"/>
    </row>
    <row r="481" spans="2:13" ht="19.5" customHeight="1">
      <c r="B481" s="500" t="s">
        <v>460</v>
      </c>
      <c r="C481" s="501">
        <v>40521</v>
      </c>
      <c r="D481" s="501" t="s">
        <v>110</v>
      </c>
      <c r="E481" s="484" t="s">
        <v>805</v>
      </c>
      <c r="F481" s="475" t="s">
        <v>461</v>
      </c>
      <c r="G481" s="476" t="s">
        <v>855</v>
      </c>
      <c r="H481" s="477" t="s">
        <v>879</v>
      </c>
      <c r="I481" s="477" t="s">
        <v>989</v>
      </c>
      <c r="J481" s="502">
        <v>2119.75</v>
      </c>
      <c r="K481" s="503">
        <f t="shared" si="26"/>
        <v>131</v>
      </c>
      <c r="L481" s="503">
        <f t="shared" si="25"/>
        <v>131</v>
      </c>
      <c r="M481" s="216"/>
    </row>
    <row r="482" spans="2:13" ht="19.5" customHeight="1">
      <c r="B482" s="500" t="s">
        <v>460</v>
      </c>
      <c r="C482" s="501">
        <v>40515</v>
      </c>
      <c r="D482" s="501" t="s">
        <v>110</v>
      </c>
      <c r="E482" s="484" t="s">
        <v>808</v>
      </c>
      <c r="F482" s="475" t="s">
        <v>464</v>
      </c>
      <c r="G482" s="476" t="s">
        <v>509</v>
      </c>
      <c r="H482" s="477" t="s">
        <v>881</v>
      </c>
      <c r="I482" s="477" t="s">
        <v>989</v>
      </c>
      <c r="J482" s="502">
        <v>2821.32</v>
      </c>
      <c r="K482" s="503">
        <f t="shared" si="26"/>
        <v>130</v>
      </c>
      <c r="L482" s="503">
        <f t="shared" si="25"/>
        <v>130</v>
      </c>
      <c r="M482" s="216"/>
    </row>
    <row r="483" spans="2:13" ht="19.5" customHeight="1">
      <c r="B483" s="500" t="s">
        <v>460</v>
      </c>
      <c r="C483" s="501">
        <v>40506</v>
      </c>
      <c r="D483" s="501" t="s">
        <v>110</v>
      </c>
      <c r="E483" s="484" t="s">
        <v>806</v>
      </c>
      <c r="F483" s="475" t="s">
        <v>462</v>
      </c>
      <c r="G483" s="476" t="s">
        <v>857</v>
      </c>
      <c r="H483" s="477" t="s">
        <v>882</v>
      </c>
      <c r="I483" s="477" t="s">
        <v>989</v>
      </c>
      <c r="J483" s="502">
        <v>2412.8599999999997</v>
      </c>
      <c r="K483" s="503">
        <f t="shared" si="26"/>
        <v>129</v>
      </c>
      <c r="L483" s="503">
        <f t="shared" si="25"/>
        <v>129</v>
      </c>
      <c r="M483" s="216"/>
    </row>
    <row r="484" spans="2:13" ht="19.5" customHeight="1">
      <c r="B484" s="500" t="s">
        <v>460</v>
      </c>
      <c r="C484" s="501">
        <v>40491</v>
      </c>
      <c r="D484" s="501" t="s">
        <v>110</v>
      </c>
      <c r="E484" s="484" t="s">
        <v>808</v>
      </c>
      <c r="F484" s="475" t="s">
        <v>464</v>
      </c>
      <c r="G484" s="476" t="s">
        <v>509</v>
      </c>
      <c r="H484" s="477" t="s">
        <v>884</v>
      </c>
      <c r="I484" s="477" t="s">
        <v>989</v>
      </c>
      <c r="J484" s="502">
        <v>2824.92</v>
      </c>
      <c r="K484" s="503">
        <f t="shared" si="26"/>
        <v>128</v>
      </c>
      <c r="L484" s="503">
        <f t="shared" si="25"/>
        <v>128</v>
      </c>
      <c r="M484" s="216"/>
    </row>
    <row r="485" spans="2:13" ht="19.5" customHeight="1">
      <c r="B485" s="500" t="s">
        <v>460</v>
      </c>
      <c r="C485" s="501">
        <v>40491</v>
      </c>
      <c r="D485" s="501" t="s">
        <v>110</v>
      </c>
      <c r="E485" s="484" t="s">
        <v>805</v>
      </c>
      <c r="F485" s="475" t="s">
        <v>461</v>
      </c>
      <c r="G485" s="476" t="s">
        <v>549</v>
      </c>
      <c r="H485" s="477" t="s">
        <v>883</v>
      </c>
      <c r="I485" s="477" t="s">
        <v>989</v>
      </c>
      <c r="J485" s="502">
        <v>1454.93</v>
      </c>
      <c r="K485" s="503">
        <f t="shared" si="26"/>
        <v>127</v>
      </c>
      <c r="L485" s="503">
        <f t="shared" si="25"/>
        <v>127</v>
      </c>
      <c r="M485" s="216"/>
    </row>
    <row r="486" spans="2:13" ht="19.5" customHeight="1">
      <c r="B486" s="500" t="s">
        <v>460</v>
      </c>
      <c r="C486" s="501">
        <v>40477</v>
      </c>
      <c r="D486" s="501" t="s">
        <v>110</v>
      </c>
      <c r="E486" s="484" t="s">
        <v>806</v>
      </c>
      <c r="F486" s="475" t="s">
        <v>750</v>
      </c>
      <c r="G486" s="476" t="s">
        <v>534</v>
      </c>
      <c r="H486" s="477" t="s">
        <v>885</v>
      </c>
      <c r="I486" s="477" t="s">
        <v>989</v>
      </c>
      <c r="J486" s="502">
        <v>3121.54</v>
      </c>
      <c r="K486" s="503">
        <f t="shared" si="26"/>
        <v>126</v>
      </c>
      <c r="L486" s="503">
        <f t="shared" si="25"/>
        <v>126</v>
      </c>
      <c r="M486" s="216"/>
    </row>
    <row r="487" spans="2:13" ht="19.5" customHeight="1">
      <c r="B487" s="500" t="s">
        <v>460</v>
      </c>
      <c r="C487" s="501">
        <v>40407</v>
      </c>
      <c r="D487" s="501" t="s">
        <v>107</v>
      </c>
      <c r="E487" s="484" t="s">
        <v>807</v>
      </c>
      <c r="F487" s="475" t="s">
        <v>767</v>
      </c>
      <c r="G487" s="476" t="s">
        <v>858</v>
      </c>
      <c r="H487" s="477" t="s">
        <v>886</v>
      </c>
      <c r="I487" s="477" t="s">
        <v>989</v>
      </c>
      <c r="J487" s="502">
        <v>2809.4</v>
      </c>
      <c r="K487" s="503">
        <f t="shared" si="26"/>
        <v>125</v>
      </c>
      <c r="L487" s="503">
        <f t="shared" si="25"/>
        <v>125</v>
      </c>
      <c r="M487" s="216"/>
    </row>
    <row r="488" spans="2:13" ht="19.5" customHeight="1">
      <c r="B488" s="500" t="s">
        <v>460</v>
      </c>
      <c r="C488" s="501">
        <v>40359</v>
      </c>
      <c r="D488" s="501" t="s">
        <v>106</v>
      </c>
      <c r="E488" s="484" t="s">
        <v>806</v>
      </c>
      <c r="F488" s="475" t="s">
        <v>462</v>
      </c>
      <c r="G488" s="476" t="s">
        <v>469</v>
      </c>
      <c r="H488" s="477" t="s">
        <v>887</v>
      </c>
      <c r="I488" s="477" t="s">
        <v>989</v>
      </c>
      <c r="J488" s="502">
        <v>2663.89</v>
      </c>
      <c r="K488" s="503">
        <f t="shared" si="26"/>
        <v>124</v>
      </c>
      <c r="L488" s="503">
        <f t="shared" si="25"/>
        <v>124</v>
      </c>
      <c r="M488" s="216"/>
    </row>
    <row r="489" spans="2:13" ht="19.5" customHeight="1">
      <c r="B489" s="500" t="s">
        <v>460</v>
      </c>
      <c r="C489" s="501">
        <v>40330</v>
      </c>
      <c r="D489" s="501" t="s">
        <v>106</v>
      </c>
      <c r="E489" s="484" t="s">
        <v>806</v>
      </c>
      <c r="F489" s="475" t="s">
        <v>466</v>
      </c>
      <c r="G489" s="476" t="s">
        <v>492</v>
      </c>
      <c r="H489" s="477" t="s">
        <v>888</v>
      </c>
      <c r="I489" s="477" t="s">
        <v>989</v>
      </c>
      <c r="J489" s="502">
        <v>3481.3</v>
      </c>
      <c r="K489" s="503">
        <f t="shared" si="26"/>
        <v>123</v>
      </c>
      <c r="L489" s="503">
        <f t="shared" si="25"/>
        <v>123</v>
      </c>
      <c r="M489" s="216"/>
    </row>
    <row r="490" spans="2:13" ht="19.5" customHeight="1">
      <c r="B490" s="500" t="s">
        <v>460</v>
      </c>
      <c r="C490" s="501">
        <v>40303</v>
      </c>
      <c r="D490" s="501" t="s">
        <v>106</v>
      </c>
      <c r="E490" s="484" t="s">
        <v>806</v>
      </c>
      <c r="F490" s="475" t="s">
        <v>462</v>
      </c>
      <c r="G490" s="476" t="s">
        <v>469</v>
      </c>
      <c r="H490" s="477" t="s">
        <v>889</v>
      </c>
      <c r="I490" s="477" t="s">
        <v>987</v>
      </c>
      <c r="J490" s="502">
        <v>3138.83</v>
      </c>
      <c r="K490" s="503">
        <f t="shared" si="26"/>
        <v>122</v>
      </c>
      <c r="L490" s="503">
        <f t="shared" si="25"/>
        <v>122</v>
      </c>
      <c r="M490" s="216"/>
    </row>
    <row r="491" spans="2:13" ht="19.5" customHeight="1">
      <c r="B491" s="500" t="s">
        <v>460</v>
      </c>
      <c r="C491" s="501">
        <v>40292</v>
      </c>
      <c r="D491" s="501" t="s">
        <v>106</v>
      </c>
      <c r="E491" s="484" t="s">
        <v>805</v>
      </c>
      <c r="F491" s="475" t="s">
        <v>748</v>
      </c>
      <c r="G491" s="476" t="s">
        <v>518</v>
      </c>
      <c r="H491" s="477" t="s">
        <v>890</v>
      </c>
      <c r="I491" s="477" t="s">
        <v>989</v>
      </c>
      <c r="J491" s="502">
        <v>3118.5499999999997</v>
      </c>
      <c r="K491" s="503">
        <f t="shared" si="26"/>
        <v>121</v>
      </c>
      <c r="L491" s="503">
        <f t="shared" si="25"/>
        <v>121</v>
      </c>
      <c r="M491" s="216"/>
    </row>
    <row r="492" spans="2:13" ht="19.5" customHeight="1">
      <c r="B492" s="500" t="s">
        <v>460</v>
      </c>
      <c r="C492" s="501">
        <v>40268</v>
      </c>
      <c r="D492" s="501" t="s">
        <v>105</v>
      </c>
      <c r="E492" s="484" t="s">
        <v>808</v>
      </c>
      <c r="F492" s="475" t="s">
        <v>760</v>
      </c>
      <c r="G492" s="476" t="s">
        <v>557</v>
      </c>
      <c r="H492" s="477" t="s">
        <v>891</v>
      </c>
      <c r="I492" s="477" t="s">
        <v>989</v>
      </c>
      <c r="J492" s="502">
        <v>3849.43</v>
      </c>
      <c r="K492" s="503">
        <f t="shared" si="26"/>
        <v>120</v>
      </c>
      <c r="L492" s="503">
        <f t="shared" si="25"/>
        <v>120</v>
      </c>
      <c r="M492" s="216"/>
    </row>
    <row r="493" spans="2:13" ht="19.5" customHeight="1">
      <c r="B493" s="500" t="s">
        <v>460</v>
      </c>
      <c r="C493" s="501">
        <v>40143</v>
      </c>
      <c r="D493" s="501" t="s">
        <v>104</v>
      </c>
      <c r="E493" s="484" t="s">
        <v>805</v>
      </c>
      <c r="F493" s="475" t="s">
        <v>461</v>
      </c>
      <c r="G493" s="476" t="s">
        <v>495</v>
      </c>
      <c r="H493" s="477" t="s">
        <v>729</v>
      </c>
      <c r="I493" s="477" t="s">
        <v>989</v>
      </c>
      <c r="J493" s="502">
        <v>2216.7600000000002</v>
      </c>
      <c r="K493" s="503">
        <f t="shared" si="26"/>
        <v>119</v>
      </c>
      <c r="L493" s="503">
        <f t="shared" si="25"/>
        <v>119</v>
      </c>
      <c r="M493" s="216"/>
    </row>
    <row r="494" spans="2:13" ht="19.5" customHeight="1">
      <c r="B494" s="500" t="s">
        <v>460</v>
      </c>
      <c r="C494" s="501">
        <v>40134</v>
      </c>
      <c r="D494" s="501" t="s">
        <v>104</v>
      </c>
      <c r="E494" s="484" t="s">
        <v>807</v>
      </c>
      <c r="F494" s="475" t="s">
        <v>751</v>
      </c>
      <c r="G494" s="476" t="s">
        <v>503</v>
      </c>
      <c r="H494" s="477" t="s">
        <v>892</v>
      </c>
      <c r="I494" s="477" t="s">
        <v>989</v>
      </c>
      <c r="J494" s="502">
        <v>2902.67</v>
      </c>
      <c r="K494" s="503">
        <f t="shared" si="26"/>
        <v>118</v>
      </c>
      <c r="L494" s="503">
        <f t="shared" si="25"/>
        <v>118</v>
      </c>
      <c r="M494" s="216"/>
    </row>
    <row r="495" spans="2:13" ht="19.5" customHeight="1">
      <c r="B495" s="500" t="s">
        <v>460</v>
      </c>
      <c r="C495" s="501">
        <v>40094</v>
      </c>
      <c r="D495" s="501" t="s">
        <v>104</v>
      </c>
      <c r="E495" s="484" t="s">
        <v>806</v>
      </c>
      <c r="F495" s="475" t="s">
        <v>462</v>
      </c>
      <c r="G495" s="476" t="s">
        <v>781</v>
      </c>
      <c r="H495" s="477" t="s">
        <v>852</v>
      </c>
      <c r="I495" s="477" t="s">
        <v>989</v>
      </c>
      <c r="J495" s="502">
        <v>3372.1400000000003</v>
      </c>
      <c r="K495" s="503">
        <f t="shared" si="26"/>
        <v>117</v>
      </c>
      <c r="L495" s="503">
        <f t="shared" si="25"/>
        <v>117</v>
      </c>
      <c r="M495" s="216"/>
    </row>
    <row r="496" spans="2:13" ht="19.5" customHeight="1">
      <c r="B496" s="500" t="s">
        <v>460</v>
      </c>
      <c r="C496" s="501">
        <v>40087</v>
      </c>
      <c r="D496" s="501" t="s">
        <v>104</v>
      </c>
      <c r="E496" s="484" t="s">
        <v>806</v>
      </c>
      <c r="F496" s="475" t="s">
        <v>462</v>
      </c>
      <c r="G496" s="476" t="s">
        <v>859</v>
      </c>
      <c r="H496" s="477" t="s">
        <v>893</v>
      </c>
      <c r="I496" s="477" t="s">
        <v>989</v>
      </c>
      <c r="J496" s="502">
        <v>2855.98</v>
      </c>
      <c r="K496" s="503">
        <f t="shared" si="26"/>
        <v>116</v>
      </c>
      <c r="L496" s="503">
        <f t="shared" si="25"/>
        <v>116</v>
      </c>
      <c r="M496" s="216"/>
    </row>
    <row r="497" spans="2:13" ht="19.5" customHeight="1">
      <c r="B497" s="500" t="s">
        <v>460</v>
      </c>
      <c r="C497" s="501">
        <v>40073</v>
      </c>
      <c r="D497" s="501" t="s">
        <v>103</v>
      </c>
      <c r="E497" s="484" t="s">
        <v>805</v>
      </c>
      <c r="F497" s="475" t="s">
        <v>461</v>
      </c>
      <c r="G497" s="476" t="s">
        <v>860</v>
      </c>
      <c r="H497" s="477" t="s">
        <v>894</v>
      </c>
      <c r="I497" s="477" t="s">
        <v>989</v>
      </c>
      <c r="J497" s="502">
        <v>3231.58</v>
      </c>
      <c r="K497" s="503">
        <f t="shared" si="26"/>
        <v>115</v>
      </c>
      <c r="L497" s="503">
        <f t="shared" si="25"/>
        <v>115</v>
      </c>
      <c r="M497" s="216"/>
    </row>
    <row r="498" spans="2:13" ht="19.5" customHeight="1">
      <c r="B498" s="500" t="s">
        <v>460</v>
      </c>
      <c r="C498" s="501">
        <v>39989</v>
      </c>
      <c r="D498" s="501" t="s">
        <v>102</v>
      </c>
      <c r="E498" s="484" t="s">
        <v>809</v>
      </c>
      <c r="F498" s="475" t="s">
        <v>757</v>
      </c>
      <c r="G498" s="476" t="s">
        <v>547</v>
      </c>
      <c r="H498" s="477" t="s">
        <v>895</v>
      </c>
      <c r="I498" s="477" t="s">
        <v>989</v>
      </c>
      <c r="J498" s="502">
        <v>2510.27</v>
      </c>
      <c r="K498" s="503">
        <f t="shared" si="26"/>
        <v>114</v>
      </c>
      <c r="L498" s="503">
        <f t="shared" si="25"/>
        <v>114</v>
      </c>
      <c r="M498" s="216"/>
    </row>
    <row r="499" spans="2:13" ht="19.5" customHeight="1">
      <c r="B499" s="500" t="s">
        <v>460</v>
      </c>
      <c r="C499" s="501">
        <v>39933</v>
      </c>
      <c r="D499" s="501" t="s">
        <v>102</v>
      </c>
      <c r="E499" s="484" t="s">
        <v>806</v>
      </c>
      <c r="F499" s="475" t="s">
        <v>462</v>
      </c>
      <c r="G499" s="476" t="s">
        <v>861</v>
      </c>
      <c r="H499" s="477" t="s">
        <v>896</v>
      </c>
      <c r="I499" s="477" t="s">
        <v>989</v>
      </c>
      <c r="J499" s="502">
        <v>2958.5</v>
      </c>
      <c r="K499" s="503">
        <f t="shared" si="26"/>
        <v>113</v>
      </c>
      <c r="L499" s="503">
        <f t="shared" si="25"/>
        <v>113</v>
      </c>
      <c r="M499" s="216"/>
    </row>
    <row r="500" spans="2:13" ht="19.5" customHeight="1">
      <c r="B500" s="500" t="s">
        <v>460</v>
      </c>
      <c r="C500" s="501">
        <v>39933</v>
      </c>
      <c r="D500" s="501" t="s">
        <v>102</v>
      </c>
      <c r="E500" s="484" t="s">
        <v>809</v>
      </c>
      <c r="F500" s="475" t="s">
        <v>467</v>
      </c>
      <c r="G500" s="476" t="s">
        <v>545</v>
      </c>
      <c r="H500" s="477" t="s">
        <v>897</v>
      </c>
      <c r="I500" s="477" t="s">
        <v>989</v>
      </c>
      <c r="J500" s="502">
        <v>2500.02</v>
      </c>
      <c r="K500" s="503">
        <f t="shared" si="26"/>
        <v>112</v>
      </c>
      <c r="L500" s="503">
        <f t="shared" si="25"/>
        <v>112</v>
      </c>
      <c r="M500" s="216"/>
    </row>
    <row r="501" spans="2:13" ht="19.5" customHeight="1">
      <c r="B501" s="500" t="s">
        <v>460</v>
      </c>
      <c r="C501" s="501">
        <v>39928</v>
      </c>
      <c r="D501" s="501" t="s">
        <v>102</v>
      </c>
      <c r="E501" s="484" t="s">
        <v>808</v>
      </c>
      <c r="F501" s="475" t="s">
        <v>754</v>
      </c>
      <c r="G501" s="476" t="s">
        <v>560</v>
      </c>
      <c r="H501" s="477" t="s">
        <v>898</v>
      </c>
      <c r="I501" s="477" t="s">
        <v>989</v>
      </c>
      <c r="J501" s="502">
        <v>2847.5699999999997</v>
      </c>
      <c r="K501" s="503">
        <f t="shared" si="26"/>
        <v>111</v>
      </c>
      <c r="L501" s="503">
        <f t="shared" si="25"/>
        <v>111</v>
      </c>
      <c r="M501" s="216"/>
    </row>
    <row r="502" spans="2:13" ht="19.5" customHeight="1">
      <c r="B502" s="500" t="s">
        <v>460</v>
      </c>
      <c r="C502" s="501">
        <v>39910</v>
      </c>
      <c r="D502" s="501" t="s">
        <v>102</v>
      </c>
      <c r="E502" s="484" t="s">
        <v>807</v>
      </c>
      <c r="F502" s="475" t="s">
        <v>758</v>
      </c>
      <c r="G502" s="476" t="s">
        <v>539</v>
      </c>
      <c r="H502" s="477" t="s">
        <v>899</v>
      </c>
      <c r="I502" s="477" t="s">
        <v>989</v>
      </c>
      <c r="J502" s="502">
        <v>3011.41</v>
      </c>
      <c r="K502" s="503">
        <f t="shared" si="26"/>
        <v>110</v>
      </c>
      <c r="L502" s="503">
        <f t="shared" si="25"/>
        <v>110</v>
      </c>
      <c r="M502" s="216"/>
    </row>
    <row r="503" spans="2:13" ht="19.5" customHeight="1">
      <c r="B503" s="500" t="s">
        <v>460</v>
      </c>
      <c r="C503" s="501">
        <v>39777</v>
      </c>
      <c r="D503" s="501" t="s">
        <v>100</v>
      </c>
      <c r="E503" s="484" t="s">
        <v>806</v>
      </c>
      <c r="F503" s="475" t="s">
        <v>753</v>
      </c>
      <c r="G503" s="476" t="s">
        <v>530</v>
      </c>
      <c r="H503" s="477" t="s">
        <v>900</v>
      </c>
      <c r="I503" s="477" t="s">
        <v>989</v>
      </c>
      <c r="J503" s="502">
        <v>2767.58</v>
      </c>
      <c r="K503" s="503">
        <f t="shared" si="26"/>
        <v>109</v>
      </c>
      <c r="L503" s="503">
        <f t="shared" si="25"/>
        <v>109</v>
      </c>
      <c r="M503" s="216"/>
    </row>
    <row r="504" spans="2:13" ht="19.5" customHeight="1">
      <c r="B504" s="500" t="s">
        <v>460</v>
      </c>
      <c r="C504" s="501">
        <v>39772</v>
      </c>
      <c r="D504" s="501" t="s">
        <v>100</v>
      </c>
      <c r="E504" s="484" t="s">
        <v>809</v>
      </c>
      <c r="F504" s="475" t="s">
        <v>467</v>
      </c>
      <c r="G504" s="476" t="s">
        <v>862</v>
      </c>
      <c r="H504" s="477" t="s">
        <v>901</v>
      </c>
      <c r="I504" s="477" t="s">
        <v>989</v>
      </c>
      <c r="J504" s="502">
        <v>3271.3199999999997</v>
      </c>
      <c r="K504" s="503">
        <f t="shared" si="26"/>
        <v>108</v>
      </c>
      <c r="L504" s="503">
        <f t="shared" si="25"/>
        <v>108</v>
      </c>
      <c r="M504" s="216"/>
    </row>
    <row r="505" spans="2:13" ht="19.5" customHeight="1">
      <c r="B505" s="500" t="s">
        <v>460</v>
      </c>
      <c r="C505" s="501">
        <v>39770</v>
      </c>
      <c r="D505" s="501" t="s">
        <v>100</v>
      </c>
      <c r="E505" s="484" t="s">
        <v>805</v>
      </c>
      <c r="F505" s="475" t="s">
        <v>461</v>
      </c>
      <c r="G505" s="476" t="s">
        <v>495</v>
      </c>
      <c r="H505" s="477" t="s">
        <v>647</v>
      </c>
      <c r="I505" s="477" t="s">
        <v>989</v>
      </c>
      <c r="J505" s="502">
        <v>4903.08</v>
      </c>
      <c r="K505" s="503">
        <f t="shared" si="26"/>
        <v>107</v>
      </c>
      <c r="L505" s="503">
        <f t="shared" si="25"/>
        <v>107</v>
      </c>
      <c r="M505" s="216"/>
    </row>
    <row r="506" spans="2:13" ht="19.5" customHeight="1">
      <c r="B506" s="500" t="s">
        <v>460</v>
      </c>
      <c r="C506" s="501">
        <v>39763</v>
      </c>
      <c r="D506" s="501" t="s">
        <v>100</v>
      </c>
      <c r="E506" s="484" t="s">
        <v>806</v>
      </c>
      <c r="F506" s="475" t="s">
        <v>466</v>
      </c>
      <c r="G506" s="476" t="s">
        <v>863</v>
      </c>
      <c r="H506" s="477" t="s">
        <v>902</v>
      </c>
      <c r="I506" s="477" t="s">
        <v>989</v>
      </c>
      <c r="J506" s="502">
        <v>3000.3399999999997</v>
      </c>
      <c r="K506" s="503">
        <f t="shared" si="26"/>
        <v>106</v>
      </c>
      <c r="L506" s="503">
        <f t="shared" si="25"/>
        <v>106</v>
      </c>
      <c r="M506" s="216"/>
    </row>
    <row r="507" spans="2:13" ht="19.5" customHeight="1">
      <c r="B507" s="500" t="s">
        <v>460</v>
      </c>
      <c r="C507" s="501">
        <v>39751</v>
      </c>
      <c r="D507" s="501" t="s">
        <v>100</v>
      </c>
      <c r="E507" s="484" t="s">
        <v>807</v>
      </c>
      <c r="F507" s="475" t="s">
        <v>765</v>
      </c>
      <c r="G507" s="476" t="s">
        <v>864</v>
      </c>
      <c r="H507" s="477" t="s">
        <v>903</v>
      </c>
      <c r="I507" s="477" t="s">
        <v>989</v>
      </c>
      <c r="J507" s="502">
        <v>3118.22</v>
      </c>
      <c r="K507" s="503">
        <f t="shared" si="26"/>
        <v>105</v>
      </c>
      <c r="L507" s="503">
        <f t="shared" si="25"/>
        <v>105</v>
      </c>
      <c r="M507" s="216"/>
    </row>
    <row r="508" spans="2:13" ht="19.5" customHeight="1">
      <c r="B508" s="500" t="s">
        <v>460</v>
      </c>
      <c r="C508" s="501">
        <v>39750</v>
      </c>
      <c r="D508" s="501" t="s">
        <v>100</v>
      </c>
      <c r="E508" s="484" t="s">
        <v>806</v>
      </c>
      <c r="F508" s="475" t="s">
        <v>462</v>
      </c>
      <c r="G508" s="476" t="s">
        <v>566</v>
      </c>
      <c r="H508" s="477" t="s">
        <v>904</v>
      </c>
      <c r="I508" s="477" t="s">
        <v>989</v>
      </c>
      <c r="J508" s="502">
        <v>2826.7599999999998</v>
      </c>
      <c r="K508" s="503">
        <f t="shared" si="26"/>
        <v>104</v>
      </c>
      <c r="L508" s="503">
        <f t="shared" si="25"/>
        <v>104</v>
      </c>
      <c r="M508" s="216"/>
    </row>
    <row r="509" spans="2:13" ht="19.5" customHeight="1">
      <c r="B509" s="500" t="s">
        <v>460</v>
      </c>
      <c r="C509" s="501">
        <v>39730</v>
      </c>
      <c r="D509" s="501" t="s">
        <v>100</v>
      </c>
      <c r="E509" s="484" t="s">
        <v>809</v>
      </c>
      <c r="F509" s="475" t="s">
        <v>467</v>
      </c>
      <c r="G509" s="476" t="s">
        <v>865</v>
      </c>
      <c r="H509" s="477" t="s">
        <v>905</v>
      </c>
      <c r="I509" s="477" t="s">
        <v>989</v>
      </c>
      <c r="J509" s="502">
        <v>2369.8399999999997</v>
      </c>
      <c r="K509" s="503">
        <f t="shared" si="26"/>
        <v>103</v>
      </c>
      <c r="L509" s="503">
        <f t="shared" si="25"/>
        <v>103</v>
      </c>
      <c r="M509" s="216"/>
    </row>
    <row r="510" spans="2:13" ht="19.5" customHeight="1">
      <c r="B510" s="500" t="s">
        <v>460</v>
      </c>
      <c r="C510" s="501">
        <v>39717</v>
      </c>
      <c r="D510" s="501" t="s">
        <v>99</v>
      </c>
      <c r="E510" s="484" t="s">
        <v>805</v>
      </c>
      <c r="F510" s="475" t="s">
        <v>762</v>
      </c>
      <c r="G510" s="476" t="s">
        <v>866</v>
      </c>
      <c r="H510" s="477" t="s">
        <v>906</v>
      </c>
      <c r="I510" s="477" t="s">
        <v>989</v>
      </c>
      <c r="J510" s="502">
        <v>2351.35</v>
      </c>
      <c r="K510" s="503">
        <f t="shared" si="26"/>
        <v>102</v>
      </c>
      <c r="L510" s="503">
        <f t="shared" si="25"/>
        <v>102</v>
      </c>
      <c r="M510" s="216"/>
    </row>
    <row r="511" spans="2:13" ht="19.5" customHeight="1">
      <c r="B511" s="500" t="s">
        <v>460</v>
      </c>
      <c r="C511" s="501">
        <v>39687</v>
      </c>
      <c r="D511" s="501" t="s">
        <v>99</v>
      </c>
      <c r="E511" s="484" t="s">
        <v>806</v>
      </c>
      <c r="F511" s="475" t="s">
        <v>462</v>
      </c>
      <c r="G511" s="476" t="s">
        <v>867</v>
      </c>
      <c r="H511" s="477" t="s">
        <v>907</v>
      </c>
      <c r="I511" s="477" t="s">
        <v>989</v>
      </c>
      <c r="J511" s="502">
        <v>3054.96</v>
      </c>
      <c r="K511" s="503">
        <f t="shared" si="26"/>
        <v>101</v>
      </c>
      <c r="L511" s="503">
        <f t="shared" si="25"/>
        <v>101</v>
      </c>
      <c r="M511" s="216"/>
    </row>
    <row r="512" spans="2:13" ht="19.5" customHeight="1">
      <c r="B512" s="500" t="s">
        <v>460</v>
      </c>
      <c r="C512" s="501">
        <v>39577</v>
      </c>
      <c r="D512" s="501" t="s">
        <v>98</v>
      </c>
      <c r="E512" s="484" t="s">
        <v>805</v>
      </c>
      <c r="F512" s="475" t="s">
        <v>762</v>
      </c>
      <c r="G512" s="476" t="s">
        <v>683</v>
      </c>
      <c r="H512" s="477" t="s">
        <v>736</v>
      </c>
      <c r="I512" s="477" t="s">
        <v>989</v>
      </c>
      <c r="J512" s="502">
        <v>3040.49</v>
      </c>
      <c r="K512" s="503">
        <f t="shared" si="26"/>
        <v>100</v>
      </c>
      <c r="L512" s="503">
        <f t="shared" si="25"/>
        <v>100</v>
      </c>
      <c r="M512" s="216"/>
    </row>
    <row r="513" spans="2:13" ht="19.5" customHeight="1">
      <c r="B513" s="500" t="s">
        <v>460</v>
      </c>
      <c r="C513" s="501">
        <v>39574</v>
      </c>
      <c r="D513" s="501" t="s">
        <v>98</v>
      </c>
      <c r="E513" s="484" t="s">
        <v>806</v>
      </c>
      <c r="F513" s="475" t="s">
        <v>466</v>
      </c>
      <c r="G513" s="476" t="s">
        <v>868</v>
      </c>
      <c r="H513" s="477" t="s">
        <v>908</v>
      </c>
      <c r="I513" s="477" t="s">
        <v>989</v>
      </c>
      <c r="J513" s="502">
        <v>3070.04</v>
      </c>
      <c r="K513" s="503">
        <f t="shared" si="26"/>
        <v>99</v>
      </c>
      <c r="L513" s="503">
        <f t="shared" si="25"/>
        <v>99</v>
      </c>
      <c r="M513" s="216"/>
    </row>
    <row r="514" spans="2:13" ht="19.5" customHeight="1">
      <c r="B514" s="500" t="s">
        <v>460</v>
      </c>
      <c r="C514" s="501">
        <v>39562</v>
      </c>
      <c r="D514" s="501" t="s">
        <v>98</v>
      </c>
      <c r="E514" s="484" t="s">
        <v>805</v>
      </c>
      <c r="F514" s="475" t="s">
        <v>762</v>
      </c>
      <c r="G514" s="476" t="s">
        <v>869</v>
      </c>
      <c r="H514" s="477" t="s">
        <v>909</v>
      </c>
      <c r="I514" s="477" t="s">
        <v>989</v>
      </c>
      <c r="J514" s="502">
        <v>2701.46</v>
      </c>
      <c r="K514" s="503">
        <f t="shared" si="26"/>
        <v>98</v>
      </c>
      <c r="L514" s="503">
        <f t="shared" si="25"/>
        <v>98</v>
      </c>
      <c r="M514" s="216"/>
    </row>
    <row r="515" spans="2:13" ht="19.5" customHeight="1">
      <c r="B515" s="500" t="s">
        <v>460</v>
      </c>
      <c r="C515" s="501">
        <v>39561</v>
      </c>
      <c r="D515" s="501" t="s">
        <v>98</v>
      </c>
      <c r="E515" s="484" t="s">
        <v>806</v>
      </c>
      <c r="F515" s="475" t="s">
        <v>462</v>
      </c>
      <c r="G515" s="476" t="s">
        <v>516</v>
      </c>
      <c r="H515" s="477" t="s">
        <v>603</v>
      </c>
      <c r="I515" s="477" t="s">
        <v>989</v>
      </c>
      <c r="J515" s="502">
        <v>3236.1100000000006</v>
      </c>
      <c r="K515" s="503">
        <f t="shared" si="26"/>
        <v>97</v>
      </c>
      <c r="L515" s="503">
        <f t="shared" si="25"/>
        <v>97</v>
      </c>
      <c r="M515" s="216"/>
    </row>
    <row r="516" spans="2:13" ht="19.5" customHeight="1">
      <c r="B516" s="500" t="s">
        <v>460</v>
      </c>
      <c r="C516" s="501">
        <v>39560</v>
      </c>
      <c r="D516" s="501" t="s">
        <v>98</v>
      </c>
      <c r="E516" s="484" t="s">
        <v>806</v>
      </c>
      <c r="F516" s="475" t="s">
        <v>750</v>
      </c>
      <c r="G516" s="476" t="s">
        <v>870</v>
      </c>
      <c r="H516" s="477" t="s">
        <v>910</v>
      </c>
      <c r="I516" s="477" t="s">
        <v>989</v>
      </c>
      <c r="J516" s="502">
        <v>3420.9300000000003</v>
      </c>
      <c r="K516" s="503">
        <f t="shared" si="26"/>
        <v>96</v>
      </c>
      <c r="L516" s="503">
        <f t="shared" si="25"/>
        <v>96</v>
      </c>
      <c r="M516" s="216"/>
    </row>
    <row r="517" spans="2:13" ht="19.5" customHeight="1">
      <c r="B517" s="500" t="s">
        <v>460</v>
      </c>
      <c r="C517" s="501">
        <v>39535</v>
      </c>
      <c r="D517" s="501" t="s">
        <v>97</v>
      </c>
      <c r="E517" s="484" t="s">
        <v>806</v>
      </c>
      <c r="F517" s="475" t="s">
        <v>462</v>
      </c>
      <c r="G517" s="476" t="s">
        <v>469</v>
      </c>
      <c r="H517" s="477" t="s">
        <v>911</v>
      </c>
      <c r="I517" s="477" t="s">
        <v>989</v>
      </c>
      <c r="J517" s="502">
        <v>2798.66</v>
      </c>
      <c r="K517" s="503">
        <f t="shared" si="26"/>
        <v>95</v>
      </c>
      <c r="L517" s="503">
        <f t="shared" si="25"/>
        <v>95</v>
      </c>
      <c r="M517" s="216"/>
    </row>
    <row r="518" spans="2:13" ht="19.5" customHeight="1">
      <c r="B518" s="500" t="s">
        <v>460</v>
      </c>
      <c r="C518" s="501">
        <v>39428</v>
      </c>
      <c r="D518" s="501" t="s">
        <v>96</v>
      </c>
      <c r="E518" s="484" t="s">
        <v>808</v>
      </c>
      <c r="F518" s="475" t="s">
        <v>759</v>
      </c>
      <c r="G518" s="476" t="s">
        <v>871</v>
      </c>
      <c r="H518" s="477" t="s">
        <v>912</v>
      </c>
      <c r="I518" s="477" t="s">
        <v>989</v>
      </c>
      <c r="J518" s="502">
        <v>3538.5</v>
      </c>
      <c r="K518" s="503">
        <f t="shared" si="26"/>
        <v>94</v>
      </c>
      <c r="L518" s="503">
        <f t="shared" si="25"/>
        <v>94</v>
      </c>
      <c r="M518" s="216"/>
    </row>
    <row r="519" spans="2:13" ht="19.5" customHeight="1">
      <c r="B519" s="500" t="s">
        <v>460</v>
      </c>
      <c r="C519" s="501">
        <v>39428</v>
      </c>
      <c r="D519" s="501" t="s">
        <v>96</v>
      </c>
      <c r="E519" s="484" t="s">
        <v>805</v>
      </c>
      <c r="F519" s="475" t="s">
        <v>461</v>
      </c>
      <c r="G519" s="476" t="s">
        <v>549</v>
      </c>
      <c r="H519" s="477" t="s">
        <v>913</v>
      </c>
      <c r="I519" s="477" t="s">
        <v>989</v>
      </c>
      <c r="J519" s="502">
        <v>3074.46</v>
      </c>
      <c r="K519" s="503">
        <f t="shared" si="26"/>
        <v>93</v>
      </c>
      <c r="L519" s="503">
        <f t="shared" si="25"/>
        <v>93</v>
      </c>
      <c r="M519" s="216"/>
    </row>
    <row r="520" spans="2:13" ht="19.5" customHeight="1">
      <c r="B520" s="500" t="s">
        <v>460</v>
      </c>
      <c r="C520" s="501">
        <v>39416</v>
      </c>
      <c r="D520" s="501" t="s">
        <v>96</v>
      </c>
      <c r="E520" s="484" t="s">
        <v>808</v>
      </c>
      <c r="F520" s="475" t="s">
        <v>464</v>
      </c>
      <c r="G520" s="476" t="s">
        <v>509</v>
      </c>
      <c r="H520" s="477" t="s">
        <v>914</v>
      </c>
      <c r="I520" s="477" t="s">
        <v>989</v>
      </c>
      <c r="J520" s="502">
        <v>3000.46</v>
      </c>
      <c r="K520" s="503">
        <f t="shared" si="26"/>
        <v>92</v>
      </c>
      <c r="L520" s="503">
        <f t="shared" si="25"/>
        <v>92</v>
      </c>
      <c r="M520" s="216"/>
    </row>
    <row r="521" spans="2:13" ht="19.5" customHeight="1">
      <c r="B521" s="500" t="s">
        <v>460</v>
      </c>
      <c r="C521" s="501">
        <v>39414</v>
      </c>
      <c r="D521" s="501" t="s">
        <v>96</v>
      </c>
      <c r="E521" s="484" t="s">
        <v>805</v>
      </c>
      <c r="F521" s="475" t="s">
        <v>762</v>
      </c>
      <c r="G521" s="476" t="s">
        <v>872</v>
      </c>
      <c r="H521" s="477" t="s">
        <v>915</v>
      </c>
      <c r="I521" s="477" t="s">
        <v>989</v>
      </c>
      <c r="J521" s="502">
        <v>2439.15</v>
      </c>
      <c r="K521" s="503">
        <f t="shared" si="26"/>
        <v>91</v>
      </c>
      <c r="L521" s="503">
        <f t="shared" si="25"/>
        <v>91</v>
      </c>
      <c r="M521" s="216"/>
    </row>
    <row r="522" spans="2:13" ht="19.5" customHeight="1">
      <c r="B522" s="500" t="s">
        <v>460</v>
      </c>
      <c r="C522" s="501">
        <v>39382</v>
      </c>
      <c r="D522" s="501" t="s">
        <v>96</v>
      </c>
      <c r="E522" s="484" t="s">
        <v>805</v>
      </c>
      <c r="F522" s="475" t="s">
        <v>748</v>
      </c>
      <c r="G522" s="476" t="s">
        <v>512</v>
      </c>
      <c r="H522" s="477" t="s">
        <v>916</v>
      </c>
      <c r="I522" s="477" t="s">
        <v>989</v>
      </c>
      <c r="J522" s="502">
        <v>3225.2599999999998</v>
      </c>
      <c r="K522" s="503">
        <f t="shared" si="26"/>
        <v>90</v>
      </c>
      <c r="L522" s="503">
        <f t="shared" si="25"/>
        <v>90</v>
      </c>
      <c r="M522" s="216"/>
    </row>
    <row r="523" spans="2:13" ht="19.5" customHeight="1">
      <c r="B523" s="500" t="s">
        <v>460</v>
      </c>
      <c r="C523" s="501">
        <v>39380</v>
      </c>
      <c r="D523" s="501" t="s">
        <v>96</v>
      </c>
      <c r="E523" s="484" t="s">
        <v>806</v>
      </c>
      <c r="F523" s="475" t="s">
        <v>462</v>
      </c>
      <c r="G523" s="476" t="s">
        <v>469</v>
      </c>
      <c r="H523" s="477" t="s">
        <v>917</v>
      </c>
      <c r="I523" s="477" t="s">
        <v>989</v>
      </c>
      <c r="J523" s="502">
        <v>2484.0700000000002</v>
      </c>
      <c r="K523" s="503">
        <f t="shared" si="26"/>
        <v>89</v>
      </c>
      <c r="L523" s="503">
        <f t="shared" si="25"/>
        <v>89</v>
      </c>
      <c r="M523" s="216"/>
    </row>
    <row r="524" spans="2:13" ht="19.5" customHeight="1">
      <c r="B524" s="500" t="s">
        <v>460</v>
      </c>
      <c r="C524" s="501">
        <v>39378</v>
      </c>
      <c r="D524" s="501" t="s">
        <v>96</v>
      </c>
      <c r="E524" s="484" t="s">
        <v>809</v>
      </c>
      <c r="F524" s="475" t="s">
        <v>757</v>
      </c>
      <c r="G524" s="476" t="s">
        <v>547</v>
      </c>
      <c r="H524" s="477" t="s">
        <v>918</v>
      </c>
      <c r="I524" s="477" t="s">
        <v>989</v>
      </c>
      <c r="J524" s="502">
        <v>2903.0899999999997</v>
      </c>
      <c r="K524" s="503">
        <f t="shared" si="26"/>
        <v>88</v>
      </c>
      <c r="L524" s="503">
        <f t="shared" si="25"/>
        <v>88</v>
      </c>
      <c r="M524" s="216"/>
    </row>
    <row r="525" spans="2:13" ht="19.5" customHeight="1">
      <c r="B525" s="500" t="s">
        <v>460</v>
      </c>
      <c r="C525" s="501">
        <v>39352</v>
      </c>
      <c r="D525" s="501" t="s">
        <v>95</v>
      </c>
      <c r="E525" s="484" t="s">
        <v>806</v>
      </c>
      <c r="F525" s="475" t="s">
        <v>750</v>
      </c>
      <c r="G525" s="476" t="s">
        <v>534</v>
      </c>
      <c r="H525" s="477" t="s">
        <v>919</v>
      </c>
      <c r="I525" s="477" t="s">
        <v>989</v>
      </c>
      <c r="J525" s="502">
        <v>4080.19</v>
      </c>
      <c r="K525" s="503">
        <f t="shared" si="26"/>
        <v>87</v>
      </c>
      <c r="L525" s="503">
        <f t="shared" si="25"/>
        <v>87</v>
      </c>
      <c r="M525" s="216"/>
    </row>
    <row r="526" spans="2:13" ht="19.5" customHeight="1">
      <c r="B526" s="500" t="s">
        <v>460</v>
      </c>
      <c r="C526" s="501">
        <v>39224</v>
      </c>
      <c r="D526" s="501" t="s">
        <v>14</v>
      </c>
      <c r="E526" s="484" t="s">
        <v>808</v>
      </c>
      <c r="F526" s="475" t="s">
        <v>464</v>
      </c>
      <c r="G526" s="476" t="s">
        <v>509</v>
      </c>
      <c r="H526" s="477" t="s">
        <v>591</v>
      </c>
      <c r="I526" s="477" t="s">
        <v>989</v>
      </c>
      <c r="J526" s="502">
        <v>4795.63</v>
      </c>
      <c r="K526" s="503">
        <f t="shared" si="26"/>
        <v>86</v>
      </c>
      <c r="L526" s="503">
        <f t="shared" si="25"/>
        <v>86</v>
      </c>
      <c r="M526" s="216"/>
    </row>
    <row r="527" spans="2:13" ht="19.5" customHeight="1">
      <c r="B527" s="500" t="s">
        <v>460</v>
      </c>
      <c r="C527" s="501">
        <v>39212</v>
      </c>
      <c r="D527" s="501" t="s">
        <v>14</v>
      </c>
      <c r="E527" s="484" t="s">
        <v>808</v>
      </c>
      <c r="F527" s="475" t="s">
        <v>764</v>
      </c>
      <c r="G527" s="476" t="s">
        <v>790</v>
      </c>
      <c r="H527" s="477" t="s">
        <v>920</v>
      </c>
      <c r="I527" s="477" t="s">
        <v>989</v>
      </c>
      <c r="J527" s="502">
        <v>3068.05</v>
      </c>
      <c r="K527" s="503">
        <f t="shared" si="26"/>
        <v>85</v>
      </c>
      <c r="L527" s="503">
        <f t="shared" si="25"/>
        <v>85</v>
      </c>
      <c r="M527" s="216"/>
    </row>
    <row r="528" spans="2:13" ht="19.5" customHeight="1">
      <c r="B528" s="500" t="s">
        <v>460</v>
      </c>
      <c r="C528" s="501">
        <v>39205</v>
      </c>
      <c r="D528" s="501" t="s">
        <v>14</v>
      </c>
      <c r="E528" s="484" t="s">
        <v>807</v>
      </c>
      <c r="F528" s="475" t="s">
        <v>758</v>
      </c>
      <c r="G528" s="476" t="s">
        <v>539</v>
      </c>
      <c r="H528" s="477" t="s">
        <v>921</v>
      </c>
      <c r="I528" s="477" t="s">
        <v>989</v>
      </c>
      <c r="J528" s="502">
        <v>3252.22</v>
      </c>
      <c r="K528" s="503">
        <f t="shared" si="26"/>
        <v>84</v>
      </c>
      <c r="L528" s="503">
        <f t="shared" si="25"/>
        <v>84</v>
      </c>
      <c r="M528" s="216"/>
    </row>
    <row r="529" spans="2:13" ht="19.5" customHeight="1">
      <c r="B529" s="500" t="s">
        <v>460</v>
      </c>
      <c r="C529" s="501">
        <v>39199</v>
      </c>
      <c r="D529" s="501" t="s">
        <v>14</v>
      </c>
      <c r="E529" s="484" t="s">
        <v>806</v>
      </c>
      <c r="F529" s="475" t="s">
        <v>466</v>
      </c>
      <c r="G529" s="476" t="s">
        <v>492</v>
      </c>
      <c r="H529" s="477" t="s">
        <v>922</v>
      </c>
      <c r="I529" s="477" t="s">
        <v>989</v>
      </c>
      <c r="J529" s="502">
        <v>2646.8199999999997</v>
      </c>
      <c r="K529" s="503">
        <f t="shared" si="26"/>
        <v>83</v>
      </c>
      <c r="L529" s="503">
        <f t="shared" si="25"/>
        <v>83</v>
      </c>
      <c r="M529" s="216"/>
    </row>
    <row r="530" spans="2:13" ht="19.5" customHeight="1">
      <c r="B530" s="500" t="s">
        <v>460</v>
      </c>
      <c r="C530" s="501">
        <v>39196</v>
      </c>
      <c r="D530" s="501" t="s">
        <v>14</v>
      </c>
      <c r="E530" s="484" t="s">
        <v>806</v>
      </c>
      <c r="F530" s="475" t="s">
        <v>462</v>
      </c>
      <c r="G530" s="476" t="s">
        <v>820</v>
      </c>
      <c r="H530" s="477" t="s">
        <v>821</v>
      </c>
      <c r="I530" s="477" t="s">
        <v>989</v>
      </c>
      <c r="J530" s="502">
        <v>2941.73</v>
      </c>
      <c r="K530" s="503">
        <f t="shared" si="26"/>
        <v>82</v>
      </c>
      <c r="L530" s="503">
        <f t="shared" si="25"/>
        <v>82</v>
      </c>
      <c r="M530" s="216"/>
    </row>
    <row r="531" spans="2:13" ht="19.5" customHeight="1">
      <c r="B531" s="500" t="s">
        <v>460</v>
      </c>
      <c r="C531" s="501">
        <v>39189</v>
      </c>
      <c r="D531" s="501" t="s">
        <v>14</v>
      </c>
      <c r="E531" s="484" t="s">
        <v>805</v>
      </c>
      <c r="F531" s="475" t="s">
        <v>748</v>
      </c>
      <c r="G531" s="476" t="s">
        <v>527</v>
      </c>
      <c r="H531" s="477" t="s">
        <v>923</v>
      </c>
      <c r="I531" s="477" t="s">
        <v>989</v>
      </c>
      <c r="J531" s="502">
        <v>2710.61</v>
      </c>
      <c r="K531" s="503">
        <f t="shared" si="26"/>
        <v>81</v>
      </c>
      <c r="L531" s="503">
        <f t="shared" si="25"/>
        <v>81</v>
      </c>
      <c r="M531" s="216"/>
    </row>
    <row r="532" spans="2:13" ht="19.5" customHeight="1">
      <c r="B532" s="500" t="s">
        <v>460</v>
      </c>
      <c r="C532" s="501">
        <v>39058</v>
      </c>
      <c r="D532" s="501" t="s">
        <v>12</v>
      </c>
      <c r="E532" s="484" t="s">
        <v>809</v>
      </c>
      <c r="F532" s="475" t="s">
        <v>467</v>
      </c>
      <c r="G532" s="476" t="s">
        <v>545</v>
      </c>
      <c r="H532" s="477" t="s">
        <v>924</v>
      </c>
      <c r="I532" s="477" t="s">
        <v>989</v>
      </c>
      <c r="J532" s="502">
        <v>2477.9899999999998</v>
      </c>
      <c r="K532" s="503">
        <f t="shared" si="26"/>
        <v>80</v>
      </c>
      <c r="L532" s="503">
        <f t="shared" si="25"/>
        <v>80</v>
      </c>
      <c r="M532" s="216"/>
    </row>
    <row r="533" spans="2:13" ht="19.5" customHeight="1">
      <c r="B533" s="500" t="s">
        <v>460</v>
      </c>
      <c r="C533" s="501">
        <v>39057</v>
      </c>
      <c r="D533" s="501" t="s">
        <v>12</v>
      </c>
      <c r="E533" s="484" t="s">
        <v>806</v>
      </c>
      <c r="F533" s="475" t="s">
        <v>466</v>
      </c>
      <c r="G533" s="476" t="s">
        <v>492</v>
      </c>
      <c r="H533" s="477" t="s">
        <v>925</v>
      </c>
      <c r="I533" s="477" t="s">
        <v>989</v>
      </c>
      <c r="J533" s="502">
        <v>2431.9300000000003</v>
      </c>
      <c r="K533" s="503">
        <f t="shared" si="26"/>
        <v>79</v>
      </c>
      <c r="L533" s="503">
        <f t="shared" si="25"/>
        <v>79</v>
      </c>
      <c r="M533" s="216"/>
    </row>
    <row r="534" spans="2:13" ht="19.5" customHeight="1">
      <c r="B534" s="500" t="s">
        <v>460</v>
      </c>
      <c r="C534" s="501">
        <v>39056</v>
      </c>
      <c r="D534" s="501" t="s">
        <v>12</v>
      </c>
      <c r="E534" s="484" t="s">
        <v>806</v>
      </c>
      <c r="F534" s="475" t="s">
        <v>462</v>
      </c>
      <c r="G534" s="476" t="s">
        <v>469</v>
      </c>
      <c r="H534" s="477" t="s">
        <v>818</v>
      </c>
      <c r="I534" s="477" t="s">
        <v>989</v>
      </c>
      <c r="J534" s="502">
        <v>2286.85</v>
      </c>
      <c r="K534" s="503">
        <f t="shared" si="26"/>
        <v>78</v>
      </c>
      <c r="L534" s="503">
        <f t="shared" si="25"/>
        <v>78</v>
      </c>
      <c r="M534" s="216"/>
    </row>
    <row r="535" spans="2:13" ht="19.5" customHeight="1">
      <c r="B535" s="500" t="s">
        <v>460</v>
      </c>
      <c r="C535" s="501">
        <v>39045</v>
      </c>
      <c r="D535" s="501" t="s">
        <v>12</v>
      </c>
      <c r="E535" s="484" t="s">
        <v>808</v>
      </c>
      <c r="F535" s="475" t="s">
        <v>464</v>
      </c>
      <c r="G535" s="476" t="s">
        <v>509</v>
      </c>
      <c r="H535" s="477" t="s">
        <v>926</v>
      </c>
      <c r="I535" s="477" t="s">
        <v>989</v>
      </c>
      <c r="J535" s="502">
        <v>4767.21</v>
      </c>
      <c r="K535" s="503">
        <f t="shared" si="26"/>
        <v>77</v>
      </c>
      <c r="L535" s="503">
        <f t="shared" si="25"/>
        <v>77</v>
      </c>
      <c r="M535" s="216"/>
    </row>
    <row r="536" spans="2:13" ht="19.5" customHeight="1">
      <c r="B536" s="500" t="s">
        <v>460</v>
      </c>
      <c r="C536" s="501">
        <v>39030</v>
      </c>
      <c r="D536" s="501" t="s">
        <v>12</v>
      </c>
      <c r="E536" s="484" t="s">
        <v>806</v>
      </c>
      <c r="F536" s="475" t="s">
        <v>466</v>
      </c>
      <c r="G536" s="476" t="s">
        <v>492</v>
      </c>
      <c r="H536" s="477" t="s">
        <v>927</v>
      </c>
      <c r="I536" s="477" t="s">
        <v>989</v>
      </c>
      <c r="J536" s="502">
        <v>3517.6899999999996</v>
      </c>
      <c r="K536" s="503">
        <f t="shared" si="26"/>
        <v>76</v>
      </c>
      <c r="L536" s="503">
        <f t="shared" si="25"/>
        <v>76</v>
      </c>
      <c r="M536" s="216"/>
    </row>
    <row r="537" spans="2:13" ht="19.5" customHeight="1">
      <c r="B537" s="500" t="s">
        <v>460</v>
      </c>
      <c r="C537" s="501">
        <v>39016</v>
      </c>
      <c r="D537" s="501" t="s">
        <v>12</v>
      </c>
      <c r="E537" s="484" t="s">
        <v>805</v>
      </c>
      <c r="F537" s="475" t="s">
        <v>748</v>
      </c>
      <c r="G537" s="476" t="s">
        <v>873</v>
      </c>
      <c r="H537" s="477" t="s">
        <v>928</v>
      </c>
      <c r="I537" s="477" t="s">
        <v>989</v>
      </c>
      <c r="J537" s="502">
        <v>2973.0600000000004</v>
      </c>
      <c r="K537" s="503">
        <f t="shared" si="26"/>
        <v>75</v>
      </c>
      <c r="L537" s="503">
        <f t="shared" si="25"/>
        <v>75</v>
      </c>
      <c r="M537" s="216"/>
    </row>
    <row r="538" spans="2:13" ht="19.5" customHeight="1">
      <c r="B538" s="500" t="s">
        <v>460</v>
      </c>
      <c r="C538" s="501">
        <v>38988</v>
      </c>
      <c r="D538" s="501" t="s">
        <v>11</v>
      </c>
      <c r="E538" s="484" t="s">
        <v>808</v>
      </c>
      <c r="F538" s="475" t="s">
        <v>465</v>
      </c>
      <c r="G538" s="476" t="s">
        <v>473</v>
      </c>
      <c r="H538" s="477" t="s">
        <v>590</v>
      </c>
      <c r="I538" s="477" t="s">
        <v>989</v>
      </c>
      <c r="J538" s="502">
        <v>4960.66</v>
      </c>
      <c r="K538" s="503">
        <f t="shared" si="26"/>
        <v>74</v>
      </c>
      <c r="L538" s="503">
        <f t="shared" si="25"/>
        <v>74</v>
      </c>
      <c r="M538" s="216"/>
    </row>
    <row r="539" spans="2:13" ht="19.5" customHeight="1">
      <c r="B539" s="500" t="s">
        <v>460</v>
      </c>
      <c r="C539" s="501">
        <v>38986</v>
      </c>
      <c r="D539" s="501" t="s">
        <v>11</v>
      </c>
      <c r="E539" s="484" t="s">
        <v>806</v>
      </c>
      <c r="F539" s="475" t="s">
        <v>462</v>
      </c>
      <c r="G539" s="476" t="s">
        <v>469</v>
      </c>
      <c r="H539" s="477" t="s">
        <v>929</v>
      </c>
      <c r="I539" s="477" t="s">
        <v>989</v>
      </c>
      <c r="J539" s="502">
        <v>2285.14</v>
      </c>
      <c r="K539" s="503">
        <f t="shared" si="26"/>
        <v>73</v>
      </c>
      <c r="L539" s="503">
        <f t="shared" si="25"/>
        <v>73</v>
      </c>
      <c r="M539" s="216"/>
    </row>
    <row r="540" spans="2:13" ht="19.5" customHeight="1">
      <c r="B540" s="500" t="s">
        <v>460</v>
      </c>
      <c r="C540" s="501">
        <v>38974</v>
      </c>
      <c r="D540" s="501" t="s">
        <v>11</v>
      </c>
      <c r="E540" s="484" t="s">
        <v>805</v>
      </c>
      <c r="F540" s="475" t="s">
        <v>461</v>
      </c>
      <c r="G540" s="476" t="s">
        <v>874</v>
      </c>
      <c r="H540" s="477" t="s">
        <v>930</v>
      </c>
      <c r="I540" s="477" t="s">
        <v>989</v>
      </c>
      <c r="J540" s="502">
        <v>2195.48</v>
      </c>
      <c r="K540" s="503">
        <f t="shared" si="26"/>
        <v>72</v>
      </c>
      <c r="L540" s="503">
        <f t="shared" si="25"/>
        <v>72</v>
      </c>
      <c r="M540" s="216"/>
    </row>
    <row r="541" spans="2:13" ht="19.5" customHeight="1">
      <c r="B541" s="500" t="s">
        <v>460</v>
      </c>
      <c r="C541" s="501">
        <v>38866</v>
      </c>
      <c r="D541" s="501" t="s">
        <v>10</v>
      </c>
      <c r="E541" s="484" t="s">
        <v>808</v>
      </c>
      <c r="F541" s="475" t="s">
        <v>749</v>
      </c>
      <c r="G541" s="476" t="s">
        <v>501</v>
      </c>
      <c r="H541" s="477" t="s">
        <v>931</v>
      </c>
      <c r="I541" s="477" t="s">
        <v>989</v>
      </c>
      <c r="J541" s="502">
        <v>3365.88</v>
      </c>
      <c r="K541" s="503">
        <f t="shared" si="26"/>
        <v>71</v>
      </c>
      <c r="L541" s="503">
        <f t="shared" si="25"/>
        <v>71</v>
      </c>
      <c r="M541" s="216"/>
    </row>
    <row r="542" spans="2:13" ht="19.5" customHeight="1">
      <c r="B542" s="500" t="s">
        <v>460</v>
      </c>
      <c r="C542" s="501">
        <v>38849</v>
      </c>
      <c r="D542" s="501" t="s">
        <v>10</v>
      </c>
      <c r="E542" s="484" t="s">
        <v>806</v>
      </c>
      <c r="F542" s="475" t="s">
        <v>462</v>
      </c>
      <c r="G542" s="476" t="s">
        <v>774</v>
      </c>
      <c r="H542" s="477" t="s">
        <v>604</v>
      </c>
      <c r="I542" s="477" t="s">
        <v>989</v>
      </c>
      <c r="J542" s="502">
        <v>2992.1499999999996</v>
      </c>
      <c r="K542" s="503">
        <f t="shared" si="26"/>
        <v>70</v>
      </c>
      <c r="L542" s="503">
        <f t="shared" si="26"/>
        <v>70</v>
      </c>
      <c r="M542" s="216"/>
    </row>
    <row r="543" spans="2:13" ht="19.5" customHeight="1">
      <c r="B543" s="500" t="s">
        <v>460</v>
      </c>
      <c r="C543" s="501">
        <v>38846</v>
      </c>
      <c r="D543" s="501" t="s">
        <v>10</v>
      </c>
      <c r="E543" s="484" t="s">
        <v>808</v>
      </c>
      <c r="F543" s="475" t="s">
        <v>749</v>
      </c>
      <c r="G543" s="476" t="s">
        <v>501</v>
      </c>
      <c r="H543" s="477" t="s">
        <v>585</v>
      </c>
      <c r="I543" s="477" t="s">
        <v>989</v>
      </c>
      <c r="J543" s="502">
        <v>4734.8599999999997</v>
      </c>
      <c r="K543" s="503">
        <f t="shared" ref="K543:L543" si="27">K544+1</f>
        <v>69</v>
      </c>
      <c r="L543" s="503">
        <f t="shared" si="27"/>
        <v>69</v>
      </c>
      <c r="M543" s="216"/>
    </row>
    <row r="544" spans="2:13" ht="19.5" customHeight="1">
      <c r="B544" s="500" t="s">
        <v>460</v>
      </c>
      <c r="C544" s="501">
        <v>38842</v>
      </c>
      <c r="D544" s="501" t="s">
        <v>10</v>
      </c>
      <c r="E544" s="484" t="s">
        <v>805</v>
      </c>
      <c r="F544" s="475" t="s">
        <v>762</v>
      </c>
      <c r="G544" s="476" t="s">
        <v>683</v>
      </c>
      <c r="H544" s="477" t="s">
        <v>932</v>
      </c>
      <c r="I544" s="477" t="s">
        <v>989</v>
      </c>
      <c r="J544" s="502">
        <v>2491.11</v>
      </c>
      <c r="K544" s="503">
        <f>K546+1</f>
        <v>68</v>
      </c>
      <c r="L544" s="503">
        <f>L546+1</f>
        <v>68</v>
      </c>
      <c r="M544" s="216"/>
    </row>
    <row r="545" spans="2:13" ht="19.5" customHeight="1">
      <c r="B545" s="425" t="s">
        <v>460</v>
      </c>
      <c r="C545" s="426">
        <v>38805</v>
      </c>
      <c r="D545" s="426" t="s">
        <v>8</v>
      </c>
      <c r="E545" s="427" t="s">
        <v>808</v>
      </c>
      <c r="F545" s="428" t="s">
        <v>465</v>
      </c>
      <c r="G545" s="429" t="s">
        <v>473</v>
      </c>
      <c r="H545" s="430" t="s">
        <v>933</v>
      </c>
      <c r="I545" s="430" t="s">
        <v>987</v>
      </c>
      <c r="J545" s="431">
        <v>5221.3999999999996</v>
      </c>
      <c r="K545" s="508" t="s">
        <v>1292</v>
      </c>
      <c r="L545" s="508" t="s">
        <v>1292</v>
      </c>
      <c r="M545" s="216"/>
    </row>
    <row r="546" spans="2:13" ht="19.5" customHeight="1">
      <c r="B546" s="500" t="s">
        <v>460</v>
      </c>
      <c r="C546" s="501">
        <v>38805</v>
      </c>
      <c r="D546" s="501" t="s">
        <v>8</v>
      </c>
      <c r="E546" s="484" t="s">
        <v>808</v>
      </c>
      <c r="F546" s="475" t="s">
        <v>465</v>
      </c>
      <c r="G546" s="476" t="s">
        <v>875</v>
      </c>
      <c r="H546" s="477" t="s">
        <v>934</v>
      </c>
      <c r="I546" s="477" t="s">
        <v>989</v>
      </c>
      <c r="J546" s="502">
        <v>3196.0699999999997</v>
      </c>
      <c r="K546" s="503">
        <f t="shared" ref="K546:L577" si="28">K547+1</f>
        <v>67</v>
      </c>
      <c r="L546" s="503">
        <f t="shared" si="28"/>
        <v>67</v>
      </c>
      <c r="M546" s="216"/>
    </row>
    <row r="547" spans="2:13" ht="19.5" customHeight="1">
      <c r="B547" s="500" t="s">
        <v>460</v>
      </c>
      <c r="C547" s="501">
        <v>38659</v>
      </c>
      <c r="D547" s="501" t="s">
        <v>7</v>
      </c>
      <c r="E547" s="484" t="s">
        <v>805</v>
      </c>
      <c r="F547" s="475" t="s">
        <v>461</v>
      </c>
      <c r="G547" s="476" t="s">
        <v>876</v>
      </c>
      <c r="H547" s="477" t="s">
        <v>935</v>
      </c>
      <c r="I547" s="477" t="s">
        <v>989</v>
      </c>
      <c r="J547" s="502">
        <v>3119.3799999999997</v>
      </c>
      <c r="K547" s="503">
        <f t="shared" si="28"/>
        <v>66</v>
      </c>
      <c r="L547" s="503">
        <f t="shared" si="28"/>
        <v>66</v>
      </c>
      <c r="M547" s="216"/>
    </row>
    <row r="548" spans="2:13" ht="19.5" customHeight="1">
      <c r="B548" s="500" t="s">
        <v>460</v>
      </c>
      <c r="C548" s="501">
        <v>38652</v>
      </c>
      <c r="D548" s="501" t="s">
        <v>7</v>
      </c>
      <c r="E548" s="484" t="s">
        <v>806</v>
      </c>
      <c r="F548" s="475" t="s">
        <v>462</v>
      </c>
      <c r="G548" s="476" t="s">
        <v>781</v>
      </c>
      <c r="H548" s="477" t="s">
        <v>713</v>
      </c>
      <c r="I548" s="477" t="s">
        <v>989</v>
      </c>
      <c r="J548" s="502">
        <v>3701.24</v>
      </c>
      <c r="K548" s="503">
        <f t="shared" si="28"/>
        <v>65</v>
      </c>
      <c r="L548" s="503">
        <f t="shared" si="28"/>
        <v>65</v>
      </c>
      <c r="M548" s="216"/>
    </row>
    <row r="549" spans="2:13" ht="19.5" customHeight="1">
      <c r="B549" s="500" t="s">
        <v>460</v>
      </c>
      <c r="C549" s="501">
        <v>38470</v>
      </c>
      <c r="D549" s="501" t="s">
        <v>5</v>
      </c>
      <c r="E549" s="484" t="s">
        <v>805</v>
      </c>
      <c r="F549" s="475" t="s">
        <v>762</v>
      </c>
      <c r="G549" s="476" t="s">
        <v>552</v>
      </c>
      <c r="H549" s="477" t="s">
        <v>936</v>
      </c>
      <c r="I549" s="477" t="s">
        <v>989</v>
      </c>
      <c r="J549" s="502">
        <v>3415.13</v>
      </c>
      <c r="K549" s="503">
        <f t="shared" si="28"/>
        <v>64</v>
      </c>
      <c r="L549" s="503">
        <f t="shared" si="28"/>
        <v>64</v>
      </c>
      <c r="M549" s="216"/>
    </row>
    <row r="550" spans="2:13" ht="19.5" customHeight="1">
      <c r="B550" s="500" t="s">
        <v>460</v>
      </c>
      <c r="C550" s="501">
        <v>38462</v>
      </c>
      <c r="D550" s="501" t="s">
        <v>5</v>
      </c>
      <c r="E550" s="484" t="s">
        <v>809</v>
      </c>
      <c r="F550" s="475" t="s">
        <v>761</v>
      </c>
      <c r="G550" s="476" t="s">
        <v>546</v>
      </c>
      <c r="H550" s="477" t="s">
        <v>643</v>
      </c>
      <c r="I550" s="477" t="s">
        <v>989</v>
      </c>
      <c r="J550" s="502">
        <v>3711.4900000000002</v>
      </c>
      <c r="K550" s="503">
        <f t="shared" si="28"/>
        <v>63</v>
      </c>
      <c r="L550" s="503">
        <f t="shared" si="28"/>
        <v>63</v>
      </c>
      <c r="M550" s="216"/>
    </row>
    <row r="551" spans="2:13" ht="19.5" customHeight="1">
      <c r="B551" s="500" t="s">
        <v>460</v>
      </c>
      <c r="C551" s="501">
        <v>38321</v>
      </c>
      <c r="D551" s="501" t="s">
        <v>992</v>
      </c>
      <c r="E551" s="484" t="s">
        <v>809</v>
      </c>
      <c r="F551" s="475" t="s">
        <v>463</v>
      </c>
      <c r="G551" s="476" t="s">
        <v>508</v>
      </c>
      <c r="H551" s="477" t="s">
        <v>937</v>
      </c>
      <c r="I551" s="477" t="s">
        <v>989</v>
      </c>
      <c r="J551" s="502">
        <v>3229.06</v>
      </c>
      <c r="K551" s="503">
        <f t="shared" si="28"/>
        <v>62</v>
      </c>
      <c r="L551" s="503">
        <f t="shared" si="28"/>
        <v>62</v>
      </c>
      <c r="M551" s="216"/>
    </row>
    <row r="552" spans="2:13" ht="19.5" customHeight="1">
      <c r="B552" s="500" t="s">
        <v>460</v>
      </c>
      <c r="C552" s="501">
        <v>38232</v>
      </c>
      <c r="D552" s="501" t="s">
        <v>1001</v>
      </c>
      <c r="E552" s="484" t="s">
        <v>806</v>
      </c>
      <c r="F552" s="475" t="s">
        <v>462</v>
      </c>
      <c r="G552" s="476" t="s">
        <v>566</v>
      </c>
      <c r="H552" s="477" t="s">
        <v>938</v>
      </c>
      <c r="I552" s="477" t="s">
        <v>989</v>
      </c>
      <c r="J552" s="502">
        <v>3142.8</v>
      </c>
      <c r="K552" s="503">
        <f t="shared" si="28"/>
        <v>61</v>
      </c>
      <c r="L552" s="503">
        <f t="shared" si="28"/>
        <v>61</v>
      </c>
      <c r="M552" s="216"/>
    </row>
    <row r="553" spans="2:13" ht="19.5" customHeight="1">
      <c r="B553" s="500" t="s">
        <v>460</v>
      </c>
      <c r="C553" s="501">
        <v>38141</v>
      </c>
      <c r="D553" s="501" t="s">
        <v>1010</v>
      </c>
      <c r="E553" s="484" t="s">
        <v>806</v>
      </c>
      <c r="F553" s="475" t="s">
        <v>750</v>
      </c>
      <c r="G553" s="476" t="s">
        <v>534</v>
      </c>
      <c r="H553" s="477" t="s">
        <v>939</v>
      </c>
      <c r="I553" s="477" t="s">
        <v>987</v>
      </c>
      <c r="J553" s="502">
        <v>2844.72</v>
      </c>
      <c r="K553" s="503">
        <f t="shared" si="28"/>
        <v>60</v>
      </c>
      <c r="L553" s="503">
        <f t="shared" si="28"/>
        <v>60</v>
      </c>
      <c r="M553" s="216"/>
    </row>
    <row r="554" spans="2:13" ht="19.5" customHeight="1">
      <c r="B554" s="500" t="s">
        <v>460</v>
      </c>
      <c r="C554" s="501">
        <v>38064</v>
      </c>
      <c r="D554" s="501" t="s">
        <v>1021</v>
      </c>
      <c r="E554" s="484" t="s">
        <v>806</v>
      </c>
      <c r="F554" s="475" t="s">
        <v>750</v>
      </c>
      <c r="G554" s="476" t="s">
        <v>559</v>
      </c>
      <c r="H554" s="477" t="s">
        <v>940</v>
      </c>
      <c r="I554" s="477" t="s">
        <v>989</v>
      </c>
      <c r="J554" s="502">
        <v>3662.42</v>
      </c>
      <c r="K554" s="503">
        <f t="shared" si="28"/>
        <v>59</v>
      </c>
      <c r="L554" s="503">
        <f t="shared" si="28"/>
        <v>59</v>
      </c>
      <c r="M554" s="216"/>
    </row>
    <row r="555" spans="2:13" ht="19.5" customHeight="1">
      <c r="B555" s="500" t="s">
        <v>460</v>
      </c>
      <c r="C555" s="501">
        <v>37938</v>
      </c>
      <c r="D555" s="501" t="s">
        <v>993</v>
      </c>
      <c r="E555" s="484" t="s">
        <v>805</v>
      </c>
      <c r="F555" s="475" t="s">
        <v>762</v>
      </c>
      <c r="G555" s="476" t="s">
        <v>683</v>
      </c>
      <c r="H555" s="477" t="s">
        <v>941</v>
      </c>
      <c r="I555" s="477" t="s">
        <v>989</v>
      </c>
      <c r="J555" s="502">
        <v>4317.08</v>
      </c>
      <c r="K555" s="503">
        <f t="shared" si="28"/>
        <v>58</v>
      </c>
      <c r="L555" s="503">
        <f t="shared" si="28"/>
        <v>58</v>
      </c>
      <c r="M555" s="216"/>
    </row>
    <row r="556" spans="2:13" ht="19.5" customHeight="1">
      <c r="B556" s="500" t="s">
        <v>460</v>
      </c>
      <c r="C556" s="501">
        <v>37931</v>
      </c>
      <c r="D556" s="501" t="s">
        <v>993</v>
      </c>
      <c r="E556" s="484" t="s">
        <v>806</v>
      </c>
      <c r="F556" s="475" t="s">
        <v>466</v>
      </c>
      <c r="G556" s="476" t="s">
        <v>492</v>
      </c>
      <c r="H556" s="477" t="s">
        <v>942</v>
      </c>
      <c r="I556" s="477" t="s">
        <v>989</v>
      </c>
      <c r="J556" s="502">
        <v>3737.18</v>
      </c>
      <c r="K556" s="503">
        <f t="shared" si="28"/>
        <v>57</v>
      </c>
      <c r="L556" s="503">
        <f t="shared" si="28"/>
        <v>57</v>
      </c>
      <c r="M556" s="216"/>
    </row>
    <row r="557" spans="2:13" ht="19.5" customHeight="1">
      <c r="B557" s="500" t="s">
        <v>460</v>
      </c>
      <c r="C557" s="501">
        <v>37800</v>
      </c>
      <c r="D557" s="501" t="s">
        <v>1011</v>
      </c>
      <c r="E557" s="484" t="s">
        <v>806</v>
      </c>
      <c r="F557" s="475" t="s">
        <v>753</v>
      </c>
      <c r="G557" s="476" t="s">
        <v>775</v>
      </c>
      <c r="H557" s="477" t="s">
        <v>747</v>
      </c>
      <c r="I557" s="477" t="s">
        <v>989</v>
      </c>
      <c r="J557" s="502">
        <v>2594.6</v>
      </c>
      <c r="K557" s="503">
        <f t="shared" si="28"/>
        <v>56</v>
      </c>
      <c r="L557" s="503">
        <f t="shared" si="28"/>
        <v>56</v>
      </c>
      <c r="M557" s="216"/>
    </row>
    <row r="558" spans="2:13" ht="19.5" customHeight="1">
      <c r="B558" s="500" t="s">
        <v>460</v>
      </c>
      <c r="C558" s="501">
        <v>37749</v>
      </c>
      <c r="D558" s="501" t="s">
        <v>1011</v>
      </c>
      <c r="E558" s="484" t="s">
        <v>806</v>
      </c>
      <c r="F558" s="475" t="s">
        <v>462</v>
      </c>
      <c r="G558" s="476" t="s">
        <v>469</v>
      </c>
      <c r="H558" s="477" t="s">
        <v>943</v>
      </c>
      <c r="I558" s="477" t="s">
        <v>989</v>
      </c>
      <c r="J558" s="502">
        <v>4266.08</v>
      </c>
      <c r="K558" s="503">
        <f t="shared" si="28"/>
        <v>55</v>
      </c>
      <c r="L558" s="503">
        <f t="shared" si="28"/>
        <v>55</v>
      </c>
      <c r="M558" s="216"/>
    </row>
    <row r="559" spans="2:13" ht="19.5" customHeight="1">
      <c r="B559" s="500" t="s">
        <v>460</v>
      </c>
      <c r="C559" s="501">
        <v>37225</v>
      </c>
      <c r="D559" s="501" t="s">
        <v>994</v>
      </c>
      <c r="E559" s="484" t="s">
        <v>806</v>
      </c>
      <c r="F559" s="475" t="s">
        <v>462</v>
      </c>
      <c r="G559" s="476" t="s">
        <v>498</v>
      </c>
      <c r="H559" s="477" t="s">
        <v>944</v>
      </c>
      <c r="I559" s="477" t="s">
        <v>989</v>
      </c>
      <c r="J559" s="502">
        <v>4829.84</v>
      </c>
      <c r="K559" s="503">
        <f t="shared" si="28"/>
        <v>54</v>
      </c>
      <c r="L559" s="503">
        <f t="shared" si="28"/>
        <v>54</v>
      </c>
      <c r="M559" s="216"/>
    </row>
    <row r="560" spans="2:13" ht="19.5" customHeight="1">
      <c r="B560" s="500" t="s">
        <v>460</v>
      </c>
      <c r="C560" s="501">
        <v>37161</v>
      </c>
      <c r="D560" s="501" t="s">
        <v>1002</v>
      </c>
      <c r="E560" s="484" t="s">
        <v>806</v>
      </c>
      <c r="F560" s="475" t="s">
        <v>466</v>
      </c>
      <c r="G560" s="476" t="s">
        <v>492</v>
      </c>
      <c r="H560" s="477" t="s">
        <v>945</v>
      </c>
      <c r="I560" s="477" t="s">
        <v>989</v>
      </c>
      <c r="J560" s="502">
        <v>2867.67</v>
      </c>
      <c r="K560" s="503">
        <f t="shared" si="28"/>
        <v>53</v>
      </c>
      <c r="L560" s="503">
        <f t="shared" si="28"/>
        <v>53</v>
      </c>
      <c r="M560" s="216"/>
    </row>
    <row r="561" spans="2:13" ht="19.5" customHeight="1">
      <c r="B561" s="500" t="s">
        <v>460</v>
      </c>
      <c r="C561" s="501">
        <v>37019</v>
      </c>
      <c r="D561" s="501" t="s">
        <v>1013</v>
      </c>
      <c r="E561" s="484" t="s">
        <v>809</v>
      </c>
      <c r="F561" s="475" t="s">
        <v>757</v>
      </c>
      <c r="G561" s="476" t="s">
        <v>547</v>
      </c>
      <c r="H561" s="477" t="s">
        <v>946</v>
      </c>
      <c r="I561" s="477" t="s">
        <v>989</v>
      </c>
      <c r="J561" s="502">
        <v>3737.2400000000002</v>
      </c>
      <c r="K561" s="503">
        <f t="shared" si="28"/>
        <v>52</v>
      </c>
      <c r="L561" s="503">
        <f t="shared" si="28"/>
        <v>52</v>
      </c>
      <c r="M561" s="216"/>
    </row>
    <row r="562" spans="2:13" ht="19.5" customHeight="1">
      <c r="B562" s="500" t="s">
        <v>460</v>
      </c>
      <c r="C562" s="501">
        <v>37014</v>
      </c>
      <c r="D562" s="501" t="s">
        <v>1013</v>
      </c>
      <c r="E562" s="484" t="s">
        <v>806</v>
      </c>
      <c r="F562" s="475" t="s">
        <v>750</v>
      </c>
      <c r="G562" s="476" t="s">
        <v>534</v>
      </c>
      <c r="H562" s="477" t="s">
        <v>947</v>
      </c>
      <c r="I562" s="477" t="s">
        <v>989</v>
      </c>
      <c r="J562" s="502">
        <v>3080.82</v>
      </c>
      <c r="K562" s="503">
        <f t="shared" si="28"/>
        <v>51</v>
      </c>
      <c r="L562" s="503">
        <f t="shared" si="28"/>
        <v>51</v>
      </c>
      <c r="M562" s="216"/>
    </row>
    <row r="563" spans="2:13" ht="19.5" customHeight="1">
      <c r="B563" s="500" t="s">
        <v>460</v>
      </c>
      <c r="C563" s="501">
        <v>36979</v>
      </c>
      <c r="D563" s="501" t="s">
        <v>1022</v>
      </c>
      <c r="E563" s="484" t="s">
        <v>805</v>
      </c>
      <c r="F563" s="475" t="s">
        <v>748</v>
      </c>
      <c r="G563" s="476" t="s">
        <v>513</v>
      </c>
      <c r="H563" s="477" t="s">
        <v>948</v>
      </c>
      <c r="I563" s="477" t="s">
        <v>989</v>
      </c>
      <c r="J563" s="502">
        <v>3433.01</v>
      </c>
      <c r="K563" s="503">
        <f t="shared" si="28"/>
        <v>50</v>
      </c>
      <c r="L563" s="503">
        <f t="shared" si="28"/>
        <v>50</v>
      </c>
      <c r="M563" s="216"/>
    </row>
    <row r="564" spans="2:13" ht="19.5" customHeight="1">
      <c r="B564" s="500" t="s">
        <v>460</v>
      </c>
      <c r="C564" s="501">
        <v>36846</v>
      </c>
      <c r="D564" s="501" t="s">
        <v>995</v>
      </c>
      <c r="E564" s="484" t="s">
        <v>809</v>
      </c>
      <c r="F564" s="475" t="s">
        <v>757</v>
      </c>
      <c r="G564" s="476" t="s">
        <v>547</v>
      </c>
      <c r="H564" s="477" t="s">
        <v>949</v>
      </c>
      <c r="I564" s="477" t="s">
        <v>989</v>
      </c>
      <c r="J564" s="502">
        <v>3259.96</v>
      </c>
      <c r="K564" s="503">
        <f t="shared" si="28"/>
        <v>49</v>
      </c>
      <c r="L564" s="503">
        <f t="shared" si="28"/>
        <v>49</v>
      </c>
      <c r="M564" s="216"/>
    </row>
    <row r="565" spans="2:13" ht="19.5" customHeight="1">
      <c r="B565" s="500" t="s">
        <v>460</v>
      </c>
      <c r="C565" s="501">
        <v>36826</v>
      </c>
      <c r="D565" s="501" t="s">
        <v>995</v>
      </c>
      <c r="E565" s="484" t="s">
        <v>806</v>
      </c>
      <c r="F565" s="475" t="s">
        <v>750</v>
      </c>
      <c r="G565" s="476" t="s">
        <v>772</v>
      </c>
      <c r="H565" s="477" t="s">
        <v>950</v>
      </c>
      <c r="I565" s="477" t="s">
        <v>989</v>
      </c>
      <c r="J565" s="502">
        <v>3541.4500000000003</v>
      </c>
      <c r="K565" s="503">
        <f t="shared" si="28"/>
        <v>48</v>
      </c>
      <c r="L565" s="503">
        <f t="shared" si="28"/>
        <v>48</v>
      </c>
      <c r="M565" s="216"/>
    </row>
    <row r="566" spans="2:13" ht="19.5" customHeight="1">
      <c r="B566" s="500" t="s">
        <v>460</v>
      </c>
      <c r="C566" s="501">
        <v>36783</v>
      </c>
      <c r="D566" s="501" t="s">
        <v>1003</v>
      </c>
      <c r="E566" s="484" t="s">
        <v>806</v>
      </c>
      <c r="F566" s="475" t="s">
        <v>462</v>
      </c>
      <c r="G566" s="476" t="s">
        <v>566</v>
      </c>
      <c r="H566" s="477" t="s">
        <v>685</v>
      </c>
      <c r="I566" s="477" t="s">
        <v>989</v>
      </c>
      <c r="J566" s="502">
        <v>4515.82</v>
      </c>
      <c r="K566" s="503">
        <f t="shared" si="28"/>
        <v>47</v>
      </c>
      <c r="L566" s="503">
        <f t="shared" si="28"/>
        <v>47</v>
      </c>
      <c r="M566" s="216"/>
    </row>
    <row r="567" spans="2:13" ht="19.5" customHeight="1">
      <c r="B567" s="500" t="s">
        <v>460</v>
      </c>
      <c r="C567" s="501">
        <v>36657</v>
      </c>
      <c r="D567" s="501" t="s">
        <v>1014</v>
      </c>
      <c r="E567" s="484" t="s">
        <v>806</v>
      </c>
      <c r="F567" s="475" t="s">
        <v>462</v>
      </c>
      <c r="G567" s="476" t="s">
        <v>469</v>
      </c>
      <c r="H567" s="477" t="s">
        <v>951</v>
      </c>
      <c r="I567" s="477" t="s">
        <v>989</v>
      </c>
      <c r="J567" s="502">
        <v>5081.0300000000007</v>
      </c>
      <c r="K567" s="503">
        <f t="shared" si="28"/>
        <v>46</v>
      </c>
      <c r="L567" s="503">
        <f t="shared" si="28"/>
        <v>46</v>
      </c>
      <c r="M567" s="216"/>
    </row>
    <row r="568" spans="2:13" ht="19.5" customHeight="1">
      <c r="B568" s="500" t="s">
        <v>460</v>
      </c>
      <c r="C568" s="501">
        <v>36656</v>
      </c>
      <c r="D568" s="501" t="s">
        <v>1014</v>
      </c>
      <c r="E568" s="484" t="s">
        <v>806</v>
      </c>
      <c r="F568" s="475" t="s">
        <v>462</v>
      </c>
      <c r="G568" s="476" t="s">
        <v>469</v>
      </c>
      <c r="H568" s="477" t="s">
        <v>952</v>
      </c>
      <c r="I568" s="477" t="s">
        <v>989</v>
      </c>
      <c r="J568" s="502">
        <v>3564.33</v>
      </c>
      <c r="K568" s="503">
        <f t="shared" si="28"/>
        <v>45</v>
      </c>
      <c r="L568" s="503">
        <f t="shared" si="28"/>
        <v>45</v>
      </c>
      <c r="M568" s="216"/>
    </row>
    <row r="569" spans="2:13" ht="19.5" customHeight="1">
      <c r="B569" s="500" t="s">
        <v>460</v>
      </c>
      <c r="C569" s="501">
        <v>36650</v>
      </c>
      <c r="D569" s="501" t="s">
        <v>1014</v>
      </c>
      <c r="E569" s="484" t="s">
        <v>805</v>
      </c>
      <c r="F569" s="475" t="s">
        <v>762</v>
      </c>
      <c r="G569" s="476" t="s">
        <v>683</v>
      </c>
      <c r="H569" s="477" t="s">
        <v>953</v>
      </c>
      <c r="I569" s="477" t="s">
        <v>989</v>
      </c>
      <c r="J569" s="502">
        <v>3598.6200000000003</v>
      </c>
      <c r="K569" s="503">
        <f t="shared" si="28"/>
        <v>44</v>
      </c>
      <c r="L569" s="503">
        <f t="shared" si="28"/>
        <v>44</v>
      </c>
      <c r="M569" s="216"/>
    </row>
    <row r="570" spans="2:13" ht="19.5" customHeight="1">
      <c r="B570" s="500" t="s">
        <v>460</v>
      </c>
      <c r="C570" s="501">
        <v>36644</v>
      </c>
      <c r="D570" s="501" t="s">
        <v>1014</v>
      </c>
      <c r="E570" s="484" t="s">
        <v>806</v>
      </c>
      <c r="F570" s="475" t="s">
        <v>462</v>
      </c>
      <c r="G570" s="476" t="s">
        <v>562</v>
      </c>
      <c r="H570" s="477" t="s">
        <v>681</v>
      </c>
      <c r="I570" s="477" t="s">
        <v>989</v>
      </c>
      <c r="J570" s="502">
        <v>3137.38</v>
      </c>
      <c r="K570" s="503">
        <f t="shared" si="28"/>
        <v>43</v>
      </c>
      <c r="L570" s="503">
        <f t="shared" si="28"/>
        <v>43</v>
      </c>
      <c r="M570" s="216"/>
    </row>
    <row r="571" spans="2:13" ht="19.5" customHeight="1">
      <c r="B571" s="500" t="s">
        <v>460</v>
      </c>
      <c r="C571" s="501">
        <v>36643</v>
      </c>
      <c r="D571" s="501" t="s">
        <v>1014</v>
      </c>
      <c r="E571" s="484" t="s">
        <v>806</v>
      </c>
      <c r="F571" s="475" t="s">
        <v>462</v>
      </c>
      <c r="G571" s="476" t="s">
        <v>511</v>
      </c>
      <c r="H571" s="477" t="s">
        <v>594</v>
      </c>
      <c r="I571" s="477" t="s">
        <v>989</v>
      </c>
      <c r="J571" s="502">
        <v>2989.37</v>
      </c>
      <c r="K571" s="503">
        <f t="shared" si="28"/>
        <v>42</v>
      </c>
      <c r="L571" s="503">
        <f t="shared" si="28"/>
        <v>42</v>
      </c>
      <c r="M571" s="216"/>
    </row>
    <row r="572" spans="2:13" ht="19.5" customHeight="1">
      <c r="B572" s="500" t="s">
        <v>460</v>
      </c>
      <c r="C572" s="501">
        <v>36641</v>
      </c>
      <c r="D572" s="501" t="s">
        <v>1014</v>
      </c>
      <c r="E572" s="484" t="s">
        <v>809</v>
      </c>
      <c r="F572" s="475" t="s">
        <v>467</v>
      </c>
      <c r="G572" s="476" t="s">
        <v>545</v>
      </c>
      <c r="H572" s="477" t="s">
        <v>954</v>
      </c>
      <c r="I572" s="477" t="s">
        <v>989</v>
      </c>
      <c r="J572" s="502">
        <v>4118.09</v>
      </c>
      <c r="K572" s="503">
        <f t="shared" si="28"/>
        <v>41</v>
      </c>
      <c r="L572" s="503">
        <f t="shared" si="28"/>
        <v>41</v>
      </c>
      <c r="M572" s="216"/>
    </row>
    <row r="573" spans="2:13" ht="19.5" customHeight="1">
      <c r="B573" s="500" t="s">
        <v>460</v>
      </c>
      <c r="C573" s="501">
        <v>36634</v>
      </c>
      <c r="D573" s="501" t="s">
        <v>1014</v>
      </c>
      <c r="E573" s="484" t="s">
        <v>806</v>
      </c>
      <c r="F573" s="475" t="s">
        <v>462</v>
      </c>
      <c r="G573" s="476" t="s">
        <v>469</v>
      </c>
      <c r="H573" s="477" t="s">
        <v>955</v>
      </c>
      <c r="I573" s="477" t="s">
        <v>989</v>
      </c>
      <c r="J573" s="502">
        <v>4987.2</v>
      </c>
      <c r="K573" s="503">
        <f t="shared" si="28"/>
        <v>40</v>
      </c>
      <c r="L573" s="503">
        <f t="shared" si="28"/>
        <v>40</v>
      </c>
      <c r="M573" s="216"/>
    </row>
    <row r="574" spans="2:13" ht="19.5" customHeight="1">
      <c r="B574" s="500" t="s">
        <v>460</v>
      </c>
      <c r="C574" s="501">
        <v>36627</v>
      </c>
      <c r="D574" s="501" t="s">
        <v>1014</v>
      </c>
      <c r="E574" s="484" t="s">
        <v>806</v>
      </c>
      <c r="F574" s="475" t="s">
        <v>462</v>
      </c>
      <c r="G574" s="476" t="s">
        <v>566</v>
      </c>
      <c r="H574" s="477" t="s">
        <v>956</v>
      </c>
      <c r="I574" s="477" t="s">
        <v>987</v>
      </c>
      <c r="J574" s="502">
        <v>7049.96</v>
      </c>
      <c r="K574" s="503">
        <f t="shared" si="28"/>
        <v>39</v>
      </c>
      <c r="L574" s="503">
        <f t="shared" si="28"/>
        <v>39</v>
      </c>
      <c r="M574" s="216"/>
    </row>
    <row r="575" spans="2:13" ht="19.5" customHeight="1">
      <c r="B575" s="500" t="s">
        <v>460</v>
      </c>
      <c r="C575" s="501">
        <v>36622</v>
      </c>
      <c r="D575" s="501" t="s">
        <v>1014</v>
      </c>
      <c r="E575" s="484" t="s">
        <v>806</v>
      </c>
      <c r="F575" s="475" t="s">
        <v>462</v>
      </c>
      <c r="G575" s="476" t="s">
        <v>469</v>
      </c>
      <c r="H575" s="477" t="s">
        <v>957</v>
      </c>
      <c r="I575" s="477" t="s">
        <v>989</v>
      </c>
      <c r="J575" s="502">
        <v>3583.36</v>
      </c>
      <c r="K575" s="503">
        <f t="shared" si="28"/>
        <v>38</v>
      </c>
      <c r="L575" s="503">
        <f t="shared" si="28"/>
        <v>38</v>
      </c>
      <c r="M575" s="216"/>
    </row>
    <row r="576" spans="2:13" ht="19.5" customHeight="1">
      <c r="B576" s="500" t="s">
        <v>460</v>
      </c>
      <c r="C576" s="501">
        <v>36615</v>
      </c>
      <c r="D576" s="501" t="s">
        <v>1023</v>
      </c>
      <c r="E576" s="484" t="s">
        <v>806</v>
      </c>
      <c r="F576" s="475" t="s">
        <v>462</v>
      </c>
      <c r="G576" s="476" t="s">
        <v>469</v>
      </c>
      <c r="H576" s="477" t="s">
        <v>688</v>
      </c>
      <c r="I576" s="477" t="s">
        <v>989</v>
      </c>
      <c r="J576" s="502">
        <v>5372.2</v>
      </c>
      <c r="K576" s="503">
        <f t="shared" si="28"/>
        <v>37</v>
      </c>
      <c r="L576" s="503">
        <f t="shared" si="28"/>
        <v>37</v>
      </c>
      <c r="M576" s="216"/>
    </row>
    <row r="577" spans="2:13" ht="19.5" customHeight="1">
      <c r="B577" s="500" t="s">
        <v>460</v>
      </c>
      <c r="C577" s="501">
        <v>36601</v>
      </c>
      <c r="D577" s="501" t="s">
        <v>1023</v>
      </c>
      <c r="E577" s="484" t="s">
        <v>806</v>
      </c>
      <c r="F577" s="475" t="s">
        <v>462</v>
      </c>
      <c r="G577" s="476" t="s">
        <v>469</v>
      </c>
      <c r="H577" s="477" t="s">
        <v>958</v>
      </c>
      <c r="I577" s="477" t="s">
        <v>989</v>
      </c>
      <c r="J577" s="502">
        <v>2371.9499999999998</v>
      </c>
      <c r="K577" s="503">
        <f t="shared" si="28"/>
        <v>36</v>
      </c>
      <c r="L577" s="503">
        <f t="shared" si="28"/>
        <v>36</v>
      </c>
      <c r="M577" s="216"/>
    </row>
    <row r="578" spans="2:13" ht="19.5" customHeight="1">
      <c r="B578" s="500" t="s">
        <v>460</v>
      </c>
      <c r="C578" s="501">
        <v>36509</v>
      </c>
      <c r="D578" s="501" t="s">
        <v>991</v>
      </c>
      <c r="E578" s="484" t="s">
        <v>806</v>
      </c>
      <c r="F578" s="475" t="s">
        <v>462</v>
      </c>
      <c r="G578" s="476" t="s">
        <v>562</v>
      </c>
      <c r="H578" s="477" t="s">
        <v>959</v>
      </c>
      <c r="I578" s="477" t="s">
        <v>989</v>
      </c>
      <c r="J578" s="502">
        <v>3437.1000000000004</v>
      </c>
      <c r="K578" s="503">
        <f t="shared" ref="K578:L611" si="29">K579+1</f>
        <v>35</v>
      </c>
      <c r="L578" s="503">
        <f t="shared" si="29"/>
        <v>35</v>
      </c>
      <c r="M578" s="216"/>
    </row>
    <row r="579" spans="2:13" ht="19.5" customHeight="1">
      <c r="B579" s="500" t="s">
        <v>460</v>
      </c>
      <c r="C579" s="501">
        <v>36501</v>
      </c>
      <c r="D579" s="501" t="s">
        <v>991</v>
      </c>
      <c r="E579" s="484" t="s">
        <v>806</v>
      </c>
      <c r="F579" s="475" t="s">
        <v>466</v>
      </c>
      <c r="G579" s="476" t="s">
        <v>877</v>
      </c>
      <c r="H579" s="477" t="s">
        <v>960</v>
      </c>
      <c r="I579" s="477" t="s">
        <v>989</v>
      </c>
      <c r="J579" s="502">
        <v>3963.5299999999997</v>
      </c>
      <c r="K579" s="503">
        <f t="shared" si="29"/>
        <v>34</v>
      </c>
      <c r="L579" s="503">
        <f t="shared" si="29"/>
        <v>34</v>
      </c>
      <c r="M579" s="216"/>
    </row>
    <row r="580" spans="2:13" ht="19.5" customHeight="1">
      <c r="B580" s="500" t="s">
        <v>460</v>
      </c>
      <c r="C580" s="501">
        <v>36497</v>
      </c>
      <c r="D580" s="501" t="s">
        <v>991</v>
      </c>
      <c r="E580" s="484" t="s">
        <v>809</v>
      </c>
      <c r="F580" s="475" t="s">
        <v>757</v>
      </c>
      <c r="G580" s="476" t="s">
        <v>547</v>
      </c>
      <c r="H580" s="477" t="s">
        <v>961</v>
      </c>
      <c r="I580" s="477" t="s">
        <v>989</v>
      </c>
      <c r="J580" s="502">
        <v>5816.7199999999993</v>
      </c>
      <c r="K580" s="503">
        <f t="shared" si="29"/>
        <v>33</v>
      </c>
      <c r="L580" s="503">
        <f t="shared" si="29"/>
        <v>33</v>
      </c>
      <c r="M580" s="216"/>
    </row>
    <row r="581" spans="2:13" ht="19.5" customHeight="1">
      <c r="B581" s="500" t="s">
        <v>460</v>
      </c>
      <c r="C581" s="501">
        <v>36494</v>
      </c>
      <c r="D581" s="501" t="s">
        <v>991</v>
      </c>
      <c r="E581" s="484" t="s">
        <v>806</v>
      </c>
      <c r="F581" s="475" t="s">
        <v>466</v>
      </c>
      <c r="G581" s="476" t="s">
        <v>507</v>
      </c>
      <c r="H581" s="477" t="s">
        <v>586</v>
      </c>
      <c r="I581" s="477" t="s">
        <v>989</v>
      </c>
      <c r="J581" s="502">
        <v>4128.2699999999995</v>
      </c>
      <c r="K581" s="503">
        <f t="shared" si="29"/>
        <v>32</v>
      </c>
      <c r="L581" s="503">
        <f t="shared" si="29"/>
        <v>32</v>
      </c>
      <c r="M581" s="216"/>
    </row>
    <row r="582" spans="2:13" ht="19.5" customHeight="1">
      <c r="B582" s="500" t="s">
        <v>460</v>
      </c>
      <c r="C582" s="501">
        <v>36490</v>
      </c>
      <c r="D582" s="501" t="s">
        <v>991</v>
      </c>
      <c r="E582" s="484" t="s">
        <v>806</v>
      </c>
      <c r="F582" s="475" t="s">
        <v>466</v>
      </c>
      <c r="G582" s="476" t="s">
        <v>492</v>
      </c>
      <c r="H582" s="477" t="s">
        <v>962</v>
      </c>
      <c r="I582" s="477" t="s">
        <v>989</v>
      </c>
      <c r="J582" s="502">
        <v>7101.88</v>
      </c>
      <c r="K582" s="503">
        <f t="shared" si="29"/>
        <v>31</v>
      </c>
      <c r="L582" s="503">
        <f t="shared" si="29"/>
        <v>31</v>
      </c>
      <c r="M582" s="216"/>
    </row>
    <row r="583" spans="2:13" ht="19.5" customHeight="1">
      <c r="B583" s="500" t="s">
        <v>460</v>
      </c>
      <c r="C583" s="501">
        <v>36489</v>
      </c>
      <c r="D583" s="501" t="s">
        <v>991</v>
      </c>
      <c r="E583" s="484" t="s">
        <v>806</v>
      </c>
      <c r="F583" s="475" t="s">
        <v>466</v>
      </c>
      <c r="G583" s="476" t="s">
        <v>492</v>
      </c>
      <c r="H583" s="477" t="s">
        <v>963</v>
      </c>
      <c r="I583" s="477" t="s">
        <v>989</v>
      </c>
      <c r="J583" s="502">
        <v>5866.77</v>
      </c>
      <c r="K583" s="503">
        <f t="shared" si="29"/>
        <v>30</v>
      </c>
      <c r="L583" s="503">
        <f t="shared" si="29"/>
        <v>30</v>
      </c>
      <c r="M583" s="216"/>
    </row>
    <row r="584" spans="2:13" ht="19.5" customHeight="1">
      <c r="B584" s="500" t="s">
        <v>460</v>
      </c>
      <c r="C584" s="501">
        <v>36486</v>
      </c>
      <c r="D584" s="501" t="s">
        <v>991</v>
      </c>
      <c r="E584" s="484" t="s">
        <v>806</v>
      </c>
      <c r="F584" s="475" t="s">
        <v>750</v>
      </c>
      <c r="G584" s="476" t="s">
        <v>534</v>
      </c>
      <c r="H584" s="477" t="s">
        <v>642</v>
      </c>
      <c r="I584" s="477" t="s">
        <v>989</v>
      </c>
      <c r="J584" s="502">
        <v>4712.5199999999995</v>
      </c>
      <c r="K584" s="503">
        <f t="shared" si="29"/>
        <v>29</v>
      </c>
      <c r="L584" s="503">
        <f t="shared" si="29"/>
        <v>29</v>
      </c>
      <c r="M584" s="216"/>
    </row>
    <row r="585" spans="2:13" ht="19.5" customHeight="1">
      <c r="B585" s="500" t="s">
        <v>460</v>
      </c>
      <c r="C585" s="501">
        <v>36474</v>
      </c>
      <c r="D585" s="501" t="s">
        <v>991</v>
      </c>
      <c r="E585" s="484" t="s">
        <v>806</v>
      </c>
      <c r="F585" s="475" t="s">
        <v>462</v>
      </c>
      <c r="G585" s="476" t="s">
        <v>469</v>
      </c>
      <c r="H585" s="477" t="s">
        <v>648</v>
      </c>
      <c r="I585" s="477" t="s">
        <v>989</v>
      </c>
      <c r="J585" s="502">
        <v>2516.44</v>
      </c>
      <c r="K585" s="503">
        <f t="shared" si="29"/>
        <v>28</v>
      </c>
      <c r="L585" s="503">
        <f t="shared" si="29"/>
        <v>28</v>
      </c>
      <c r="M585" s="216"/>
    </row>
    <row r="586" spans="2:13" ht="19.5" customHeight="1">
      <c r="B586" s="500" t="s">
        <v>460</v>
      </c>
      <c r="C586" s="501">
        <v>36469</v>
      </c>
      <c r="D586" s="501" t="s">
        <v>991</v>
      </c>
      <c r="E586" s="484" t="s">
        <v>806</v>
      </c>
      <c r="F586" s="475" t="s">
        <v>466</v>
      </c>
      <c r="G586" s="476" t="s">
        <v>492</v>
      </c>
      <c r="H586" s="477" t="s">
        <v>964</v>
      </c>
      <c r="I586" s="477" t="s">
        <v>989</v>
      </c>
      <c r="J586" s="502">
        <v>3639.6800000000003</v>
      </c>
      <c r="K586" s="503">
        <f t="shared" si="29"/>
        <v>27</v>
      </c>
      <c r="L586" s="503">
        <f t="shared" si="29"/>
        <v>27</v>
      </c>
      <c r="M586" s="216"/>
    </row>
    <row r="587" spans="2:13" ht="19.5" customHeight="1">
      <c r="B587" s="500" t="s">
        <v>460</v>
      </c>
      <c r="C587" s="501">
        <v>36468</v>
      </c>
      <c r="D587" s="501" t="s">
        <v>991</v>
      </c>
      <c r="E587" s="484" t="s">
        <v>806</v>
      </c>
      <c r="F587" s="475" t="s">
        <v>462</v>
      </c>
      <c r="G587" s="476" t="s">
        <v>469</v>
      </c>
      <c r="H587" s="477" t="s">
        <v>817</v>
      </c>
      <c r="I587" s="477" t="s">
        <v>989</v>
      </c>
      <c r="J587" s="502">
        <v>3761.04</v>
      </c>
      <c r="K587" s="503">
        <f t="shared" si="29"/>
        <v>26</v>
      </c>
      <c r="L587" s="503">
        <f t="shared" si="29"/>
        <v>26</v>
      </c>
      <c r="M587" s="216"/>
    </row>
    <row r="588" spans="2:13" ht="19.5" customHeight="1">
      <c r="B588" s="500" t="s">
        <v>460</v>
      </c>
      <c r="C588" s="501">
        <v>36447</v>
      </c>
      <c r="D588" s="501" t="s">
        <v>991</v>
      </c>
      <c r="E588" s="484" t="s">
        <v>806</v>
      </c>
      <c r="F588" s="475" t="s">
        <v>466</v>
      </c>
      <c r="G588" s="476" t="s">
        <v>492</v>
      </c>
      <c r="H588" s="477" t="s">
        <v>965</v>
      </c>
      <c r="I588" s="477" t="s">
        <v>989</v>
      </c>
      <c r="J588" s="502">
        <v>3169.06</v>
      </c>
      <c r="K588" s="503">
        <f t="shared" si="29"/>
        <v>25</v>
      </c>
      <c r="L588" s="503">
        <f t="shared" si="29"/>
        <v>25</v>
      </c>
      <c r="M588" s="216"/>
    </row>
    <row r="589" spans="2:13" ht="19.5" customHeight="1">
      <c r="B589" s="500" t="s">
        <v>460</v>
      </c>
      <c r="C589" s="501">
        <v>36433</v>
      </c>
      <c r="D589" s="501" t="s">
        <v>1004</v>
      </c>
      <c r="E589" s="484" t="s">
        <v>806</v>
      </c>
      <c r="F589" s="475" t="s">
        <v>462</v>
      </c>
      <c r="G589" s="476" t="s">
        <v>469</v>
      </c>
      <c r="H589" s="477" t="s">
        <v>966</v>
      </c>
      <c r="I589" s="477" t="s">
        <v>989</v>
      </c>
      <c r="J589" s="502">
        <v>3561.16</v>
      </c>
      <c r="K589" s="503">
        <f t="shared" si="29"/>
        <v>24</v>
      </c>
      <c r="L589" s="503">
        <f t="shared" si="29"/>
        <v>24</v>
      </c>
      <c r="M589" s="216"/>
    </row>
    <row r="590" spans="2:13" ht="19.5" customHeight="1">
      <c r="B590" s="500" t="s">
        <v>460</v>
      </c>
      <c r="C590" s="501">
        <v>36285</v>
      </c>
      <c r="D590" s="501" t="s">
        <v>1015</v>
      </c>
      <c r="E590" s="484" t="s">
        <v>806</v>
      </c>
      <c r="F590" s="475" t="s">
        <v>462</v>
      </c>
      <c r="G590" s="476" t="s">
        <v>548</v>
      </c>
      <c r="H590" s="477" t="s">
        <v>645</v>
      </c>
      <c r="I590" s="477" t="s">
        <v>989</v>
      </c>
      <c r="J590" s="502">
        <v>4524.92</v>
      </c>
      <c r="K590" s="503">
        <f t="shared" si="29"/>
        <v>23</v>
      </c>
      <c r="L590" s="503">
        <f t="shared" si="29"/>
        <v>23</v>
      </c>
      <c r="M590" s="216"/>
    </row>
    <row r="591" spans="2:13" ht="19.5" customHeight="1">
      <c r="B591" s="500" t="s">
        <v>460</v>
      </c>
      <c r="C591" s="501">
        <v>36279</v>
      </c>
      <c r="D591" s="501" t="s">
        <v>1015</v>
      </c>
      <c r="E591" s="484" t="s">
        <v>806</v>
      </c>
      <c r="F591" s="475" t="s">
        <v>462</v>
      </c>
      <c r="G591" s="476" t="s">
        <v>515</v>
      </c>
      <c r="H591" s="477" t="s">
        <v>967</v>
      </c>
      <c r="I591" s="477" t="s">
        <v>989</v>
      </c>
      <c r="J591" s="502">
        <v>3975.9</v>
      </c>
      <c r="K591" s="503">
        <f t="shared" si="29"/>
        <v>22</v>
      </c>
      <c r="L591" s="503">
        <f t="shared" si="29"/>
        <v>22</v>
      </c>
      <c r="M591" s="216"/>
    </row>
    <row r="592" spans="2:13" ht="19.5" customHeight="1">
      <c r="B592" s="500" t="s">
        <v>460</v>
      </c>
      <c r="C592" s="501">
        <v>36111</v>
      </c>
      <c r="D592" s="501" t="s">
        <v>996</v>
      </c>
      <c r="E592" s="484" t="s">
        <v>806</v>
      </c>
      <c r="F592" s="475" t="s">
        <v>462</v>
      </c>
      <c r="G592" s="476" t="s">
        <v>493</v>
      </c>
      <c r="H592" s="477" t="s">
        <v>968</v>
      </c>
      <c r="I592" s="477" t="s">
        <v>989</v>
      </c>
      <c r="J592" s="502">
        <v>3382.2299999999996</v>
      </c>
      <c r="K592" s="503">
        <f t="shared" si="29"/>
        <v>21</v>
      </c>
      <c r="L592" s="503">
        <f t="shared" si="29"/>
        <v>21</v>
      </c>
      <c r="M592" s="216"/>
    </row>
    <row r="593" spans="2:13" ht="19.5" customHeight="1">
      <c r="B593" s="500" t="s">
        <v>460</v>
      </c>
      <c r="C593" s="501">
        <v>36088</v>
      </c>
      <c r="D593" s="501" t="s">
        <v>996</v>
      </c>
      <c r="E593" s="484" t="s">
        <v>805</v>
      </c>
      <c r="F593" s="475" t="s">
        <v>762</v>
      </c>
      <c r="G593" s="476" t="s">
        <v>683</v>
      </c>
      <c r="H593" s="477" t="s">
        <v>969</v>
      </c>
      <c r="I593" s="477" t="s">
        <v>987</v>
      </c>
      <c r="J593" s="502">
        <v>4053.16</v>
      </c>
      <c r="K593" s="503">
        <f t="shared" si="29"/>
        <v>20</v>
      </c>
      <c r="L593" s="503">
        <f t="shared" si="29"/>
        <v>20</v>
      </c>
      <c r="M593" s="216"/>
    </row>
    <row r="594" spans="2:13" ht="19.5" customHeight="1">
      <c r="B594" s="500" t="s">
        <v>460</v>
      </c>
      <c r="C594" s="501">
        <v>36062</v>
      </c>
      <c r="D594" s="501" t="s">
        <v>1005</v>
      </c>
      <c r="E594" s="484" t="s">
        <v>806</v>
      </c>
      <c r="F594" s="475" t="s">
        <v>462</v>
      </c>
      <c r="G594" s="476" t="s">
        <v>469</v>
      </c>
      <c r="H594" s="477" t="s">
        <v>970</v>
      </c>
      <c r="I594" s="477" t="s">
        <v>989</v>
      </c>
      <c r="J594" s="502">
        <v>3922.13</v>
      </c>
      <c r="K594" s="503">
        <f t="shared" si="29"/>
        <v>19</v>
      </c>
      <c r="L594" s="503">
        <f t="shared" si="29"/>
        <v>19</v>
      </c>
      <c r="M594" s="216"/>
    </row>
    <row r="595" spans="2:13" ht="19.5" customHeight="1">
      <c r="B595" s="500" t="s">
        <v>460</v>
      </c>
      <c r="C595" s="501">
        <v>35920</v>
      </c>
      <c r="D595" s="501" t="s">
        <v>1016</v>
      </c>
      <c r="E595" s="484" t="s">
        <v>806</v>
      </c>
      <c r="F595" s="475" t="s">
        <v>462</v>
      </c>
      <c r="G595" s="476" t="s">
        <v>556</v>
      </c>
      <c r="H595" s="477" t="s">
        <v>971</v>
      </c>
      <c r="I595" s="477" t="s">
        <v>989</v>
      </c>
      <c r="J595" s="502">
        <v>3702.43</v>
      </c>
      <c r="K595" s="503">
        <f t="shared" si="29"/>
        <v>18</v>
      </c>
      <c r="L595" s="503">
        <f t="shared" si="29"/>
        <v>18</v>
      </c>
      <c r="M595" s="216"/>
    </row>
    <row r="596" spans="2:13" ht="19.5" customHeight="1">
      <c r="B596" s="500" t="s">
        <v>460</v>
      </c>
      <c r="C596" s="501">
        <v>35914</v>
      </c>
      <c r="D596" s="501" t="s">
        <v>1016</v>
      </c>
      <c r="E596" s="484" t="s">
        <v>805</v>
      </c>
      <c r="F596" s="475" t="s">
        <v>461</v>
      </c>
      <c r="G596" s="476" t="s">
        <v>840</v>
      </c>
      <c r="H596" s="477" t="s">
        <v>972</v>
      </c>
      <c r="I596" s="477" t="s">
        <v>989</v>
      </c>
      <c r="J596" s="502">
        <v>4660.1899999999996</v>
      </c>
      <c r="K596" s="503">
        <f t="shared" si="29"/>
        <v>17</v>
      </c>
      <c r="L596" s="503">
        <f t="shared" si="29"/>
        <v>17</v>
      </c>
      <c r="M596" s="216"/>
    </row>
    <row r="597" spans="2:13" ht="19.5" customHeight="1">
      <c r="B597" s="500" t="s">
        <v>460</v>
      </c>
      <c r="C597" s="501">
        <v>35556</v>
      </c>
      <c r="D597" s="501" t="s">
        <v>1017</v>
      </c>
      <c r="E597" s="484" t="s">
        <v>805</v>
      </c>
      <c r="F597" s="475" t="s">
        <v>748</v>
      </c>
      <c r="G597" s="476" t="s">
        <v>779</v>
      </c>
      <c r="H597" s="477" t="s">
        <v>973</v>
      </c>
      <c r="I597" s="477" t="s">
        <v>989</v>
      </c>
      <c r="J597" s="502">
        <v>3552.5699999999997</v>
      </c>
      <c r="K597" s="503">
        <f t="shared" si="29"/>
        <v>16</v>
      </c>
      <c r="L597" s="503">
        <f t="shared" si="29"/>
        <v>16</v>
      </c>
      <c r="M597" s="216"/>
    </row>
    <row r="598" spans="2:13" ht="19.5" customHeight="1">
      <c r="B598" s="500" t="s">
        <v>460</v>
      </c>
      <c r="C598" s="501">
        <v>35549</v>
      </c>
      <c r="D598" s="501" t="s">
        <v>1017</v>
      </c>
      <c r="E598" s="484" t="s">
        <v>806</v>
      </c>
      <c r="F598" s="475" t="s">
        <v>462</v>
      </c>
      <c r="G598" s="476" t="s">
        <v>469</v>
      </c>
      <c r="H598" s="477" t="s">
        <v>974</v>
      </c>
      <c r="I598" s="477" t="s">
        <v>989</v>
      </c>
      <c r="J598" s="502">
        <v>4310.1500000000005</v>
      </c>
      <c r="K598" s="503">
        <f t="shared" si="29"/>
        <v>15</v>
      </c>
      <c r="L598" s="503">
        <f t="shared" si="29"/>
        <v>15</v>
      </c>
      <c r="M598" s="216"/>
    </row>
    <row r="599" spans="2:13" ht="19.5" customHeight="1">
      <c r="B599" s="500" t="s">
        <v>460</v>
      </c>
      <c r="C599" s="501">
        <v>35521</v>
      </c>
      <c r="D599" s="501" t="s">
        <v>1017</v>
      </c>
      <c r="E599" s="484" t="s">
        <v>806</v>
      </c>
      <c r="F599" s="475" t="s">
        <v>462</v>
      </c>
      <c r="G599" s="476" t="s">
        <v>514</v>
      </c>
      <c r="H599" s="477" t="s">
        <v>975</v>
      </c>
      <c r="I599" s="477" t="s">
        <v>989</v>
      </c>
      <c r="J599" s="502">
        <v>4215.13</v>
      </c>
      <c r="K599" s="503">
        <f t="shared" si="29"/>
        <v>14</v>
      </c>
      <c r="L599" s="503">
        <f t="shared" si="29"/>
        <v>14</v>
      </c>
      <c r="M599" s="216"/>
    </row>
    <row r="600" spans="2:13" ht="19.5" customHeight="1">
      <c r="B600" s="500" t="s">
        <v>460</v>
      </c>
      <c r="C600" s="501">
        <v>35388</v>
      </c>
      <c r="D600" s="501" t="s">
        <v>997</v>
      </c>
      <c r="E600" s="484" t="s">
        <v>805</v>
      </c>
      <c r="F600" s="475" t="s">
        <v>461</v>
      </c>
      <c r="G600" s="476" t="s">
        <v>549</v>
      </c>
      <c r="H600" s="477" t="s">
        <v>649</v>
      </c>
      <c r="I600" s="477" t="s">
        <v>989</v>
      </c>
      <c r="J600" s="502">
        <v>3063.81</v>
      </c>
      <c r="K600" s="503">
        <f t="shared" si="29"/>
        <v>13</v>
      </c>
      <c r="L600" s="503">
        <f t="shared" si="29"/>
        <v>13</v>
      </c>
      <c r="M600" s="216"/>
    </row>
    <row r="601" spans="2:13" ht="19.5" customHeight="1">
      <c r="B601" s="500" t="s">
        <v>460</v>
      </c>
      <c r="C601" s="501">
        <v>35333</v>
      </c>
      <c r="D601" s="501" t="s">
        <v>1006</v>
      </c>
      <c r="E601" s="484" t="s">
        <v>805</v>
      </c>
      <c r="F601" s="475" t="s">
        <v>762</v>
      </c>
      <c r="G601" s="476" t="s">
        <v>683</v>
      </c>
      <c r="H601" s="477" t="s">
        <v>976</v>
      </c>
      <c r="I601" s="477" t="s">
        <v>989</v>
      </c>
      <c r="J601" s="502">
        <v>3237.67</v>
      </c>
      <c r="K601" s="503">
        <f t="shared" si="29"/>
        <v>12</v>
      </c>
      <c r="L601" s="503">
        <f t="shared" si="29"/>
        <v>12</v>
      </c>
      <c r="M601" s="216"/>
    </row>
    <row r="602" spans="2:13" ht="19.5" customHeight="1">
      <c r="B602" s="500" t="s">
        <v>460</v>
      </c>
      <c r="C602" s="501">
        <v>34971</v>
      </c>
      <c r="D602" s="501" t="s">
        <v>1007</v>
      </c>
      <c r="E602" s="484" t="s">
        <v>805</v>
      </c>
      <c r="F602" s="475" t="s">
        <v>748</v>
      </c>
      <c r="G602" s="476" t="s">
        <v>518</v>
      </c>
      <c r="H602" s="477" t="s">
        <v>977</v>
      </c>
      <c r="I602" s="477" t="s">
        <v>989</v>
      </c>
      <c r="J602" s="502">
        <v>3307.81</v>
      </c>
      <c r="K602" s="503">
        <f t="shared" si="29"/>
        <v>11</v>
      </c>
      <c r="L602" s="503">
        <f t="shared" si="29"/>
        <v>11</v>
      </c>
      <c r="M602" s="216"/>
    </row>
    <row r="603" spans="2:13" ht="19.5" customHeight="1">
      <c r="B603" s="500" t="s">
        <v>460</v>
      </c>
      <c r="C603" s="501">
        <v>34655</v>
      </c>
      <c r="D603" s="501" t="s">
        <v>998</v>
      </c>
      <c r="E603" s="484" t="s">
        <v>805</v>
      </c>
      <c r="F603" s="475" t="s">
        <v>748</v>
      </c>
      <c r="G603" s="476" t="s">
        <v>527</v>
      </c>
      <c r="H603" s="477" t="s">
        <v>978</v>
      </c>
      <c r="I603" s="477" t="s">
        <v>989</v>
      </c>
      <c r="J603" s="502">
        <v>4504.42</v>
      </c>
      <c r="K603" s="503">
        <f t="shared" si="29"/>
        <v>10</v>
      </c>
      <c r="L603" s="503">
        <f t="shared" si="29"/>
        <v>10</v>
      </c>
      <c r="M603" s="216"/>
    </row>
    <row r="604" spans="2:13" ht="19.5" customHeight="1">
      <c r="B604" s="500" t="s">
        <v>460</v>
      </c>
      <c r="C604" s="501">
        <v>34093</v>
      </c>
      <c r="D604" s="501" t="s">
        <v>1018</v>
      </c>
      <c r="E604" s="484" t="s">
        <v>805</v>
      </c>
      <c r="F604" s="475" t="s">
        <v>461</v>
      </c>
      <c r="G604" s="476" t="s">
        <v>495</v>
      </c>
      <c r="H604" s="477" t="s">
        <v>691</v>
      </c>
      <c r="I604" s="477" t="s">
        <v>989</v>
      </c>
      <c r="J604" s="502">
        <v>5655.08</v>
      </c>
      <c r="K604" s="503">
        <f t="shared" si="29"/>
        <v>9</v>
      </c>
      <c r="L604" s="503">
        <f t="shared" si="29"/>
        <v>9</v>
      </c>
      <c r="M604" s="216"/>
    </row>
    <row r="605" spans="2:13" ht="19.5" customHeight="1">
      <c r="B605" s="500" t="s">
        <v>460</v>
      </c>
      <c r="C605" s="501">
        <v>33534</v>
      </c>
      <c r="D605" s="501" t="s">
        <v>1000</v>
      </c>
      <c r="E605" s="484" t="s">
        <v>805</v>
      </c>
      <c r="F605" s="475" t="s">
        <v>461</v>
      </c>
      <c r="G605" s="476" t="s">
        <v>510</v>
      </c>
      <c r="H605" s="477" t="s">
        <v>979</v>
      </c>
      <c r="I605" s="477" t="s">
        <v>989</v>
      </c>
      <c r="J605" s="502">
        <v>4369.83</v>
      </c>
      <c r="K605" s="503">
        <f t="shared" si="29"/>
        <v>8</v>
      </c>
      <c r="L605" s="503">
        <f t="shared" si="29"/>
        <v>8</v>
      </c>
      <c r="M605" s="216"/>
    </row>
    <row r="606" spans="2:13" ht="19.5" customHeight="1">
      <c r="B606" s="500" t="s">
        <v>460</v>
      </c>
      <c r="C606" s="501">
        <v>31297</v>
      </c>
      <c r="D606" s="501" t="s">
        <v>1008</v>
      </c>
      <c r="E606" s="484" t="s">
        <v>805</v>
      </c>
      <c r="F606" s="475" t="s">
        <v>461</v>
      </c>
      <c r="G606" s="476" t="s">
        <v>468</v>
      </c>
      <c r="H606" s="477" t="s">
        <v>980</v>
      </c>
      <c r="I606" s="477" t="s">
        <v>987</v>
      </c>
      <c r="J606" s="502">
        <v>2477.91</v>
      </c>
      <c r="K606" s="503">
        <f t="shared" si="29"/>
        <v>7</v>
      </c>
      <c r="L606" s="503">
        <f t="shared" si="29"/>
        <v>7</v>
      </c>
      <c r="M606" s="216"/>
    </row>
    <row r="607" spans="2:13" ht="19.5" customHeight="1">
      <c r="B607" s="500" t="s">
        <v>460</v>
      </c>
      <c r="C607" s="501">
        <v>30419</v>
      </c>
      <c r="D607" s="501" t="s">
        <v>1019</v>
      </c>
      <c r="E607" s="484" t="s">
        <v>805</v>
      </c>
      <c r="F607" s="475" t="s">
        <v>461</v>
      </c>
      <c r="G607" s="476" t="s">
        <v>495</v>
      </c>
      <c r="H607" s="477" t="s">
        <v>981</v>
      </c>
      <c r="I607" s="477" t="s">
        <v>989</v>
      </c>
      <c r="J607" s="502">
        <v>7009.09</v>
      </c>
      <c r="K607" s="503">
        <f t="shared" si="29"/>
        <v>6</v>
      </c>
      <c r="L607" s="503">
        <f t="shared" si="29"/>
        <v>6</v>
      </c>
      <c r="M607" s="216"/>
    </row>
    <row r="608" spans="2:13" ht="19.5" customHeight="1">
      <c r="B608" s="500" t="s">
        <v>460</v>
      </c>
      <c r="C608" s="501">
        <v>29465</v>
      </c>
      <c r="D608" s="501" t="s">
        <v>1009</v>
      </c>
      <c r="E608" s="484" t="s">
        <v>805</v>
      </c>
      <c r="F608" s="475" t="s">
        <v>461</v>
      </c>
      <c r="G608" s="476" t="s">
        <v>855</v>
      </c>
      <c r="H608" s="477" t="s">
        <v>982</v>
      </c>
      <c r="I608" s="477" t="s">
        <v>987</v>
      </c>
      <c r="J608" s="502">
        <v>4733.41</v>
      </c>
      <c r="K608" s="503">
        <f t="shared" si="29"/>
        <v>5</v>
      </c>
      <c r="L608" s="503">
        <f t="shared" si="29"/>
        <v>5</v>
      </c>
      <c r="M608" s="216"/>
    </row>
    <row r="609" spans="2:13" ht="19.5" customHeight="1">
      <c r="B609" s="500" t="s">
        <v>460</v>
      </c>
      <c r="C609" s="501">
        <v>28430</v>
      </c>
      <c r="D609" s="501" t="s">
        <v>999</v>
      </c>
      <c r="E609" s="484" t="s">
        <v>805</v>
      </c>
      <c r="F609" s="475" t="s">
        <v>461</v>
      </c>
      <c r="G609" s="476" t="s">
        <v>495</v>
      </c>
      <c r="H609" s="477" t="s">
        <v>983</v>
      </c>
      <c r="I609" s="477" t="s">
        <v>987</v>
      </c>
      <c r="J609" s="502">
        <v>10169.44</v>
      </c>
      <c r="K609" s="503">
        <f t="shared" si="29"/>
        <v>4</v>
      </c>
      <c r="L609" s="503">
        <f t="shared" si="29"/>
        <v>4</v>
      </c>
      <c r="M609" s="216"/>
    </row>
    <row r="610" spans="2:13" ht="19.5" customHeight="1">
      <c r="B610" s="500" t="s">
        <v>460</v>
      </c>
      <c r="C610" s="501">
        <v>27860</v>
      </c>
      <c r="D610" s="501" t="s">
        <v>1020</v>
      </c>
      <c r="E610" s="484" t="s">
        <v>805</v>
      </c>
      <c r="F610" s="475" t="s">
        <v>461</v>
      </c>
      <c r="G610" s="476" t="s">
        <v>840</v>
      </c>
      <c r="H610" s="477" t="s">
        <v>984</v>
      </c>
      <c r="I610" s="477" t="s">
        <v>989</v>
      </c>
      <c r="J610" s="502">
        <v>2485.2199999999998</v>
      </c>
      <c r="K610" s="503">
        <f t="shared" si="29"/>
        <v>3</v>
      </c>
      <c r="L610" s="503">
        <f t="shared" si="29"/>
        <v>3</v>
      </c>
      <c r="M610" s="216"/>
    </row>
    <row r="611" spans="2:13" ht="19.5" customHeight="1">
      <c r="B611" s="500" t="s">
        <v>460</v>
      </c>
      <c r="C611" s="501">
        <v>25906</v>
      </c>
      <c r="D611" s="501" t="s">
        <v>990</v>
      </c>
      <c r="E611" s="484" t="s">
        <v>805</v>
      </c>
      <c r="F611" s="475" t="s">
        <v>461</v>
      </c>
      <c r="G611" s="476" t="s">
        <v>495</v>
      </c>
      <c r="H611" s="477" t="s">
        <v>985</v>
      </c>
      <c r="I611" s="477" t="s">
        <v>989</v>
      </c>
      <c r="J611" s="502">
        <v>2763.04</v>
      </c>
      <c r="K611" s="503">
        <f t="shared" si="29"/>
        <v>2</v>
      </c>
      <c r="L611" s="503">
        <f t="shared" si="29"/>
        <v>2</v>
      </c>
      <c r="M611" s="216"/>
    </row>
    <row r="612" spans="2:13" ht="19.5" customHeight="1">
      <c r="B612" s="500" t="s">
        <v>460</v>
      </c>
      <c r="C612" s="501">
        <v>24624</v>
      </c>
      <c r="D612" s="501" t="s">
        <v>1012</v>
      </c>
      <c r="E612" s="484" t="s">
        <v>805</v>
      </c>
      <c r="F612" s="475" t="s">
        <v>461</v>
      </c>
      <c r="G612" s="476" t="s">
        <v>550</v>
      </c>
      <c r="H612" s="477" t="s">
        <v>986</v>
      </c>
      <c r="I612" s="477" t="s">
        <v>987</v>
      </c>
      <c r="J612" s="502">
        <v>3538.6</v>
      </c>
      <c r="K612" s="503">
        <f>1</f>
        <v>1</v>
      </c>
      <c r="L612" s="503">
        <v>1</v>
      </c>
    </row>
    <row r="614" spans="2:13" s="509" customFormat="1" ht="19.5" customHeight="1" thickBot="1">
      <c r="K614" s="510"/>
      <c r="L614" s="510"/>
    </row>
    <row r="615" spans="2:13" ht="19.5" customHeight="1" thickTop="1"/>
    <row r="618" spans="2:13" ht="19.5" customHeight="1">
      <c r="C618" s="400" t="s">
        <v>1161</v>
      </c>
      <c r="D618" s="401" t="s">
        <v>460</v>
      </c>
      <c r="E618" s="401" t="s">
        <v>490</v>
      </c>
      <c r="F618" s="401" t="s">
        <v>491</v>
      </c>
      <c r="G618" s="401" t="s">
        <v>1296</v>
      </c>
    </row>
    <row r="619" spans="2:13" ht="19.5" customHeight="1">
      <c r="C619" s="402" t="s">
        <v>805</v>
      </c>
      <c r="D619" s="403">
        <f>COUNTIFS($B$3:$B$612,D$618,$E$3:$E$612,$C619)</f>
        <v>79</v>
      </c>
      <c r="E619" s="404">
        <f>COUNTIFS($B$3:$B$612,E$618,$E$3:$E$612,$C619)+6-1</f>
        <v>18</v>
      </c>
      <c r="F619" s="404">
        <f>COUNTIFS($B$3:$B$612,F$618,$E$3:$E$612,$C619)-2-1</f>
        <v>31</v>
      </c>
      <c r="G619" s="403">
        <f>COUNTIFS($B$3:$B$612,G$618,$E$3:$E$612,$C619)</f>
        <v>3</v>
      </c>
    </row>
    <row r="620" spans="2:13" ht="19.5" customHeight="1">
      <c r="C620" s="402" t="s">
        <v>806</v>
      </c>
      <c r="D620" s="403">
        <f>COUNTIFS($B$3:$B$612,D$618,$E$3:$E$612,$C620)-2-1</f>
        <v>187</v>
      </c>
      <c r="E620" s="404">
        <f>COUNTIFS($B$3:$B$612,E$618,$E$3:$E$612,$C620)+16-2-2</f>
        <v>57</v>
      </c>
      <c r="F620" s="404">
        <f>COUNTIFS($B$3:$B$612,F$618,$E$3:$E$612,$C620)-7-2</f>
        <v>53</v>
      </c>
      <c r="G620" s="403">
        <f>COUNTIFS($B$3:$B$612,G$618,$E$3:$E$612,$C620)</f>
        <v>5</v>
      </c>
    </row>
    <row r="621" spans="2:13" ht="19.5" customHeight="1">
      <c r="C621" s="402" t="s">
        <v>809</v>
      </c>
      <c r="D621" s="403">
        <f>COUNTIFS($B$3:$B$612,D$618,$E$3:$E$612,$C621)-1</f>
        <v>32</v>
      </c>
      <c r="E621" s="404">
        <f>COUNTIFS($B$3:$B$612,E$618,$E$3:$E$612,$C621)+2-1</f>
        <v>9</v>
      </c>
      <c r="F621" s="403">
        <f>COUNTIFS($B$3:$B$612,F$618,$E$3:$E$612,$C621)</f>
        <v>11</v>
      </c>
      <c r="G621" s="403">
        <f>COUNTIFS($B$3:$B$612,G$618,$E$3:$E$612,$C621)</f>
        <v>0</v>
      </c>
    </row>
    <row r="622" spans="2:13" ht="19.5" customHeight="1">
      <c r="C622" s="402" t="s">
        <v>808</v>
      </c>
      <c r="D622" s="403">
        <f>COUNTIFS($B$3:$B$612,D$618,$E$3:$E$612,$C622)-2</f>
        <v>55</v>
      </c>
      <c r="E622" s="404">
        <f>COUNTIFS($B$3:$B$612,E$618,$E$3:$E$612,$C622)</f>
        <v>23</v>
      </c>
      <c r="F622" s="403">
        <f>COUNTIFS($B$3:$B$612,F$618,$E$3:$E$612,$C622)</f>
        <v>3</v>
      </c>
      <c r="G622" s="403">
        <f>COUNTIFS($B$3:$B$612,G$618,$E$3:$E$612,$C622)</f>
        <v>0</v>
      </c>
    </row>
    <row r="623" spans="2:13" ht="19.5" customHeight="1">
      <c r="C623" s="511" t="s">
        <v>807</v>
      </c>
      <c r="D623" s="512">
        <f>COUNTIFS($B$3:$B$612,D$618,$E$3:$E$612,$C623)</f>
        <v>21</v>
      </c>
      <c r="E623" s="513">
        <f>COUNTIFS($B$3:$B$612,E$618,$E$3:$E$612,$C623)</f>
        <v>6</v>
      </c>
      <c r="F623" s="512">
        <f>COUNTIFS($B$3:$B$612,F$618,$E$3:$E$612,$C623)</f>
        <v>2</v>
      </c>
      <c r="G623" s="512">
        <f>COUNTIFS($B$3:$B$612,G$618,$E$3:$E$612,$C623)</f>
        <v>0</v>
      </c>
    </row>
    <row r="624" spans="2:13" ht="19.5" customHeight="1">
      <c r="C624" s="402" t="s">
        <v>1247</v>
      </c>
      <c r="D624" s="401">
        <f>SUM(D619:D623)</f>
        <v>374</v>
      </c>
      <c r="E624" s="401">
        <f>SUM(E619:E623)</f>
        <v>113</v>
      </c>
      <c r="F624" s="401">
        <f>SUM(F619:F623)</f>
        <v>100</v>
      </c>
      <c r="G624" s="401">
        <f>SUM(G619:G623)</f>
        <v>8</v>
      </c>
    </row>
    <row r="625" spans="3:12" ht="19.5" customHeight="1">
      <c r="C625" s="514" t="s">
        <v>1212</v>
      </c>
      <c r="D625" s="403">
        <f>COUNTIFS($B$4:$B$612,D$618,$E$4:$E$612,$C625)-1</f>
        <v>8</v>
      </c>
      <c r="E625" s="403">
        <f t="shared" ref="E625:G626" si="30">COUNTIFS($B$123:$B$612,E$618,$E$123:$E$612,$C625)</f>
        <v>0</v>
      </c>
      <c r="F625" s="403">
        <f t="shared" si="30"/>
        <v>0</v>
      </c>
      <c r="G625" s="403">
        <f t="shared" si="30"/>
        <v>0</v>
      </c>
    </row>
    <row r="626" spans="3:12" ht="19.5" customHeight="1">
      <c r="C626" s="515" t="s">
        <v>1426</v>
      </c>
      <c r="D626" s="403">
        <f>COUNTIFS($B$4:$B$612,D$618,$E$4:$E$612,$C626)</f>
        <v>4</v>
      </c>
      <c r="E626" s="403">
        <f t="shared" si="30"/>
        <v>0</v>
      </c>
      <c r="F626" s="403">
        <f t="shared" si="30"/>
        <v>0</v>
      </c>
      <c r="G626" s="403">
        <f t="shared" si="30"/>
        <v>0</v>
      </c>
    </row>
    <row r="627" spans="3:12" ht="19.5" customHeight="1">
      <c r="C627" s="462" t="s">
        <v>94</v>
      </c>
      <c r="D627" s="463">
        <f>SUM(D624:D626)</f>
        <v>386</v>
      </c>
      <c r="E627" s="463">
        <f t="shared" ref="E627:G627" si="31">SUM(E624:E625)</f>
        <v>113</v>
      </c>
      <c r="F627" s="463">
        <f t="shared" si="31"/>
        <v>100</v>
      </c>
      <c r="G627" s="463">
        <f t="shared" si="31"/>
        <v>8</v>
      </c>
      <c r="K627" s="397"/>
      <c r="L627" s="397"/>
    </row>
    <row r="629" spans="3:12" ht="19.5" customHeight="1">
      <c r="C629" s="400" t="s">
        <v>1162</v>
      </c>
      <c r="D629" s="401" t="s">
        <v>460</v>
      </c>
      <c r="E629" s="401" t="s">
        <v>490</v>
      </c>
      <c r="F629" s="401" t="s">
        <v>491</v>
      </c>
      <c r="G629" s="401" t="s">
        <v>1296</v>
      </c>
      <c r="K629" s="397"/>
      <c r="L629" s="397"/>
    </row>
    <row r="630" spans="3:12" ht="19.5" customHeight="1">
      <c r="C630" s="405" t="s">
        <v>766</v>
      </c>
      <c r="D630" s="406">
        <f t="shared" ref="D630:F635" si="32">COUNTIFS($B$3:$B$612,D$629,$F$3:$F$612,$C630)</f>
        <v>1</v>
      </c>
      <c r="E630" s="406">
        <f t="shared" si="32"/>
        <v>0</v>
      </c>
      <c r="F630" s="406">
        <f t="shared" si="32"/>
        <v>0</v>
      </c>
      <c r="G630" s="406">
        <f t="shared" ref="G630:G656" si="33">COUNTIFS($B$4:$B$612,G$629,$F$4:$F$612,$C630)</f>
        <v>0</v>
      </c>
      <c r="K630" s="397"/>
      <c r="L630" s="397"/>
    </row>
    <row r="631" spans="3:12" ht="19.5" customHeight="1">
      <c r="C631" s="405" t="s">
        <v>760</v>
      </c>
      <c r="D631" s="406">
        <f t="shared" si="32"/>
        <v>4</v>
      </c>
      <c r="E631" s="406">
        <f t="shared" si="32"/>
        <v>2</v>
      </c>
      <c r="F631" s="406">
        <f t="shared" si="32"/>
        <v>0</v>
      </c>
      <c r="G631" s="406">
        <f t="shared" si="33"/>
        <v>0</v>
      </c>
      <c r="K631" s="397"/>
      <c r="L631" s="397"/>
    </row>
    <row r="632" spans="3:12" ht="19.5" customHeight="1">
      <c r="C632" s="405" t="s">
        <v>758</v>
      </c>
      <c r="D632" s="406">
        <f t="shared" si="32"/>
        <v>6</v>
      </c>
      <c r="E632" s="406">
        <f t="shared" si="32"/>
        <v>2</v>
      </c>
      <c r="F632" s="406">
        <f t="shared" si="32"/>
        <v>1</v>
      </c>
      <c r="G632" s="406">
        <f t="shared" si="33"/>
        <v>0</v>
      </c>
      <c r="K632" s="397"/>
      <c r="L632" s="397"/>
    </row>
    <row r="633" spans="3:12" ht="19.5" customHeight="1">
      <c r="C633" s="405" t="s">
        <v>763</v>
      </c>
      <c r="D633" s="406">
        <f t="shared" si="32"/>
        <v>1</v>
      </c>
      <c r="E633" s="406">
        <f t="shared" si="32"/>
        <v>0</v>
      </c>
      <c r="F633" s="406">
        <f t="shared" si="32"/>
        <v>0</v>
      </c>
      <c r="G633" s="406">
        <f t="shared" si="33"/>
        <v>0</v>
      </c>
      <c r="K633" s="397"/>
      <c r="L633" s="397"/>
    </row>
    <row r="634" spans="3:12" ht="19.5" customHeight="1">
      <c r="C634" s="405" t="s">
        <v>464</v>
      </c>
      <c r="D634" s="406">
        <f t="shared" si="32"/>
        <v>13</v>
      </c>
      <c r="E634" s="406">
        <f t="shared" si="32"/>
        <v>5</v>
      </c>
      <c r="F634" s="406">
        <f t="shared" si="32"/>
        <v>1</v>
      </c>
      <c r="G634" s="406">
        <f t="shared" si="33"/>
        <v>0</v>
      </c>
      <c r="K634" s="397"/>
      <c r="L634" s="397"/>
    </row>
    <row r="635" spans="3:12" ht="19.5" customHeight="1">
      <c r="C635" s="405" t="s">
        <v>749</v>
      </c>
      <c r="D635" s="406">
        <f t="shared" si="32"/>
        <v>10</v>
      </c>
      <c r="E635" s="406">
        <f t="shared" si="32"/>
        <v>2</v>
      </c>
      <c r="F635" s="406">
        <f t="shared" si="32"/>
        <v>0</v>
      </c>
      <c r="G635" s="406">
        <f t="shared" si="33"/>
        <v>0</v>
      </c>
      <c r="K635" s="397"/>
      <c r="L635" s="397"/>
    </row>
    <row r="636" spans="3:12" ht="19.5" customHeight="1">
      <c r="C636" s="405" t="s">
        <v>757</v>
      </c>
      <c r="D636" s="406">
        <f>COUNTIFS($B$3:$B$612,D$629,$F$3:$F$612,$C636)</f>
        <v>10</v>
      </c>
      <c r="E636" s="407">
        <f>COUNTIFS($B$3:$B$612,E$629,$F$3:$F$612,$C636)+1</f>
        <v>4</v>
      </c>
      <c r="F636" s="407">
        <f>COUNTIFS($B$3:$B$612,F$629,$F$3:$F$612,$C636)</f>
        <v>6</v>
      </c>
      <c r="G636" s="406">
        <f t="shared" si="33"/>
        <v>0</v>
      </c>
      <c r="K636" s="397"/>
      <c r="L636" s="397"/>
    </row>
    <row r="637" spans="3:12" ht="19.5" customHeight="1">
      <c r="C637" s="405" t="s">
        <v>753</v>
      </c>
      <c r="D637" s="406">
        <f>COUNTIFS($B$3:$B$612,D$629,$F$3:$F$612,$C637)</f>
        <v>10</v>
      </c>
      <c r="E637" s="406">
        <f>COUNTIFS($B$3:$B$612,E$629,$F$3:$F$612,$C637)</f>
        <v>3</v>
      </c>
      <c r="F637" s="406">
        <f>COUNTIFS($B$3:$B$612,F$629,$F$3:$F$612,$C637)</f>
        <v>0</v>
      </c>
      <c r="G637" s="406">
        <f t="shared" si="33"/>
        <v>0</v>
      </c>
      <c r="K637" s="397"/>
      <c r="L637" s="397"/>
    </row>
    <row r="638" spans="3:12" ht="19.5" customHeight="1">
      <c r="C638" s="405" t="s">
        <v>467</v>
      </c>
      <c r="D638" s="407">
        <f>COUNTIFS($B$3:$B$612,D$629,$F$3:$F$612,$C638)-1</f>
        <v>10</v>
      </c>
      <c r="E638" s="407">
        <f>COUNTIFS($B$3:$B$612,E$629,$F$3:$F$612,$C638)+1-1</f>
        <v>2</v>
      </c>
      <c r="F638" s="407">
        <f>COUNTIFS($B$3:$B$612,F$629,$F$3:$F$612,$C638)</f>
        <v>3</v>
      </c>
      <c r="G638" s="406">
        <f t="shared" si="33"/>
        <v>0</v>
      </c>
      <c r="K638" s="397"/>
      <c r="L638" s="397"/>
    </row>
    <row r="639" spans="3:12" ht="19.5" customHeight="1">
      <c r="C639" s="405" t="s">
        <v>755</v>
      </c>
      <c r="D639" s="406">
        <f>COUNTIFS($B$3:$B$612,D$629,$F$3:$F$612,$C639)</f>
        <v>6</v>
      </c>
      <c r="E639" s="406">
        <f>COUNTIFS($B$3:$B$612,E$629,$F$3:$F$612,$C639)</f>
        <v>2</v>
      </c>
      <c r="F639" s="406">
        <f>COUNTIFS($B$3:$B$612,F$629,$F$3:$F$612,$C639)</f>
        <v>0</v>
      </c>
      <c r="G639" s="406">
        <f t="shared" si="33"/>
        <v>0</v>
      </c>
      <c r="K639" s="397"/>
      <c r="L639" s="397"/>
    </row>
    <row r="640" spans="3:12" ht="19.5" customHeight="1">
      <c r="C640" s="405" t="s">
        <v>750</v>
      </c>
      <c r="D640" s="407">
        <f>COUNTIFS($B$3:$B$612,D$629,$F$3:$F$612,$C640)-2</f>
        <v>28</v>
      </c>
      <c r="E640" s="407">
        <f>COUNTIFS($B$3:$B$612,E$629,$F$3:$F$612,$C640)+1-1</f>
        <v>7</v>
      </c>
      <c r="F640" s="407">
        <f>COUNTIFS($B$3:$B$612,F$629,$F$3:$F$612,$C640)-1</f>
        <v>10</v>
      </c>
      <c r="G640" s="406">
        <f t="shared" si="33"/>
        <v>0</v>
      </c>
      <c r="K640" s="397"/>
      <c r="L640" s="397"/>
    </row>
    <row r="641" spans="3:12" ht="19.5" customHeight="1">
      <c r="C641" s="405" t="s">
        <v>761</v>
      </c>
      <c r="D641" s="406">
        <f t="shared" ref="D641:F644" si="34">COUNTIFS($B$3:$B$612,D$629,$F$3:$F$612,$C641)</f>
        <v>5</v>
      </c>
      <c r="E641" s="406">
        <f t="shared" si="34"/>
        <v>1</v>
      </c>
      <c r="F641" s="406">
        <f t="shared" si="34"/>
        <v>0</v>
      </c>
      <c r="G641" s="406">
        <f t="shared" si="33"/>
        <v>0</v>
      </c>
      <c r="K641" s="397"/>
      <c r="L641" s="397"/>
    </row>
    <row r="642" spans="3:12" ht="19.5" customHeight="1">
      <c r="C642" s="405" t="s">
        <v>463</v>
      </c>
      <c r="D642" s="406">
        <f t="shared" si="34"/>
        <v>7</v>
      </c>
      <c r="E642" s="406">
        <f t="shared" si="34"/>
        <v>2</v>
      </c>
      <c r="F642" s="406">
        <f t="shared" si="34"/>
        <v>2</v>
      </c>
      <c r="G642" s="406">
        <f t="shared" si="33"/>
        <v>0</v>
      </c>
      <c r="K642" s="397"/>
      <c r="L642" s="397"/>
    </row>
    <row r="643" spans="3:12" ht="19.5" customHeight="1">
      <c r="C643" s="405" t="s">
        <v>751</v>
      </c>
      <c r="D643" s="406">
        <f t="shared" si="34"/>
        <v>9</v>
      </c>
      <c r="E643" s="406">
        <f t="shared" si="34"/>
        <v>2</v>
      </c>
      <c r="F643" s="406">
        <f t="shared" si="34"/>
        <v>0</v>
      </c>
      <c r="G643" s="406">
        <f t="shared" si="33"/>
        <v>0</v>
      </c>
      <c r="K643" s="397"/>
      <c r="L643" s="397"/>
    </row>
    <row r="644" spans="3:12" ht="19.5" customHeight="1">
      <c r="C644" s="405" t="s">
        <v>759</v>
      </c>
      <c r="D644" s="406">
        <f t="shared" si="34"/>
        <v>3</v>
      </c>
      <c r="E644" s="406">
        <f t="shared" si="34"/>
        <v>1</v>
      </c>
      <c r="F644" s="406">
        <f t="shared" si="34"/>
        <v>0</v>
      </c>
      <c r="G644" s="406">
        <f t="shared" si="33"/>
        <v>0</v>
      </c>
      <c r="K644" s="397"/>
      <c r="L644" s="397"/>
    </row>
    <row r="645" spans="3:12" ht="19.5" customHeight="1">
      <c r="C645" s="405" t="s">
        <v>465</v>
      </c>
      <c r="D645" s="407">
        <f>COUNTIFS($B$3:$B$612,D$629,$F$3:$F$612,$C645)-1</f>
        <v>9</v>
      </c>
      <c r="E645" s="406">
        <f>COUNTIFS($B$3:$B$612,E$629,$F$3:$F$612,$C645)</f>
        <v>4</v>
      </c>
      <c r="F645" s="406">
        <f>COUNTIFS($B$3:$B$612,F$629,$F$3:$F$612,$C645)</f>
        <v>2</v>
      </c>
      <c r="G645" s="406">
        <f t="shared" si="33"/>
        <v>0</v>
      </c>
      <c r="K645" s="397"/>
      <c r="L645" s="397"/>
    </row>
    <row r="646" spans="3:12" ht="19.5" customHeight="1">
      <c r="C646" s="405" t="s">
        <v>752</v>
      </c>
      <c r="D646" s="406">
        <f>COUNTIFS($B$3:$B$612,D$629,$F$3:$F$612,$C646)</f>
        <v>4</v>
      </c>
      <c r="E646" s="406">
        <f>COUNTIFS($B$3:$B$612,E$629,$F$3:$F$612,$C646)</f>
        <v>2</v>
      </c>
      <c r="F646" s="406">
        <f>COUNTIFS($B$3:$B$612,F$629,$F$3:$F$612,$C646)</f>
        <v>0</v>
      </c>
      <c r="G646" s="406">
        <f t="shared" si="33"/>
        <v>0</v>
      </c>
      <c r="K646" s="397"/>
      <c r="L646" s="397"/>
    </row>
    <row r="647" spans="3:12" ht="19.5" customHeight="1">
      <c r="C647" s="405" t="s">
        <v>762</v>
      </c>
      <c r="D647" s="406">
        <f>COUNTIFS($B$3:$B$612,D$629,$F$3:$F$612,$C647)</f>
        <v>19</v>
      </c>
      <c r="E647" s="407">
        <f>COUNTIFS($B$3:$B$612,E$629,$F$3:$F$612,$C647)+3</f>
        <v>6</v>
      </c>
      <c r="F647" s="406">
        <f>COUNTIFS($B$3:$B$612,F$629,$F$3:$F$612,$C647)</f>
        <v>7</v>
      </c>
      <c r="G647" s="406">
        <f t="shared" si="33"/>
        <v>0</v>
      </c>
      <c r="K647" s="397"/>
      <c r="L647" s="397"/>
    </row>
    <row r="648" spans="3:12" ht="19.5" customHeight="1">
      <c r="C648" s="405" t="s">
        <v>466</v>
      </c>
      <c r="D648" s="406">
        <f>COUNTIFS($B$3:$B$612,D$629,$F$3:$F$612,$C648)-1</f>
        <v>38</v>
      </c>
      <c r="E648" s="407">
        <f>COUNTIFS($B$3:$B$612,E$629,$F$3:$F$612,$C648)+3</f>
        <v>12</v>
      </c>
      <c r="F648" s="406">
        <f>COUNTIFS($B$3:$B$612,F$629,$F$3:$F$612,$C648)</f>
        <v>1</v>
      </c>
      <c r="G648" s="406">
        <f t="shared" si="33"/>
        <v>1</v>
      </c>
      <c r="K648" s="397"/>
      <c r="L648" s="397"/>
    </row>
    <row r="649" spans="3:12" ht="19.5" customHeight="1">
      <c r="C649" s="405" t="s">
        <v>754</v>
      </c>
      <c r="D649" s="407">
        <f>COUNTIFS($B$3:$B$612,D$629,$F$3:$F$612,$C649)-1</f>
        <v>3</v>
      </c>
      <c r="E649" s="406">
        <f>COUNTIFS($B$3:$B$612,E$629,$F$3:$F$612,$C649)</f>
        <v>2</v>
      </c>
      <c r="F649" s="406">
        <f>COUNTIFS($B$3:$B$612,F$629,$F$3:$F$612,$C649)</f>
        <v>0</v>
      </c>
      <c r="G649" s="406">
        <f t="shared" si="33"/>
        <v>0</v>
      </c>
      <c r="K649" s="397"/>
      <c r="L649" s="397"/>
    </row>
    <row r="650" spans="3:12" ht="19.5" customHeight="1">
      <c r="C650" s="405" t="s">
        <v>765</v>
      </c>
      <c r="D650" s="406">
        <f t="shared" ref="D650:D656" si="35">COUNTIFS($B$3:$B$612,D$629,$F$3:$F$612,$C650)</f>
        <v>1</v>
      </c>
      <c r="E650" s="406">
        <f>COUNTIFS($B$3:$B$612,E$629,$F$3:$F$612,$C650)</f>
        <v>1</v>
      </c>
      <c r="F650" s="406">
        <f>COUNTIFS($B$3:$B$612,F$629,$F$3:$F$612,$C650)</f>
        <v>1</v>
      </c>
      <c r="G650" s="406">
        <f t="shared" si="33"/>
        <v>0</v>
      </c>
      <c r="K650" s="397"/>
      <c r="L650" s="397"/>
    </row>
    <row r="651" spans="3:12" ht="19.5" customHeight="1">
      <c r="C651" s="405" t="s">
        <v>756</v>
      </c>
      <c r="D651" s="406">
        <f t="shared" si="35"/>
        <v>2</v>
      </c>
      <c r="E651" s="406">
        <f>COUNTIFS($B$3:$B$612,E$629,$F$3:$F$612,$C651)</f>
        <v>0</v>
      </c>
      <c r="F651" s="406">
        <f>COUNTIFS($B$3:$B$612,F$629,$F$3:$F$612,$C651)</f>
        <v>0</v>
      </c>
      <c r="G651" s="406">
        <f t="shared" si="33"/>
        <v>0</v>
      </c>
      <c r="K651" s="397"/>
      <c r="L651" s="397"/>
    </row>
    <row r="652" spans="3:12" ht="19.5" customHeight="1">
      <c r="C652" s="405" t="s">
        <v>461</v>
      </c>
      <c r="D652" s="406">
        <f t="shared" si="35"/>
        <v>42</v>
      </c>
      <c r="E652" s="407">
        <f>COUNTIFS($B$3:$B$612,E$629,$F$3:$F$612,$C652)+3-1</f>
        <v>7</v>
      </c>
      <c r="F652" s="407">
        <f>COUNTIFS($B$3:$B$612,F$629,$F$3:$F$612,$C652)-2-1-1</f>
        <v>11</v>
      </c>
      <c r="G652" s="406">
        <f t="shared" si="33"/>
        <v>3</v>
      </c>
      <c r="K652" s="397"/>
      <c r="L652" s="397"/>
    </row>
    <row r="653" spans="3:12" ht="19.5" customHeight="1">
      <c r="C653" s="405" t="s">
        <v>748</v>
      </c>
      <c r="D653" s="406">
        <f t="shared" si="35"/>
        <v>18</v>
      </c>
      <c r="E653" s="406">
        <f>COUNTIFS($B$3:$B$612,E$629,$F$3:$F$612,$C653)</f>
        <v>5</v>
      </c>
      <c r="F653" s="406">
        <f>COUNTIFS($B$3:$B$612,F$629,$F$3:$F$612,$C653)</f>
        <v>13</v>
      </c>
      <c r="G653" s="406">
        <f t="shared" si="33"/>
        <v>0</v>
      </c>
      <c r="K653" s="397"/>
      <c r="L653" s="397"/>
    </row>
    <row r="654" spans="3:12" ht="19.5" customHeight="1">
      <c r="C654" s="405" t="s">
        <v>764</v>
      </c>
      <c r="D654" s="406">
        <f t="shared" si="35"/>
        <v>3</v>
      </c>
      <c r="E654" s="406">
        <f>COUNTIFS($B$3:$B$612,E$629,$F$3:$F$612,$C654)</f>
        <v>3</v>
      </c>
      <c r="F654" s="406">
        <f>COUNTIFS($B$3:$B$612,F$629,$F$3:$F$612,$C654)</f>
        <v>0</v>
      </c>
      <c r="G654" s="406">
        <f t="shared" si="33"/>
        <v>0</v>
      </c>
      <c r="K654" s="397"/>
      <c r="L654" s="397"/>
    </row>
    <row r="655" spans="3:12" ht="19.5" customHeight="1">
      <c r="C655" s="405" t="s">
        <v>462</v>
      </c>
      <c r="D655" s="406">
        <f t="shared" si="35"/>
        <v>111</v>
      </c>
      <c r="E655" s="407">
        <f>COUNTIFS($B$3:$B$612,E$629,$F$3:$F$612,$C655)+12-2-1</f>
        <v>35</v>
      </c>
      <c r="F655" s="407">
        <f>COUNTIFS($B$3:$B$612,F$629,$F$3:$F$612,$C655)-5-2</f>
        <v>42</v>
      </c>
      <c r="G655" s="406">
        <f t="shared" si="33"/>
        <v>4</v>
      </c>
      <c r="K655" s="397"/>
      <c r="L655" s="397"/>
    </row>
    <row r="656" spans="3:12" ht="19.5" customHeight="1">
      <c r="C656" s="516" t="s">
        <v>767</v>
      </c>
      <c r="D656" s="406">
        <f t="shared" si="35"/>
        <v>1</v>
      </c>
      <c r="E656" s="406">
        <f>COUNTIFS($B$3:$B$612,E$629,$F$3:$F$612,$C656)</f>
        <v>1</v>
      </c>
      <c r="F656" s="406">
        <f>COUNTIFS($B$3:$B$612,F$629,$F$3:$F$612,$C656)</f>
        <v>0</v>
      </c>
      <c r="G656" s="406">
        <f t="shared" si="33"/>
        <v>0</v>
      </c>
      <c r="K656" s="397"/>
      <c r="L656" s="397"/>
    </row>
    <row r="657" spans="3:12" ht="19.5" customHeight="1">
      <c r="C657" s="405" t="s">
        <v>1247</v>
      </c>
      <c r="D657" s="417">
        <f>SUM(D630:D656)</f>
        <v>374</v>
      </c>
      <c r="E657" s="417">
        <f t="shared" ref="E657" si="36">SUM(E630:E656)</f>
        <v>113</v>
      </c>
      <c r="F657" s="417">
        <f>SUM(F630:F656)</f>
        <v>100</v>
      </c>
      <c r="G657" s="417">
        <f>SUM(G630:G656)</f>
        <v>8</v>
      </c>
      <c r="K657" s="397"/>
      <c r="L657" s="397"/>
    </row>
    <row r="658" spans="3:12" ht="19.5" customHeight="1">
      <c r="C658" s="515" t="s">
        <v>1212</v>
      </c>
      <c r="D658" s="406">
        <f>COUNTIFS($B$4:$B$612,D$629,$E$4:$E$612,$C658)-1</f>
        <v>8</v>
      </c>
      <c r="E658" s="406">
        <f>COUNTIFS($B$123:$B$612,E$629,$E$123:$E$612,$C658)</f>
        <v>0</v>
      </c>
      <c r="F658" s="406">
        <f>COUNTIFS($B$123:$B$612,F$629,$E$123:$E$612,$C658)</f>
        <v>0</v>
      </c>
      <c r="G658" s="406">
        <f>COUNTIFS($B$105:$B$612,G$629,$E$105:$E$612,$C658)</f>
        <v>0</v>
      </c>
      <c r="K658" s="397"/>
      <c r="L658" s="397"/>
    </row>
    <row r="659" spans="3:12" ht="19.5" customHeight="1">
      <c r="C659" s="515" t="s">
        <v>1426</v>
      </c>
      <c r="D659" s="406">
        <f>COUNTIFS($B$4:$B$612,D$629,$E$4:$E$612,$C659)</f>
        <v>4</v>
      </c>
      <c r="E659" s="406">
        <f>COUNTIFS($B$123:$B$612,E$629,$E$123:$E$612,$C659)</f>
        <v>0</v>
      </c>
      <c r="F659" s="406">
        <f>COUNTIFS($B$123:$B$612,F$629,$E$123:$E$612,$C659)</f>
        <v>0</v>
      </c>
      <c r="G659" s="406">
        <f>COUNTIFS($B$105:$B$612,G$629,$E$105:$E$612,$C659)</f>
        <v>0</v>
      </c>
      <c r="K659" s="397"/>
      <c r="L659" s="397"/>
    </row>
    <row r="660" spans="3:12" ht="19.5" customHeight="1">
      <c r="C660" s="460" t="s">
        <v>94</v>
      </c>
      <c r="D660" s="461">
        <f>SUM(D657:D659)</f>
        <v>386</v>
      </c>
      <c r="E660" s="461">
        <f t="shared" ref="E660:G660" si="37">SUM(E657:E658)</f>
        <v>113</v>
      </c>
      <c r="F660" s="461">
        <f>SUM(F657:F658)</f>
        <v>100</v>
      </c>
      <c r="G660" s="461">
        <f t="shared" si="37"/>
        <v>8</v>
      </c>
      <c r="K660" s="397"/>
      <c r="L660" s="397"/>
    </row>
    <row r="661" spans="3:12" ht="19.5" customHeight="1">
      <c r="C661" s="408" t="s">
        <v>1249</v>
      </c>
      <c r="D661" s="409">
        <f>+D657-D624</f>
        <v>0</v>
      </c>
      <c r="E661" s="409">
        <f>+E657-E624</f>
        <v>0</v>
      </c>
      <c r="F661" s="409">
        <f>+F657-F624</f>
        <v>0</v>
      </c>
      <c r="K661" s="397"/>
      <c r="L661" s="397"/>
    </row>
  </sheetData>
  <autoFilter ref="B4:L612" xr:uid="{00000000-0009-0000-0000-000006000000}"/>
  <mergeCells count="1">
    <mergeCell ref="B1:C1"/>
  </mergeCells>
  <conditionalFormatting sqref="B259 B266 B270:B271 B246:B247 B243 B378:B379 B401:B612 B49:B51 B375:B376 B274:B275 B277:B278 B283:B289 B291 B293 B295:B315 B317:B321 B323:B327 B329:B333 B335 B337:B339 B342:B345 B347:B350 B352:B353 B355:B363 B365:B373 B381:B383 B385:B386 B388:B389 B392:B399 B16">
    <cfRule type="containsText" dxfId="458" priority="481" operator="containsText" text="Youcom">
      <formula>NOT(ISERROR(SEARCH("Youcom",B16)))</formula>
    </cfRule>
    <cfRule type="containsText" dxfId="457" priority="482" operator="containsText" text="Camicado">
      <formula>NOT(ISERROR(SEARCH("Camicado",B16)))</formula>
    </cfRule>
    <cfRule type="containsText" dxfId="456" priority="483" operator="containsText" text="Renner">
      <formula>NOT(ISERROR(SEARCH("Renner",B16)))</formula>
    </cfRule>
  </conditionalFormatting>
  <conditionalFormatting sqref="B262:B263">
    <cfRule type="containsText" dxfId="455" priority="478" operator="containsText" text="Youcom">
      <formula>NOT(ISERROR(SEARCH("Youcom",B262)))</formula>
    </cfRule>
    <cfRule type="containsText" dxfId="454" priority="479" operator="containsText" text="Camicado">
      <formula>NOT(ISERROR(SEARCH("Camicado",B262)))</formula>
    </cfRule>
    <cfRule type="containsText" dxfId="453" priority="480" operator="containsText" text="Renner">
      <formula>NOT(ISERROR(SEARCH("Renner",B262)))</formula>
    </cfRule>
  </conditionalFormatting>
  <conditionalFormatting sqref="B264:B265">
    <cfRule type="containsText" dxfId="452" priority="475" operator="containsText" text="Youcom">
      <formula>NOT(ISERROR(SEARCH("Youcom",B264)))</formula>
    </cfRule>
    <cfRule type="containsText" dxfId="451" priority="476" operator="containsText" text="Camicado">
      <formula>NOT(ISERROR(SEARCH("Camicado",B264)))</formula>
    </cfRule>
    <cfRule type="containsText" dxfId="450" priority="477" operator="containsText" text="Renner">
      <formula>NOT(ISERROR(SEARCH("Renner",B264)))</formula>
    </cfRule>
  </conditionalFormatting>
  <conditionalFormatting sqref="B267:B268">
    <cfRule type="containsText" dxfId="449" priority="472" operator="containsText" text="Youcom">
      <formula>NOT(ISERROR(SEARCH("Youcom",B267)))</formula>
    </cfRule>
    <cfRule type="containsText" dxfId="448" priority="473" operator="containsText" text="Camicado">
      <formula>NOT(ISERROR(SEARCH("Camicado",B267)))</formula>
    </cfRule>
    <cfRule type="containsText" dxfId="447" priority="474" operator="containsText" text="Renner">
      <formula>NOT(ISERROR(SEARCH("Renner",B267)))</formula>
    </cfRule>
  </conditionalFormatting>
  <conditionalFormatting sqref="B269">
    <cfRule type="containsText" dxfId="446" priority="469" operator="containsText" text="Youcom">
      <formula>NOT(ISERROR(SEARCH("Youcom",B269)))</formula>
    </cfRule>
    <cfRule type="containsText" dxfId="445" priority="470" operator="containsText" text="Camicado">
      <formula>NOT(ISERROR(SEARCH("Camicado",B269)))</formula>
    </cfRule>
    <cfRule type="containsText" dxfId="444" priority="471" operator="containsText" text="Renner">
      <formula>NOT(ISERROR(SEARCH("Renner",B269)))</formula>
    </cfRule>
  </conditionalFormatting>
  <conditionalFormatting sqref="B250">
    <cfRule type="containsText" dxfId="443" priority="454" operator="containsText" text="Youcom">
      <formula>NOT(ISERROR(SEARCH("Youcom",B250)))</formula>
    </cfRule>
    <cfRule type="containsText" dxfId="442" priority="455" operator="containsText" text="Camicado">
      <formula>NOT(ISERROR(SEARCH("Camicado",B250)))</formula>
    </cfRule>
    <cfRule type="containsText" dxfId="441" priority="456" operator="containsText" text="Renner">
      <formula>NOT(ISERROR(SEARCH("Renner",B250)))</formula>
    </cfRule>
  </conditionalFormatting>
  <conditionalFormatting sqref="B257">
    <cfRule type="containsText" dxfId="440" priority="466" operator="containsText" text="Youcom">
      <formula>NOT(ISERROR(SEARCH("Youcom",B257)))</formula>
    </cfRule>
    <cfRule type="containsText" dxfId="439" priority="467" operator="containsText" text="Camicado">
      <formula>NOT(ISERROR(SEARCH("Camicado",B257)))</formula>
    </cfRule>
    <cfRule type="containsText" dxfId="438" priority="468" operator="containsText" text="Renner">
      <formula>NOT(ISERROR(SEARCH("Renner",B257)))</formula>
    </cfRule>
  </conditionalFormatting>
  <conditionalFormatting sqref="B256">
    <cfRule type="containsText" dxfId="437" priority="463" operator="containsText" text="Youcom">
      <formula>NOT(ISERROR(SEARCH("Youcom",B256)))</formula>
    </cfRule>
    <cfRule type="containsText" dxfId="436" priority="464" operator="containsText" text="Camicado">
      <formula>NOT(ISERROR(SEARCH("Camicado",B256)))</formula>
    </cfRule>
    <cfRule type="containsText" dxfId="435" priority="465" operator="containsText" text="Renner">
      <formula>NOT(ISERROR(SEARCH("Renner",B256)))</formula>
    </cfRule>
  </conditionalFormatting>
  <conditionalFormatting sqref="B255">
    <cfRule type="containsText" dxfId="434" priority="460" operator="containsText" text="Youcom">
      <formula>NOT(ISERROR(SEARCH("Youcom",B255)))</formula>
    </cfRule>
    <cfRule type="containsText" dxfId="433" priority="461" operator="containsText" text="Camicado">
      <formula>NOT(ISERROR(SEARCH("Camicado",B255)))</formula>
    </cfRule>
    <cfRule type="containsText" dxfId="432" priority="462" operator="containsText" text="Renner">
      <formula>NOT(ISERROR(SEARCH("Renner",B255)))</formula>
    </cfRule>
  </conditionalFormatting>
  <conditionalFormatting sqref="B244">
    <cfRule type="containsText" dxfId="431" priority="451" operator="containsText" text="Youcom">
      <formula>NOT(ISERROR(SEARCH("Youcom",B244)))</formula>
    </cfRule>
    <cfRule type="containsText" dxfId="430" priority="452" operator="containsText" text="Camicado">
      <formula>NOT(ISERROR(SEARCH("Camicado",B244)))</formula>
    </cfRule>
    <cfRule type="containsText" dxfId="429" priority="453" operator="containsText" text="Renner">
      <formula>NOT(ISERROR(SEARCH("Renner",B244)))</formula>
    </cfRule>
  </conditionalFormatting>
  <conditionalFormatting sqref="B242">
    <cfRule type="containsText" dxfId="428" priority="448" operator="containsText" text="Youcom">
      <formula>NOT(ISERROR(SEARCH("Youcom",B242)))</formula>
    </cfRule>
    <cfRule type="containsText" dxfId="427" priority="449" operator="containsText" text="Camicado">
      <formula>NOT(ISERROR(SEARCH("Camicado",B242)))</formula>
    </cfRule>
    <cfRule type="containsText" dxfId="426" priority="450" operator="containsText" text="Renner">
      <formula>NOT(ISERROR(SEARCH("Renner",B242)))</formula>
    </cfRule>
  </conditionalFormatting>
  <conditionalFormatting sqref="B241">
    <cfRule type="containsText" dxfId="425" priority="445" operator="containsText" text="Youcom">
      <formula>NOT(ISERROR(SEARCH("Youcom",B241)))</formula>
    </cfRule>
    <cfRule type="containsText" dxfId="424" priority="446" operator="containsText" text="Camicado">
      <formula>NOT(ISERROR(SEARCH("Camicado",B241)))</formula>
    </cfRule>
    <cfRule type="containsText" dxfId="423" priority="447" operator="containsText" text="Renner">
      <formula>NOT(ISERROR(SEARCH("Renner",B241)))</formula>
    </cfRule>
  </conditionalFormatting>
  <conditionalFormatting sqref="B249">
    <cfRule type="containsText" dxfId="422" priority="457" operator="containsText" text="Youcom">
      <formula>NOT(ISERROR(SEARCH("Youcom",B249)))</formula>
    </cfRule>
    <cfRule type="containsText" dxfId="421" priority="458" operator="containsText" text="Camicado">
      <formula>NOT(ISERROR(SEARCH("Camicado",B249)))</formula>
    </cfRule>
    <cfRule type="containsText" dxfId="420" priority="459" operator="containsText" text="Renner">
      <formula>NOT(ISERROR(SEARCH("Renner",B249)))</formula>
    </cfRule>
  </conditionalFormatting>
  <conditionalFormatting sqref="B238">
    <cfRule type="containsText" dxfId="419" priority="442" operator="containsText" text="Youcom">
      <formula>NOT(ISERROR(SEARCH("Youcom",B238)))</formula>
    </cfRule>
    <cfRule type="containsText" dxfId="418" priority="443" operator="containsText" text="Camicado">
      <formula>NOT(ISERROR(SEARCH("Camicado",B238)))</formula>
    </cfRule>
    <cfRule type="containsText" dxfId="417" priority="444" operator="containsText" text="Renner">
      <formula>NOT(ISERROR(SEARCH("Renner",B238)))</formula>
    </cfRule>
  </conditionalFormatting>
  <conditionalFormatting sqref="B229">
    <cfRule type="containsText" dxfId="416" priority="433" operator="containsText" text="Youcom">
      <formula>NOT(ISERROR(SEARCH("Youcom",B229)))</formula>
    </cfRule>
    <cfRule type="containsText" dxfId="415" priority="434" operator="containsText" text="Camicado">
      <formula>NOT(ISERROR(SEARCH("Camicado",B229)))</formula>
    </cfRule>
    <cfRule type="containsText" dxfId="414" priority="435" operator="containsText" text="Renner">
      <formula>NOT(ISERROR(SEARCH("Renner",B229)))</formula>
    </cfRule>
  </conditionalFormatting>
  <conditionalFormatting sqref="B227">
    <cfRule type="containsText" dxfId="413" priority="427" operator="containsText" text="Youcom">
      <formula>NOT(ISERROR(SEARCH("Youcom",B227)))</formula>
    </cfRule>
    <cfRule type="containsText" dxfId="412" priority="428" operator="containsText" text="Camicado">
      <formula>NOT(ISERROR(SEARCH("Camicado",B227)))</formula>
    </cfRule>
    <cfRule type="containsText" dxfId="411" priority="429" operator="containsText" text="Renner">
      <formula>NOT(ISERROR(SEARCH("Renner",B227)))</formula>
    </cfRule>
  </conditionalFormatting>
  <conditionalFormatting sqref="B228">
    <cfRule type="containsText" dxfId="410" priority="430" operator="containsText" text="Youcom">
      <formula>NOT(ISERROR(SEARCH("Youcom",B228)))</formula>
    </cfRule>
    <cfRule type="containsText" dxfId="409" priority="431" operator="containsText" text="Camicado">
      <formula>NOT(ISERROR(SEARCH("Camicado",B228)))</formula>
    </cfRule>
    <cfRule type="containsText" dxfId="408" priority="432" operator="containsText" text="Renner">
      <formula>NOT(ISERROR(SEARCH("Renner",B228)))</formula>
    </cfRule>
  </conditionalFormatting>
  <conditionalFormatting sqref="B231">
    <cfRule type="containsText" dxfId="407" priority="439" operator="containsText" text="Youcom">
      <formula>NOT(ISERROR(SEARCH("Youcom",B231)))</formula>
    </cfRule>
    <cfRule type="containsText" dxfId="406" priority="440" operator="containsText" text="Camicado">
      <formula>NOT(ISERROR(SEARCH("Camicado",B231)))</formula>
    </cfRule>
    <cfRule type="containsText" dxfId="405" priority="441" operator="containsText" text="Renner">
      <formula>NOT(ISERROR(SEARCH("Renner",B231)))</formula>
    </cfRule>
  </conditionalFormatting>
  <conditionalFormatting sqref="B230">
    <cfRule type="containsText" dxfId="404" priority="436" operator="containsText" text="Youcom">
      <formula>NOT(ISERROR(SEARCH("Youcom",B230)))</formula>
    </cfRule>
    <cfRule type="containsText" dxfId="403" priority="437" operator="containsText" text="Camicado">
      <formula>NOT(ISERROR(SEARCH("Camicado",B230)))</formula>
    </cfRule>
    <cfRule type="containsText" dxfId="402" priority="438" operator="containsText" text="Renner">
      <formula>NOT(ISERROR(SEARCH("Renner",B230)))</formula>
    </cfRule>
  </conditionalFormatting>
  <conditionalFormatting sqref="B225">
    <cfRule type="containsText" dxfId="401" priority="421" operator="containsText" text="Youcom">
      <formula>NOT(ISERROR(SEARCH("Youcom",B225)))</formula>
    </cfRule>
    <cfRule type="containsText" dxfId="400" priority="422" operator="containsText" text="Camicado">
      <formula>NOT(ISERROR(SEARCH("Camicado",B225)))</formula>
    </cfRule>
    <cfRule type="containsText" dxfId="399" priority="423" operator="containsText" text="Renner">
      <formula>NOT(ISERROR(SEARCH("Renner",B225)))</formula>
    </cfRule>
  </conditionalFormatting>
  <conditionalFormatting sqref="B226">
    <cfRule type="containsText" dxfId="398" priority="424" operator="containsText" text="Youcom">
      <formula>NOT(ISERROR(SEARCH("Youcom",B226)))</formula>
    </cfRule>
    <cfRule type="containsText" dxfId="397" priority="425" operator="containsText" text="Camicado">
      <formula>NOT(ISERROR(SEARCH("Camicado",B226)))</formula>
    </cfRule>
    <cfRule type="containsText" dxfId="396" priority="426" operator="containsText" text="Renner">
      <formula>NOT(ISERROR(SEARCH("Renner",B226)))</formula>
    </cfRule>
  </conditionalFormatting>
  <conditionalFormatting sqref="B223:B224">
    <cfRule type="containsText" dxfId="395" priority="418" operator="containsText" text="Youcom">
      <formula>NOT(ISERROR(SEARCH("Youcom",B223)))</formula>
    </cfRule>
    <cfRule type="containsText" dxfId="394" priority="419" operator="containsText" text="Camicado">
      <formula>NOT(ISERROR(SEARCH("Camicado",B223)))</formula>
    </cfRule>
    <cfRule type="containsText" dxfId="393" priority="420" operator="containsText" text="Renner">
      <formula>NOT(ISERROR(SEARCH("Renner",B223)))</formula>
    </cfRule>
  </conditionalFormatting>
  <conditionalFormatting sqref="B221:B222">
    <cfRule type="containsText" dxfId="392" priority="415" operator="containsText" text="Youcom">
      <formula>NOT(ISERROR(SEARCH("Youcom",B221)))</formula>
    </cfRule>
    <cfRule type="containsText" dxfId="391" priority="416" operator="containsText" text="Camicado">
      <formula>NOT(ISERROR(SEARCH("Camicado",B221)))</formula>
    </cfRule>
    <cfRule type="containsText" dxfId="390" priority="417" operator="containsText" text="Renner">
      <formula>NOT(ISERROR(SEARCH("Renner",B221)))</formula>
    </cfRule>
  </conditionalFormatting>
  <conditionalFormatting sqref="B218:B219">
    <cfRule type="containsText" dxfId="389" priority="412" operator="containsText" text="Youcom">
      <formula>NOT(ISERROR(SEARCH("Youcom",B218)))</formula>
    </cfRule>
    <cfRule type="containsText" dxfId="388" priority="413" operator="containsText" text="Camicado">
      <formula>NOT(ISERROR(SEARCH("Camicado",B218)))</formula>
    </cfRule>
    <cfRule type="containsText" dxfId="387" priority="414" operator="containsText" text="Renner">
      <formula>NOT(ISERROR(SEARCH("Renner",B218)))</formula>
    </cfRule>
  </conditionalFormatting>
  <conditionalFormatting sqref="B220">
    <cfRule type="containsText" dxfId="386" priority="409" operator="containsText" text="Youcom">
      <formula>NOT(ISERROR(SEARCH("Youcom",B220)))</formula>
    </cfRule>
    <cfRule type="containsText" dxfId="385" priority="410" operator="containsText" text="Camicado">
      <formula>NOT(ISERROR(SEARCH("Camicado",B220)))</formula>
    </cfRule>
    <cfRule type="containsText" dxfId="384" priority="411" operator="containsText" text="Renner">
      <formula>NOT(ISERROR(SEARCH("Renner",B220)))</formula>
    </cfRule>
  </conditionalFormatting>
  <conditionalFormatting sqref="B210">
    <cfRule type="containsText" dxfId="383" priority="391" operator="containsText" text="Youcom">
      <formula>NOT(ISERROR(SEARCH("Youcom",B210)))</formula>
    </cfRule>
    <cfRule type="containsText" dxfId="382" priority="392" operator="containsText" text="Camicado">
      <formula>NOT(ISERROR(SEARCH("Camicado",B210)))</formula>
    </cfRule>
    <cfRule type="containsText" dxfId="381" priority="393" operator="containsText" text="Renner">
      <formula>NOT(ISERROR(SEARCH("Renner",B210)))</formula>
    </cfRule>
  </conditionalFormatting>
  <conditionalFormatting sqref="B216">
    <cfRule type="containsText" dxfId="380" priority="406" operator="containsText" text="Youcom">
      <formula>NOT(ISERROR(SEARCH("Youcom",B216)))</formula>
    </cfRule>
    <cfRule type="containsText" dxfId="379" priority="407" operator="containsText" text="Camicado">
      <formula>NOT(ISERROR(SEARCH("Camicado",B216)))</formula>
    </cfRule>
    <cfRule type="containsText" dxfId="378" priority="408" operator="containsText" text="Renner">
      <formula>NOT(ISERROR(SEARCH("Renner",B216)))</formula>
    </cfRule>
  </conditionalFormatting>
  <conditionalFormatting sqref="B214">
    <cfRule type="containsText" dxfId="377" priority="403" operator="containsText" text="Youcom">
      <formula>NOT(ISERROR(SEARCH("Youcom",B214)))</formula>
    </cfRule>
    <cfRule type="containsText" dxfId="376" priority="404" operator="containsText" text="Camicado">
      <formula>NOT(ISERROR(SEARCH("Camicado",B214)))</formula>
    </cfRule>
    <cfRule type="containsText" dxfId="375" priority="405" operator="containsText" text="Renner">
      <formula>NOT(ISERROR(SEARCH("Renner",B214)))</formula>
    </cfRule>
  </conditionalFormatting>
  <conditionalFormatting sqref="B213">
    <cfRule type="containsText" dxfId="374" priority="400" operator="containsText" text="Youcom">
      <formula>NOT(ISERROR(SEARCH("Youcom",B213)))</formula>
    </cfRule>
    <cfRule type="containsText" dxfId="373" priority="401" operator="containsText" text="Camicado">
      <formula>NOT(ISERROR(SEARCH("Camicado",B213)))</formula>
    </cfRule>
    <cfRule type="containsText" dxfId="372" priority="402" operator="containsText" text="Renner">
      <formula>NOT(ISERROR(SEARCH("Renner",B213)))</formula>
    </cfRule>
  </conditionalFormatting>
  <conditionalFormatting sqref="B212">
    <cfRule type="containsText" dxfId="371" priority="397" operator="containsText" text="Youcom">
      <formula>NOT(ISERROR(SEARCH("Youcom",B212)))</formula>
    </cfRule>
    <cfRule type="containsText" dxfId="370" priority="398" operator="containsText" text="Camicado">
      <formula>NOT(ISERROR(SEARCH("Camicado",B212)))</formula>
    </cfRule>
    <cfRule type="containsText" dxfId="369" priority="399" operator="containsText" text="Renner">
      <formula>NOT(ISERROR(SEARCH("Renner",B212)))</formula>
    </cfRule>
  </conditionalFormatting>
  <conditionalFormatting sqref="B211">
    <cfRule type="containsText" dxfId="368" priority="394" operator="containsText" text="Youcom">
      <formula>NOT(ISERROR(SEARCH("Youcom",B211)))</formula>
    </cfRule>
    <cfRule type="containsText" dxfId="367" priority="395" operator="containsText" text="Camicado">
      <formula>NOT(ISERROR(SEARCH("Camicado",B211)))</formula>
    </cfRule>
    <cfRule type="containsText" dxfId="366" priority="396" operator="containsText" text="Renner">
      <formula>NOT(ISERROR(SEARCH("Renner",B211)))</formula>
    </cfRule>
  </conditionalFormatting>
  <conditionalFormatting sqref="B208">
    <cfRule type="containsText" dxfId="365" priority="388" operator="containsText" text="Youcom">
      <formula>NOT(ISERROR(SEARCH("Youcom",B208)))</formula>
    </cfRule>
    <cfRule type="containsText" dxfId="364" priority="389" operator="containsText" text="Camicado">
      <formula>NOT(ISERROR(SEARCH("Camicado",B208)))</formula>
    </cfRule>
    <cfRule type="containsText" dxfId="363" priority="390" operator="containsText" text="Renner">
      <formula>NOT(ISERROR(SEARCH("Renner",B208)))</formula>
    </cfRule>
  </conditionalFormatting>
  <conditionalFormatting sqref="B201">
    <cfRule type="containsText" dxfId="362" priority="373" operator="containsText" text="Youcom">
      <formula>NOT(ISERROR(SEARCH("Youcom",B201)))</formula>
    </cfRule>
    <cfRule type="containsText" dxfId="361" priority="374" operator="containsText" text="Camicado">
      <formula>NOT(ISERROR(SEARCH("Camicado",B201)))</formula>
    </cfRule>
    <cfRule type="containsText" dxfId="360" priority="375" operator="containsText" text="Renner">
      <formula>NOT(ISERROR(SEARCH("Renner",B201)))</formula>
    </cfRule>
  </conditionalFormatting>
  <conditionalFormatting sqref="B206">
    <cfRule type="containsText" dxfId="359" priority="382" operator="containsText" text="Youcom">
      <formula>NOT(ISERROR(SEARCH("Youcom",B206)))</formula>
    </cfRule>
    <cfRule type="containsText" dxfId="358" priority="383" operator="containsText" text="Camicado">
      <formula>NOT(ISERROR(SEARCH("Camicado",B206)))</formula>
    </cfRule>
    <cfRule type="containsText" dxfId="357" priority="384" operator="containsText" text="Renner">
      <formula>NOT(ISERROR(SEARCH("Renner",B206)))</formula>
    </cfRule>
  </conditionalFormatting>
  <conditionalFormatting sqref="B207">
    <cfRule type="containsText" dxfId="356" priority="385" operator="containsText" text="Youcom">
      <formula>NOT(ISERROR(SEARCH("Youcom",B207)))</formula>
    </cfRule>
    <cfRule type="containsText" dxfId="355" priority="386" operator="containsText" text="Camicado">
      <formula>NOT(ISERROR(SEARCH("Camicado",B207)))</formula>
    </cfRule>
    <cfRule type="containsText" dxfId="354" priority="387" operator="containsText" text="Renner">
      <formula>NOT(ISERROR(SEARCH("Renner",B207)))</formula>
    </cfRule>
  </conditionalFormatting>
  <conditionalFormatting sqref="B205">
    <cfRule type="containsText" dxfId="353" priority="379" operator="containsText" text="Youcom">
      <formula>NOT(ISERROR(SEARCH("Youcom",B205)))</formula>
    </cfRule>
    <cfRule type="containsText" dxfId="352" priority="380" operator="containsText" text="Camicado">
      <formula>NOT(ISERROR(SEARCH("Camicado",B205)))</formula>
    </cfRule>
    <cfRule type="containsText" dxfId="351" priority="381" operator="containsText" text="Renner">
      <formula>NOT(ISERROR(SEARCH("Renner",B205)))</formula>
    </cfRule>
  </conditionalFormatting>
  <conditionalFormatting sqref="B204">
    <cfRule type="containsText" dxfId="350" priority="376" operator="containsText" text="Youcom">
      <formula>NOT(ISERROR(SEARCH("Youcom",B204)))</formula>
    </cfRule>
    <cfRule type="containsText" dxfId="349" priority="377" operator="containsText" text="Camicado">
      <formula>NOT(ISERROR(SEARCH("Camicado",B204)))</formula>
    </cfRule>
    <cfRule type="containsText" dxfId="348" priority="378" operator="containsText" text="Renner">
      <formula>NOT(ISERROR(SEARCH("Renner",B204)))</formula>
    </cfRule>
  </conditionalFormatting>
  <conditionalFormatting sqref="B197">
    <cfRule type="containsText" dxfId="347" priority="364" operator="containsText" text="Youcom">
      <formula>NOT(ISERROR(SEARCH("Youcom",B197)))</formula>
    </cfRule>
    <cfRule type="containsText" dxfId="346" priority="365" operator="containsText" text="Camicado">
      <formula>NOT(ISERROR(SEARCH("Camicado",B197)))</formula>
    </cfRule>
    <cfRule type="containsText" dxfId="345" priority="366" operator="containsText" text="Renner">
      <formula>NOT(ISERROR(SEARCH("Renner",B197)))</formula>
    </cfRule>
  </conditionalFormatting>
  <conditionalFormatting sqref="B195">
    <cfRule type="containsText" dxfId="344" priority="361" operator="containsText" text="Youcom">
      <formula>NOT(ISERROR(SEARCH("Youcom",B195)))</formula>
    </cfRule>
    <cfRule type="containsText" dxfId="343" priority="362" operator="containsText" text="Camicado">
      <formula>NOT(ISERROR(SEARCH("Camicado",B195)))</formula>
    </cfRule>
    <cfRule type="containsText" dxfId="342" priority="363" operator="containsText" text="Renner">
      <formula>NOT(ISERROR(SEARCH("Renner",B195)))</formula>
    </cfRule>
  </conditionalFormatting>
  <conditionalFormatting sqref="B199">
    <cfRule type="containsText" dxfId="341" priority="367" operator="containsText" text="Youcom">
      <formula>NOT(ISERROR(SEARCH("Youcom",B199)))</formula>
    </cfRule>
    <cfRule type="containsText" dxfId="340" priority="368" operator="containsText" text="Camicado">
      <formula>NOT(ISERROR(SEARCH("Camicado",B199)))</formula>
    </cfRule>
    <cfRule type="containsText" dxfId="339" priority="369" operator="containsText" text="Renner">
      <formula>NOT(ISERROR(SEARCH("Renner",B199)))</formula>
    </cfRule>
  </conditionalFormatting>
  <conditionalFormatting sqref="B200">
    <cfRule type="containsText" dxfId="338" priority="370" operator="containsText" text="Youcom">
      <formula>NOT(ISERROR(SEARCH("Youcom",B200)))</formula>
    </cfRule>
    <cfRule type="containsText" dxfId="337" priority="371" operator="containsText" text="Camicado">
      <formula>NOT(ISERROR(SEARCH("Camicado",B200)))</formula>
    </cfRule>
    <cfRule type="containsText" dxfId="336" priority="372" operator="containsText" text="Renner">
      <formula>NOT(ISERROR(SEARCH("Renner",B200)))</formula>
    </cfRule>
  </conditionalFormatting>
  <conditionalFormatting sqref="B190">
    <cfRule type="containsText" dxfId="335" priority="358" operator="containsText" text="Youcom">
      <formula>NOT(ISERROR(SEARCH("Youcom",B190)))</formula>
    </cfRule>
    <cfRule type="containsText" dxfId="334" priority="359" operator="containsText" text="Camicado">
      <formula>NOT(ISERROR(SEARCH("Camicado",B190)))</formula>
    </cfRule>
    <cfRule type="containsText" dxfId="333" priority="360" operator="containsText" text="Renner">
      <formula>NOT(ISERROR(SEARCH("Renner",B190)))</formula>
    </cfRule>
  </conditionalFormatting>
  <conditionalFormatting sqref="B189">
    <cfRule type="containsText" dxfId="332" priority="355" operator="containsText" text="Youcom">
      <formula>NOT(ISERROR(SEARCH("Youcom",B189)))</formula>
    </cfRule>
    <cfRule type="containsText" dxfId="331" priority="356" operator="containsText" text="Camicado">
      <formula>NOT(ISERROR(SEARCH("Camicado",B189)))</formula>
    </cfRule>
    <cfRule type="containsText" dxfId="330" priority="357" operator="containsText" text="Renner">
      <formula>NOT(ISERROR(SEARCH("Renner",B189)))</formula>
    </cfRule>
  </conditionalFormatting>
  <conditionalFormatting sqref="B188">
    <cfRule type="containsText" dxfId="329" priority="352" operator="containsText" text="Youcom">
      <formula>NOT(ISERROR(SEARCH("Youcom",B188)))</formula>
    </cfRule>
    <cfRule type="containsText" dxfId="328" priority="353" operator="containsText" text="Camicado">
      <formula>NOT(ISERROR(SEARCH("Camicado",B188)))</formula>
    </cfRule>
    <cfRule type="containsText" dxfId="327" priority="354" operator="containsText" text="Renner">
      <formula>NOT(ISERROR(SEARCH("Renner",B188)))</formula>
    </cfRule>
  </conditionalFormatting>
  <conditionalFormatting sqref="B187">
    <cfRule type="containsText" dxfId="326" priority="349" operator="containsText" text="Youcom">
      <formula>NOT(ISERROR(SEARCH("Youcom",B187)))</formula>
    </cfRule>
    <cfRule type="containsText" dxfId="325" priority="350" operator="containsText" text="Camicado">
      <formula>NOT(ISERROR(SEARCH("Camicado",B187)))</formula>
    </cfRule>
    <cfRule type="containsText" dxfId="324" priority="351" operator="containsText" text="Renner">
      <formula>NOT(ISERROR(SEARCH("Renner",B187)))</formula>
    </cfRule>
  </conditionalFormatting>
  <conditionalFormatting sqref="B181">
    <cfRule type="containsText" dxfId="323" priority="340" operator="containsText" text="Youcom">
      <formula>NOT(ISERROR(SEARCH("Youcom",B181)))</formula>
    </cfRule>
    <cfRule type="containsText" dxfId="322" priority="341" operator="containsText" text="Camicado">
      <formula>NOT(ISERROR(SEARCH("Camicado",B181)))</formula>
    </cfRule>
    <cfRule type="containsText" dxfId="321" priority="342" operator="containsText" text="Renner">
      <formula>NOT(ISERROR(SEARCH("Renner",B181)))</formula>
    </cfRule>
  </conditionalFormatting>
  <conditionalFormatting sqref="B185">
    <cfRule type="containsText" dxfId="320" priority="346" operator="containsText" text="Youcom">
      <formula>NOT(ISERROR(SEARCH("Youcom",B185)))</formula>
    </cfRule>
    <cfRule type="containsText" dxfId="319" priority="347" operator="containsText" text="Camicado">
      <formula>NOT(ISERROR(SEARCH("Camicado",B185)))</formula>
    </cfRule>
    <cfRule type="containsText" dxfId="318" priority="348" operator="containsText" text="Renner">
      <formula>NOT(ISERROR(SEARCH("Renner",B185)))</formula>
    </cfRule>
  </conditionalFormatting>
  <conditionalFormatting sqref="B183">
    <cfRule type="containsText" dxfId="317" priority="343" operator="containsText" text="Youcom">
      <formula>NOT(ISERROR(SEARCH("Youcom",B183)))</formula>
    </cfRule>
    <cfRule type="containsText" dxfId="316" priority="344" operator="containsText" text="Camicado">
      <formula>NOT(ISERROR(SEARCH("Camicado",B183)))</formula>
    </cfRule>
    <cfRule type="containsText" dxfId="315" priority="345" operator="containsText" text="Renner">
      <formula>NOT(ISERROR(SEARCH("Renner",B183)))</formula>
    </cfRule>
  </conditionalFormatting>
  <conditionalFormatting sqref="B180">
    <cfRule type="containsText" dxfId="314" priority="334" operator="containsText" text="Youcom">
      <formula>NOT(ISERROR(SEARCH("Youcom",B180)))</formula>
    </cfRule>
    <cfRule type="containsText" dxfId="313" priority="335" operator="containsText" text="Camicado">
      <formula>NOT(ISERROR(SEARCH("Camicado",B180)))</formula>
    </cfRule>
    <cfRule type="containsText" dxfId="312" priority="336" operator="containsText" text="Renner">
      <formula>NOT(ISERROR(SEARCH("Renner",B180)))</formula>
    </cfRule>
  </conditionalFormatting>
  <conditionalFormatting sqref="B178">
    <cfRule type="containsText" dxfId="311" priority="331" operator="containsText" text="Youcom">
      <formula>NOT(ISERROR(SEARCH("Youcom",B178)))</formula>
    </cfRule>
    <cfRule type="containsText" dxfId="310" priority="332" operator="containsText" text="Camicado">
      <formula>NOT(ISERROR(SEARCH("Camicado",B178)))</formula>
    </cfRule>
    <cfRule type="containsText" dxfId="309" priority="333" operator="containsText" text="Renner">
      <formula>NOT(ISERROR(SEARCH("Renner",B178)))</formula>
    </cfRule>
  </conditionalFormatting>
  <conditionalFormatting sqref="B182">
    <cfRule type="containsText" dxfId="308" priority="337" operator="containsText" text="Youcom">
      <formula>NOT(ISERROR(SEARCH("Youcom",B182)))</formula>
    </cfRule>
    <cfRule type="containsText" dxfId="307" priority="338" operator="containsText" text="Camicado">
      <formula>NOT(ISERROR(SEARCH("Camicado",B182)))</formula>
    </cfRule>
    <cfRule type="containsText" dxfId="306" priority="339" operator="containsText" text="Renner">
      <formula>NOT(ISERROR(SEARCH("Renner",B182)))</formula>
    </cfRule>
  </conditionalFormatting>
  <conditionalFormatting sqref="B176">
    <cfRule type="containsText" dxfId="305" priority="325" operator="containsText" text="Youcom">
      <formula>NOT(ISERROR(SEARCH("Youcom",B176)))</formula>
    </cfRule>
    <cfRule type="containsText" dxfId="304" priority="326" operator="containsText" text="Camicado">
      <formula>NOT(ISERROR(SEARCH("Camicado",B176)))</formula>
    </cfRule>
    <cfRule type="containsText" dxfId="303" priority="327" operator="containsText" text="Renner">
      <formula>NOT(ISERROR(SEARCH("Renner",B176)))</formula>
    </cfRule>
  </conditionalFormatting>
  <conditionalFormatting sqref="B173">
    <cfRule type="containsText" dxfId="302" priority="319" operator="containsText" text="Youcom">
      <formula>NOT(ISERROR(SEARCH("Youcom",B173)))</formula>
    </cfRule>
    <cfRule type="containsText" dxfId="301" priority="320" operator="containsText" text="Camicado">
      <formula>NOT(ISERROR(SEARCH("Camicado",B173)))</formula>
    </cfRule>
    <cfRule type="containsText" dxfId="300" priority="321" operator="containsText" text="Renner">
      <formula>NOT(ISERROR(SEARCH("Renner",B173)))</formula>
    </cfRule>
  </conditionalFormatting>
  <conditionalFormatting sqref="B177">
    <cfRule type="containsText" dxfId="299" priority="328" operator="containsText" text="Youcom">
      <formula>NOT(ISERROR(SEARCH("Youcom",B177)))</formula>
    </cfRule>
    <cfRule type="containsText" dxfId="298" priority="329" operator="containsText" text="Camicado">
      <formula>NOT(ISERROR(SEARCH("Camicado",B177)))</formula>
    </cfRule>
    <cfRule type="containsText" dxfId="297" priority="330" operator="containsText" text="Renner">
      <formula>NOT(ISERROR(SEARCH("Renner",B177)))</formula>
    </cfRule>
  </conditionalFormatting>
  <conditionalFormatting sqref="B174">
    <cfRule type="containsText" dxfId="296" priority="322" operator="containsText" text="Youcom">
      <formula>NOT(ISERROR(SEARCH("Youcom",B174)))</formula>
    </cfRule>
    <cfRule type="containsText" dxfId="295" priority="323" operator="containsText" text="Camicado">
      <formula>NOT(ISERROR(SEARCH("Camicado",B174)))</formula>
    </cfRule>
    <cfRule type="containsText" dxfId="294" priority="324" operator="containsText" text="Renner">
      <formula>NOT(ISERROR(SEARCH("Renner",B174)))</formula>
    </cfRule>
  </conditionalFormatting>
  <conditionalFormatting sqref="B169">
    <cfRule type="containsText" dxfId="293" priority="313" operator="containsText" text="Youcom">
      <formula>NOT(ISERROR(SEARCH("Youcom",B169)))</formula>
    </cfRule>
    <cfRule type="containsText" dxfId="292" priority="314" operator="containsText" text="Camicado">
      <formula>NOT(ISERROR(SEARCH("Camicado",B169)))</formula>
    </cfRule>
    <cfRule type="containsText" dxfId="291" priority="315" operator="containsText" text="Renner">
      <formula>NOT(ISERROR(SEARCH("Renner",B169)))</formula>
    </cfRule>
  </conditionalFormatting>
  <conditionalFormatting sqref="B172">
    <cfRule type="containsText" dxfId="290" priority="316" operator="containsText" text="Youcom">
      <formula>NOT(ISERROR(SEARCH("Youcom",B172)))</formula>
    </cfRule>
    <cfRule type="containsText" dxfId="289" priority="317" operator="containsText" text="Camicado">
      <formula>NOT(ISERROR(SEARCH("Camicado",B172)))</formula>
    </cfRule>
    <cfRule type="containsText" dxfId="288" priority="318" operator="containsText" text="Renner">
      <formula>NOT(ISERROR(SEARCH("Renner",B172)))</formula>
    </cfRule>
  </conditionalFormatting>
  <conditionalFormatting sqref="B165">
    <cfRule type="containsText" dxfId="287" priority="304" operator="containsText" text="Youcom">
      <formula>NOT(ISERROR(SEARCH("Youcom",B165)))</formula>
    </cfRule>
    <cfRule type="containsText" dxfId="286" priority="305" operator="containsText" text="Camicado">
      <formula>NOT(ISERROR(SEARCH("Camicado",B165)))</formula>
    </cfRule>
    <cfRule type="containsText" dxfId="285" priority="306" operator="containsText" text="Renner">
      <formula>NOT(ISERROR(SEARCH("Renner",B165)))</formula>
    </cfRule>
  </conditionalFormatting>
  <conditionalFormatting sqref="B164">
    <cfRule type="containsText" dxfId="284" priority="301" operator="containsText" text="Youcom">
      <formula>NOT(ISERROR(SEARCH("Youcom",B164)))</formula>
    </cfRule>
    <cfRule type="containsText" dxfId="283" priority="302" operator="containsText" text="Camicado">
      <formula>NOT(ISERROR(SEARCH("Camicado",B164)))</formula>
    </cfRule>
    <cfRule type="containsText" dxfId="282" priority="303" operator="containsText" text="Renner">
      <formula>NOT(ISERROR(SEARCH("Renner",B164)))</formula>
    </cfRule>
  </conditionalFormatting>
  <conditionalFormatting sqref="B167">
    <cfRule type="containsText" dxfId="281" priority="307" operator="containsText" text="Youcom">
      <formula>NOT(ISERROR(SEARCH("Youcom",B167)))</formula>
    </cfRule>
    <cfRule type="containsText" dxfId="280" priority="308" operator="containsText" text="Camicado">
      <formula>NOT(ISERROR(SEARCH("Camicado",B167)))</formula>
    </cfRule>
    <cfRule type="containsText" dxfId="279" priority="309" operator="containsText" text="Renner">
      <formula>NOT(ISERROR(SEARCH("Renner",B167)))</formula>
    </cfRule>
  </conditionalFormatting>
  <conditionalFormatting sqref="B168">
    <cfRule type="containsText" dxfId="278" priority="310" operator="containsText" text="Youcom">
      <formula>NOT(ISERROR(SEARCH("Youcom",B168)))</formula>
    </cfRule>
    <cfRule type="containsText" dxfId="277" priority="311" operator="containsText" text="Camicado">
      <formula>NOT(ISERROR(SEARCH("Camicado",B168)))</formula>
    </cfRule>
    <cfRule type="containsText" dxfId="276" priority="312" operator="containsText" text="Renner">
      <formula>NOT(ISERROR(SEARCH("Renner",B168)))</formula>
    </cfRule>
  </conditionalFormatting>
  <conditionalFormatting sqref="B160">
    <cfRule type="containsText" dxfId="275" priority="289" operator="containsText" text="Youcom">
      <formula>NOT(ISERROR(SEARCH("Youcom",B160)))</formula>
    </cfRule>
    <cfRule type="containsText" dxfId="274" priority="290" operator="containsText" text="Camicado">
      <formula>NOT(ISERROR(SEARCH("Camicado",B160)))</formula>
    </cfRule>
    <cfRule type="containsText" dxfId="273" priority="291" operator="containsText" text="Renner">
      <formula>NOT(ISERROR(SEARCH("Renner",B160)))</formula>
    </cfRule>
  </conditionalFormatting>
  <conditionalFormatting sqref="B163">
    <cfRule type="containsText" dxfId="272" priority="298" operator="containsText" text="Youcom">
      <formula>NOT(ISERROR(SEARCH("Youcom",B163)))</formula>
    </cfRule>
    <cfRule type="containsText" dxfId="271" priority="299" operator="containsText" text="Camicado">
      <formula>NOT(ISERROR(SEARCH("Camicado",B163)))</formula>
    </cfRule>
    <cfRule type="containsText" dxfId="270" priority="300" operator="containsText" text="Renner">
      <formula>NOT(ISERROR(SEARCH("Renner",B163)))</formula>
    </cfRule>
  </conditionalFormatting>
  <conditionalFormatting sqref="B162">
    <cfRule type="containsText" dxfId="269" priority="295" operator="containsText" text="Youcom">
      <formula>NOT(ISERROR(SEARCH("Youcom",B162)))</formula>
    </cfRule>
    <cfRule type="containsText" dxfId="268" priority="296" operator="containsText" text="Camicado">
      <formula>NOT(ISERROR(SEARCH("Camicado",B162)))</formula>
    </cfRule>
    <cfRule type="containsText" dxfId="267" priority="297" operator="containsText" text="Renner">
      <formula>NOT(ISERROR(SEARCH("Renner",B162)))</formula>
    </cfRule>
  </conditionalFormatting>
  <conditionalFormatting sqref="B161">
    <cfRule type="containsText" dxfId="266" priority="292" operator="containsText" text="Youcom">
      <formula>NOT(ISERROR(SEARCH("Youcom",B161)))</formula>
    </cfRule>
    <cfRule type="containsText" dxfId="265" priority="293" operator="containsText" text="Camicado">
      <formula>NOT(ISERROR(SEARCH("Camicado",B161)))</formula>
    </cfRule>
    <cfRule type="containsText" dxfId="264" priority="294" operator="containsText" text="Renner">
      <formula>NOT(ISERROR(SEARCH("Renner",B161)))</formula>
    </cfRule>
  </conditionalFormatting>
  <conditionalFormatting sqref="B158">
    <cfRule type="containsText" dxfId="263" priority="286" operator="containsText" text="Youcom">
      <formula>NOT(ISERROR(SEARCH("Youcom",B158)))</formula>
    </cfRule>
    <cfRule type="containsText" dxfId="262" priority="287" operator="containsText" text="Camicado">
      <formula>NOT(ISERROR(SEARCH("Camicado",B158)))</formula>
    </cfRule>
    <cfRule type="containsText" dxfId="261" priority="288" operator="containsText" text="Renner">
      <formula>NOT(ISERROR(SEARCH("Renner",B158)))</formula>
    </cfRule>
  </conditionalFormatting>
  <conditionalFormatting sqref="B152">
    <cfRule type="containsText" dxfId="260" priority="274" operator="containsText" text="Youcom">
      <formula>NOT(ISERROR(SEARCH("Youcom",B152)))</formula>
    </cfRule>
    <cfRule type="containsText" dxfId="259" priority="275" operator="containsText" text="Camicado">
      <formula>NOT(ISERROR(SEARCH("Camicado",B152)))</formula>
    </cfRule>
    <cfRule type="containsText" dxfId="258" priority="276" operator="containsText" text="Renner">
      <formula>NOT(ISERROR(SEARCH("Renner",B152)))</formula>
    </cfRule>
  </conditionalFormatting>
  <conditionalFormatting sqref="B157">
    <cfRule type="containsText" dxfId="257" priority="283" operator="containsText" text="Youcom">
      <formula>NOT(ISERROR(SEARCH("Youcom",B157)))</formula>
    </cfRule>
    <cfRule type="containsText" dxfId="256" priority="284" operator="containsText" text="Camicado">
      <formula>NOT(ISERROR(SEARCH("Camicado",B157)))</formula>
    </cfRule>
    <cfRule type="containsText" dxfId="255" priority="285" operator="containsText" text="Renner">
      <formula>NOT(ISERROR(SEARCH("Renner",B157)))</formula>
    </cfRule>
  </conditionalFormatting>
  <conditionalFormatting sqref="B146">
    <cfRule type="containsText" dxfId="254" priority="265" operator="containsText" text="Youcom">
      <formula>NOT(ISERROR(SEARCH("Youcom",B146)))</formula>
    </cfRule>
    <cfRule type="containsText" dxfId="253" priority="266" operator="containsText" text="Camicado">
      <formula>NOT(ISERROR(SEARCH("Camicado",B146)))</formula>
    </cfRule>
    <cfRule type="containsText" dxfId="252" priority="267" operator="containsText" text="Renner">
      <formula>NOT(ISERROR(SEARCH("Renner",B146)))</formula>
    </cfRule>
  </conditionalFormatting>
  <conditionalFormatting sqref="B155">
    <cfRule type="containsText" dxfId="251" priority="280" operator="containsText" text="Youcom">
      <formula>NOT(ISERROR(SEARCH("Youcom",B155)))</formula>
    </cfRule>
    <cfRule type="containsText" dxfId="250" priority="281" operator="containsText" text="Camicado">
      <formula>NOT(ISERROR(SEARCH("Camicado",B155)))</formula>
    </cfRule>
    <cfRule type="containsText" dxfId="249" priority="282" operator="containsText" text="Renner">
      <formula>NOT(ISERROR(SEARCH("Renner",B155)))</formula>
    </cfRule>
  </conditionalFormatting>
  <conditionalFormatting sqref="B153">
    <cfRule type="containsText" dxfId="248" priority="277" operator="containsText" text="Youcom">
      <formula>NOT(ISERROR(SEARCH("Youcom",B153)))</formula>
    </cfRule>
    <cfRule type="containsText" dxfId="247" priority="278" operator="containsText" text="Camicado">
      <formula>NOT(ISERROR(SEARCH("Camicado",B153)))</formula>
    </cfRule>
    <cfRule type="containsText" dxfId="246" priority="279" operator="containsText" text="Renner">
      <formula>NOT(ISERROR(SEARCH("Renner",B153)))</formula>
    </cfRule>
  </conditionalFormatting>
  <conditionalFormatting sqref="B149">
    <cfRule type="containsText" dxfId="245" priority="271" operator="containsText" text="Youcom">
      <formula>NOT(ISERROR(SEARCH("Youcom",B149)))</formula>
    </cfRule>
    <cfRule type="containsText" dxfId="244" priority="272" operator="containsText" text="Camicado">
      <formula>NOT(ISERROR(SEARCH("Camicado",B149)))</formula>
    </cfRule>
    <cfRule type="containsText" dxfId="243" priority="273" operator="containsText" text="Renner">
      <formula>NOT(ISERROR(SEARCH("Renner",B149)))</formula>
    </cfRule>
  </conditionalFormatting>
  <conditionalFormatting sqref="B142">
    <cfRule type="containsText" dxfId="242" priority="259" operator="containsText" text="Youcom">
      <formula>NOT(ISERROR(SEARCH("Youcom",B142)))</formula>
    </cfRule>
    <cfRule type="containsText" dxfId="241" priority="260" operator="containsText" text="Camicado">
      <formula>NOT(ISERROR(SEARCH("Camicado",B142)))</formula>
    </cfRule>
    <cfRule type="containsText" dxfId="240" priority="261" operator="containsText" text="Renner">
      <formula>NOT(ISERROR(SEARCH("Renner",B142)))</formula>
    </cfRule>
  </conditionalFormatting>
  <conditionalFormatting sqref="B143">
    <cfRule type="containsText" dxfId="239" priority="262" operator="containsText" text="Youcom">
      <formula>NOT(ISERROR(SEARCH("Youcom",B143)))</formula>
    </cfRule>
    <cfRule type="containsText" dxfId="238" priority="263" operator="containsText" text="Camicado">
      <formula>NOT(ISERROR(SEARCH("Camicado",B143)))</formula>
    </cfRule>
    <cfRule type="containsText" dxfId="237" priority="264" operator="containsText" text="Renner">
      <formula>NOT(ISERROR(SEARCH("Renner",B143)))</formula>
    </cfRule>
  </conditionalFormatting>
  <conditionalFormatting sqref="B140">
    <cfRule type="containsText" dxfId="236" priority="256" operator="containsText" text="Youcom">
      <formula>NOT(ISERROR(SEARCH("Youcom",B140)))</formula>
    </cfRule>
    <cfRule type="containsText" dxfId="235" priority="257" operator="containsText" text="Camicado">
      <formula>NOT(ISERROR(SEARCH("Camicado",B140)))</formula>
    </cfRule>
    <cfRule type="containsText" dxfId="234" priority="258" operator="containsText" text="Renner">
      <formula>NOT(ISERROR(SEARCH("Renner",B140)))</formula>
    </cfRule>
  </conditionalFormatting>
  <conditionalFormatting sqref="B147">
    <cfRule type="containsText" dxfId="233" priority="268" operator="containsText" text="Youcom">
      <formula>NOT(ISERROR(SEARCH("Youcom",B147)))</formula>
    </cfRule>
    <cfRule type="containsText" dxfId="232" priority="269" operator="containsText" text="Camicado">
      <formula>NOT(ISERROR(SEARCH("Camicado",B147)))</formula>
    </cfRule>
    <cfRule type="containsText" dxfId="231" priority="270" operator="containsText" text="Renner">
      <formula>NOT(ISERROR(SEARCH("Renner",B147)))</formula>
    </cfRule>
  </conditionalFormatting>
  <conditionalFormatting sqref="B138:B139">
    <cfRule type="containsText" dxfId="230" priority="253" operator="containsText" text="Youcom">
      <formula>NOT(ISERROR(SEARCH("Youcom",B138)))</formula>
    </cfRule>
    <cfRule type="containsText" dxfId="229" priority="254" operator="containsText" text="Camicado">
      <formula>NOT(ISERROR(SEARCH("Camicado",B138)))</formula>
    </cfRule>
    <cfRule type="containsText" dxfId="228" priority="255" operator="containsText" text="Renner">
      <formula>NOT(ISERROR(SEARCH("Renner",B138)))</formula>
    </cfRule>
  </conditionalFormatting>
  <conditionalFormatting sqref="B137">
    <cfRule type="containsText" dxfId="227" priority="250" operator="containsText" text="Youcom">
      <formula>NOT(ISERROR(SEARCH("Youcom",B137)))</formula>
    </cfRule>
    <cfRule type="containsText" dxfId="226" priority="251" operator="containsText" text="Camicado">
      <formula>NOT(ISERROR(SEARCH("Camicado",B137)))</formula>
    </cfRule>
    <cfRule type="containsText" dxfId="225" priority="252" operator="containsText" text="Renner">
      <formula>NOT(ISERROR(SEARCH("Renner",B137)))</formula>
    </cfRule>
  </conditionalFormatting>
  <conditionalFormatting sqref="B129">
    <cfRule type="containsText" dxfId="224" priority="241" operator="containsText" text="Youcom">
      <formula>NOT(ISERROR(SEARCH("Youcom",B129)))</formula>
    </cfRule>
    <cfRule type="containsText" dxfId="223" priority="242" operator="containsText" text="Camicado">
      <formula>NOT(ISERROR(SEARCH("Camicado",B129)))</formula>
    </cfRule>
    <cfRule type="containsText" dxfId="222" priority="243" operator="containsText" text="Renner">
      <formula>NOT(ISERROR(SEARCH("Renner",B129)))</formula>
    </cfRule>
  </conditionalFormatting>
  <conditionalFormatting sqref="B135 B131">
    <cfRule type="containsText" dxfId="221" priority="247" operator="containsText" text="Youcom">
      <formula>NOT(ISERROR(SEARCH("Youcom",B131)))</formula>
    </cfRule>
    <cfRule type="containsText" dxfId="220" priority="248" operator="containsText" text="Camicado">
      <formula>NOT(ISERROR(SEARCH("Camicado",B131)))</formula>
    </cfRule>
    <cfRule type="containsText" dxfId="219" priority="249" operator="containsText" text="Renner">
      <formula>NOT(ISERROR(SEARCH("Renner",B131)))</formula>
    </cfRule>
  </conditionalFormatting>
  <conditionalFormatting sqref="B126">
    <cfRule type="containsText" dxfId="218" priority="235" operator="containsText" text="Youcom">
      <formula>NOT(ISERROR(SEARCH("Youcom",B126)))</formula>
    </cfRule>
    <cfRule type="containsText" dxfId="217" priority="236" operator="containsText" text="Camicado">
      <formula>NOT(ISERROR(SEARCH("Camicado",B126)))</formula>
    </cfRule>
    <cfRule type="containsText" dxfId="216" priority="237" operator="containsText" text="Renner">
      <formula>NOT(ISERROR(SEARCH("Renner",B126)))</formula>
    </cfRule>
  </conditionalFormatting>
  <conditionalFormatting sqref="B130">
    <cfRule type="containsText" dxfId="215" priority="244" operator="containsText" text="Youcom">
      <formula>NOT(ISERROR(SEARCH("Youcom",B130)))</formula>
    </cfRule>
    <cfRule type="containsText" dxfId="214" priority="245" operator="containsText" text="Camicado">
      <formula>NOT(ISERROR(SEARCH("Camicado",B130)))</formula>
    </cfRule>
    <cfRule type="containsText" dxfId="213" priority="246" operator="containsText" text="Renner">
      <formula>NOT(ISERROR(SEARCH("Renner",B130)))</formula>
    </cfRule>
  </conditionalFormatting>
  <conditionalFormatting sqref="B121">
    <cfRule type="containsText" dxfId="212" priority="229" operator="containsText" text="Youcom">
      <formula>NOT(ISERROR(SEARCH("Youcom",B121)))</formula>
    </cfRule>
    <cfRule type="containsText" dxfId="211" priority="230" operator="containsText" text="Camicado">
      <formula>NOT(ISERROR(SEARCH("Camicado",B121)))</formula>
    </cfRule>
    <cfRule type="containsText" dxfId="210" priority="231" operator="containsText" text="Renner">
      <formula>NOT(ISERROR(SEARCH("Renner",B121)))</formula>
    </cfRule>
  </conditionalFormatting>
  <conditionalFormatting sqref="B128">
    <cfRule type="containsText" dxfId="209" priority="238" operator="containsText" text="Youcom">
      <formula>NOT(ISERROR(SEARCH("Youcom",B128)))</formula>
    </cfRule>
    <cfRule type="containsText" dxfId="208" priority="239" operator="containsText" text="Camicado">
      <formula>NOT(ISERROR(SEARCH("Camicado",B128)))</formula>
    </cfRule>
    <cfRule type="containsText" dxfId="207" priority="240" operator="containsText" text="Renner">
      <formula>NOT(ISERROR(SEARCH("Renner",B128)))</formula>
    </cfRule>
  </conditionalFormatting>
  <conditionalFormatting sqref="B125">
    <cfRule type="containsText" dxfId="206" priority="232" operator="containsText" text="Youcom">
      <formula>NOT(ISERROR(SEARCH("Youcom",B125)))</formula>
    </cfRule>
    <cfRule type="containsText" dxfId="205" priority="233" operator="containsText" text="Camicado">
      <formula>NOT(ISERROR(SEARCH("Camicado",B125)))</formula>
    </cfRule>
    <cfRule type="containsText" dxfId="204" priority="234" operator="containsText" text="Renner">
      <formula>NOT(ISERROR(SEARCH("Renner",B125)))</formula>
    </cfRule>
  </conditionalFormatting>
  <conditionalFormatting sqref="B117">
    <cfRule type="containsText" dxfId="203" priority="226" operator="containsText" text="Youcom">
      <formula>NOT(ISERROR(SEARCH("Youcom",B117)))</formula>
    </cfRule>
    <cfRule type="containsText" dxfId="202" priority="227" operator="containsText" text="Camicado">
      <formula>NOT(ISERROR(SEARCH("Camicado",B117)))</formula>
    </cfRule>
    <cfRule type="containsText" dxfId="201" priority="228" operator="containsText" text="Renner">
      <formula>NOT(ISERROR(SEARCH("Renner",B117)))</formula>
    </cfRule>
  </conditionalFormatting>
  <conditionalFormatting sqref="B114">
    <cfRule type="containsText" dxfId="200" priority="223" operator="containsText" text="Youcom">
      <formula>NOT(ISERROR(SEARCH("Youcom",B114)))</formula>
    </cfRule>
    <cfRule type="containsText" dxfId="199" priority="224" operator="containsText" text="Camicado">
      <formula>NOT(ISERROR(SEARCH("Camicado",B114)))</formula>
    </cfRule>
    <cfRule type="containsText" dxfId="198" priority="225" operator="containsText" text="Renner">
      <formula>NOT(ISERROR(SEARCH("Renner",B114)))</formula>
    </cfRule>
  </conditionalFormatting>
  <conditionalFormatting sqref="B113">
    <cfRule type="containsText" dxfId="197" priority="220" operator="containsText" text="Youcom">
      <formula>NOT(ISERROR(SEARCH("Youcom",B113)))</formula>
    </cfRule>
    <cfRule type="containsText" dxfId="196" priority="221" operator="containsText" text="Camicado">
      <formula>NOT(ISERROR(SEARCH("Camicado",B113)))</formula>
    </cfRule>
    <cfRule type="containsText" dxfId="195" priority="222" operator="containsText" text="Renner">
      <formula>NOT(ISERROR(SEARCH("Renner",B113)))</formula>
    </cfRule>
  </conditionalFormatting>
  <conditionalFormatting sqref="B112">
    <cfRule type="containsText" dxfId="194" priority="217" operator="containsText" text="Youcom">
      <formula>NOT(ISERROR(SEARCH("Youcom",B112)))</formula>
    </cfRule>
    <cfRule type="containsText" dxfId="193" priority="218" operator="containsText" text="Camicado">
      <formula>NOT(ISERROR(SEARCH("Camicado",B112)))</formula>
    </cfRule>
    <cfRule type="containsText" dxfId="192" priority="219" operator="containsText" text="Renner">
      <formula>NOT(ISERROR(SEARCH("Renner",B112)))</formula>
    </cfRule>
  </conditionalFormatting>
  <conditionalFormatting sqref="B111">
    <cfRule type="containsText" dxfId="191" priority="214" operator="containsText" text="Youcom">
      <formula>NOT(ISERROR(SEARCH("Youcom",B111)))</formula>
    </cfRule>
    <cfRule type="containsText" dxfId="190" priority="215" operator="containsText" text="Camicado">
      <formula>NOT(ISERROR(SEARCH("Camicado",B111)))</formula>
    </cfRule>
    <cfRule type="containsText" dxfId="189" priority="216" operator="containsText" text="Renner">
      <formula>NOT(ISERROR(SEARCH("Renner",B111)))</formula>
    </cfRule>
  </conditionalFormatting>
  <conditionalFormatting sqref="B110">
    <cfRule type="containsText" dxfId="188" priority="211" operator="containsText" text="Youcom">
      <formula>NOT(ISERROR(SEARCH("Youcom",B110)))</formula>
    </cfRule>
    <cfRule type="containsText" dxfId="187" priority="212" operator="containsText" text="Camicado">
      <formula>NOT(ISERROR(SEARCH("Camicado",B110)))</formula>
    </cfRule>
    <cfRule type="containsText" dxfId="186" priority="213" operator="containsText" text="Renner">
      <formula>NOT(ISERROR(SEARCH("Renner",B110)))</formula>
    </cfRule>
  </conditionalFormatting>
  <conditionalFormatting sqref="B108">
    <cfRule type="containsText" dxfId="185" priority="205" operator="containsText" text="Youcom">
      <formula>NOT(ISERROR(SEARCH("Youcom",B108)))</formula>
    </cfRule>
    <cfRule type="containsText" dxfId="184" priority="206" operator="containsText" text="Camicado">
      <formula>NOT(ISERROR(SEARCH("Camicado",B108)))</formula>
    </cfRule>
    <cfRule type="containsText" dxfId="183" priority="207" operator="containsText" text="Renner">
      <formula>NOT(ISERROR(SEARCH("Renner",B108)))</formula>
    </cfRule>
  </conditionalFormatting>
  <conditionalFormatting sqref="B107">
    <cfRule type="containsText" dxfId="182" priority="202" operator="containsText" text="Youcom">
      <formula>NOT(ISERROR(SEARCH("Youcom",B107)))</formula>
    </cfRule>
    <cfRule type="containsText" dxfId="181" priority="203" operator="containsText" text="Camicado">
      <formula>NOT(ISERROR(SEARCH("Camicado",B107)))</formula>
    </cfRule>
    <cfRule type="containsText" dxfId="180" priority="204" operator="containsText" text="Renner">
      <formula>NOT(ISERROR(SEARCH("Renner",B107)))</formula>
    </cfRule>
  </conditionalFormatting>
  <conditionalFormatting sqref="B109">
    <cfRule type="containsText" dxfId="179" priority="208" operator="containsText" text="Youcom">
      <formula>NOT(ISERROR(SEARCH("Youcom",B109)))</formula>
    </cfRule>
    <cfRule type="containsText" dxfId="178" priority="209" operator="containsText" text="Camicado">
      <formula>NOT(ISERROR(SEARCH("Camicado",B109)))</formula>
    </cfRule>
    <cfRule type="containsText" dxfId="177" priority="210" operator="containsText" text="Renner">
      <formula>NOT(ISERROR(SEARCH("Renner",B109)))</formula>
    </cfRule>
  </conditionalFormatting>
  <conditionalFormatting sqref="B106">
    <cfRule type="containsText" dxfId="176" priority="199" operator="containsText" text="Youcom">
      <formula>NOT(ISERROR(SEARCH("Youcom",B106)))</formula>
    </cfRule>
    <cfRule type="containsText" dxfId="175" priority="200" operator="containsText" text="Camicado">
      <formula>NOT(ISERROR(SEARCH("Camicado",B106)))</formula>
    </cfRule>
    <cfRule type="containsText" dxfId="174" priority="201" operator="containsText" text="Renner">
      <formula>NOT(ISERROR(SEARCH("Renner",B106)))</formula>
    </cfRule>
  </conditionalFormatting>
  <conditionalFormatting sqref="B105">
    <cfRule type="containsText" dxfId="173" priority="196" operator="containsText" text="Youcom">
      <formula>NOT(ISERROR(SEARCH("Youcom",B105)))</formula>
    </cfRule>
    <cfRule type="containsText" dxfId="172" priority="197" operator="containsText" text="Camicado">
      <formula>NOT(ISERROR(SEARCH("Camicado",B105)))</formula>
    </cfRule>
    <cfRule type="containsText" dxfId="171" priority="198" operator="containsText" text="Renner">
      <formula>NOT(ISERROR(SEARCH("Renner",B105)))</formula>
    </cfRule>
  </conditionalFormatting>
  <conditionalFormatting sqref="B98">
    <cfRule type="containsText" dxfId="170" priority="187" operator="containsText" text="Youcom">
      <formula>NOT(ISERROR(SEARCH("Youcom",B98)))</formula>
    </cfRule>
    <cfRule type="containsText" dxfId="169" priority="188" operator="containsText" text="Camicado">
      <formula>NOT(ISERROR(SEARCH("Camicado",B98)))</formula>
    </cfRule>
    <cfRule type="containsText" dxfId="168" priority="189" operator="containsText" text="Renner">
      <formula>NOT(ISERROR(SEARCH("Renner",B98)))</formula>
    </cfRule>
  </conditionalFormatting>
  <conditionalFormatting sqref="B100">
    <cfRule type="containsText" dxfId="167" priority="190" operator="containsText" text="Youcom">
      <formula>NOT(ISERROR(SEARCH("Youcom",B100)))</formula>
    </cfRule>
    <cfRule type="containsText" dxfId="166" priority="191" operator="containsText" text="Camicado">
      <formula>NOT(ISERROR(SEARCH("Camicado",B100)))</formula>
    </cfRule>
    <cfRule type="containsText" dxfId="165" priority="192" operator="containsText" text="Renner">
      <formula>NOT(ISERROR(SEARCH("Renner",B100)))</formula>
    </cfRule>
  </conditionalFormatting>
  <conditionalFormatting sqref="B97">
    <cfRule type="containsText" dxfId="164" priority="184" operator="containsText" text="Youcom">
      <formula>NOT(ISERROR(SEARCH("Youcom",B97)))</formula>
    </cfRule>
    <cfRule type="containsText" dxfId="163" priority="185" operator="containsText" text="Camicado">
      <formula>NOT(ISERROR(SEARCH("Camicado",B97)))</formula>
    </cfRule>
    <cfRule type="containsText" dxfId="162" priority="186" operator="containsText" text="Renner">
      <formula>NOT(ISERROR(SEARCH("Renner",B97)))</formula>
    </cfRule>
  </conditionalFormatting>
  <conditionalFormatting sqref="B101">
    <cfRule type="containsText" dxfId="161" priority="193" operator="containsText" text="Youcom">
      <formula>NOT(ISERROR(SEARCH("Youcom",B101)))</formula>
    </cfRule>
    <cfRule type="containsText" dxfId="160" priority="194" operator="containsText" text="Camicado">
      <formula>NOT(ISERROR(SEARCH("Camicado",B101)))</formula>
    </cfRule>
    <cfRule type="containsText" dxfId="159" priority="195" operator="containsText" text="Renner">
      <formula>NOT(ISERROR(SEARCH("Renner",B101)))</formula>
    </cfRule>
  </conditionalFormatting>
  <conditionalFormatting sqref="B99">
    <cfRule type="containsText" dxfId="158" priority="181" operator="containsText" text="Youcom">
      <formula>NOT(ISERROR(SEARCH("Youcom",B99)))</formula>
    </cfRule>
    <cfRule type="containsText" dxfId="157" priority="182" operator="containsText" text="Camicado">
      <formula>NOT(ISERROR(SEARCH("Camicado",B99)))</formula>
    </cfRule>
    <cfRule type="containsText" dxfId="156" priority="183" operator="containsText" text="Renner">
      <formula>NOT(ISERROR(SEARCH("Renner",B99)))</formula>
    </cfRule>
  </conditionalFormatting>
  <conditionalFormatting sqref="B93:B94">
    <cfRule type="containsText" dxfId="155" priority="175" operator="containsText" text="Youcom">
      <formula>NOT(ISERROR(SEARCH("Youcom",B93)))</formula>
    </cfRule>
    <cfRule type="containsText" dxfId="154" priority="176" operator="containsText" text="Camicado">
      <formula>NOT(ISERROR(SEARCH("Camicado",B93)))</formula>
    </cfRule>
    <cfRule type="containsText" dxfId="153" priority="177" operator="containsText" text="Renner">
      <formula>NOT(ISERROR(SEARCH("Renner",B93)))</formula>
    </cfRule>
  </conditionalFormatting>
  <conditionalFormatting sqref="B82:B84">
    <cfRule type="containsText" dxfId="152" priority="160" operator="containsText" text="Youcom">
      <formula>NOT(ISERROR(SEARCH("Youcom",B82)))</formula>
    </cfRule>
    <cfRule type="containsText" dxfId="151" priority="161" operator="containsText" text="Camicado">
      <formula>NOT(ISERROR(SEARCH("Camicado",B82)))</formula>
    </cfRule>
    <cfRule type="containsText" dxfId="150" priority="162" operator="containsText" text="Renner">
      <formula>NOT(ISERROR(SEARCH("Renner",B82)))</formula>
    </cfRule>
  </conditionalFormatting>
  <conditionalFormatting sqref="B95">
    <cfRule type="containsText" dxfId="149" priority="178" operator="containsText" text="Youcom">
      <formula>NOT(ISERROR(SEARCH("Youcom",B95)))</formula>
    </cfRule>
    <cfRule type="containsText" dxfId="148" priority="179" operator="containsText" text="Camicado">
      <formula>NOT(ISERROR(SEARCH("Camicado",B95)))</formula>
    </cfRule>
    <cfRule type="containsText" dxfId="147" priority="180" operator="containsText" text="Renner">
      <formula>NOT(ISERROR(SEARCH("Renner",B95)))</formula>
    </cfRule>
  </conditionalFormatting>
  <conditionalFormatting sqref="B90:B91">
    <cfRule type="containsText" dxfId="146" priority="172" operator="containsText" text="Youcom">
      <formula>NOT(ISERROR(SEARCH("Youcom",B90)))</formula>
    </cfRule>
    <cfRule type="containsText" dxfId="145" priority="173" operator="containsText" text="Camicado">
      <formula>NOT(ISERROR(SEARCH("Camicado",B90)))</formula>
    </cfRule>
    <cfRule type="containsText" dxfId="144" priority="174" operator="containsText" text="Renner">
      <formula>NOT(ISERROR(SEARCH("Renner",B90)))</formula>
    </cfRule>
  </conditionalFormatting>
  <conditionalFormatting sqref="B92">
    <cfRule type="containsText" dxfId="143" priority="169" operator="containsText" text="Youcom">
      <formula>NOT(ISERROR(SEARCH("Youcom",B92)))</formula>
    </cfRule>
    <cfRule type="containsText" dxfId="142" priority="170" operator="containsText" text="Camicado">
      <formula>NOT(ISERROR(SEARCH("Camicado",B92)))</formula>
    </cfRule>
    <cfRule type="containsText" dxfId="141" priority="171" operator="containsText" text="Renner">
      <formula>NOT(ISERROR(SEARCH("Renner",B92)))</formula>
    </cfRule>
  </conditionalFormatting>
  <conditionalFormatting sqref="B88">
    <cfRule type="containsText" dxfId="140" priority="166" operator="containsText" text="Youcom">
      <formula>NOT(ISERROR(SEARCH("Youcom",B88)))</formula>
    </cfRule>
    <cfRule type="containsText" dxfId="139" priority="167" operator="containsText" text="Camicado">
      <formula>NOT(ISERROR(SEARCH("Camicado",B88)))</formula>
    </cfRule>
    <cfRule type="containsText" dxfId="138" priority="168" operator="containsText" text="Renner">
      <formula>NOT(ISERROR(SEARCH("Renner",B88)))</formula>
    </cfRule>
  </conditionalFormatting>
  <conditionalFormatting sqref="B77 B79:B81">
    <cfRule type="containsText" dxfId="137" priority="157" operator="containsText" text="Youcom">
      <formula>NOT(ISERROR(SEARCH("Youcom",B77)))</formula>
    </cfRule>
    <cfRule type="containsText" dxfId="136" priority="158" operator="containsText" text="Camicado">
      <formula>NOT(ISERROR(SEARCH("Camicado",B77)))</formula>
    </cfRule>
    <cfRule type="containsText" dxfId="135" priority="159" operator="containsText" text="Renner">
      <formula>NOT(ISERROR(SEARCH("Renner",B77)))</formula>
    </cfRule>
  </conditionalFormatting>
  <conditionalFormatting sqref="B89">
    <cfRule type="containsText" dxfId="134" priority="163" operator="containsText" text="Youcom">
      <formula>NOT(ISERROR(SEARCH("Youcom",B89)))</formula>
    </cfRule>
    <cfRule type="containsText" dxfId="133" priority="164" operator="containsText" text="Camicado">
      <formula>NOT(ISERROR(SEARCH("Camicado",B89)))</formula>
    </cfRule>
    <cfRule type="containsText" dxfId="132" priority="165" operator="containsText" text="Renner">
      <formula>NOT(ISERROR(SEARCH("Renner",B89)))</formula>
    </cfRule>
  </conditionalFormatting>
  <conditionalFormatting sqref="B76">
    <cfRule type="containsText" dxfId="131" priority="151" operator="containsText" text="Youcom">
      <formula>NOT(ISERROR(SEARCH("Youcom",B76)))</formula>
    </cfRule>
    <cfRule type="containsText" dxfId="130" priority="152" operator="containsText" text="Camicado">
      <formula>NOT(ISERROR(SEARCH("Camicado",B76)))</formula>
    </cfRule>
    <cfRule type="containsText" dxfId="129" priority="153" operator="containsText" text="Renner">
      <formula>NOT(ISERROR(SEARCH("Renner",B76)))</formula>
    </cfRule>
  </conditionalFormatting>
  <conditionalFormatting sqref="B73">
    <cfRule type="containsText" dxfId="128" priority="154" operator="containsText" text="Youcom">
      <formula>NOT(ISERROR(SEARCH("Youcom",B73)))</formula>
    </cfRule>
    <cfRule type="containsText" dxfId="127" priority="155" operator="containsText" text="Camicado">
      <formula>NOT(ISERROR(SEARCH("Camicado",B73)))</formula>
    </cfRule>
    <cfRule type="containsText" dxfId="126" priority="156" operator="containsText" text="Renner">
      <formula>NOT(ISERROR(SEARCH("Renner",B73)))</formula>
    </cfRule>
  </conditionalFormatting>
  <conditionalFormatting sqref="B75">
    <cfRule type="containsText" dxfId="125" priority="148" operator="containsText" text="Youcom">
      <formula>NOT(ISERROR(SEARCH("Youcom",B75)))</formula>
    </cfRule>
    <cfRule type="containsText" dxfId="124" priority="149" operator="containsText" text="Camicado">
      <formula>NOT(ISERROR(SEARCH("Camicado",B75)))</formula>
    </cfRule>
    <cfRule type="containsText" dxfId="123" priority="150" operator="containsText" text="Renner">
      <formula>NOT(ISERROR(SEARCH("Renner",B75)))</formula>
    </cfRule>
  </conditionalFormatting>
  <conditionalFormatting sqref="B74">
    <cfRule type="containsText" dxfId="122" priority="145" operator="containsText" text="Youcom">
      <formula>NOT(ISERROR(SEARCH("Youcom",B74)))</formula>
    </cfRule>
    <cfRule type="containsText" dxfId="121" priority="146" operator="containsText" text="Camicado">
      <formula>NOT(ISERROR(SEARCH("Camicado",B74)))</formula>
    </cfRule>
    <cfRule type="containsText" dxfId="120" priority="147" operator="containsText" text="Renner">
      <formula>NOT(ISERROR(SEARCH("Renner",B74)))</formula>
    </cfRule>
  </conditionalFormatting>
  <conditionalFormatting sqref="B72">
    <cfRule type="containsText" dxfId="119" priority="142" operator="containsText" text="Youcom">
      <formula>NOT(ISERROR(SEARCH("Youcom",B72)))</formula>
    </cfRule>
    <cfRule type="containsText" dxfId="118" priority="143" operator="containsText" text="Camicado">
      <formula>NOT(ISERROR(SEARCH("Camicado",B72)))</formula>
    </cfRule>
    <cfRule type="containsText" dxfId="117" priority="144" operator="containsText" text="Renner">
      <formula>NOT(ISERROR(SEARCH("Renner",B72)))</formula>
    </cfRule>
  </conditionalFormatting>
  <conditionalFormatting sqref="B71">
    <cfRule type="containsText" dxfId="116" priority="139" operator="containsText" text="Youcom">
      <formula>NOT(ISERROR(SEARCH("Youcom",B71)))</formula>
    </cfRule>
    <cfRule type="containsText" dxfId="115" priority="140" operator="containsText" text="Camicado">
      <formula>NOT(ISERROR(SEARCH("Camicado",B71)))</formula>
    </cfRule>
    <cfRule type="containsText" dxfId="114" priority="141" operator="containsText" text="Renner">
      <formula>NOT(ISERROR(SEARCH("Renner",B71)))</formula>
    </cfRule>
  </conditionalFormatting>
  <conditionalFormatting sqref="B62 B64 B66:B70">
    <cfRule type="containsText" dxfId="113" priority="136" operator="containsText" text="Youcom">
      <formula>NOT(ISERROR(SEARCH("Youcom",B62)))</formula>
    </cfRule>
    <cfRule type="containsText" dxfId="112" priority="137" operator="containsText" text="Camicado">
      <formula>NOT(ISERROR(SEARCH("Camicado",B62)))</formula>
    </cfRule>
    <cfRule type="containsText" dxfId="111" priority="138" operator="containsText" text="Renner">
      <formula>NOT(ISERROR(SEARCH("Renner",B62)))</formula>
    </cfRule>
  </conditionalFormatting>
  <conditionalFormatting sqref="B60:B61">
    <cfRule type="containsText" dxfId="110" priority="133" operator="containsText" text="Youcom">
      <formula>NOT(ISERROR(SEARCH("Youcom",B60)))</formula>
    </cfRule>
    <cfRule type="containsText" dxfId="109" priority="134" operator="containsText" text="Camicado">
      <formula>NOT(ISERROR(SEARCH("Camicado",B60)))</formula>
    </cfRule>
    <cfRule type="containsText" dxfId="108" priority="135" operator="containsText" text="Renner">
      <formula>NOT(ISERROR(SEARCH("Renner",B60)))</formula>
    </cfRule>
  </conditionalFormatting>
  <conditionalFormatting sqref="B58">
    <cfRule type="containsText" dxfId="107" priority="130" operator="containsText" text="Youcom">
      <formula>NOT(ISERROR(SEARCH("Youcom",B58)))</formula>
    </cfRule>
    <cfRule type="containsText" dxfId="106" priority="131" operator="containsText" text="Camicado">
      <formula>NOT(ISERROR(SEARCH("Camicado",B58)))</formula>
    </cfRule>
    <cfRule type="containsText" dxfId="105" priority="132" operator="containsText" text="Renner">
      <formula>NOT(ISERROR(SEARCH("Renner",B58)))</formula>
    </cfRule>
  </conditionalFormatting>
  <conditionalFormatting sqref="B57">
    <cfRule type="containsText" dxfId="104" priority="127" operator="containsText" text="Youcom">
      <formula>NOT(ISERROR(SEARCH("Youcom",B57)))</formula>
    </cfRule>
    <cfRule type="containsText" dxfId="103" priority="128" operator="containsText" text="Camicado">
      <formula>NOT(ISERROR(SEARCH("Camicado",B57)))</formula>
    </cfRule>
    <cfRule type="containsText" dxfId="102" priority="129" operator="containsText" text="Renner">
      <formula>NOT(ISERROR(SEARCH("Renner",B57)))</formula>
    </cfRule>
  </conditionalFormatting>
  <conditionalFormatting sqref="B48">
    <cfRule type="containsText" dxfId="101" priority="115" operator="containsText" text="Youcom">
      <formula>NOT(ISERROR(SEARCH("Youcom",B48)))</formula>
    </cfRule>
    <cfRule type="containsText" dxfId="100" priority="116" operator="containsText" text="Camicado">
      <formula>NOT(ISERROR(SEARCH("Camicado",B48)))</formula>
    </cfRule>
    <cfRule type="containsText" dxfId="99" priority="117" operator="containsText" text="Renner">
      <formula>NOT(ISERROR(SEARCH("Renner",B48)))</formula>
    </cfRule>
  </conditionalFormatting>
  <conditionalFormatting sqref="B52:B54">
    <cfRule type="containsText" dxfId="98" priority="124" operator="containsText" text="Youcom">
      <formula>NOT(ISERROR(SEARCH("Youcom",B52)))</formula>
    </cfRule>
    <cfRule type="containsText" dxfId="97" priority="125" operator="containsText" text="Camicado">
      <formula>NOT(ISERROR(SEARCH("Camicado",B52)))</formula>
    </cfRule>
    <cfRule type="containsText" dxfId="96" priority="126" operator="containsText" text="Renner">
      <formula>NOT(ISERROR(SEARCH("Renner",B52)))</formula>
    </cfRule>
  </conditionalFormatting>
  <conditionalFormatting sqref="B47">
    <cfRule type="containsText" dxfId="95" priority="112" operator="containsText" text="Youcom">
      <formula>NOT(ISERROR(SEARCH("Youcom",B47)))</formula>
    </cfRule>
    <cfRule type="containsText" dxfId="94" priority="113" operator="containsText" text="Camicado">
      <formula>NOT(ISERROR(SEARCH("Camicado",B47)))</formula>
    </cfRule>
    <cfRule type="containsText" dxfId="93" priority="114" operator="containsText" text="Renner">
      <formula>NOT(ISERROR(SEARCH("Renner",B47)))</formula>
    </cfRule>
  </conditionalFormatting>
  <conditionalFormatting sqref="B59">
    <cfRule type="containsText" dxfId="92" priority="121" operator="containsText" text="Youcom">
      <formula>NOT(ISERROR(SEARCH("Youcom",B59)))</formula>
    </cfRule>
    <cfRule type="containsText" dxfId="91" priority="122" operator="containsText" text="Camicado">
      <formula>NOT(ISERROR(SEARCH("Camicado",B59)))</formula>
    </cfRule>
    <cfRule type="containsText" dxfId="90" priority="123" operator="containsText" text="Renner">
      <formula>NOT(ISERROR(SEARCH("Renner",B59)))</formula>
    </cfRule>
  </conditionalFormatting>
  <conditionalFormatting sqref="B400">
    <cfRule type="containsText" dxfId="89" priority="118" operator="containsText" text="Youcom">
      <formula>NOT(ISERROR(SEARCH("Youcom",B400)))</formula>
    </cfRule>
    <cfRule type="containsText" dxfId="88" priority="119" operator="containsText" text="Camicado">
      <formula>NOT(ISERROR(SEARCH("Camicado",B400)))</formula>
    </cfRule>
    <cfRule type="containsText" dxfId="87" priority="120" operator="containsText" text="Renner">
      <formula>NOT(ISERROR(SEARCH("Renner",B400)))</formula>
    </cfRule>
  </conditionalFormatting>
  <conditionalFormatting sqref="B46">
    <cfRule type="containsText" dxfId="86" priority="109" operator="containsText" text="Youcom">
      <formula>NOT(ISERROR(SEARCH("Youcom",B46)))</formula>
    </cfRule>
    <cfRule type="containsText" dxfId="85" priority="110" operator="containsText" text="Camicado">
      <formula>NOT(ISERROR(SEARCH("Camicado",B46)))</formula>
    </cfRule>
    <cfRule type="containsText" dxfId="84" priority="111" operator="containsText" text="Renner">
      <formula>NOT(ISERROR(SEARCH("Renner",B46)))</formula>
    </cfRule>
  </conditionalFormatting>
  <conditionalFormatting sqref="B45">
    <cfRule type="containsText" dxfId="83" priority="106" operator="containsText" text="Youcom">
      <formula>NOT(ISERROR(SEARCH("Youcom",B45)))</formula>
    </cfRule>
    <cfRule type="containsText" dxfId="82" priority="107" operator="containsText" text="Camicado">
      <formula>NOT(ISERROR(SEARCH("Camicado",B45)))</formula>
    </cfRule>
    <cfRule type="containsText" dxfId="81" priority="108" operator="containsText" text="Renner">
      <formula>NOT(ISERROR(SEARCH("Renner",B45)))</formula>
    </cfRule>
  </conditionalFormatting>
  <conditionalFormatting sqref="B44">
    <cfRule type="containsText" dxfId="80" priority="103" operator="containsText" text="Youcom">
      <formula>NOT(ISERROR(SEARCH("Youcom",B44)))</formula>
    </cfRule>
    <cfRule type="containsText" dxfId="79" priority="104" operator="containsText" text="Camicado">
      <formula>NOT(ISERROR(SEARCH("Camicado",B44)))</formula>
    </cfRule>
    <cfRule type="containsText" dxfId="78" priority="105" operator="containsText" text="Renner">
      <formula>NOT(ISERROR(SEARCH("Renner",B44)))</formula>
    </cfRule>
  </conditionalFormatting>
  <conditionalFormatting sqref="B43">
    <cfRule type="containsText" dxfId="77" priority="100" operator="containsText" text="Youcom">
      <formula>NOT(ISERROR(SEARCH("Youcom",B43)))</formula>
    </cfRule>
    <cfRule type="containsText" dxfId="76" priority="101" operator="containsText" text="Camicado">
      <formula>NOT(ISERROR(SEARCH("Camicado",B43)))</formula>
    </cfRule>
    <cfRule type="containsText" dxfId="75" priority="102" operator="containsText" text="Renner">
      <formula>NOT(ISERROR(SEARCH("Renner",B43)))</formula>
    </cfRule>
  </conditionalFormatting>
  <conditionalFormatting sqref="B39:B40">
    <cfRule type="containsText" dxfId="74" priority="97" operator="containsText" text="Youcom">
      <formula>NOT(ISERROR(SEARCH("Youcom",B39)))</formula>
    </cfRule>
    <cfRule type="containsText" dxfId="73" priority="98" operator="containsText" text="Camicado">
      <formula>NOT(ISERROR(SEARCH("Camicado",B39)))</formula>
    </cfRule>
    <cfRule type="containsText" dxfId="72" priority="99" operator="containsText" text="Renner">
      <formula>NOT(ISERROR(SEARCH("Renner",B39)))</formula>
    </cfRule>
  </conditionalFormatting>
  <conditionalFormatting sqref="B33">
    <cfRule type="containsText" dxfId="71" priority="88" operator="containsText" text="Youcom">
      <formula>NOT(ISERROR(SEARCH("Youcom",B33)))</formula>
    </cfRule>
    <cfRule type="containsText" dxfId="70" priority="89" operator="containsText" text="Camicado">
      <formula>NOT(ISERROR(SEARCH("Camicado",B33)))</formula>
    </cfRule>
    <cfRule type="containsText" dxfId="69" priority="90" operator="containsText" text="Renner">
      <formula>NOT(ISERROR(SEARCH("Renner",B33)))</formula>
    </cfRule>
  </conditionalFormatting>
  <conditionalFormatting sqref="B35:B37">
    <cfRule type="containsText" dxfId="68" priority="94" operator="containsText" text="Youcom">
      <formula>NOT(ISERROR(SEARCH("Youcom",B35)))</formula>
    </cfRule>
    <cfRule type="containsText" dxfId="67" priority="95" operator="containsText" text="Camicado">
      <formula>NOT(ISERROR(SEARCH("Camicado",B35)))</formula>
    </cfRule>
    <cfRule type="containsText" dxfId="66" priority="96" operator="containsText" text="Renner">
      <formula>NOT(ISERROR(SEARCH("Renner",B35)))</formula>
    </cfRule>
  </conditionalFormatting>
  <conditionalFormatting sqref="B390:B391 B387 B384 B380 B377 B374 B364 B354 B351 B346 B340:B341 B336 B334 B328 B322 B316 B294 B292 B290 B279:B282 B276 B272:B273 B260:B261 B258 B251:B254 B248 B245 B239:B240 B232:B237 B217 B215 B209 B202:B203 B198 B196 B191:B194 B186 B184 B179 B175 B170:B171 B166 B159 B156 B154 B150:B151 B148 B144:B145 B141 B136 B132:B134 B127 B122:B124 B118:B120 B115:B116 B102:B104 B96 B85:B87 B78 B65 B63 B55:B56 B41:B42 B38">
    <cfRule type="containsText" dxfId="65" priority="85" operator="containsText" text="Youcom">
      <formula>NOT(ISERROR(SEARCH("Youcom",B38)))</formula>
    </cfRule>
    <cfRule type="containsText" dxfId="64" priority="86" operator="containsText" text="Camicado">
      <formula>NOT(ISERROR(SEARCH("Camicado",B38)))</formula>
    </cfRule>
    <cfRule type="containsText" dxfId="63" priority="87" operator="containsText" text="Renner">
      <formula>NOT(ISERROR(SEARCH("Renner",B38)))</formula>
    </cfRule>
  </conditionalFormatting>
  <conditionalFormatting sqref="B34">
    <cfRule type="containsText" dxfId="62" priority="91" operator="containsText" text="Youcom">
      <formula>NOT(ISERROR(SEARCH("Youcom",B34)))</formula>
    </cfRule>
    <cfRule type="containsText" dxfId="61" priority="92" operator="containsText" text="Camicado">
      <formula>NOT(ISERROR(SEARCH("Camicado",B34)))</formula>
    </cfRule>
    <cfRule type="containsText" dxfId="60" priority="93" operator="containsText" text="Renner">
      <formula>NOT(ISERROR(SEARCH("Renner",B34)))</formula>
    </cfRule>
  </conditionalFormatting>
  <conditionalFormatting sqref="B32">
    <cfRule type="containsText" dxfId="59" priority="82" operator="containsText" text="Youcom">
      <formula>NOT(ISERROR(SEARCH("Youcom",B32)))</formula>
    </cfRule>
    <cfRule type="containsText" dxfId="58" priority="83" operator="containsText" text="Camicado">
      <formula>NOT(ISERROR(SEARCH("Camicado",B32)))</formula>
    </cfRule>
    <cfRule type="containsText" dxfId="57" priority="84" operator="containsText" text="Renner">
      <formula>NOT(ISERROR(SEARCH("Renner",B32)))</formula>
    </cfRule>
  </conditionalFormatting>
  <conditionalFormatting sqref="B28">
    <cfRule type="containsText" dxfId="56" priority="70" operator="containsText" text="Youcom">
      <formula>NOT(ISERROR(SEARCH("Youcom",B28)))</formula>
    </cfRule>
    <cfRule type="containsText" dxfId="55" priority="71" operator="containsText" text="Camicado">
      <formula>NOT(ISERROR(SEARCH("Camicado",B28)))</formula>
    </cfRule>
    <cfRule type="containsText" dxfId="54" priority="72" operator="containsText" text="Renner">
      <formula>NOT(ISERROR(SEARCH("Renner",B28)))</formula>
    </cfRule>
  </conditionalFormatting>
  <conditionalFormatting sqref="B26">
    <cfRule type="containsText" dxfId="53" priority="67" operator="containsText" text="Youcom">
      <formula>NOT(ISERROR(SEARCH("Youcom",B26)))</formula>
    </cfRule>
    <cfRule type="containsText" dxfId="52" priority="68" operator="containsText" text="Camicado">
      <formula>NOT(ISERROR(SEARCH("Camicado",B26)))</formula>
    </cfRule>
    <cfRule type="containsText" dxfId="51" priority="69" operator="containsText" text="Renner">
      <formula>NOT(ISERROR(SEARCH("Renner",B26)))</formula>
    </cfRule>
  </conditionalFormatting>
  <conditionalFormatting sqref="B23:B25">
    <cfRule type="containsText" dxfId="50" priority="61" operator="containsText" text="Youcom">
      <formula>NOT(ISERROR(SEARCH("Youcom",B23)))</formula>
    </cfRule>
    <cfRule type="containsText" dxfId="49" priority="62" operator="containsText" text="Camicado">
      <formula>NOT(ISERROR(SEARCH("Camicado",B23)))</formula>
    </cfRule>
    <cfRule type="containsText" dxfId="48" priority="63" operator="containsText" text="Renner">
      <formula>NOT(ISERROR(SEARCH("Renner",B23)))</formula>
    </cfRule>
  </conditionalFormatting>
  <conditionalFormatting sqref="B29">
    <cfRule type="containsText" dxfId="47" priority="76" operator="containsText" text="Youcom">
      <formula>NOT(ISERROR(SEARCH("Youcom",B29)))</formula>
    </cfRule>
    <cfRule type="containsText" dxfId="46" priority="77" operator="containsText" text="Camicado">
      <formula>NOT(ISERROR(SEARCH("Camicado",B29)))</formula>
    </cfRule>
    <cfRule type="containsText" dxfId="45" priority="78" operator="containsText" text="Renner">
      <formula>NOT(ISERROR(SEARCH("Renner",B29)))</formula>
    </cfRule>
  </conditionalFormatting>
  <conditionalFormatting sqref="B31">
    <cfRule type="containsText" dxfId="44" priority="79" operator="containsText" text="Youcom">
      <formula>NOT(ISERROR(SEARCH("Youcom",B31)))</formula>
    </cfRule>
    <cfRule type="containsText" dxfId="43" priority="80" operator="containsText" text="Camicado">
      <formula>NOT(ISERROR(SEARCH("Camicado",B31)))</formula>
    </cfRule>
    <cfRule type="containsText" dxfId="42" priority="81" operator="containsText" text="Renner">
      <formula>NOT(ISERROR(SEARCH("Renner",B31)))</formula>
    </cfRule>
  </conditionalFormatting>
  <conditionalFormatting sqref="B30">
    <cfRule type="containsText" dxfId="41" priority="73" operator="containsText" text="Youcom">
      <formula>NOT(ISERROR(SEARCH("Youcom",B30)))</formula>
    </cfRule>
    <cfRule type="containsText" dxfId="40" priority="74" operator="containsText" text="Camicado">
      <formula>NOT(ISERROR(SEARCH("Camicado",B30)))</formula>
    </cfRule>
    <cfRule type="containsText" dxfId="39" priority="75" operator="containsText" text="Renner">
      <formula>NOT(ISERROR(SEARCH("Renner",B30)))</formula>
    </cfRule>
  </conditionalFormatting>
  <conditionalFormatting sqref="B27">
    <cfRule type="containsText" dxfId="38" priority="64" operator="containsText" text="Youcom">
      <formula>NOT(ISERROR(SEARCH("Youcom",B27)))</formula>
    </cfRule>
    <cfRule type="containsText" dxfId="37" priority="65" operator="containsText" text="Camicado">
      <formula>NOT(ISERROR(SEARCH("Camicado",B27)))</formula>
    </cfRule>
    <cfRule type="containsText" dxfId="36" priority="66" operator="containsText" text="Renner">
      <formula>NOT(ISERROR(SEARCH("Renner",B27)))</formula>
    </cfRule>
  </conditionalFormatting>
  <conditionalFormatting sqref="B25">
    <cfRule type="containsText" dxfId="35" priority="58" operator="containsText" text="Youcom">
      <formula>NOT(ISERROR(SEARCH("Youcom",B25)))</formula>
    </cfRule>
    <cfRule type="containsText" dxfId="34" priority="59" operator="containsText" text="Camicado">
      <formula>NOT(ISERROR(SEARCH("Camicado",B25)))</formula>
    </cfRule>
    <cfRule type="containsText" dxfId="33" priority="60" operator="containsText" text="Renner">
      <formula>NOT(ISERROR(SEARCH("Renner",B25)))</formula>
    </cfRule>
  </conditionalFormatting>
  <conditionalFormatting sqref="B20:B22">
    <cfRule type="containsText" dxfId="32" priority="55" operator="containsText" text="Youcom">
      <formula>NOT(ISERROR(SEARCH("Youcom",B20)))</formula>
    </cfRule>
    <cfRule type="containsText" dxfId="31" priority="56" operator="containsText" text="Camicado">
      <formula>NOT(ISERROR(SEARCH("Camicado",B20)))</formula>
    </cfRule>
    <cfRule type="containsText" dxfId="30" priority="57" operator="containsText" text="Renner">
      <formula>NOT(ISERROR(SEARCH("Renner",B20)))</formula>
    </cfRule>
  </conditionalFormatting>
  <conditionalFormatting sqref="B17:B19">
    <cfRule type="containsText" dxfId="29" priority="52" operator="containsText" text="Youcom">
      <formula>NOT(ISERROR(SEARCH("Youcom",B17)))</formula>
    </cfRule>
    <cfRule type="containsText" dxfId="28" priority="53" operator="containsText" text="Camicado">
      <formula>NOT(ISERROR(SEARCH("Camicado",B17)))</formula>
    </cfRule>
    <cfRule type="containsText" dxfId="27" priority="54" operator="containsText" text="Renner">
      <formula>NOT(ISERROR(SEARCH("Renner",B17)))</formula>
    </cfRule>
  </conditionalFormatting>
  <conditionalFormatting sqref="B15">
    <cfRule type="containsText" dxfId="26" priority="43" operator="containsText" text="Youcom">
      <formula>NOT(ISERROR(SEARCH("Youcom",B15)))</formula>
    </cfRule>
    <cfRule type="containsText" dxfId="25" priority="44" operator="containsText" text="Camicado">
      <formula>NOT(ISERROR(SEARCH("Camicado",B15)))</formula>
    </cfRule>
    <cfRule type="containsText" dxfId="24" priority="45" operator="containsText" text="Renner">
      <formula>NOT(ISERROR(SEARCH("Renner",B15)))</formula>
    </cfRule>
  </conditionalFormatting>
  <conditionalFormatting sqref="B14">
    <cfRule type="containsText" dxfId="23" priority="34" operator="containsText" text="Youcom">
      <formula>NOT(ISERROR(SEARCH("Youcom",B14)))</formula>
    </cfRule>
    <cfRule type="containsText" dxfId="22" priority="35" operator="containsText" text="Camicado">
      <formula>NOT(ISERROR(SEARCH("Camicado",B14)))</formula>
    </cfRule>
    <cfRule type="containsText" dxfId="21" priority="36" operator="containsText" text="Renner">
      <formula>NOT(ISERROR(SEARCH("Renner",B14)))</formula>
    </cfRule>
  </conditionalFormatting>
  <conditionalFormatting sqref="B12">
    <cfRule type="containsText" dxfId="20" priority="31" operator="containsText" text="Youcom">
      <formula>NOT(ISERROR(SEARCH("Youcom",B12)))</formula>
    </cfRule>
    <cfRule type="containsText" dxfId="19" priority="32" operator="containsText" text="Camicado">
      <formula>NOT(ISERROR(SEARCH("Camicado",B12)))</formula>
    </cfRule>
    <cfRule type="containsText" dxfId="18" priority="33" operator="containsText" text="Renner">
      <formula>NOT(ISERROR(SEARCH("Renner",B12)))</formula>
    </cfRule>
  </conditionalFormatting>
  <conditionalFormatting sqref="B13">
    <cfRule type="containsText" dxfId="17" priority="28" operator="containsText" text="Youcom">
      <formula>NOT(ISERROR(SEARCH("Youcom",B13)))</formula>
    </cfRule>
    <cfRule type="containsText" dxfId="16" priority="29" operator="containsText" text="Camicado">
      <formula>NOT(ISERROR(SEARCH("Camicado",B13)))</formula>
    </cfRule>
    <cfRule type="containsText" dxfId="15" priority="30" operator="containsText" text="Renner">
      <formula>NOT(ISERROR(SEARCH("Renner",B13)))</formula>
    </cfRule>
  </conditionalFormatting>
  <conditionalFormatting sqref="B9">
    <cfRule type="containsText" dxfId="14" priority="25" operator="containsText" text="Youcom">
      <formula>NOT(ISERROR(SEARCH("Youcom",B9)))</formula>
    </cfRule>
    <cfRule type="containsText" dxfId="13" priority="26" operator="containsText" text="Camicado">
      <formula>NOT(ISERROR(SEARCH("Camicado",B9)))</formula>
    </cfRule>
    <cfRule type="containsText" dxfId="12" priority="27" operator="containsText" text="Renner">
      <formula>NOT(ISERROR(SEARCH("Renner",B9)))</formula>
    </cfRule>
  </conditionalFormatting>
  <conditionalFormatting sqref="B8">
    <cfRule type="containsText" dxfId="11" priority="19" operator="containsText" text="Youcom">
      <formula>NOT(ISERROR(SEARCH("Youcom",B8)))</formula>
    </cfRule>
    <cfRule type="containsText" dxfId="10" priority="20" operator="containsText" text="Camicado">
      <formula>NOT(ISERROR(SEARCH("Camicado",B8)))</formula>
    </cfRule>
    <cfRule type="containsText" dxfId="9" priority="21" operator="containsText" text="Renner">
      <formula>NOT(ISERROR(SEARCH("Renner",B8)))</formula>
    </cfRule>
  </conditionalFormatting>
  <conditionalFormatting sqref="B7">
    <cfRule type="containsText" dxfId="8" priority="13" operator="containsText" text="Youcom">
      <formula>NOT(ISERROR(SEARCH("Youcom",B7)))</formula>
    </cfRule>
    <cfRule type="containsText" dxfId="7" priority="14" operator="containsText" text="Camicado">
      <formula>NOT(ISERROR(SEARCH("Camicado",B7)))</formula>
    </cfRule>
    <cfRule type="containsText" dxfId="6" priority="15" operator="containsText" text="Renner">
      <formula>NOT(ISERROR(SEARCH("Renner",B7)))</formula>
    </cfRule>
  </conditionalFormatting>
  <conditionalFormatting sqref="B6">
    <cfRule type="containsText" dxfId="5" priority="7" operator="containsText" text="Youcom">
      <formula>NOT(ISERROR(SEARCH("Youcom",B6)))</formula>
    </cfRule>
    <cfRule type="containsText" dxfId="4" priority="8" operator="containsText" text="Camicado">
      <formula>NOT(ISERROR(SEARCH("Camicado",B6)))</formula>
    </cfRule>
    <cfRule type="containsText" dxfId="3" priority="9" operator="containsText" text="Renner">
      <formula>NOT(ISERROR(SEARCH("Renner",B6)))</formula>
    </cfRule>
  </conditionalFormatting>
  <conditionalFormatting sqref="B5">
    <cfRule type="containsText" dxfId="2" priority="1" operator="containsText" text="Youcom">
      <formula>NOT(ISERROR(SEARCH("Youcom",B5)))</formula>
    </cfRule>
    <cfRule type="containsText" dxfId="1" priority="2" operator="containsText" text="Camicado">
      <formula>NOT(ISERROR(SEARCH("Camicado",B5)))</formula>
    </cfRule>
    <cfRule type="containsText" dxfId="0" priority="3" operator="containsText" text="Renner">
      <formula>NOT(ISERROR(SEARCH("Renner",B5)))</formula>
    </cfRule>
  </conditionalFormatting>
  <hyperlinks>
    <hyperlink ref="E1:F1" r:id="rId1" location="BalSheet!A1" display="BALANCE SHEET" xr:uid="{00000000-0004-0000-0600-000000000000}"/>
    <hyperlink ref="D1" r:id="rId2" location="BalSheet!A1" display="BALANCE SHEET" xr:uid="{00000000-0004-0000-0600-000001000000}"/>
    <hyperlink ref="K1" r:id="rId3" location="BalSheet!A1" display="BALANCE SHEET" xr:uid="{00000000-0004-0000-0600-000002000000}"/>
    <hyperlink ref="L1" r:id="rId4" location="BalSheet!A1" display="BALANCE SHEET" xr:uid="{00000000-0004-0000-0600-000003000000}"/>
    <hyperlink ref="B1:C1" location="'Capa | Cover'!A1" display="CAPA/COVER" xr:uid="{00000000-0004-0000-0600-000004000000}"/>
  </hyperlinks>
  <printOptions horizontalCentered="1"/>
  <pageMargins left="0.19685039370078741" right="0.19685039370078741" top="0.59055118110236227" bottom="0.59055118110236227" header="0.51181102362204722" footer="0.51181102362204722"/>
  <pageSetup paperSize="9" scale="61" orientation="landscape" r:id="rId5"/>
  <headerFooter alignWithMargins="0">
    <oddFooter>&amp;L&amp;"Calibri"&amp;11&amp;K000000&amp;"Calibri"&amp;11&amp;K000000&amp;"Calibri"&amp;11 Investor Relations Lojas Renner S.A._x000D_&amp;1#&amp;"Calibri"&amp;10&amp;K317100Classificação: Público</oddFooter>
  </headerFooter>
  <legacy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7">
    <tabColor rgb="FFC00000"/>
    <pageSetUpPr fitToPage="1"/>
  </sheetPr>
  <dimension ref="A1:DW89"/>
  <sheetViews>
    <sheetView zoomScaleNormal="100" workbookViewId="0">
      <pane ySplit="7" topLeftCell="A8" activePane="bottomLeft" state="frozen"/>
      <selection activeCell="JZ13" sqref="JZ13"/>
      <selection pane="bottomLeft" sqref="A1:B1"/>
    </sheetView>
  </sheetViews>
  <sheetFormatPr defaultRowHeight="14.25"/>
  <cols>
    <col min="1" max="1" width="2.140625" style="5" customWidth="1"/>
    <col min="2" max="2" width="31.28515625" style="5" customWidth="1"/>
    <col min="3" max="3" width="22.7109375" style="5" customWidth="1"/>
    <col min="4" max="4" width="30" style="5" customWidth="1"/>
    <col min="5" max="5" width="21.42578125" style="5" customWidth="1"/>
    <col min="6" max="6" width="17.140625" style="5" customWidth="1"/>
    <col min="7" max="7" width="8.42578125" style="5" customWidth="1"/>
    <col min="8" max="8" width="9.5703125" style="5" customWidth="1"/>
    <col min="9" max="9" width="2.42578125" style="5" customWidth="1"/>
    <col min="10" max="10" width="15.85546875" style="5" bestFit="1" customWidth="1"/>
    <col min="11" max="11" width="12.28515625" style="5" bestFit="1" customWidth="1"/>
    <col min="12" max="12" width="10.42578125" style="5" bestFit="1" customWidth="1"/>
    <col min="13" max="13" width="16.42578125" style="5" bestFit="1" customWidth="1"/>
    <col min="14" max="16384" width="9.140625" style="5"/>
  </cols>
  <sheetData>
    <row r="1" spans="1:13">
      <c r="A1" s="612" t="s">
        <v>1132</v>
      </c>
      <c r="B1" s="612"/>
      <c r="E1" s="74"/>
    </row>
    <row r="2" spans="1:13" ht="6" customHeight="1"/>
    <row r="3" spans="1:13" ht="21" customHeight="1">
      <c r="B3" s="618" t="s">
        <v>160</v>
      </c>
      <c r="C3" s="618"/>
      <c r="F3" s="389"/>
    </row>
    <row r="4" spans="1:13" s="40" customFormat="1" ht="12" customHeight="1">
      <c r="B4" s="618" t="s">
        <v>79</v>
      </c>
      <c r="C4" s="618"/>
    </row>
    <row r="5" spans="1:13" ht="6" customHeight="1"/>
    <row r="6" spans="1:13" ht="19.5" customHeight="1">
      <c r="B6" s="246" t="s">
        <v>80</v>
      </c>
      <c r="C6" s="246" t="s">
        <v>81</v>
      </c>
      <c r="D6" s="246" t="s">
        <v>82</v>
      </c>
      <c r="E6" s="246" t="s">
        <v>1119</v>
      </c>
      <c r="F6" s="246" t="s">
        <v>83</v>
      </c>
      <c r="G6" s="246" t="s">
        <v>84</v>
      </c>
      <c r="H6" s="246" t="s">
        <v>838</v>
      </c>
    </row>
    <row r="7" spans="1:13" ht="19.5" customHeight="1">
      <c r="B7" s="246" t="s">
        <v>85</v>
      </c>
      <c r="C7" s="246" t="s">
        <v>86</v>
      </c>
      <c r="D7" s="246" t="s">
        <v>87</v>
      </c>
      <c r="E7" s="246" t="s">
        <v>259</v>
      </c>
      <c r="F7" s="246" t="s">
        <v>83</v>
      </c>
      <c r="G7" s="246" t="s">
        <v>84</v>
      </c>
      <c r="H7" s="246" t="s">
        <v>838</v>
      </c>
    </row>
    <row r="8" spans="1:13" s="216" customFormat="1" ht="27" customHeight="1">
      <c r="B8" s="90" t="s">
        <v>1111</v>
      </c>
      <c r="C8" s="392"/>
      <c r="D8" s="374"/>
      <c r="E8" s="518"/>
      <c r="F8" s="245"/>
      <c r="G8" s="519"/>
      <c r="H8" s="519"/>
      <c r="J8" s="521"/>
      <c r="K8" s="5"/>
      <c r="L8" s="5"/>
      <c r="M8" s="5"/>
    </row>
    <row r="9" spans="1:13" s="397" customFormat="1" ht="31.5" customHeight="1">
      <c r="B9" s="467" t="s">
        <v>1110</v>
      </c>
      <c r="C9" s="592" t="s">
        <v>1524</v>
      </c>
      <c r="D9" s="527" t="s">
        <v>1364</v>
      </c>
      <c r="E9" s="394">
        <v>7.6260999999999995E-2</v>
      </c>
      <c r="F9" s="245">
        <v>60475851.909999996</v>
      </c>
      <c r="G9" s="469"/>
      <c r="H9" s="469"/>
      <c r="J9" s="522"/>
      <c r="K9" s="522"/>
    </row>
    <row r="10" spans="1:13" s="397" customFormat="1" ht="31.5" customHeight="1">
      <c r="B10" s="467" t="s">
        <v>1110</v>
      </c>
      <c r="C10" s="592" t="s">
        <v>1522</v>
      </c>
      <c r="D10" s="527" t="s">
        <v>1364</v>
      </c>
      <c r="E10" s="394">
        <v>8.3344000000000001E-2</v>
      </c>
      <c r="F10" s="245">
        <v>66049229.049999997</v>
      </c>
      <c r="G10" s="469"/>
      <c r="H10" s="469"/>
      <c r="J10" s="522"/>
      <c r="K10" s="522"/>
    </row>
    <row r="11" spans="1:13" s="397" customFormat="1" ht="31.5" customHeight="1">
      <c r="B11" s="467" t="s">
        <v>1110</v>
      </c>
      <c r="C11" s="468" t="s">
        <v>1457</v>
      </c>
      <c r="D11" s="527" t="s">
        <v>1364</v>
      </c>
      <c r="E11" s="394">
        <v>7.0596000000000006E-2</v>
      </c>
      <c r="F11" s="245">
        <v>55942450.189999998</v>
      </c>
      <c r="G11" s="469"/>
      <c r="H11" s="469"/>
      <c r="J11" s="522"/>
      <c r="K11" s="522"/>
    </row>
    <row r="12" spans="1:13" s="397" customFormat="1" ht="31.5" customHeight="1">
      <c r="B12" s="467" t="s">
        <v>1110</v>
      </c>
      <c r="C12" s="468" t="s">
        <v>1444</v>
      </c>
      <c r="D12" s="527" t="s">
        <v>1364</v>
      </c>
      <c r="E12" s="394">
        <v>7.3637999999999995E-2</v>
      </c>
      <c r="F12" s="245">
        <v>58350668.869999997</v>
      </c>
      <c r="G12" s="469"/>
      <c r="H12" s="469"/>
      <c r="J12" s="522"/>
      <c r="K12" s="522"/>
    </row>
    <row r="13" spans="1:13" s="397" customFormat="1" ht="19.5" customHeight="1">
      <c r="B13" s="457" t="s">
        <v>1379</v>
      </c>
      <c r="C13" s="456"/>
      <c r="D13" s="456"/>
      <c r="E13" s="455">
        <f>SUM(E14:E18)</f>
        <v>0.34627000000000002</v>
      </c>
      <c r="F13" s="56">
        <f>SUM(F14:F18)</f>
        <v>267652894.46000001</v>
      </c>
      <c r="G13" s="454"/>
      <c r="H13" s="453"/>
    </row>
    <row r="14" spans="1:13" s="216" customFormat="1" ht="27" customHeight="1">
      <c r="B14" s="90" t="s">
        <v>1111</v>
      </c>
      <c r="C14" s="392" t="s">
        <v>1435</v>
      </c>
      <c r="D14" s="374" t="s">
        <v>1448</v>
      </c>
      <c r="E14" s="518">
        <v>1.9809E-2</v>
      </c>
      <c r="F14" s="245">
        <v>15697008.640000001</v>
      </c>
      <c r="G14" s="519"/>
      <c r="H14" s="519"/>
      <c r="J14" s="521"/>
      <c r="K14" s="5"/>
      <c r="L14" s="5"/>
      <c r="M14" s="5"/>
    </row>
    <row r="15" spans="1:13" s="397" customFormat="1" ht="31.5" customHeight="1">
      <c r="B15" s="467" t="s">
        <v>1110</v>
      </c>
      <c r="C15" s="468" t="s">
        <v>1433</v>
      </c>
      <c r="D15" s="374" t="s">
        <v>1448</v>
      </c>
      <c r="E15" s="394">
        <v>7.7277999999999999E-2</v>
      </c>
      <c r="F15" s="192">
        <v>61337592.759999998</v>
      </c>
      <c r="G15" s="469"/>
      <c r="H15" s="469"/>
      <c r="J15" s="522"/>
      <c r="K15" s="522"/>
    </row>
    <row r="16" spans="1:13" ht="31.5" customHeight="1">
      <c r="B16" s="90" t="s">
        <v>1110</v>
      </c>
      <c r="C16" s="91" t="s">
        <v>1393</v>
      </c>
      <c r="D16" s="374" t="s">
        <v>1448</v>
      </c>
      <c r="E16" s="394">
        <v>7.8588000000000005E-2</v>
      </c>
      <c r="F16" s="192">
        <v>62352997.280000001</v>
      </c>
      <c r="G16" s="41"/>
      <c r="H16" s="41"/>
      <c r="K16" s="523"/>
    </row>
    <row r="17" spans="2:13" ht="31.5" customHeight="1">
      <c r="B17" s="90" t="s">
        <v>1110</v>
      </c>
      <c r="C17" s="91" t="s">
        <v>1378</v>
      </c>
      <c r="D17" s="374" t="s">
        <v>1448</v>
      </c>
      <c r="E17" s="394">
        <v>7.7649999999999997E-2</v>
      </c>
      <c r="F17" s="192">
        <v>61497339.710000001</v>
      </c>
      <c r="G17" s="41"/>
      <c r="H17" s="41"/>
      <c r="K17" s="524"/>
      <c r="L17" s="525"/>
    </row>
    <row r="18" spans="2:13" s="216" customFormat="1" ht="31.5" customHeight="1">
      <c r="B18" s="90" t="s">
        <v>1110</v>
      </c>
      <c r="C18" s="91" t="s">
        <v>1377</v>
      </c>
      <c r="D18" s="374" t="s">
        <v>1448</v>
      </c>
      <c r="E18" s="394">
        <v>9.2945E-2</v>
      </c>
      <c r="F18" s="192">
        <v>66767956.07</v>
      </c>
      <c r="G18" s="41"/>
      <c r="H18" s="41"/>
      <c r="K18" s="5"/>
      <c r="L18" s="5"/>
      <c r="M18" s="5"/>
    </row>
    <row r="19" spans="2:13" ht="19.5" customHeight="1">
      <c r="B19" s="53" t="s">
        <v>1281</v>
      </c>
      <c r="C19" s="54"/>
      <c r="D19" s="54"/>
      <c r="E19" s="390">
        <f>SUM(E20:E24)</f>
        <v>0.56953600000000004</v>
      </c>
      <c r="F19" s="56">
        <f>SUM(F20:F24)</f>
        <v>408053892.08000004</v>
      </c>
      <c r="G19" s="57">
        <f>+F19/(713235181*35.49)</f>
        <v>1.6120509661303229E-2</v>
      </c>
      <c r="H19" s="58">
        <v>0.4</v>
      </c>
    </row>
    <row r="20" spans="2:13" s="216" customFormat="1" ht="21.75" customHeight="1">
      <c r="B20" s="90" t="s">
        <v>1111</v>
      </c>
      <c r="C20" s="392" t="s">
        <v>1350</v>
      </c>
      <c r="D20" s="374" t="s">
        <v>1363</v>
      </c>
      <c r="E20" s="394">
        <v>0.254</v>
      </c>
      <c r="F20" s="192">
        <v>182381338.40000001</v>
      </c>
      <c r="G20" s="41"/>
      <c r="H20" s="41"/>
      <c r="J20" s="449"/>
      <c r="K20" s="5"/>
      <c r="L20" s="5"/>
      <c r="M20" s="5"/>
    </row>
    <row r="21" spans="2:13" s="216" customFormat="1" ht="21.75" customHeight="1">
      <c r="B21" s="90" t="s">
        <v>1110</v>
      </c>
      <c r="C21" s="91" t="s">
        <v>1340</v>
      </c>
      <c r="D21" s="374" t="s">
        <v>1363</v>
      </c>
      <c r="E21" s="394">
        <v>8.9644000000000001E-2</v>
      </c>
      <c r="F21" s="192">
        <v>64358932.5</v>
      </c>
      <c r="G21" s="41"/>
      <c r="H21" s="41"/>
      <c r="K21" s="5"/>
      <c r="L21" s="5"/>
      <c r="M21" s="5"/>
    </row>
    <row r="22" spans="2:13" s="216" customFormat="1" ht="21.75" customHeight="1">
      <c r="B22" s="90" t="s">
        <v>1110</v>
      </c>
      <c r="C22" s="91" t="s">
        <v>1310</v>
      </c>
      <c r="D22" s="374" t="s">
        <v>1363</v>
      </c>
      <c r="E22" s="394">
        <v>7.9685000000000006E-2</v>
      </c>
      <c r="F22" s="192">
        <v>57044940.509999998</v>
      </c>
      <c r="G22" s="41"/>
      <c r="H22" s="41"/>
      <c r="K22" s="5"/>
      <c r="L22" s="5"/>
      <c r="M22" s="5"/>
    </row>
    <row r="23" spans="2:13" s="216" customFormat="1" ht="21.75" customHeight="1">
      <c r="B23" s="90" t="s">
        <v>1110</v>
      </c>
      <c r="C23" s="91" t="s">
        <v>1282</v>
      </c>
      <c r="D23" s="374" t="s">
        <v>1363</v>
      </c>
      <c r="E23" s="394">
        <v>7.3243000000000003E-2</v>
      </c>
      <c r="F23" s="192">
        <v>52337623.979999997</v>
      </c>
      <c r="G23" s="41"/>
      <c r="H23" s="41"/>
      <c r="K23" s="5"/>
      <c r="L23" s="5"/>
      <c r="M23" s="5"/>
    </row>
    <row r="24" spans="2:13" s="216" customFormat="1" ht="21.75" customHeight="1">
      <c r="B24" s="90" t="s">
        <v>1110</v>
      </c>
      <c r="C24" s="91" t="s">
        <v>1262</v>
      </c>
      <c r="D24" s="374" t="s">
        <v>1363</v>
      </c>
      <c r="E24" s="394">
        <v>7.2964000000000001E-2</v>
      </c>
      <c r="F24" s="192">
        <v>51931056.689999998</v>
      </c>
      <c r="G24" s="41"/>
      <c r="H24" s="41"/>
      <c r="K24" s="5"/>
      <c r="L24" s="5"/>
      <c r="M24" s="5"/>
    </row>
    <row r="25" spans="2:13" ht="19.5" customHeight="1">
      <c r="B25" s="53" t="s">
        <v>1178</v>
      </c>
      <c r="C25" s="54"/>
      <c r="D25" s="54"/>
      <c r="E25" s="390">
        <f>SUM(E26:E30)</f>
        <v>0.41944100000000001</v>
      </c>
      <c r="F25" s="56">
        <f>SUM(F26:F30)</f>
        <v>293177565.31</v>
      </c>
      <c r="G25" s="57">
        <f>+F25/(713235181*35.49)</f>
        <v>1.1582224470317355E-2</v>
      </c>
      <c r="H25" s="58">
        <v>0.4</v>
      </c>
    </row>
    <row r="26" spans="2:13" s="216" customFormat="1" ht="19.5" customHeight="1">
      <c r="B26" s="90" t="s">
        <v>1111</v>
      </c>
      <c r="C26" s="392" t="s">
        <v>1258</v>
      </c>
      <c r="D26" s="374" t="s">
        <v>1259</v>
      </c>
      <c r="E26" s="219">
        <v>0.13522999999999999</v>
      </c>
      <c r="F26" s="192">
        <v>96246807.959999993</v>
      </c>
      <c r="G26" s="41"/>
      <c r="H26" s="41"/>
      <c r="K26" s="5"/>
      <c r="L26" s="5"/>
      <c r="M26" s="5"/>
    </row>
    <row r="27" spans="2:13" s="216" customFormat="1" ht="19.5" customHeight="1">
      <c r="B27" s="90" t="s">
        <v>1110</v>
      </c>
      <c r="C27" s="91" t="s">
        <v>1245</v>
      </c>
      <c r="D27" s="374" t="s">
        <v>1259</v>
      </c>
      <c r="E27" s="219">
        <v>7.4300000000000005E-2</v>
      </c>
      <c r="F27" s="192">
        <v>52881935.090000004</v>
      </c>
      <c r="G27" s="41"/>
      <c r="H27" s="41"/>
      <c r="K27" s="5"/>
      <c r="L27" s="5"/>
      <c r="M27" s="5"/>
    </row>
    <row r="28" spans="2:13" s="216" customFormat="1" ht="19.5" customHeight="1">
      <c r="B28" s="90" t="s">
        <v>1110</v>
      </c>
      <c r="C28" s="91" t="s">
        <v>1225</v>
      </c>
      <c r="D28" s="374" t="s">
        <v>1259</v>
      </c>
      <c r="E28" s="219">
        <v>7.0407999999999998E-2</v>
      </c>
      <c r="F28" s="192">
        <v>50094316.43</v>
      </c>
      <c r="G28" s="41"/>
      <c r="H28" s="41"/>
      <c r="K28" s="5"/>
      <c r="L28" s="5"/>
      <c r="M28" s="5"/>
    </row>
    <row r="29" spans="2:13" s="216" customFormat="1" ht="19.5" customHeight="1">
      <c r="B29" s="90" t="s">
        <v>1110</v>
      </c>
      <c r="C29" s="91" t="s">
        <v>1197</v>
      </c>
      <c r="D29" s="374" t="s">
        <v>1259</v>
      </c>
      <c r="E29" s="219">
        <v>6.4742999999999995E-2</v>
      </c>
      <c r="F29" s="192">
        <v>45944600.100000001</v>
      </c>
      <c r="G29" s="41"/>
      <c r="H29" s="41"/>
      <c r="K29" s="5"/>
      <c r="L29" s="5"/>
      <c r="M29" s="5"/>
    </row>
    <row r="30" spans="2:13" s="216" customFormat="1" ht="19.5" customHeight="1">
      <c r="B30" s="90" t="s">
        <v>1110</v>
      </c>
      <c r="C30" s="91" t="s">
        <v>1179</v>
      </c>
      <c r="D30" s="374" t="s">
        <v>1259</v>
      </c>
      <c r="E30" s="219">
        <v>7.4759999999999993E-2</v>
      </c>
      <c r="F30" s="192">
        <v>48009905.729999997</v>
      </c>
      <c r="G30" s="41"/>
      <c r="H30" s="41"/>
      <c r="K30" s="5"/>
      <c r="L30" s="5"/>
      <c r="M30" s="5"/>
    </row>
    <row r="31" spans="2:13" ht="19.5" customHeight="1">
      <c r="B31" s="53" t="s">
        <v>457</v>
      </c>
      <c r="C31" s="54"/>
      <c r="D31" s="54"/>
      <c r="E31" s="220">
        <f>SUM(E32:E36)</f>
        <v>0.38985599999999998</v>
      </c>
      <c r="F31" s="56">
        <f>SUM(F32:F36)</f>
        <v>250171713.79999998</v>
      </c>
      <c r="G31" s="57">
        <v>1.7000000000000001E-2</v>
      </c>
      <c r="H31" s="58">
        <v>0.4</v>
      </c>
    </row>
    <row r="32" spans="2:13" ht="19.5" customHeight="1">
      <c r="B32" s="90" t="s">
        <v>1111</v>
      </c>
      <c r="C32" s="91" t="s">
        <v>1176</v>
      </c>
      <c r="D32" s="194" t="s">
        <v>1177</v>
      </c>
      <c r="E32" s="219">
        <v>0.119616</v>
      </c>
      <c r="F32" s="192">
        <v>76815852.889999986</v>
      </c>
      <c r="G32" s="41"/>
      <c r="H32" s="41"/>
      <c r="J32" s="258"/>
      <c r="K32" s="258"/>
    </row>
    <row r="33" spans="2:13" ht="19.5" customHeight="1">
      <c r="B33" s="90" t="s">
        <v>1110</v>
      </c>
      <c r="C33" s="91" t="s">
        <v>1158</v>
      </c>
      <c r="D33" s="194" t="s">
        <v>1177</v>
      </c>
      <c r="E33" s="219">
        <v>7.2599999999999998E-2</v>
      </c>
      <c r="F33" s="192">
        <v>46649171.75</v>
      </c>
      <c r="G33" s="217"/>
      <c r="H33" s="217"/>
      <c r="J33" s="259"/>
    </row>
    <row r="34" spans="2:13" ht="19.5" customHeight="1">
      <c r="B34" s="90" t="s">
        <v>1110</v>
      </c>
      <c r="C34" s="91" t="s">
        <v>1118</v>
      </c>
      <c r="D34" s="194" t="s">
        <v>1177</v>
      </c>
      <c r="E34" s="219">
        <v>6.9809999999999997E-2</v>
      </c>
      <c r="F34" s="192">
        <v>44835704.619999997</v>
      </c>
      <c r="G34" s="217"/>
      <c r="H34" s="217"/>
      <c r="J34" s="259"/>
    </row>
    <row r="35" spans="2:13" ht="19.5" customHeight="1">
      <c r="B35" s="90" t="s">
        <v>1110</v>
      </c>
      <c r="C35" s="91" t="s">
        <v>1079</v>
      </c>
      <c r="D35" s="194" t="s">
        <v>1177</v>
      </c>
      <c r="E35" s="219">
        <v>6.4180000000000001E-2</v>
      </c>
      <c r="F35" s="192">
        <v>41170544.200000003</v>
      </c>
      <c r="G35" s="217"/>
      <c r="H35" s="217"/>
      <c r="J35" s="259"/>
    </row>
    <row r="36" spans="2:13" s="216" customFormat="1" ht="19.5" customHeight="1">
      <c r="B36" s="90" t="s">
        <v>1110</v>
      </c>
      <c r="C36" s="91" t="s">
        <v>813</v>
      </c>
      <c r="D36" s="194" t="s">
        <v>1177</v>
      </c>
      <c r="E36" s="219">
        <v>6.3649999999999998E-2</v>
      </c>
      <c r="F36" s="192">
        <v>40700440.340000004</v>
      </c>
      <c r="G36" s="41"/>
      <c r="H36" s="41"/>
      <c r="K36" s="5"/>
      <c r="L36" s="5"/>
      <c r="M36" s="5"/>
    </row>
    <row r="37" spans="2:13" ht="19.5" customHeight="1">
      <c r="B37" s="53" t="s">
        <v>398</v>
      </c>
      <c r="C37" s="54"/>
      <c r="D37" s="54"/>
      <c r="E37" s="220" t="s">
        <v>814</v>
      </c>
      <c r="F37" s="56">
        <f>SUM(F38:F42)</f>
        <v>231906846.10999998</v>
      </c>
      <c r="G37" s="57">
        <v>2.1000000000000001E-2</v>
      </c>
      <c r="H37" s="58">
        <v>0.4</v>
      </c>
      <c r="J37" s="459"/>
    </row>
    <row r="38" spans="2:13" ht="20.25" customHeight="1">
      <c r="B38" s="90" t="s">
        <v>1111</v>
      </c>
      <c r="C38" s="91" t="s">
        <v>826</v>
      </c>
      <c r="D38" s="194" t="s">
        <v>827</v>
      </c>
      <c r="E38" s="191">
        <v>0.18601257910567479</v>
      </c>
      <c r="F38" s="245">
        <f>118944129.98</f>
        <v>118944129.98</v>
      </c>
      <c r="G38" s="41"/>
      <c r="H38" s="41"/>
      <c r="J38" s="258"/>
      <c r="K38" s="258"/>
    </row>
    <row r="39" spans="2:13" ht="20.25" customHeight="1">
      <c r="B39" s="90" t="s">
        <v>1110</v>
      </c>
      <c r="C39" s="91" t="s">
        <v>400</v>
      </c>
      <c r="D39" s="194" t="s">
        <v>827</v>
      </c>
      <c r="E39" s="219">
        <v>5.0999999999999997E-2</v>
      </c>
      <c r="F39" s="192">
        <v>32664825.469999999</v>
      </c>
      <c r="G39" s="217"/>
      <c r="H39" s="217"/>
      <c r="J39" s="257"/>
    </row>
    <row r="40" spans="2:13" ht="20.25" customHeight="1">
      <c r="B40" s="90" t="s">
        <v>1110</v>
      </c>
      <c r="C40" s="91" t="s">
        <v>399</v>
      </c>
      <c r="D40" s="194" t="s">
        <v>827</v>
      </c>
      <c r="E40" s="219">
        <v>0.23330000000000001</v>
      </c>
      <c r="F40" s="192">
        <v>29833252.66</v>
      </c>
      <c r="G40" s="217"/>
      <c r="H40" s="217"/>
      <c r="J40" s="259"/>
    </row>
    <row r="41" spans="2:13" ht="20.25" customHeight="1">
      <c r="B41" s="90" t="s">
        <v>1110</v>
      </c>
      <c r="C41" s="91" t="s">
        <v>370</v>
      </c>
      <c r="D41" s="194" t="s">
        <v>827</v>
      </c>
      <c r="E41" s="219">
        <v>0.20860000000000001</v>
      </c>
      <c r="F41" s="192">
        <v>26667333.260000002</v>
      </c>
      <c r="G41" s="217"/>
      <c r="H41" s="217"/>
      <c r="J41" s="259"/>
    </row>
    <row r="42" spans="2:13" ht="20.25" customHeight="1">
      <c r="B42" s="90" t="s">
        <v>1110</v>
      </c>
      <c r="C42" s="91" t="s">
        <v>367</v>
      </c>
      <c r="D42" s="194" t="s">
        <v>827</v>
      </c>
      <c r="E42" s="219">
        <v>0.18679999999999999</v>
      </c>
      <c r="F42" s="192">
        <v>23797304.739999998</v>
      </c>
      <c r="G42" s="41"/>
      <c r="H42" s="41"/>
      <c r="J42" s="259"/>
      <c r="K42" s="257"/>
      <c r="L42" s="258"/>
    </row>
    <row r="43" spans="2:13" ht="19.5" customHeight="1">
      <c r="B43" s="53" t="s">
        <v>340</v>
      </c>
      <c r="C43" s="54"/>
      <c r="D43" s="54"/>
      <c r="E43" s="55">
        <f>SUM(E44:E48)</f>
        <v>1.48594</v>
      </c>
      <c r="F43" s="56">
        <f>SUM(F44:F48)</f>
        <v>188721268.97999999</v>
      </c>
      <c r="G43" s="57">
        <v>1.9E-2</v>
      </c>
      <c r="H43" s="58">
        <v>0.4</v>
      </c>
    </row>
    <row r="44" spans="2:13" ht="19.5" customHeight="1">
      <c r="B44" s="90" t="s">
        <v>1111</v>
      </c>
      <c r="C44" s="91" t="s">
        <v>452</v>
      </c>
      <c r="D44" s="194" t="s">
        <v>369</v>
      </c>
      <c r="E44" s="191">
        <v>0.91574</v>
      </c>
      <c r="F44" s="192">
        <v>116660456.45</v>
      </c>
      <c r="G44" s="41"/>
      <c r="H44" s="41"/>
    </row>
    <row r="45" spans="2:13" ht="19.5" customHeight="1">
      <c r="B45" s="90" t="s">
        <v>1110</v>
      </c>
      <c r="C45" s="91" t="s">
        <v>357</v>
      </c>
      <c r="D45" s="194" t="s">
        <v>369</v>
      </c>
      <c r="E45" s="191">
        <v>0.14630000000000001</v>
      </c>
      <c r="F45" s="192">
        <v>18637824.859999999</v>
      </c>
      <c r="G45" s="41"/>
      <c r="H45" s="41"/>
    </row>
    <row r="46" spans="2:13" ht="19.5" customHeight="1">
      <c r="B46" s="90" t="s">
        <v>1110</v>
      </c>
      <c r="C46" s="91" t="s">
        <v>352</v>
      </c>
      <c r="D46" s="194" t="s">
        <v>369</v>
      </c>
      <c r="E46" s="191">
        <v>0.14480000000000001</v>
      </c>
      <c r="F46" s="192">
        <v>18267452.510000002</v>
      </c>
      <c r="G46" s="41"/>
      <c r="H46" s="41"/>
    </row>
    <row r="47" spans="2:13" ht="19.5" customHeight="1">
      <c r="B47" s="90" t="s">
        <v>1110</v>
      </c>
      <c r="C47" s="91" t="s">
        <v>348</v>
      </c>
      <c r="D47" s="194" t="s">
        <v>369</v>
      </c>
      <c r="E47" s="191">
        <v>0.14119999999999999</v>
      </c>
      <c r="F47" s="192">
        <v>17794633.280000001</v>
      </c>
      <c r="G47" s="41"/>
      <c r="H47" s="41"/>
    </row>
    <row r="48" spans="2:13" ht="19.5" customHeight="1">
      <c r="B48" s="90" t="s">
        <v>1110</v>
      </c>
      <c r="C48" s="91" t="s">
        <v>339</v>
      </c>
      <c r="D48" s="194" t="s">
        <v>369</v>
      </c>
      <c r="E48" s="191">
        <v>0.13789999999999999</v>
      </c>
      <c r="F48" s="192">
        <v>17360901.879999999</v>
      </c>
      <c r="G48" s="41"/>
      <c r="H48" s="41"/>
    </row>
    <row r="49" spans="2:9" ht="19.5" customHeight="1">
      <c r="B49" s="53" t="s">
        <v>315</v>
      </c>
      <c r="C49" s="54"/>
      <c r="D49" s="54"/>
      <c r="E49" s="198">
        <f>E54+E53+E52+E51+E50</f>
        <v>1.2993699999999999</v>
      </c>
      <c r="F49" s="56">
        <f>F54+F53+F52+F51+F50</f>
        <v>163181155.50999999</v>
      </c>
      <c r="G49" s="57">
        <v>2.1000000000000001E-2</v>
      </c>
      <c r="H49" s="58">
        <v>0.4</v>
      </c>
    </row>
    <row r="50" spans="2:9" ht="19.5" customHeight="1">
      <c r="B50" s="90" t="s">
        <v>1111</v>
      </c>
      <c r="C50" s="91" t="s">
        <v>341</v>
      </c>
      <c r="D50" s="194" t="s">
        <v>342</v>
      </c>
      <c r="E50" s="197">
        <v>0.83628000000000002</v>
      </c>
      <c r="F50" s="192">
        <v>105283357.7</v>
      </c>
      <c r="G50" s="41"/>
      <c r="H50" s="41"/>
    </row>
    <row r="51" spans="2:9" ht="19.5" customHeight="1">
      <c r="B51" s="90" t="s">
        <v>1110</v>
      </c>
      <c r="C51" s="91" t="s">
        <v>334</v>
      </c>
      <c r="D51" s="194" t="s">
        <v>342</v>
      </c>
      <c r="E51" s="197">
        <v>0.11949</v>
      </c>
      <c r="F51" s="192">
        <v>15043177.42</v>
      </c>
      <c r="G51" s="41"/>
      <c r="H51" s="41"/>
    </row>
    <row r="52" spans="2:9" ht="19.5" customHeight="1">
      <c r="B52" s="90" t="s">
        <v>1110</v>
      </c>
      <c r="C52" s="91" t="s">
        <v>331</v>
      </c>
      <c r="D52" s="194" t="s">
        <v>342</v>
      </c>
      <c r="E52" s="191">
        <v>0.1181</v>
      </c>
      <c r="F52" s="192">
        <v>14759537.460000001</v>
      </c>
      <c r="G52" s="41"/>
      <c r="H52" s="41"/>
    </row>
    <row r="53" spans="2:9" ht="19.5" customHeight="1">
      <c r="B53" s="90" t="s">
        <v>1110</v>
      </c>
      <c r="C53" s="91" t="s">
        <v>323</v>
      </c>
      <c r="D53" s="194" t="s">
        <v>342</v>
      </c>
      <c r="E53" s="191">
        <v>0.1143</v>
      </c>
      <c r="F53" s="192">
        <v>14284632.779999999</v>
      </c>
      <c r="G53" s="41"/>
      <c r="H53" s="41"/>
    </row>
    <row r="54" spans="2:9" ht="19.5" customHeight="1">
      <c r="B54" s="90" t="s">
        <v>1110</v>
      </c>
      <c r="C54" s="91" t="s">
        <v>318</v>
      </c>
      <c r="D54" s="194" t="s">
        <v>342</v>
      </c>
      <c r="E54" s="191">
        <v>0.11119999999999999</v>
      </c>
      <c r="F54" s="192">
        <v>13810450.15</v>
      </c>
      <c r="G54" s="41"/>
      <c r="H54" s="41"/>
    </row>
    <row r="55" spans="2:9" ht="18" customHeight="1">
      <c r="B55" s="53" t="s">
        <v>295</v>
      </c>
      <c r="C55" s="54"/>
      <c r="D55" s="54"/>
      <c r="E55" s="55">
        <f>SUM(E56:E60)</f>
        <v>2.1503000000000001</v>
      </c>
      <c r="F55" s="56">
        <f>SUM(F56:F60)</f>
        <v>266550548.16999999</v>
      </c>
      <c r="G55" s="57">
        <v>2.7E-2</v>
      </c>
      <c r="H55" s="58">
        <v>0.75</v>
      </c>
      <c r="I55" s="75"/>
    </row>
    <row r="56" spans="2:9" ht="19.5" customHeight="1">
      <c r="B56" s="90" t="s">
        <v>1111</v>
      </c>
      <c r="C56" s="91" t="s">
        <v>319</v>
      </c>
      <c r="D56" s="194" t="s">
        <v>317</v>
      </c>
      <c r="E56" s="191">
        <v>1.4911000000000001</v>
      </c>
      <c r="F56" s="192">
        <v>185150283.69999999</v>
      </c>
      <c r="G56" s="41"/>
      <c r="H56" s="41"/>
    </row>
    <row r="57" spans="2:9" ht="19.5" customHeight="1">
      <c r="B57" s="90" t="s">
        <v>1110</v>
      </c>
      <c r="C57" s="91" t="s">
        <v>307</v>
      </c>
      <c r="D57" s="194" t="s">
        <v>317</v>
      </c>
      <c r="E57" s="191">
        <v>0.1643</v>
      </c>
      <c r="F57" s="192">
        <v>20401141.68</v>
      </c>
      <c r="G57" s="41"/>
      <c r="H57" s="41"/>
    </row>
    <row r="58" spans="2:9" ht="19.5" customHeight="1">
      <c r="B58" s="90" t="s">
        <v>1110</v>
      </c>
      <c r="C58" s="91" t="s">
        <v>302</v>
      </c>
      <c r="D58" s="194" t="s">
        <v>317</v>
      </c>
      <c r="E58" s="191">
        <v>0.16209999999999999</v>
      </c>
      <c r="F58" s="192">
        <v>20023939.859999999</v>
      </c>
      <c r="G58" s="41"/>
      <c r="H58" s="41"/>
    </row>
    <row r="59" spans="2:9" ht="19.5" customHeight="1">
      <c r="B59" s="90" t="s">
        <v>1110</v>
      </c>
      <c r="C59" s="91" t="s">
        <v>301</v>
      </c>
      <c r="D59" s="194" t="s">
        <v>317</v>
      </c>
      <c r="E59" s="191">
        <v>0.16750000000000001</v>
      </c>
      <c r="F59" s="192">
        <v>20672860.890000001</v>
      </c>
      <c r="G59" s="41"/>
      <c r="H59" s="41"/>
    </row>
    <row r="60" spans="2:9" ht="18" customHeight="1">
      <c r="B60" s="90" t="s">
        <v>1110</v>
      </c>
      <c r="C60" s="91" t="s">
        <v>296</v>
      </c>
      <c r="D60" s="194" t="s">
        <v>317</v>
      </c>
      <c r="E60" s="191">
        <v>0.1653</v>
      </c>
      <c r="F60" s="192">
        <v>20302322.039999999</v>
      </c>
      <c r="G60" s="41"/>
      <c r="H60" s="41"/>
      <c r="I60" s="76"/>
    </row>
    <row r="61" spans="2:9" ht="18" customHeight="1">
      <c r="B61" s="53" t="s">
        <v>219</v>
      </c>
      <c r="C61" s="54"/>
      <c r="D61" s="54"/>
      <c r="E61" s="55">
        <f>SUM(E62:E66)</f>
        <v>2.058589</v>
      </c>
      <c r="F61" s="56">
        <f>SUM(F62:F66)</f>
        <v>252680365.07500002</v>
      </c>
      <c r="G61" s="57">
        <v>4.2999999999999997E-2</v>
      </c>
      <c r="H61" s="58">
        <v>0.75</v>
      </c>
      <c r="I61" s="75"/>
    </row>
    <row r="62" spans="2:9" ht="18" customHeight="1">
      <c r="B62" s="90" t="s">
        <v>1111</v>
      </c>
      <c r="C62" s="91" t="s">
        <v>320</v>
      </c>
      <c r="D62" s="194" t="s">
        <v>297</v>
      </c>
      <c r="E62" s="191">
        <v>1.4348890000000001</v>
      </c>
      <c r="F62" s="192">
        <v>176234597.31</v>
      </c>
      <c r="G62" s="41"/>
      <c r="H62" s="41"/>
      <c r="I62" s="75"/>
    </row>
    <row r="63" spans="2:9" s="42" customFormat="1" ht="18" customHeight="1">
      <c r="B63" s="90" t="s">
        <v>1110</v>
      </c>
      <c r="C63" s="91" t="s">
        <v>290</v>
      </c>
      <c r="D63" s="194" t="s">
        <v>297</v>
      </c>
      <c r="E63" s="191">
        <v>0.16020000000000001</v>
      </c>
      <c r="F63" s="192">
        <v>19675934.609999999</v>
      </c>
      <c r="G63" s="41"/>
      <c r="H63" s="41"/>
    </row>
    <row r="64" spans="2:9" s="42" customFormat="1" ht="18" customHeight="1">
      <c r="B64" s="90" t="s">
        <v>1110</v>
      </c>
      <c r="C64" s="91" t="s">
        <v>288</v>
      </c>
      <c r="D64" s="194" t="s">
        <v>297</v>
      </c>
      <c r="E64" s="191">
        <v>0.15809999999999999</v>
      </c>
      <c r="F64" s="192">
        <v>19375362.899999999</v>
      </c>
      <c r="G64" s="41"/>
      <c r="H64" s="41"/>
    </row>
    <row r="65" spans="2:9" s="43" customFormat="1" ht="18" customHeight="1">
      <c r="B65" s="90" t="s">
        <v>1110</v>
      </c>
      <c r="C65" s="91" t="s">
        <v>258</v>
      </c>
      <c r="D65" s="194" t="s">
        <v>297</v>
      </c>
      <c r="E65" s="191">
        <v>0.15440000000000001</v>
      </c>
      <c r="F65" s="192">
        <v>18919761.440000001</v>
      </c>
      <c r="G65" s="41" t="s">
        <v>112</v>
      </c>
      <c r="H65" s="41" t="s">
        <v>112</v>
      </c>
      <c r="I65" s="77"/>
    </row>
    <row r="66" spans="2:9" s="40" customFormat="1" ht="15.75" customHeight="1">
      <c r="B66" s="90" t="s">
        <v>1110</v>
      </c>
      <c r="C66" s="91" t="s">
        <v>221</v>
      </c>
      <c r="D66" s="194" t="s">
        <v>297</v>
      </c>
      <c r="E66" s="191">
        <v>0.151</v>
      </c>
      <c r="F66" s="192">
        <f>E66*122349065</f>
        <v>18474708.814999998</v>
      </c>
      <c r="G66" s="41"/>
      <c r="H66" s="41"/>
    </row>
    <row r="67" spans="2:9" ht="15.95" customHeight="1">
      <c r="B67" s="53" t="s">
        <v>88</v>
      </c>
      <c r="C67" s="54"/>
      <c r="D67" s="54"/>
      <c r="E67" s="55">
        <f>E68+E69</f>
        <v>1.8881999999999999</v>
      </c>
      <c r="F67" s="56">
        <f>SUM(F68:F69)</f>
        <v>231019504.53299999</v>
      </c>
      <c r="G67" s="57">
        <v>3.3000000000000002E-2</v>
      </c>
      <c r="H67" s="58">
        <v>0.75</v>
      </c>
    </row>
    <row r="68" spans="2:9" ht="15.95" customHeight="1">
      <c r="B68" s="90" t="s">
        <v>1111</v>
      </c>
      <c r="C68" s="91" t="s">
        <v>321</v>
      </c>
      <c r="D68" s="194" t="s">
        <v>222</v>
      </c>
      <c r="E68" s="191">
        <v>1.3142</v>
      </c>
      <c r="F68" s="192">
        <f>E68*122349065</f>
        <v>160791141.22299999</v>
      </c>
      <c r="G68" s="41"/>
      <c r="H68" s="41"/>
    </row>
    <row r="69" spans="2:9" s="40" customFormat="1" ht="15.75" customHeight="1">
      <c r="B69" s="90" t="s">
        <v>1110</v>
      </c>
      <c r="C69" s="91" t="s">
        <v>172</v>
      </c>
      <c r="D69" s="194" t="s">
        <v>222</v>
      </c>
      <c r="E69" s="191">
        <v>0.57399999999999995</v>
      </c>
      <c r="F69" s="192">
        <v>70228363.310000002</v>
      </c>
      <c r="G69" s="41"/>
      <c r="H69" s="41"/>
    </row>
    <row r="70" spans="2:9" ht="15.95" customHeight="1">
      <c r="B70" s="53" t="s">
        <v>89</v>
      </c>
      <c r="C70" s="87"/>
      <c r="D70" s="54"/>
      <c r="E70" s="55">
        <f>E71+E72</f>
        <v>1.1668000000000001</v>
      </c>
      <c r="F70" s="56">
        <f>SUM(F71:F72)</f>
        <v>142191419.30000001</v>
      </c>
      <c r="G70" s="57">
        <v>0.03</v>
      </c>
      <c r="H70" s="58">
        <v>0.75</v>
      </c>
    </row>
    <row r="71" spans="2:9" ht="15.95" customHeight="1">
      <c r="B71" s="90" t="s">
        <v>1111</v>
      </c>
      <c r="C71" s="91" t="s">
        <v>171</v>
      </c>
      <c r="D71" s="194" t="s">
        <v>184</v>
      </c>
      <c r="E71" s="191">
        <v>0.80010000000000003</v>
      </c>
      <c r="F71" s="192">
        <v>97504783.409999996</v>
      </c>
      <c r="G71" s="41"/>
      <c r="H71" s="41"/>
    </row>
    <row r="72" spans="2:9" ht="15.95" customHeight="1">
      <c r="B72" s="90" t="s">
        <v>1110</v>
      </c>
      <c r="C72" s="91" t="s">
        <v>173</v>
      </c>
      <c r="D72" s="194" t="s">
        <v>184</v>
      </c>
      <c r="E72" s="191">
        <v>0.36670000000000003</v>
      </c>
      <c r="F72" s="192">
        <v>44686635.890000001</v>
      </c>
      <c r="G72" s="41"/>
      <c r="H72" s="41"/>
    </row>
    <row r="73" spans="2:9" ht="15.95" customHeight="1">
      <c r="B73" s="59" t="s">
        <v>90</v>
      </c>
      <c r="C73" s="88"/>
      <c r="D73" s="88"/>
      <c r="E73" s="60">
        <f>SUM(E74:E75)</f>
        <v>0.3705</v>
      </c>
      <c r="F73" s="61">
        <f>SUM(F74:F75)</f>
        <v>45051434.700000003</v>
      </c>
      <c r="G73" s="62">
        <v>2.4E-2</v>
      </c>
      <c r="H73" s="63">
        <v>0.25</v>
      </c>
    </row>
    <row r="74" spans="2:9" ht="15.95" customHeight="1">
      <c r="B74" s="90" t="s">
        <v>1111</v>
      </c>
      <c r="C74" s="91" t="s">
        <v>174</v>
      </c>
      <c r="D74" s="194" t="s">
        <v>185</v>
      </c>
      <c r="E74" s="191">
        <v>7.0900000000000005E-2</v>
      </c>
      <c r="F74" s="192">
        <v>8621178.7300000004</v>
      </c>
      <c r="G74" s="41"/>
      <c r="H74" s="41"/>
    </row>
    <row r="75" spans="2:9" ht="15.95" customHeight="1">
      <c r="B75" s="90" t="s">
        <v>1110</v>
      </c>
      <c r="C75" s="91" t="s">
        <v>175</v>
      </c>
      <c r="D75" s="194" t="s">
        <v>185</v>
      </c>
      <c r="E75" s="191">
        <v>0.29959999999999998</v>
      </c>
      <c r="F75" s="192">
        <v>36430255.969999999</v>
      </c>
      <c r="G75" s="41"/>
      <c r="H75" s="41"/>
    </row>
    <row r="76" spans="2:9" ht="15.95" customHeight="1">
      <c r="B76" s="59" t="s">
        <v>91</v>
      </c>
      <c r="C76" s="88"/>
      <c r="D76" s="88"/>
      <c r="E76" s="60">
        <f>SUM(E77:E78)</f>
        <v>0.96150000000000002</v>
      </c>
      <c r="F76" s="61">
        <f>SUM(F77:F78)</f>
        <v>116900915.12</v>
      </c>
      <c r="G76" s="62">
        <v>2.6708333333333334E-2</v>
      </c>
      <c r="H76" s="63">
        <v>0.75</v>
      </c>
    </row>
    <row r="77" spans="2:9" ht="15.95" customHeight="1">
      <c r="B77" s="90" t="s">
        <v>1111</v>
      </c>
      <c r="C77" s="91" t="s">
        <v>176</v>
      </c>
      <c r="D77" s="194" t="s">
        <v>186</v>
      </c>
      <c r="E77" s="191">
        <v>0.67630000000000001</v>
      </c>
      <c r="F77" s="192">
        <v>82225781.480000004</v>
      </c>
      <c r="G77" s="41"/>
      <c r="H77" s="41"/>
    </row>
    <row r="78" spans="2:9" ht="15.95" customHeight="1">
      <c r="B78" s="90" t="s">
        <v>1110</v>
      </c>
      <c r="C78" s="91" t="s">
        <v>177</v>
      </c>
      <c r="D78" s="194" t="s">
        <v>187</v>
      </c>
      <c r="E78" s="191">
        <v>0.28520000000000001</v>
      </c>
      <c r="F78" s="192">
        <v>34675133.640000001</v>
      </c>
      <c r="G78" s="41"/>
      <c r="H78" s="41"/>
    </row>
    <row r="79" spans="2:9" ht="15.95" customHeight="1">
      <c r="B79" s="59" t="s">
        <v>92</v>
      </c>
      <c r="C79" s="89"/>
      <c r="D79" s="89"/>
      <c r="E79" s="64">
        <f>SUM(E80:E82)</f>
        <v>1.3254569999999999</v>
      </c>
      <c r="F79" s="65">
        <f>SUM(F80:F82)</f>
        <v>74116353.530000001</v>
      </c>
      <c r="G79" s="62">
        <v>0.02</v>
      </c>
      <c r="H79" s="63">
        <v>0.75</v>
      </c>
    </row>
    <row r="80" spans="2:9" s="17" customFormat="1">
      <c r="B80" s="90" t="s">
        <v>1111</v>
      </c>
      <c r="C80" s="91" t="s">
        <v>178</v>
      </c>
      <c r="D80" s="194" t="s">
        <v>188</v>
      </c>
      <c r="E80" s="191">
        <v>0.274557</v>
      </c>
      <c r="F80" s="192">
        <v>33381167.91</v>
      </c>
      <c r="G80" s="41"/>
      <c r="H80" s="41"/>
    </row>
    <row r="81" spans="2:127" s="17" customFormat="1">
      <c r="B81" s="90" t="s">
        <v>1110</v>
      </c>
      <c r="C81" s="91" t="s">
        <v>179</v>
      </c>
      <c r="D81" s="194" t="s">
        <v>189</v>
      </c>
      <c r="E81" s="191">
        <v>0.15629999999999999</v>
      </c>
      <c r="F81" s="192">
        <v>19003237.68</v>
      </c>
      <c r="G81" s="41"/>
      <c r="H81" s="41"/>
    </row>
    <row r="82" spans="2:127">
      <c r="B82" s="90" t="s">
        <v>1110</v>
      </c>
      <c r="C82" s="91" t="s">
        <v>180</v>
      </c>
      <c r="D82" s="194" t="s">
        <v>190</v>
      </c>
      <c r="E82" s="191">
        <v>0.89459999999999995</v>
      </c>
      <c r="F82" s="192">
        <v>21731947.940000001</v>
      </c>
      <c r="G82" s="41"/>
      <c r="H82" s="41"/>
    </row>
    <row r="83" spans="2:127">
      <c r="B83" s="59" t="s">
        <v>93</v>
      </c>
      <c r="C83" s="89"/>
      <c r="D83" s="89"/>
      <c r="E83" s="64">
        <f>SUM(E84:E86)</f>
        <v>1.5408303999999999</v>
      </c>
      <c r="F83" s="65">
        <f>SUM(F84:F86)</f>
        <v>65690241.991175994</v>
      </c>
      <c r="G83" s="62">
        <v>3.5999999999999997E-2</v>
      </c>
      <c r="H83" s="63">
        <v>0.82</v>
      </c>
    </row>
    <row r="84" spans="2:127">
      <c r="B84" s="90" t="s">
        <v>1111</v>
      </c>
      <c r="C84" s="91" t="s">
        <v>181</v>
      </c>
      <c r="D84" s="194" t="s">
        <v>191</v>
      </c>
      <c r="E84" s="191">
        <f>1.454152/5</f>
        <v>0.29083039999999999</v>
      </c>
      <c r="F84" s="192">
        <v>35324788.241175994</v>
      </c>
      <c r="G84" s="41"/>
      <c r="H84" s="41"/>
    </row>
    <row r="85" spans="2:127">
      <c r="B85" s="90" t="s">
        <v>1110</v>
      </c>
      <c r="C85" s="91" t="s">
        <v>182</v>
      </c>
      <c r="D85" s="194" t="s">
        <v>192</v>
      </c>
      <c r="E85" s="191">
        <v>0.33</v>
      </c>
      <c r="F85" s="192">
        <v>8016479.79</v>
      </c>
      <c r="G85" s="41"/>
      <c r="H85" s="41"/>
    </row>
    <row r="86" spans="2:127">
      <c r="B86" s="90" t="s">
        <v>1110</v>
      </c>
      <c r="C86" s="91" t="s">
        <v>183</v>
      </c>
      <c r="D86" s="194" t="s">
        <v>193</v>
      </c>
      <c r="E86" s="191">
        <v>0.92</v>
      </c>
      <c r="F86" s="192">
        <v>22348973.960000001</v>
      </c>
      <c r="G86" s="41"/>
      <c r="H86" s="41"/>
    </row>
    <row r="87" spans="2:127">
      <c r="B87" s="195" t="s">
        <v>1112</v>
      </c>
      <c r="C87" s="4"/>
      <c r="D87" s="195"/>
      <c r="E87" s="17"/>
      <c r="F87" s="17"/>
      <c r="G87" s="17"/>
      <c r="H87" s="17"/>
      <c r="DW87" s="9"/>
    </row>
    <row r="88" spans="2:127">
      <c r="B88" s="221" t="s">
        <v>1113</v>
      </c>
    </row>
    <row r="89" spans="2:127">
      <c r="B89" s="216" t="s">
        <v>1114</v>
      </c>
    </row>
  </sheetData>
  <mergeCells count="3">
    <mergeCell ref="A1:B1"/>
    <mergeCell ref="B3:C3"/>
    <mergeCell ref="B4:C4"/>
  </mergeCells>
  <phoneticPr fontId="28" type="noConversion"/>
  <hyperlinks>
    <hyperlink ref="C1:D1" r:id="rId1" location="BalSheet!A1" display="BALANCE SHEET" xr:uid="{00000000-0004-0000-0700-000000000000}"/>
    <hyperlink ref="A1:B1" location="'Capa | Cover'!A1" display="CAPA/COVER" xr:uid="{00000000-0004-0000-0700-000001000000}"/>
  </hyperlinks>
  <printOptions horizontalCentered="1"/>
  <pageMargins left="0.25" right="0.25" top="0.75" bottom="0.75" header="0.3" footer="0.3"/>
  <pageSetup paperSize="9" scale="53" orientation="portrait" r:id="rId2"/>
  <headerFooter alignWithMargins="0">
    <oddHeader>&amp;L&amp;G</oddHeader>
    <oddFooter>&amp;L&amp;"Calibri"&amp;11&amp;K000000&amp;"Calibri"&amp;11&amp;K000000&amp;"Calibri"&amp;11 Investor Relations Lojas Renner  S.A._x000D_&amp;1#&amp;"Calibri"&amp;10&amp;K317100Classificação: Público</oddFooter>
  </headerFooter>
  <rowBreaks count="1" manualBreakCount="1">
    <brk id="66" min="1" max="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2.75"/>
  <sheetData/>
  <pageMargins left="0.511811024" right="0.511811024" top="0.78740157499999996" bottom="0.78740157499999996" header="0.31496062000000002" footer="0.31496062000000002"/>
  <pageSetup paperSize="9" orientation="portrait" r:id="rId1"/>
  <headerFooter>
    <oddFooter>&amp;L&amp;1#&amp;"Calibri"&amp;10&amp;K317100Classificação: Público</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ilha7">
    <tabColor theme="8" tint="0.59999389629810485"/>
  </sheetPr>
  <dimension ref="B2:C29"/>
  <sheetViews>
    <sheetView showGridLines="0" workbookViewId="0">
      <selection activeCell="B4" sqref="B4"/>
    </sheetView>
  </sheetViews>
  <sheetFormatPr defaultRowHeight="12.75"/>
  <sheetData>
    <row r="2" spans="2:3" ht="14.25">
      <c r="B2" s="256" t="s">
        <v>459</v>
      </c>
      <c r="C2" s="256" t="s">
        <v>458</v>
      </c>
    </row>
    <row r="3" spans="2:3" ht="14.25">
      <c r="B3" s="254" t="s">
        <v>757</v>
      </c>
      <c r="C3" s="254" t="s">
        <v>809</v>
      </c>
    </row>
    <row r="4" spans="2:3" ht="14.25">
      <c r="B4" s="254" t="s">
        <v>467</v>
      </c>
      <c r="C4" s="254" t="s">
        <v>809</v>
      </c>
    </row>
    <row r="5" spans="2:3" ht="14.25">
      <c r="B5" s="254" t="s">
        <v>761</v>
      </c>
      <c r="C5" s="254" t="s">
        <v>809</v>
      </c>
    </row>
    <row r="6" spans="2:3" ht="14.25">
      <c r="B6" s="254" t="s">
        <v>463</v>
      </c>
      <c r="C6" s="254" t="s">
        <v>809</v>
      </c>
    </row>
    <row r="7" spans="2:3" ht="14.25">
      <c r="B7" s="254" t="s">
        <v>760</v>
      </c>
      <c r="C7" s="254" t="s">
        <v>808</v>
      </c>
    </row>
    <row r="8" spans="2:3" ht="14.25">
      <c r="B8" s="254" t="s">
        <v>464</v>
      </c>
      <c r="C8" s="254" t="s">
        <v>808</v>
      </c>
    </row>
    <row r="9" spans="2:3" ht="14.25">
      <c r="B9" s="254" t="s">
        <v>749</v>
      </c>
      <c r="C9" s="254" t="s">
        <v>808</v>
      </c>
    </row>
    <row r="10" spans="2:3" ht="14.25">
      <c r="B10" s="254" t="s">
        <v>755</v>
      </c>
      <c r="C10" s="254" t="s">
        <v>808</v>
      </c>
    </row>
    <row r="11" spans="2:3" ht="14.25">
      <c r="B11" s="254" t="s">
        <v>759</v>
      </c>
      <c r="C11" s="254" t="s">
        <v>808</v>
      </c>
    </row>
    <row r="12" spans="2:3" ht="14.25">
      <c r="B12" s="254" t="s">
        <v>465</v>
      </c>
      <c r="C12" s="254" t="s">
        <v>808</v>
      </c>
    </row>
    <row r="13" spans="2:3" ht="14.25">
      <c r="B13" s="254" t="s">
        <v>752</v>
      </c>
      <c r="C13" s="254" t="s">
        <v>808</v>
      </c>
    </row>
    <row r="14" spans="2:3" ht="14.25">
      <c r="B14" s="254" t="s">
        <v>754</v>
      </c>
      <c r="C14" s="254" t="s">
        <v>808</v>
      </c>
    </row>
    <row r="15" spans="2:3" ht="14.25">
      <c r="B15" s="254" t="s">
        <v>764</v>
      </c>
      <c r="C15" s="254" t="s">
        <v>808</v>
      </c>
    </row>
    <row r="16" spans="2:3" ht="14.25">
      <c r="B16" s="254" t="s">
        <v>766</v>
      </c>
      <c r="C16" s="254" t="s">
        <v>807</v>
      </c>
    </row>
    <row r="17" spans="2:3" ht="14.25">
      <c r="B17" s="254" t="s">
        <v>758</v>
      </c>
      <c r="C17" s="254" t="s">
        <v>807</v>
      </c>
    </row>
    <row r="18" spans="2:3" ht="14.25">
      <c r="B18" s="254" t="s">
        <v>763</v>
      </c>
      <c r="C18" s="254" t="s">
        <v>807</v>
      </c>
    </row>
    <row r="19" spans="2:3" ht="14.25">
      <c r="B19" s="254" t="s">
        <v>751</v>
      </c>
      <c r="C19" s="254" t="s">
        <v>807</v>
      </c>
    </row>
    <row r="20" spans="2:3" ht="14.25">
      <c r="B20" s="254" t="s">
        <v>765</v>
      </c>
      <c r="C20" s="254" t="s">
        <v>807</v>
      </c>
    </row>
    <row r="21" spans="2:3" ht="14.25">
      <c r="B21" s="254" t="s">
        <v>756</v>
      </c>
      <c r="C21" s="254" t="s">
        <v>807</v>
      </c>
    </row>
    <row r="22" spans="2:3" ht="14.25">
      <c r="B22" s="254" t="s">
        <v>767</v>
      </c>
      <c r="C22" s="254" t="s">
        <v>807</v>
      </c>
    </row>
    <row r="23" spans="2:3" ht="14.25">
      <c r="B23" s="254" t="s">
        <v>753</v>
      </c>
      <c r="C23" s="254" t="s">
        <v>806</v>
      </c>
    </row>
    <row r="24" spans="2:3" ht="14.25">
      <c r="B24" s="254" t="s">
        <v>750</v>
      </c>
      <c r="C24" s="254" t="s">
        <v>806</v>
      </c>
    </row>
    <row r="25" spans="2:3" ht="14.25">
      <c r="B25" s="254" t="s">
        <v>466</v>
      </c>
      <c r="C25" s="254" t="s">
        <v>806</v>
      </c>
    </row>
    <row r="26" spans="2:3" ht="14.25">
      <c r="B26" s="255" t="s">
        <v>462</v>
      </c>
      <c r="C26" s="254" t="s">
        <v>806</v>
      </c>
    </row>
    <row r="27" spans="2:3" ht="14.25">
      <c r="B27" s="254" t="s">
        <v>762</v>
      </c>
      <c r="C27" s="254" t="s">
        <v>805</v>
      </c>
    </row>
    <row r="28" spans="2:3" ht="14.25">
      <c r="B28" s="255" t="s">
        <v>461</v>
      </c>
      <c r="C28" s="254" t="s">
        <v>805</v>
      </c>
    </row>
    <row r="29" spans="2:3" ht="14.25">
      <c r="B29" s="255" t="s">
        <v>748</v>
      </c>
      <c r="C29" s="254" t="s">
        <v>805</v>
      </c>
    </row>
  </sheetData>
  <pageMargins left="0.511811024" right="0.511811024" top="0.78740157499999996" bottom="0.78740157499999996" header="0.31496062000000002" footer="0.31496062000000002"/>
  <pageSetup paperSize="9" orientation="portrait" r:id="rId1"/>
  <headerFooter>
    <oddFooter>&amp;L&amp;1#&amp;"Calibri"&amp;10&amp;K317100Classificação: Público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4AB4D56FCD97704F81C30DB388350968" ma:contentTypeVersion="12" ma:contentTypeDescription="Crie um novo documento." ma:contentTypeScope="" ma:versionID="ddfa0da20b964f31488e8e9ef896204b">
  <xsd:schema xmlns:xsd="http://www.w3.org/2001/XMLSchema" xmlns:xs="http://www.w3.org/2001/XMLSchema" xmlns:p="http://schemas.microsoft.com/office/2006/metadata/properties" xmlns:ns1="http://schemas.microsoft.com/sharepoint/v3" xmlns:ns3="5dc80084-c148-4120-a5a1-6fb6d6d27681" xmlns:ns4="c365a140-2d89-43aa-85cc-7557bf3e190b" targetNamespace="http://schemas.microsoft.com/office/2006/metadata/properties" ma:root="true" ma:fieldsID="aeede44047057efa6bc178cf6c68be72" ns1:_="" ns3:_="" ns4:_="">
    <xsd:import namespace="http://schemas.microsoft.com/sharepoint/v3"/>
    <xsd:import namespace="5dc80084-c148-4120-a5a1-6fb6d6d27681"/>
    <xsd:import namespace="c365a140-2d89-43aa-85cc-7557bf3e190b"/>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GenerationTime" minOccurs="0"/>
                <xsd:element ref="ns3:MediaServiceEventHashCode" minOccurs="0"/>
                <xsd:element ref="ns1:_ip_UnifiedCompliancePolicyProperties" minOccurs="0"/>
                <xsd:element ref="ns1:_ip_UnifiedCompliancePolicyUIAction"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5" nillable="true" ma:displayName="Propriedades da Política de Conformidade Unificada" ma:hidden="true" ma:internalName="_ip_UnifiedCompliancePolicyProperties">
      <xsd:simpleType>
        <xsd:restriction base="dms:Note"/>
      </xsd:simpleType>
    </xsd:element>
    <xsd:element name="_ip_UnifiedCompliancePolicyUIAction" ma:index="16" nillable="true" ma:displayName="Ação de Interface do Usuário da Política de Conformidade Unificada"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c80084-c148-4120-a5a1-6fb6d6d2768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65a140-2d89-43aa-85cc-7557bf3e190b" elementFormDefault="qualified">
    <xsd:import namespace="http://schemas.microsoft.com/office/2006/documentManagement/types"/>
    <xsd:import namespace="http://schemas.microsoft.com/office/infopath/2007/PartnerControls"/>
    <xsd:element name="SharedWithUsers" ma:index="17"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hes de Compartilhado Com" ma:internalName="SharedWithDetails" ma:readOnly="true">
      <xsd:simpleType>
        <xsd:restriction base="dms:Note">
          <xsd:maxLength value="255"/>
        </xsd:restriction>
      </xsd:simpleType>
    </xsd:element>
    <xsd:element name="SharingHintHash" ma:index="19" nillable="true" ma:displayName="Hash de Dica de Compartilhamento"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59AAAA7-9C36-4374-A7E4-0FB672D6A5E6}">
  <ds:schemaRefs>
    <ds:schemaRef ds:uri="http://schemas.microsoft.com/office/2006/documentManagement/types"/>
    <ds:schemaRef ds:uri="http://schemas.openxmlformats.org/package/2006/metadata/core-properties"/>
    <ds:schemaRef ds:uri="c365a140-2d89-43aa-85cc-7557bf3e190b"/>
    <ds:schemaRef ds:uri="http://purl.org/dc/elements/1.1/"/>
    <ds:schemaRef ds:uri="http://purl.org/dc/dcmitype/"/>
    <ds:schemaRef ds:uri="http://schemas.microsoft.com/office/2006/metadata/properties"/>
    <ds:schemaRef ds:uri="http://www.w3.org/XML/1998/namespace"/>
    <ds:schemaRef ds:uri="http://schemas.microsoft.com/sharepoint/v3"/>
    <ds:schemaRef ds:uri="http://schemas.microsoft.com/office/infopath/2007/PartnerControls"/>
    <ds:schemaRef ds:uri="5dc80084-c148-4120-a5a1-6fb6d6d27681"/>
    <ds:schemaRef ds:uri="http://purl.org/dc/terms/"/>
  </ds:schemaRefs>
</ds:datastoreItem>
</file>

<file path=customXml/itemProps2.xml><?xml version="1.0" encoding="utf-8"?>
<ds:datastoreItem xmlns:ds="http://schemas.openxmlformats.org/officeDocument/2006/customXml" ds:itemID="{CC666E07-D370-4B23-9B98-E6DB91ED35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dc80084-c148-4120-a5a1-6fb6d6d27681"/>
    <ds:schemaRef ds:uri="c365a140-2d89-43aa-85cc-7557bf3e19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4044D-D99B-43EA-B7AA-8D393778446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10</vt:i4>
      </vt:variant>
      <vt:variant>
        <vt:lpstr>Named Ranges</vt:lpstr>
      </vt:variant>
      <vt:variant>
        <vt:i4>13</vt:i4>
      </vt:variant>
    </vt:vector>
  </HeadingPairs>
  <TitlesOfParts>
    <vt:vector size="23" baseType="lpstr">
      <vt:lpstr>Capa | Cover</vt:lpstr>
      <vt:lpstr>Balanço | BalSheet</vt:lpstr>
      <vt:lpstr>DRE | IncS</vt:lpstr>
      <vt:lpstr>Prod. Fin. | Financial Products</vt:lpstr>
      <vt:lpstr>Recebíveis | Receivables</vt:lpstr>
      <vt:lpstr>Dados Operac. | Operating Data</vt:lpstr>
      <vt:lpstr>Lista de Lojas | Stores List </vt:lpstr>
      <vt:lpstr>Dividendos | Dividends</vt:lpstr>
      <vt:lpstr>IFRS 16</vt:lpstr>
      <vt:lpstr>Plan1</vt:lpstr>
      <vt:lpstr>operat</vt:lpstr>
      <vt:lpstr>'Balanço | BalSheet'!Print_Area</vt:lpstr>
      <vt:lpstr>'Capa | Cover'!Print_Area</vt:lpstr>
      <vt:lpstr>'Dados Operac. | Operating Data'!Print_Area</vt:lpstr>
      <vt:lpstr>'Dividendos | Dividends'!Print_Area</vt:lpstr>
      <vt:lpstr>'DRE | IncS'!Print_Area</vt:lpstr>
      <vt:lpstr>'Lista de Lojas | Stores List '!Print_Area</vt:lpstr>
      <vt:lpstr>'Prod. Fin. | Financial Products'!Print_Area</vt:lpstr>
      <vt:lpstr>'Recebíveis | Receivables'!Print_Area</vt:lpstr>
      <vt:lpstr>'Balanço | BalSheet'!Print_Titles</vt:lpstr>
      <vt:lpstr>'Dados Operac. | Operating Data'!Print_Titles</vt:lpstr>
      <vt:lpstr>'DRE | IncS'!Print_Titles</vt:lpstr>
      <vt:lpstr>'Recebíveis | Receivables'!Print_Titles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renner</dc:creator>
  <cp:lastModifiedBy>Pedro Cavalcante</cp:lastModifiedBy>
  <cp:lastPrinted>2020-08-26T17:01:34Z</cp:lastPrinted>
  <dcterms:created xsi:type="dcterms:W3CDTF">2011-01-20T11:09:57Z</dcterms:created>
  <dcterms:modified xsi:type="dcterms:W3CDTF">2021-03-17T23:47:55Z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MSIP_Label_c110102c-4121-4d6f-8363-4ce70c2cae9a_Enabled">
    <vt:lpwstr>True</vt:lpwstr>
  </property>
  <property fmtid="{D5CDD505-2E9C-101B-9397-08002B2CF9AE}" pid="4" name="MSIP_Label_c110102c-4121-4d6f-8363-4ce70c2cae9a_SiteId">
    <vt:lpwstr>2ed3917a-33f9-4b36-80ed-3697e30505b0</vt:lpwstr>
  </property>
  <property fmtid="{D5CDD505-2E9C-101B-9397-08002B2CF9AE}" pid="5" name="MSIP_Label_c110102c-4121-4d6f-8363-4ce70c2cae9a_Owner">
    <vt:lpwstr>melina.rodrigues@lojasrenner.com.br</vt:lpwstr>
  </property>
  <property fmtid="{D5CDD505-2E9C-101B-9397-08002B2CF9AE}" pid="6" name="MSIP_Label_c110102c-4121-4d6f-8363-4ce70c2cae9a_SetDate">
    <vt:lpwstr>2018-10-25T22:08:27.8947305Z</vt:lpwstr>
  </property>
  <property fmtid="{D5CDD505-2E9C-101B-9397-08002B2CF9AE}" pid="7" name="MSIP_Label_c110102c-4121-4d6f-8363-4ce70c2cae9a_Name">
    <vt:lpwstr>Público</vt:lpwstr>
  </property>
  <property fmtid="{D5CDD505-2E9C-101B-9397-08002B2CF9AE}" pid="8" name="MSIP_Label_c110102c-4121-4d6f-8363-4ce70c2cae9a_Application">
    <vt:lpwstr>Microsoft Azure Information Protection</vt:lpwstr>
  </property>
  <property fmtid="{D5CDD505-2E9C-101B-9397-08002B2CF9AE}" pid="9" name="MSIP_Label_c110102c-4121-4d6f-8363-4ce70c2cae9a_Extended_MSFT_Method">
    <vt:lpwstr>Manual</vt:lpwstr>
  </property>
  <property fmtid="{D5CDD505-2E9C-101B-9397-08002B2CF9AE}" pid="10" name="Sensitivity">
    <vt:lpwstr>Público</vt:lpwstr>
  </property>
  <property fmtid="{D5CDD505-2E9C-101B-9397-08002B2CF9AE}" pid="11" name="ContentTypeId">
    <vt:lpwstr>0x0101004AB4D56FCD97704F81C30DB388350968</vt:lpwstr>
  </property>
  <property fmtid="{D5CDD505-2E9C-101B-9397-08002B2CF9AE}" pid="12" name="SV_HIDDEN_GRID_QUERY_LIST_4F35BF76-6C0D-4D9B-82B2-816C12CF3733">
    <vt:lpwstr>empty_477D106A-C0D6-4607-AEBD-E2C9D60EA279</vt:lpwstr>
  </property>
</Properties>
</file>