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ge37kog\bwSyncShare\Follow ETSAP\Veröffentlichungen\Materials and energy demands 2018\Publication\ANNEX\02_Energy_calculation\"/>
    </mc:Choice>
  </mc:AlternateContent>
  <xr:revisionPtr revIDLastSave="0" documentId="13_ncr:1_{95613FD0-F6F0-4BA7-B47B-CD7171ADE6E3}" xr6:coauthVersionLast="47" xr6:coauthVersionMax="47" xr10:uidLastSave="{00000000-0000-0000-0000-000000000000}"/>
  <bookViews>
    <workbookView xWindow="-120" yWindow="-120" windowWidth="29040" windowHeight="17520" tabRatio="550" xr2:uid="{00000000-000D-0000-FFFF-FFFF00000000}"/>
  </bookViews>
  <sheets>
    <sheet name="Info" sheetId="16" r:id="rId1"/>
    <sheet name="Steel" sheetId="9" r:id="rId2"/>
    <sheet name="Aluminium" sheetId="13" r:id="rId3"/>
    <sheet name="Copper" sheetId="15" r:id="rId4"/>
    <sheet name="Cement" sheetId="4" r:id="rId5"/>
    <sheet name="Glass" sheetId="12" r:id="rId6"/>
    <sheet name="Lime" sheetId="11" r:id="rId7"/>
    <sheet name="Paper" sheetId="3" r:id="rId8"/>
    <sheet name="Chlorine" sheetId="5" r:id="rId9"/>
    <sheet name="Methanol" sheetId="6" r:id="rId10"/>
    <sheet name="Ammonia" sheetId="10" r:id="rId11"/>
    <sheet name="Olefins" sheetId="7" r:id="rId12"/>
    <sheet name="Aromatics" sheetId="8" r:id="rId13"/>
  </sheets>
  <definedNames>
    <definedName name="_CTVL00114913102b4f546a79e19db691d9bb9a0" localSheetId="1">Steel!$B$37</definedName>
    <definedName name="_CTVL00145bc5694f2564992876849797e47ce29" localSheetId="2">Aluminium!$B$58</definedName>
    <definedName name="_CTVL00166cb1aa183ae4d378211629bc316783e" localSheetId="2">Aluminium!$B$59</definedName>
    <definedName name="_CTVL001a9105efbf1534ccf84615a26ba897e42" localSheetId="1">Steel!$B$35</definedName>
    <definedName name="_CTVL001efd329c251e74350bb57ff09bd640555" localSheetId="1">Steel!$B$36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F15" i="3" l="1"/>
  <c r="F8" i="13"/>
  <c r="F5" i="13"/>
  <c r="E15" i="9"/>
  <c r="E5" i="9"/>
  <c r="E20" i="12"/>
  <c r="E19" i="12"/>
  <c r="E18" i="12"/>
  <c r="E7" i="12"/>
  <c r="E5" i="12" s="1"/>
  <c r="E6" i="12"/>
  <c r="F9" i="6" l="1"/>
  <c r="F19" i="6"/>
  <c r="F4" i="6"/>
  <c r="F86" i="3" l="1"/>
  <c r="F73" i="3"/>
  <c r="F60" i="3"/>
  <c r="F47" i="3"/>
  <c r="F19" i="3"/>
  <c r="F29" i="3" s="1"/>
  <c r="F4" i="3"/>
  <c r="H11" i="5"/>
  <c r="H4" i="5"/>
  <c r="H7" i="5"/>
  <c r="F4" i="5"/>
  <c r="F22" i="4"/>
  <c r="F18" i="4"/>
  <c r="H32" i="4"/>
  <c r="F5" i="4"/>
  <c r="F14" i="4" s="1"/>
  <c r="F4" i="4" s="1"/>
  <c r="H4" i="4"/>
  <c r="F15" i="7" l="1"/>
  <c r="G28" i="10"/>
  <c r="G18" i="10"/>
  <c r="G27" i="10" s="1"/>
  <c r="G15" i="10"/>
  <c r="G5" i="10"/>
  <c r="G14" i="10" s="1"/>
  <c r="F15" i="8"/>
  <c r="H4" i="7"/>
  <c r="H14" i="7" s="1"/>
  <c r="F4" i="8"/>
  <c r="F14" i="8" s="1"/>
  <c r="H15" i="7"/>
  <c r="H14" i="6"/>
  <c r="H19" i="6" s="1"/>
  <c r="H20" i="6"/>
  <c r="H10" i="6"/>
  <c r="H4" i="6"/>
  <c r="H9" i="6" s="1"/>
  <c r="F7" i="5"/>
  <c r="F95" i="3"/>
  <c r="F82" i="3"/>
  <c r="F69" i="3"/>
  <c r="F56" i="3"/>
  <c r="H86" i="3"/>
  <c r="H95" i="3" s="1"/>
  <c r="H73" i="3"/>
  <c r="H82" i="3" s="1"/>
  <c r="H60" i="3"/>
  <c r="H69" i="3" s="1"/>
  <c r="H47" i="3"/>
  <c r="H56" i="3" s="1"/>
  <c r="H33" i="3"/>
  <c r="H19" i="3"/>
  <c r="H29" i="3" s="1"/>
  <c r="H4" i="3"/>
  <c r="H15" i="3" s="1"/>
  <c r="G5" i="11"/>
  <c r="G13" i="11" s="1"/>
  <c r="E26" i="12"/>
  <c r="G18" i="12"/>
  <c r="G26" i="12" s="1"/>
  <c r="G5" i="12"/>
  <c r="G13" i="12" s="1"/>
  <c r="H18" i="4"/>
  <c r="H22" i="4" s="1"/>
  <c r="H14" i="4"/>
  <c r="G32" i="9"/>
  <c r="E32" i="9"/>
  <c r="E22" i="9"/>
  <c r="E12" i="9"/>
  <c r="F4" i="15"/>
  <c r="F13" i="15" s="1"/>
  <c r="G25" i="9"/>
  <c r="G15" i="9"/>
  <c r="G22" i="9" s="1"/>
  <c r="G5" i="9"/>
  <c r="G12" i="9" s="1"/>
  <c r="H43" i="3" l="1"/>
  <c r="F33" i="3"/>
  <c r="F43" i="3" s="1"/>
  <c r="F12" i="7"/>
  <c r="F4" i="7" s="1"/>
  <c r="F14" i="7" s="1"/>
  <c r="F31" i="15"/>
  <c r="F19" i="15"/>
  <c r="F57" i="15"/>
  <c r="F35" i="15"/>
  <c r="F53" i="15"/>
  <c r="H53" i="15"/>
  <c r="H52" i="15"/>
  <c r="H57" i="15"/>
  <c r="H56" i="15"/>
  <c r="H35" i="15"/>
  <c r="H31" i="15"/>
  <c r="H34" i="15"/>
  <c r="H30" i="15"/>
  <c r="H18" i="15"/>
  <c r="H19" i="15"/>
  <c r="H5" i="15"/>
  <c r="H6" i="15"/>
  <c r="F61" i="15" l="1"/>
  <c r="F70" i="15" s="1"/>
  <c r="F68" i="15" s="1"/>
  <c r="H61" i="15"/>
  <c r="H70" i="15" s="1"/>
  <c r="H17" i="15"/>
  <c r="H26" i="15" s="1"/>
  <c r="H4" i="15"/>
  <c r="H13" i="15" s="1"/>
  <c r="F17" i="15"/>
  <c r="F26" i="15" s="1"/>
  <c r="F39" i="15"/>
  <c r="H39" i="15"/>
  <c r="H48" i="15" s="1"/>
  <c r="H38" i="15"/>
  <c r="H60" i="15"/>
  <c r="F59" i="15" l="1"/>
  <c r="H69" i="15"/>
  <c r="H68" i="15" s="1"/>
  <c r="H59" i="15"/>
  <c r="F48" i="15"/>
  <c r="F46" i="15" s="1"/>
  <c r="F37" i="15"/>
  <c r="H47" i="15"/>
  <c r="H46" i="15" s="1"/>
  <c r="H37" i="15"/>
  <c r="F41" i="13"/>
  <c r="F37" i="13"/>
  <c r="F15" i="13"/>
  <c r="F11" i="13"/>
  <c r="F10" i="13"/>
  <c r="F17" i="13"/>
  <c r="F9" i="13"/>
  <c r="F29" i="13"/>
  <c r="H37" i="13"/>
  <c r="H36" i="13"/>
  <c r="H35" i="13"/>
  <c r="H41" i="13"/>
  <c r="H40" i="13"/>
  <c r="F45" i="13" l="1"/>
  <c r="F43" i="13" s="1"/>
  <c r="F54" i="13"/>
  <c r="F52" i="13" s="1"/>
  <c r="F30" i="13"/>
  <c r="F28" i="13" s="1"/>
  <c r="H44" i="13"/>
  <c r="H53" i="13" s="1"/>
  <c r="H45" i="13"/>
  <c r="H43" i="13" l="1"/>
  <c r="H54" i="13"/>
  <c r="H52" i="13" s="1"/>
  <c r="H15" i="13"/>
  <c r="H26" i="13"/>
  <c r="H14" i="13"/>
  <c r="H8" i="13"/>
  <c r="H7" i="13"/>
  <c r="H10" i="13"/>
  <c r="H19" i="13" s="1"/>
  <c r="H5" i="13"/>
  <c r="H9" i="13" l="1"/>
  <c r="H20" i="13" s="1"/>
  <c r="H30" i="13" s="1"/>
  <c r="H18" i="13"/>
  <c r="H29" i="13" s="1"/>
  <c r="H28" i="13" l="1"/>
  <c r="H17" i="13"/>
  <c r="H6" i="8"/>
  <c r="H13" i="4"/>
  <c r="H5" i="8" l="1"/>
  <c r="H15" i="8" l="1"/>
  <c r="H4" i="8"/>
  <c r="H14"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Rupakula, Ganesh Deepak</author>
  </authors>
  <commentList>
    <comment ref="F33" authorId="0" shapeId="0" xr:uid="{BA18825F-5714-48EE-AC29-B13C2692E376}">
      <text>
        <r>
          <rPr>
            <b/>
            <sz val="9"/>
            <color indexed="81"/>
            <rFont val="Segoe UI"/>
            <family val="2"/>
          </rPr>
          <t>Rupakula, Ganesh Deepak:</t>
        </r>
        <r>
          <rPr>
            <sz val="9"/>
            <color indexed="81"/>
            <rFont val="Segoe UI"/>
            <family val="2"/>
          </rPr>
          <t xml:space="preserve">
No theoretical minimum exists. No bond-breaking! No chemical reactions
</t>
        </r>
      </text>
    </comment>
  </commentList>
</comments>
</file>

<file path=xl/sharedStrings.xml><?xml version="1.0" encoding="utf-8"?>
<sst xmlns="http://schemas.openxmlformats.org/spreadsheetml/2006/main" count="1547" uniqueCount="287">
  <si>
    <t>Comment</t>
  </si>
  <si>
    <t>Primary aluminium</t>
  </si>
  <si>
    <t>Parameter</t>
  </si>
  <si>
    <t>Value</t>
  </si>
  <si>
    <t>Unit</t>
  </si>
  <si>
    <t>Source</t>
  </si>
  <si>
    <t>Input</t>
  </si>
  <si>
    <t>Coal</t>
  </si>
  <si>
    <t>GJ</t>
  </si>
  <si>
    <t>[3,4]</t>
  </si>
  <si>
    <t>Fuel</t>
  </si>
  <si>
    <t>[1,2]</t>
  </si>
  <si>
    <t>Max. share of Fuel</t>
  </si>
  <si>
    <t>[3], p. 418</t>
  </si>
  <si>
    <t>Natural gas</t>
  </si>
  <si>
    <t>Oil</t>
  </si>
  <si>
    <t>Syngas</t>
  </si>
  <si>
    <t>Hydrogen</t>
  </si>
  <si>
    <t>Electricity</t>
  </si>
  <si>
    <t>Feedstock: Coal</t>
  </si>
  <si>
    <t>[2]</t>
  </si>
  <si>
    <t>Output</t>
  </si>
  <si>
    <t>Aluminium</t>
  </si>
  <si>
    <t>t</t>
  </si>
  <si>
    <t>Secondary aluminium</t>
  </si>
  <si>
    <t>Scrap preparation, smelting + Processing</t>
  </si>
  <si>
    <t>Web</t>
  </si>
  <si>
    <t>Publisher</t>
  </si>
  <si>
    <t>Title</t>
  </si>
  <si>
    <t>Page</t>
  </si>
  <si>
    <t>Year</t>
  </si>
  <si>
    <t>Accessed</t>
  </si>
  <si>
    <t>Author</t>
  </si>
  <si>
    <t>[1]</t>
  </si>
  <si>
    <t>https://d-nb.info/1049260554/34</t>
  </si>
  <si>
    <t>https://www.bmwk.de/Redaktion/DE/Downloads/E/energiewende-in-der-industrie-ap2a-branchensteckbrief-metall.pdf?__blob=publicationFile&amp;v=4</t>
  </si>
  <si>
    <t>[3]</t>
  </si>
  <si>
    <t>https://eippcb.jrc.ec.europa.eu/sites/default/files/2020-01/JRC107041_NFM_bref2017.pdf</t>
  </si>
  <si>
    <t>[4]</t>
  </si>
  <si>
    <t>https://european-aluminium.eu/wp-content/uploads/2023/11/23-11-14-Net-Zero-by-2050-Science-based-Decarbonisation-Pathways-for-the-European-Aluminium-Industry_FULL-REPORT.pdf</t>
  </si>
  <si>
    <t>Primary  (mate) copper</t>
  </si>
  <si>
    <t>Smelter</t>
  </si>
  <si>
    <t>[1,2,3]</t>
  </si>
  <si>
    <t>Copper</t>
  </si>
  <si>
    <t>Secondary  (mate) copper</t>
  </si>
  <si>
    <t>Refinary</t>
  </si>
  <si>
    <t>Primary copper (anode copper)</t>
  </si>
  <si>
    <t>Leaching, solvent extraction and electrowinning</t>
  </si>
  <si>
    <t>https://elib.dlr.de/130069/1/Renewable%20energy%20in%20copper%20production%20-%20a%20review.pdf</t>
  </si>
  <si>
    <t>Chemical Pulp</t>
  </si>
  <si>
    <t>Heat</t>
  </si>
  <si>
    <t>[GJ/t]</t>
  </si>
  <si>
    <t>Max. share of Heat</t>
  </si>
  <si>
    <t>Biomass</t>
  </si>
  <si>
    <t>Synfuels</t>
  </si>
  <si>
    <t>Pulp</t>
  </si>
  <si>
    <t>[t]</t>
  </si>
  <si>
    <t>Black liquor</t>
  </si>
  <si>
    <t>Mechanical Pulp</t>
  </si>
  <si>
    <t>Heat(Heat Recovery)</t>
  </si>
  <si>
    <t>Recycling Pulp</t>
  </si>
  <si>
    <t>Recycled paper</t>
  </si>
  <si>
    <t>[t/t]</t>
  </si>
  <si>
    <t>Packaging Paper</t>
  </si>
  <si>
    <t>Paper</t>
  </si>
  <si>
    <t>Cement</t>
  </si>
  <si>
    <t>Clinker</t>
  </si>
  <si>
    <t>CO2</t>
  </si>
  <si>
    <t>[tCO2/t]</t>
  </si>
  <si>
    <t xml:space="preserve"> [GJ/t]</t>
  </si>
  <si>
    <t xml:space="preserve">Chlor </t>
  </si>
  <si>
    <t>Hydrogen production by coal only in China, rest of the world with Natural gas</t>
  </si>
  <si>
    <t>Methanol</t>
  </si>
  <si>
    <t>Feedstock</t>
  </si>
  <si>
    <t>Olefins</t>
  </si>
  <si>
    <t>Naphta based steam cracking</t>
  </si>
  <si>
    <t>Synfuel</t>
  </si>
  <si>
    <t>[1] p. 46</t>
  </si>
  <si>
    <t>Feedstock: Fuel</t>
  </si>
  <si>
    <t>https://www.osti.gov/servlets/purl/927032</t>
  </si>
  <si>
    <t>https://dechema.de/dechema_media/Downloads/Positionspapiere/Technology_study_Low_carbon_energy_and_feedstock_for_the_European_chemical_industry.pdf</t>
  </si>
  <si>
    <t>Aromatics</t>
  </si>
  <si>
    <t>Blast Furnace – Basic Oxygen Furnace</t>
  </si>
  <si>
    <t xml:space="preserve"> Input </t>
  </si>
  <si>
    <t xml:space="preserve"> electricity: </t>
  </si>
  <si>
    <t xml:space="preserve"> fuel total: </t>
  </si>
  <si>
    <t xml:space="preserve"> coal </t>
  </si>
  <si>
    <t xml:space="preserve"> gas </t>
  </si>
  <si>
    <t xml:space="preserve"> oil </t>
  </si>
  <si>
    <t xml:space="preserve"> Output </t>
  </si>
  <si>
    <t xml:space="preserve"> steel </t>
  </si>
  <si>
    <t>Direct Reduction Iron – Electric (Natural gas based)</t>
  </si>
  <si>
    <t xml:space="preserve">                  -     </t>
  </si>
  <si>
    <t>steel</t>
  </si>
  <si>
    <t>Electric (Secondary)</t>
  </si>
  <si>
    <t xml:space="preserve"> electricity </t>
  </si>
  <si>
    <t>Haber-Bosch gas based</t>
  </si>
  <si>
    <t xml:space="preserve"> fuel: </t>
  </si>
  <si>
    <t xml:space="preserve">               -     </t>
  </si>
  <si>
    <t xml:space="preserve"> feedstock: </t>
  </si>
  <si>
    <t xml:space="preserve"> ammonia </t>
  </si>
  <si>
    <t>Haber-Bosch coal based</t>
  </si>
  <si>
    <t>ammonia</t>
  </si>
  <si>
    <t>Average Lime Kiln – coal/gas/biomass/oil</t>
  </si>
  <si>
    <t>0-100%</t>
  </si>
  <si>
    <t xml:space="preserve"> biomass </t>
  </si>
  <si>
    <t xml:space="preserve"> lime </t>
  </si>
  <si>
    <t>Average Container Glass – coal/gas/biomass/oil</t>
  </si>
  <si>
    <t>Average Flat Glass – coal/gas/biomass/oil</t>
  </si>
  <si>
    <t>Reference</t>
  </si>
  <si>
    <t xml:space="preserve">https://www.diw.de/documents/dokumentenarchiv/17/diw_01.c.534645.de/cs-pulp-and-paper.pdf </t>
  </si>
  <si>
    <t>Climate Strategies</t>
  </si>
  <si>
    <t>The pulp and paper overview paper</t>
  </si>
  <si>
    <t>https://doi.org/10.1016/j.energy.2012.02.025</t>
  </si>
  <si>
    <t>Energy</t>
  </si>
  <si>
    <t>Energy efficiency in the German pulp and paper industry- A model-based assessment of savings potential</t>
  </si>
  <si>
    <t>84-89</t>
  </si>
  <si>
    <t>[1,2,3,4]</t>
  </si>
  <si>
    <t>[1,2,5]</t>
  </si>
  <si>
    <t>https://doi.org/10.1016/j.jclepro.2022.131265</t>
  </si>
  <si>
    <t>Journal of Cleaner Production</t>
  </si>
  <si>
    <t>Techno-economic and environmental evaluation of a market pulp reinforced with micro-/nanofibers as a strengthening agent in packaging paper</t>
  </si>
  <si>
    <t>-</t>
  </si>
  <si>
    <t>[5]</t>
  </si>
  <si>
    <t>https://doi.org/10.1111/jiec.12613</t>
  </si>
  <si>
    <t>Journal of Industrial Ecology</t>
  </si>
  <si>
    <t>Global Life Cycle Paper Flows, Recycling Metrics and Material Efficiency</t>
  </si>
  <si>
    <t>https://www.oecd-ilibrary.org/docserver/9789264068612-en.pdf?expires=1731341815&amp;id=id&amp;accname=ocid77015704&amp;checksum=17A92DBCC6EE809392D8BE9E8C70B4DA</t>
  </si>
  <si>
    <t>International Energy Agency</t>
  </si>
  <si>
    <t>Energy Technology Transitions for Industry</t>
  </si>
  <si>
    <t>Ernst Worell; Lynn Price; Nathan Martin; Chris Hendriks</t>
  </si>
  <si>
    <t xml:space="preserve"> Carbondioxide Emissions from the global cement industry</t>
  </si>
  <si>
    <t>Materials demand and environmental impact of buildings construction in china based on dynamic material flow analysis</t>
  </si>
  <si>
    <t>Tao Huang; Fengi Shi; Hiroki Tanikawa; Jinling Fei; Ji Han</t>
  </si>
  <si>
    <t>Annual Review of Environment and Resources</t>
  </si>
  <si>
    <r>
      <t> </t>
    </r>
    <r>
      <rPr>
        <u/>
        <sz val="11"/>
        <color theme="10"/>
        <rFont val="Calibri"/>
        <family val="2"/>
      </rPr>
      <t>https://doi.org/10.1146/annurev.energy.26.1.303</t>
    </r>
  </si>
  <si>
    <t>Resources, Conservation and Recycling</t>
  </si>
  <si>
    <t>https://doi.org/10.1016/j.resconrec.2012.12.013</t>
  </si>
  <si>
    <t>Renewable and Sustainable Energy reviews</t>
  </si>
  <si>
    <t>A critical review on energy use and savings in the cement industry</t>
  </si>
  <si>
    <t>N.A. Madlool; R. Saidur; M.S. Hossain; N.A. Rahim</t>
  </si>
  <si>
    <t>https://doi.org/10.1016/j.rser.2011.01.005</t>
  </si>
  <si>
    <t>Agora Energiewende</t>
  </si>
  <si>
    <t>https://www.agora-industrie.de/fileadmin/Projekte/2018/Dekarbonisierung_Industrie/164_A-EW_Klimaneutrale-Industrie_Studie_WEB.pdf</t>
  </si>
  <si>
    <t>Klimaneutrale Industrie: Schlüsseltechnologien und Politikoptionen für Stahl, Chemie und Zement</t>
  </si>
  <si>
    <t>Chlorine</t>
  </si>
  <si>
    <t>Methanol-synthesis (Natural gas based)</t>
  </si>
  <si>
    <t>Methanol-synthesis (Coal based)</t>
  </si>
  <si>
    <t>https://publications.rwth-aachen.de/record/862520/files/862520.pdf</t>
  </si>
  <si>
    <t>Recycling und Defossiliserungsmaßnahmen der energieintensiven Industrie Deutschlands im kontext von CO2-Reduktionsstrateien</t>
  </si>
  <si>
    <t>Felix Kullmann</t>
  </si>
  <si>
    <t>Jülich Forschungszentrum</t>
  </si>
  <si>
    <t>DECHEMA</t>
  </si>
  <si>
    <t>Low carbon energy and feedstock for the European chemical industry</t>
  </si>
  <si>
    <t>Alexis Michael Bazzanella, Florian Ausfelder</t>
  </si>
  <si>
    <t>[1, 2, 3]</t>
  </si>
  <si>
    <t>GJ/t</t>
  </si>
  <si>
    <t>fuel:</t>
  </si>
  <si>
    <t>Max share of fuel</t>
  </si>
  <si>
    <t>Distribution on electricity and fuel of processing is own assumption based on the sources</t>
  </si>
  <si>
    <r>
      <t>Otto, A.</t>
    </r>
    <r>
      <rPr>
        <i/>
        <sz val="11"/>
        <color theme="1"/>
        <rFont val="Calibri"/>
        <family val="2"/>
      </rPr>
      <t xml:space="preserve"> et al. </t>
    </r>
    <r>
      <rPr>
        <sz val="11"/>
        <color theme="1"/>
        <rFont val="Calibri"/>
        <family val="2"/>
      </rPr>
      <t xml:space="preserve">Power-to-Steel: Reducing CO2 through the Integration of Renewable Energy and Hydrogen into the German Steel Industry. </t>
    </r>
    <r>
      <rPr>
        <i/>
        <sz val="11"/>
        <color theme="1"/>
        <rFont val="Calibri"/>
        <family val="2"/>
      </rPr>
      <t xml:space="preserve">Energies </t>
    </r>
    <r>
      <rPr>
        <b/>
        <sz val="11"/>
        <color theme="1"/>
        <rFont val="Calibri"/>
        <family val="2"/>
      </rPr>
      <t xml:space="preserve">10, </t>
    </r>
    <r>
      <rPr>
        <sz val="11"/>
        <color theme="1"/>
        <rFont val="Calibri"/>
        <family val="2"/>
      </rPr>
      <t>451; 10.3390/en10040451 (2017).</t>
    </r>
  </si>
  <si>
    <r>
      <t xml:space="preserve">Pardo, N. &amp; Moya, J. A. Prospective scenarios on energy efficiency and CO2 emissions in the European Iron &amp; Steel industry. </t>
    </r>
    <r>
      <rPr>
        <i/>
        <sz val="11"/>
        <color theme="1"/>
        <rFont val="Calibri"/>
        <family val="2"/>
      </rPr>
      <t xml:space="preserve">Energy </t>
    </r>
    <r>
      <rPr>
        <b/>
        <sz val="11"/>
        <color theme="1"/>
        <rFont val="Calibri"/>
        <family val="2"/>
      </rPr>
      <t xml:space="preserve">54, </t>
    </r>
    <r>
      <rPr>
        <sz val="11"/>
        <color theme="1"/>
        <rFont val="Calibri"/>
        <family val="2"/>
      </rPr>
      <t>113–128; 10.1016/j.energy.2013.03.015 (2013).</t>
    </r>
  </si>
  <si>
    <r>
      <t xml:space="preserve">Joint Research Centre: Institute for Prospective Technological Studies, Remus, R., Roudier, S., Delgado Sancho, L. &amp; Aguado-Monsonet, M. </t>
    </r>
    <r>
      <rPr>
        <i/>
        <sz val="11"/>
        <color theme="1"/>
        <rFont val="Calibri"/>
        <family val="2"/>
      </rPr>
      <t xml:space="preserve">Best available techniques (BAT) reference document for iron and steel production – Industrial emissions Directive 2010/75/EU – Integrated pollution prevention and control </t>
    </r>
    <r>
      <rPr>
        <sz val="11"/>
        <color theme="1"/>
        <rFont val="Calibri"/>
        <family val="2"/>
      </rPr>
      <t>(Publications Office, 2013).</t>
    </r>
  </si>
  <si>
    <r>
      <t xml:space="preserve">Kuder, R. </t>
    </r>
    <r>
      <rPr>
        <i/>
        <sz val="11"/>
        <color theme="1"/>
        <rFont val="Calibri"/>
        <family val="2"/>
      </rPr>
      <t xml:space="preserve">Energieeffizienz in der Industrie. Modellgestützte Analyse des effizienten Energieeinsatzes in der EU-27 mit Fokus auf den Industriesektor. </t>
    </r>
    <r>
      <rPr>
        <sz val="11"/>
        <color theme="1"/>
        <rFont val="Calibri"/>
        <family val="2"/>
      </rPr>
      <t>Dissertation (Stuttgart, 2014).</t>
    </r>
  </si>
  <si>
    <r>
      <t xml:space="preserve">Hübner, T., Guminski, A., Rouyrre, E. &amp; von Roon, S. Branchensteckbrief der NE-Metallindustrie. In </t>
    </r>
    <r>
      <rPr>
        <i/>
        <sz val="11"/>
        <color theme="1"/>
        <rFont val="Calibri"/>
        <family val="2"/>
      </rPr>
      <t xml:space="preserve">Energiewende in der Industrie </t>
    </r>
    <r>
      <rPr>
        <sz val="11"/>
        <color theme="1"/>
        <rFont val="Calibri"/>
        <family val="2"/>
      </rPr>
      <t>(2020).</t>
    </r>
  </si>
  <si>
    <t>Cusano G, Rodrigo Gonzalo M, Farrell F, Remus R, Roudier S, and Delgado Sancho L, "Best Available Techniques (BAT) Reference Document for the Non-Ferrous Metals Industries. Industrial Emissions Directive 2010/75/EU (Integrated Pollution Prevention and Control)," 1831-9424, KJ-NA-28648-EN-N, doi: 10.2760/8224.</t>
  </si>
  <si>
    <t>European Aluminium, "Net-zero by 2050: Science-based decarbonisation pathways for the European aluminium industry," 2023. Accessed: Feb. 26 2025. [Online]. Available: https://european-aluminium.eu/wp-content/uploads/2023/11/23-11-14-Net-Zero-by-2050-Science-based-Decarbonisation-Pathways-for-the-European-Aluminium-Industry_FULL-REPORT.pdf</t>
  </si>
  <si>
    <t>Moreno-Leiva, S. et al. Renewable energy in copper production: A review on systems design and methodological approaches. Journal of Cleaner Production 246, 118978; 10.1016/j.jclepro.2019.118978 (2020).</t>
  </si>
  <si>
    <t>M. Zier, P. Stenzel, L. Kotzur, und D. Stolten, „A review of decarbonization options for the glass industry“, Energy Convers. Manag. X, Bd. 10, S. 100083, Juni 2021, doi: 10.1016/j.ecmx.2021.100083.</t>
  </si>
  <si>
    <t xml:space="preserve">The example of the German glass industry“, Energy Convers. Manag. X, Bd. 17, S. 100336, Jan. 2023, doi: 10.1016/j.ecmx.2022.100336. </t>
  </si>
  <si>
    <t>Stork M., Meindertsma W., Overgaag M. &amp; Maarten N. A competitive and efficient lime industry - Technical report, 2014.</t>
  </si>
  <si>
    <t xml:space="preserve">International Energy Agency, Ammonia Technology Roadmap: Towards more sustainable nitrogen fertiliser production. OECD, 2021. doi: 10.1787/f6daa4a0-en. [2] G. Introzzi und M. Rosskothen, „Low carbon energy and feedstock for the European chemical industry - DECHEMA Gesellschaft für Chemische Technik“. </t>
  </si>
  <si>
    <t>G. Introzzi und M. Rosskothen, „Low carbon energy and feedstock for the European chemical industry - DECHEMA Gesellschaft für Chemische Technik“.</t>
  </si>
  <si>
    <t>Worrell, E., Price, L., Neelis, M., Galitsky, C. &amp; Zhou, N. World Best Practice Energy Intensity Values for SelectedIndustrial Sectors, 2007.</t>
  </si>
  <si>
    <t>Bazzanella, Alexis Michael, Ausfelder, Florian. Low carbon energy and feedstock for the European chemical industry. DECHEMA Gesellschaft für Chemische Technik und Biotechnologie e.V., Jun 2017.</t>
  </si>
  <si>
    <t>Finished Improved Clinker</t>
  </si>
  <si>
    <t>Assumption</t>
  </si>
  <si>
    <t>A1</t>
  </si>
  <si>
    <t>[1,2,3,4], A1</t>
  </si>
  <si>
    <t>[1,2], A1</t>
  </si>
  <si>
    <t>BAT</t>
  </si>
  <si>
    <t>Theoretical minimum</t>
  </si>
  <si>
    <t>Total input</t>
  </si>
  <si>
    <t>Total energy and feedstock</t>
  </si>
  <si>
    <t>Total specific energy</t>
  </si>
  <si>
    <t xml:space="preserve">GJ/t </t>
  </si>
  <si>
    <t>Alumina refining</t>
  </si>
  <si>
    <t>Aluminium-Oxide</t>
  </si>
  <si>
    <t>Feedstock: Bauxite</t>
  </si>
  <si>
    <t xml:space="preserve">Point feed prebaked </t>
  </si>
  <si>
    <t>carbone anode</t>
  </si>
  <si>
    <t>Feedstock: Coal for anode</t>
  </si>
  <si>
    <t>Casting / Rolling</t>
  </si>
  <si>
    <t>Total</t>
  </si>
  <si>
    <t>Feedstock: Aluminium-Oxide</t>
  </si>
  <si>
    <t>Fuel for anode (coal, coal tar pitch, butts)</t>
  </si>
  <si>
    <t>Aluminium (Semi-Produkt)</t>
  </si>
  <si>
    <t>+</t>
  </si>
  <si>
    <t xml:space="preserve"> Hall-Heroult method</t>
  </si>
  <si>
    <t>[3], p. 398</t>
  </si>
  <si>
    <t>[3], p. 392</t>
  </si>
  <si>
    <t>Scrap preparation</t>
  </si>
  <si>
    <t>and</t>
  </si>
  <si>
    <t>smelting</t>
  </si>
  <si>
    <t>Feedstock: Aluminium scrap</t>
  </si>
  <si>
    <t>BAT based on coal as fuel</t>
  </si>
  <si>
    <t>https://www1.eere.energy.gov/manufacturing/resources/aluminum/pdfs/al_theoretical.pdf</t>
  </si>
  <si>
    <t>Theoretical electrolytic work</t>
  </si>
  <si>
    <t>Theoretical thermal energy</t>
  </si>
  <si>
    <t>[3,4,5]</t>
  </si>
  <si>
    <t>[5], p.77</t>
  </si>
  <si>
    <t>[5], p. 69,74</t>
  </si>
  <si>
    <t>Copper (Semi-Produkt)</t>
  </si>
  <si>
    <t>Primary or secondary
 (anode or cathode) copper</t>
  </si>
  <si>
    <t>Total = Refinary +</t>
  </si>
  <si>
    <t xml:space="preserve">extraction and </t>
  </si>
  <si>
    <t>by L-SX-EW</t>
  </si>
  <si>
    <t>by refining</t>
  </si>
  <si>
    <t>by smelting</t>
  </si>
  <si>
    <t xml:space="preserve">Total = Leaching, </t>
  </si>
  <si>
    <t xml:space="preserve">solvent </t>
  </si>
  <si>
    <t>electrowinning +</t>
  </si>
  <si>
    <t>https://www.sciencedirect.com/science/article/pii/S0360544298000930</t>
  </si>
  <si>
    <t>https://scielo.org.za/pdf/jsaimm/v109n6/03.pdf?utm_source=chatgpt.com</t>
  </si>
  <si>
    <t>[6]</t>
  </si>
  <si>
    <t>https://www.energy.gov/sites/prod/files/2013/11/f4/doebestpractice_052804.pdf</t>
  </si>
  <si>
    <t>[6], p.50</t>
  </si>
  <si>
    <t>[6], p.40</t>
  </si>
  <si>
    <t>[6], p.66, [4]</t>
  </si>
  <si>
    <t>Own assumption of energy distribution on electricity and fuel, based on methanol production [1]</t>
  </si>
  <si>
    <t>A2</t>
  </si>
  <si>
    <t>Own assumption that feedstock demand is the same as for Olefins</t>
  </si>
  <si>
    <t>[1] , A1</t>
  </si>
  <si>
    <t>[1], A2</t>
  </si>
  <si>
    <t>https://www.sciencedirect.com/science/article/pii/S0360544225010539</t>
  </si>
  <si>
    <t xml:space="preserve">Theoretical thermal energy, based on naphta; propane based 2.83 GJ/t [3], ethane based 5.11 GJ/t [3]. </t>
  </si>
  <si>
    <t>https://www.energy.gov/sites/prod/files/2015/08/f26/chemical_bandwidth_report.pdf</t>
  </si>
  <si>
    <t>[2],p.79</t>
  </si>
  <si>
    <t>Theoretical thermal energy, mostly negative [2]</t>
  </si>
  <si>
    <t>Theoretical energy</t>
  </si>
  <si>
    <t>glass</t>
  </si>
  <si>
    <t>Graphical paper</t>
  </si>
  <si>
    <t>Hygiene paper</t>
  </si>
  <si>
    <t>Tech Packaging paper</t>
  </si>
  <si>
    <t>Membrane process with ODC
ODC- Oxygen Depolarized Cathodes</t>
  </si>
  <si>
    <t>total</t>
  </si>
  <si>
    <t>Specific energy</t>
  </si>
  <si>
    <t>Total energy</t>
  </si>
  <si>
    <t>Assumed route:
 China - coal based, Rest of the world - gas based</t>
  </si>
  <si>
    <t>In some regions Ethane based steam cracking is currently applied. Less efficient, thus not the BAT. However, the allocation of the energy follows the IEA energy balance</t>
  </si>
  <si>
    <t xml:space="preserve">Fuel substitutions possible; fuel shares allocated per region accordingly to the sector- and region-specific fuel shares in IEA Energy Balance </t>
  </si>
  <si>
    <t>Fuel substitutions possible; fuel shares allocated per region accordingly to the sector- and region-specific fuel shares in IEA Energy Balance</t>
  </si>
  <si>
    <t>This workbook reports theoretical minimal specific energy demands and Best Available Technology (BAT) values for major energy-intensive industrial production routes.</t>
  </si>
  <si>
    <t>Represents the physical lower bound of energy consumption required to produce one unit of output, based on stoichiometric and thermodynamic limits.</t>
  </si>
  <si>
    <t>Indicate the specific energy demand achievable with currently best available industrial technologies under real operating conditions.</t>
  </si>
  <si>
    <t>Theoretical Minimum</t>
  </si>
  <si>
    <t>Inputs</t>
  </si>
  <si>
    <t xml:space="preserve">Included are electricity, fuel or thermal energy and feedstock demand of the BAT process routes. Feedstock demands of the production routes are considered only if the energy for their production is considered as a part of the production route chain. </t>
  </si>
  <si>
    <t>Share of required fuels (coal, gas, oil etc.) in total fuel or thermal energy demand:</t>
  </si>
  <si>
    <t xml:space="preserve">Some processes can employ different fuels for heat production (for example, smelting), and the actual selection of fuel depends strongly on its regional availability and price. To capture this flexibility, maximum fuel shares are defined for these cases. Differences in energy requirements among different fuels, which arise from variations in combustion or conversion efficiency, are in that case neglected because they are small and not well documented in the literature. </t>
  </si>
  <si>
    <r>
      <t xml:space="preserve">Specific energy requirements are expressed in </t>
    </r>
    <r>
      <rPr>
        <b/>
        <sz val="11"/>
        <color theme="1"/>
        <rFont val="Calibri"/>
        <family val="2"/>
      </rPr>
      <t>GJ per tonne of product</t>
    </r>
    <r>
      <rPr>
        <sz val="11"/>
        <color theme="1"/>
        <rFont val="Calibri"/>
        <family val="2"/>
      </rPr>
      <t xml:space="preserve"> unless otherwise noted.</t>
    </r>
  </si>
  <si>
    <t>Short dry + preheater + precalciner</t>
  </si>
  <si>
    <t xml:space="preserve">https://docs.wbcsd.org/2017/06/CSI_ECRA_Technology_Papers_2017.pdf </t>
  </si>
  <si>
    <t>European Cement Research Academy</t>
  </si>
  <si>
    <t>Development of State of the Art-Techniques in Cement Manufacturing: Trying to Look Ahead, Revision 2017</t>
  </si>
  <si>
    <t>https://www.energystar.gov/sites/default/files/tools/ENERGY%20STAR%20Guide%20for%20the%20Cement%20Industry%2027_08_2013_Rev%20js%20reformat%2011192014.pdf</t>
  </si>
  <si>
    <t>EnergyStar</t>
  </si>
  <si>
    <t>Energy Efficiency Improvement and Cost Saving Opportunities for Cement Making</t>
  </si>
  <si>
    <t>Ernst Worell; Katerina Kermeli; Christina Galitsky</t>
  </si>
  <si>
    <t>https://www.eurochlor.org/wp-content/uploads/2021/04/11-Electrolysis-thermodynamics.pdf</t>
  </si>
  <si>
    <t>EuroChlor</t>
  </si>
  <si>
    <t>https://www.energy.gov/sites/prod/files/2015/08/f26/pulp_and_paper_bandwidth_report.pdf</t>
  </si>
  <si>
    <t>U.S. Department of Energy</t>
  </si>
  <si>
    <t>Bandwidth study on Energy use and potential energy saving opportunities in U.S. pulp and paper manufacturing</t>
  </si>
  <si>
    <t>Methanol production is exothermic, theoretically no energy is needed</t>
  </si>
  <si>
    <t>(All grades of paper have the same theoretical energy)</t>
  </si>
  <si>
    <t xml:space="preserve">[3] </t>
  </si>
  <si>
    <t xml:space="preserve">Cristian Baron, Jorge Perpinan, Manuel Bailera, Begona Pena, 2023, Techno-economic assessment of glassmaking decarbonization through integration of calcium looping carbon capture and power-to-gas technologies, DOI: https://doi.org/10.1016/j.spc.2023.07.029
</t>
  </si>
  <si>
    <t>Kevin H.R. Rouwenhorst, Aloijsius G.J. Van der Ham, Guido Mul, Sascha R.A. Kersten, 2019, Islanded ammonia power systems: Technology review &amp; conceptual process design, DOI: https://doi.org/10.1016/j.rser.2019.109339</t>
  </si>
  <si>
    <t>Alvarado, S., Maldonado, P. &amp; Jaques, I. Energy and environmental implications of copper production. Energy 24, 307–316; 10.1016/S0360-5442(98)00093-0 (1999).</t>
  </si>
  <si>
    <t>Beukes, N. T. &amp; Badenhorst, J. Copper electrowinning: theoretical and practical design. The Journal of The Southern African Institute of Mining and Metallurgy, 343–356 (2009).</t>
  </si>
  <si>
    <t>Schifo, J. F. &amp; Radia, J. T. Theoretical/Best Practice Energy Use In Metalcasting Operations. Available at https://www.energy.gov/sites/prod/files/2013/11/f4/doebestpractice_052804.pdf (2004).</t>
  </si>
  <si>
    <t>Bolson, N., Cullen, L. &amp; Cullen, J. A robust framework for estimating theoretical minimum energy requirements for industrial processes. Energy 322, 135411; 10.1016/j.energy.2025.135411 (2025).</t>
  </si>
  <si>
    <t>U.S. Department of Energy. Bandwidth Study on Energy Use and Potential Energy Saving Opportunities in U.S. Chemical Manufacturing. Available at https://www.energy.gov/sites/prod/files/2015/08/f26/chemical_bandwidth_report.pdf (2015).</t>
  </si>
  <si>
    <t>Requirements for Aluminum Production. Historical Perspective, Theoretical Limits and Current Practices. Available at https://www1.eere.energy.gov/manufacturing/resources/aluminum/pdfs/al_theoretical.pdf (2007).</t>
  </si>
  <si>
    <t>Fruehan R. J., Fortini O., Paxton H.W., Brindle R., Theoretical Minimum Energies
To Produce Steel
for Selected Conditions, URL: http://large.stanford.edu/courses/2016/ph240/martelaro1/docs/fruehan-mar00.pdf (2000)</t>
  </si>
  <si>
    <t>The electrolysis process and its thermodynamic limits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</si>
</sst>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00\ _€_-;\-* #,##0.00\ _€_-;_-* &quot;-&quot;??\ _€_-;_-@_-"/>
    <numFmt numFmtId="165" formatCode="_-* #,##0.00\ _€_-;\-* #,##0.00\ _€_-;_-* \-??\ _€_-;_-@_-"/>
    <numFmt numFmtId="166" formatCode="0\ %"/>
    <numFmt numFmtId="167" formatCode="0.000"/>
    <numFmt numFmtId="168" formatCode="0.00\ %"/>
  </numFmts>
  <fonts count="17" x14ac:knownFonts="1">
    <font>
      <sz val="11"/>
      <color theme="1"/>
      <name val="Calibri"/>
      <charset val="1"/>
    </font>
    <font>
      <b/>
      <sz val="11"/>
      <color theme="1"/>
      <name val="Calibri"/>
      <family val="2"/>
      <charset val="1"/>
    </font>
    <font>
      <sz val="11"/>
      <color theme="1"/>
      <name val="Calibri"/>
      <family val="2"/>
      <charset val="1"/>
    </font>
    <font>
      <u/>
      <sz val="11"/>
      <color theme="10"/>
      <name val="Calibri"/>
      <family val="2"/>
    </font>
    <font>
      <sz val="11"/>
      <name val="Calibri"/>
      <family val="2"/>
      <charset val="1"/>
    </font>
    <font>
      <sz val="11"/>
      <color rgb="FFFF0000"/>
      <name val="Calibri"/>
      <family val="2"/>
      <charset val="1"/>
    </font>
    <font>
      <sz val="11"/>
      <color theme="0"/>
      <name val="Calibri"/>
      <family val="2"/>
      <charset val="1"/>
    </font>
    <font>
      <b/>
      <sz val="11"/>
      <color theme="0"/>
      <name val="Calibri"/>
      <family val="2"/>
      <charset val="1"/>
    </font>
    <font>
      <b/>
      <sz val="11"/>
      <color theme="1"/>
      <name val="Calibri"/>
      <family val="2"/>
    </font>
    <font>
      <sz val="11"/>
      <color theme="1"/>
      <name val="Calibri"/>
      <family val="2"/>
    </font>
    <font>
      <u/>
      <sz val="11"/>
      <color rgb="FF0070C0"/>
      <name val="Calibri"/>
      <family val="2"/>
    </font>
    <font>
      <sz val="11"/>
      <color theme="1"/>
      <name val="Calibri"/>
      <family val="2"/>
    </font>
    <font>
      <i/>
      <sz val="11"/>
      <color theme="1"/>
      <name val="Calibri"/>
      <family val="2"/>
    </font>
    <font>
      <b/>
      <sz val="11"/>
      <color theme="1"/>
      <name val="Calibri"/>
      <family val="2"/>
    </font>
    <font>
      <sz val="11"/>
      <name val="Calibri"/>
      <family val="2"/>
    </font>
    <font>
      <sz val="9"/>
      <color indexed="81"/>
      <name val="Segoe UI"/>
      <family val="2"/>
    </font>
    <font>
      <b/>
      <sz val="9"/>
      <color indexed="81"/>
      <name val="Segoe UI"/>
      <family val="2"/>
    </font>
  </fonts>
  <fills count="2">
    <fill>
      <patternFill patternType="none"/>
    </fill>
    <fill>
      <patternFill patternType="gray125"/>
    </fill>
  </fills>
  <borders count="20">
    <border>
      <left/>
      <right/>
      <top/>
      <bottom/>
      <diagonal/>
    </border>
    <border>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indexed="64"/>
      </bottom>
      <diagonal/>
    </border>
    <border>
      <left/>
      <right style="thin">
        <color auto="1"/>
      </right>
      <top style="thin">
        <color auto="1"/>
      </top>
      <bottom style="thin">
        <color indexed="64"/>
      </bottom>
      <diagonal/>
    </border>
    <border>
      <left style="thin">
        <color indexed="64"/>
      </left>
      <right style="thin">
        <color indexed="64"/>
      </right>
      <top style="thin">
        <color indexed="64"/>
      </top>
      <bottom style="thin">
        <color indexed="64"/>
      </bottom>
      <diagonal/>
    </border>
    <border>
      <left/>
      <right/>
      <top style="dashDot">
        <color auto="1"/>
      </top>
      <bottom/>
      <diagonal/>
    </border>
    <border>
      <left style="thin">
        <color auto="1"/>
      </left>
      <right/>
      <top/>
      <bottom style="dotted">
        <color auto="1"/>
      </bottom>
      <diagonal/>
    </border>
    <border>
      <left/>
      <right/>
      <top/>
      <bottom style="dotted">
        <color auto="1"/>
      </bottom>
      <diagonal/>
    </border>
    <border>
      <left/>
      <right style="thin">
        <color auto="1"/>
      </right>
      <top/>
      <bottom style="dotted">
        <color auto="1"/>
      </bottom>
      <diagonal/>
    </border>
  </borders>
  <cellStyleXfs count="4">
    <xf numFmtId="0" fontId="0" fillId="0" borderId="0"/>
    <xf numFmtId="165" fontId="9" fillId="0" borderId="0" applyBorder="0" applyProtection="0"/>
    <xf numFmtId="0" fontId="3" fillId="0" borderId="0" applyBorder="0" applyProtection="0"/>
    <xf numFmtId="9" fontId="9" fillId="0" borderId="0" applyFont="0" applyFill="0" applyBorder="0" applyAlignment="0" applyProtection="0"/>
  </cellStyleXfs>
  <cellXfs count="296">
    <xf numFmtId="0" fontId="0" fillId="0" borderId="0" xfId="0"/>
    <xf numFmtId="165" fontId="4" fillId="0" borderId="0" xfId="1" applyFont="1" applyBorder="1" applyAlignment="1" applyProtection="1">
      <alignment horizontal="center" vertical="center"/>
    </xf>
    <xf numFmtId="0" fontId="0" fillId="0" borderId="0" xfId="0" applyAlignment="1">
      <alignment horizontal="center"/>
    </xf>
    <xf numFmtId="0" fontId="1" fillId="0" borderId="0" xfId="0" applyFont="1" applyAlignment="1">
      <alignment horizontal="center"/>
    </xf>
    <xf numFmtId="0" fontId="0" fillId="0" borderId="4" xfId="0" applyBorder="1" applyAlignment="1">
      <alignment horizontal="center"/>
    </xf>
    <xf numFmtId="165" fontId="0" fillId="0" borderId="0" xfId="1" applyFont="1" applyBorder="1" applyAlignment="1" applyProtection="1">
      <alignment horizontal="center"/>
    </xf>
    <xf numFmtId="2" fontId="0" fillId="0" borderId="0" xfId="0" applyNumberFormat="1"/>
    <xf numFmtId="0" fontId="0" fillId="0" borderId="5" xfId="0" applyBorder="1"/>
    <xf numFmtId="0" fontId="0" fillId="0" borderId="4" xfId="0" applyBorder="1"/>
    <xf numFmtId="165" fontId="2" fillId="0" borderId="0" xfId="1" applyFont="1" applyBorder="1" applyAlignment="1" applyProtection="1">
      <alignment horizontal="center"/>
    </xf>
    <xf numFmtId="167" fontId="0" fillId="0" borderId="0" xfId="0" applyNumberFormat="1"/>
    <xf numFmtId="0" fontId="0" fillId="0" borderId="6" xfId="0" applyBorder="1"/>
    <xf numFmtId="0" fontId="0" fillId="0" borderId="7" xfId="0" applyBorder="1"/>
    <xf numFmtId="165" fontId="0" fillId="0" borderId="7" xfId="1" applyFont="1" applyBorder="1" applyAlignment="1" applyProtection="1">
      <alignment horizontal="center"/>
    </xf>
    <xf numFmtId="0" fontId="0" fillId="0" borderId="8" xfId="0" applyBorder="1"/>
    <xf numFmtId="0" fontId="3" fillId="0" borderId="0" xfId="2" applyBorder="1" applyProtection="1"/>
    <xf numFmtId="0" fontId="2" fillId="0" borderId="0" xfId="0" applyFont="1"/>
    <xf numFmtId="0" fontId="3" fillId="0" borderId="0" xfId="2" applyBorder="1" applyAlignment="1" applyProtection="1">
      <alignment vertical="center"/>
    </xf>
    <xf numFmtId="165" fontId="2" fillId="0" borderId="7" xfId="1" applyFont="1" applyBorder="1" applyAlignment="1" applyProtection="1">
      <alignment horizontal="center"/>
    </xf>
    <xf numFmtId="165" fontId="4" fillId="0" borderId="0" xfId="1" applyFont="1" applyBorder="1" applyAlignment="1" applyProtection="1">
      <alignment horizontal="center"/>
    </xf>
    <xf numFmtId="0" fontId="4" fillId="0" borderId="0" xfId="0" applyFont="1" applyAlignment="1">
      <alignment horizontal="center"/>
    </xf>
    <xf numFmtId="0" fontId="0" fillId="0" borderId="6" xfId="0" applyBorder="1" applyAlignment="1">
      <alignment horizontal="center"/>
    </xf>
    <xf numFmtId="0" fontId="0" fillId="0" borderId="7" xfId="0" applyBorder="1" applyAlignment="1">
      <alignment horizontal="center"/>
    </xf>
    <xf numFmtId="0" fontId="4" fillId="0" borderId="7" xfId="0" applyFont="1" applyBorder="1" applyAlignment="1">
      <alignment horizontal="center"/>
    </xf>
    <xf numFmtId="165" fontId="0" fillId="0" borderId="0" xfId="1" applyFont="1" applyBorder="1" applyProtection="1"/>
    <xf numFmtId="0" fontId="1" fillId="0" borderId="0" xfId="0" applyFont="1"/>
    <xf numFmtId="0" fontId="1" fillId="0" borderId="1" xfId="0" applyFont="1" applyBorder="1" applyAlignment="1">
      <alignment horizontal="center"/>
    </xf>
    <xf numFmtId="165" fontId="0" fillId="0" borderId="0" xfId="1" applyFont="1" applyBorder="1" applyAlignment="1" applyProtection="1">
      <alignment horizontal="left"/>
    </xf>
    <xf numFmtId="0" fontId="0" fillId="0" borderId="11" xfId="0" applyBorder="1" applyAlignment="1">
      <alignment horizontal="center"/>
    </xf>
    <xf numFmtId="165" fontId="2" fillId="0" borderId="0" xfId="1" applyFont="1" applyBorder="1" applyAlignment="1" applyProtection="1">
      <alignment horizontal="left"/>
    </xf>
    <xf numFmtId="0" fontId="2" fillId="0" borderId="12" xfId="0" applyFont="1" applyBorder="1" applyAlignment="1">
      <alignment horizontal="center"/>
    </xf>
    <xf numFmtId="0" fontId="5" fillId="0" borderId="0" xfId="0" applyFont="1"/>
    <xf numFmtId="0" fontId="6" fillId="0" borderId="0" xfId="0" applyFont="1"/>
    <xf numFmtId="0" fontId="7" fillId="0" borderId="0" xfId="0" applyFont="1"/>
    <xf numFmtId="165" fontId="6" fillId="0" borderId="0" xfId="1" applyFont="1" applyBorder="1" applyAlignment="1" applyProtection="1">
      <alignment horizontal="left"/>
    </xf>
    <xf numFmtId="165" fontId="6" fillId="0" borderId="0" xfId="1" applyFont="1" applyBorder="1" applyProtection="1"/>
    <xf numFmtId="165" fontId="6" fillId="0" borderId="0" xfId="1" applyFont="1" applyBorder="1" applyAlignment="1" applyProtection="1">
      <alignment horizontal="center"/>
    </xf>
    <xf numFmtId="0" fontId="6" fillId="0" borderId="0" xfId="0" applyFont="1" applyAlignment="1">
      <alignment vertical="center"/>
    </xf>
    <xf numFmtId="0" fontId="6" fillId="0" borderId="0" xfId="0" applyFont="1" applyAlignment="1">
      <alignment horizontal="center"/>
    </xf>
    <xf numFmtId="0" fontId="1" fillId="0" borderId="9" xfId="0" applyFont="1" applyBorder="1" applyAlignment="1">
      <alignment horizontal="center"/>
    </xf>
    <xf numFmtId="165" fontId="4" fillId="0" borderId="0" xfId="1" applyFont="1" applyBorder="1" applyProtection="1"/>
    <xf numFmtId="165" fontId="0" fillId="0" borderId="7" xfId="1" applyFont="1" applyBorder="1" applyProtection="1"/>
    <xf numFmtId="165" fontId="4" fillId="0" borderId="7" xfId="1" applyFont="1" applyBorder="1" applyProtection="1"/>
    <xf numFmtId="0" fontId="0" fillId="0" borderId="0" xfId="0" applyAlignment="1">
      <alignment vertical="center"/>
    </xf>
    <xf numFmtId="0" fontId="4" fillId="0" borderId="0" xfId="0" applyFont="1"/>
    <xf numFmtId="0" fontId="4" fillId="0" borderId="0" xfId="0" applyFont="1" applyAlignment="1">
      <alignment horizontal="center" vertical="center"/>
    </xf>
    <xf numFmtId="0" fontId="0" fillId="0" borderId="1" xfId="0" applyBorder="1"/>
    <xf numFmtId="0" fontId="2" fillId="0" borderId="1" xfId="0" applyFont="1" applyBorder="1"/>
    <xf numFmtId="0" fontId="11" fillId="0" borderId="0" xfId="0" applyFont="1" applyAlignment="1">
      <alignment horizontal="center"/>
    </xf>
    <xf numFmtId="14" fontId="0" fillId="0" borderId="0" xfId="0" applyNumberFormat="1" applyAlignment="1">
      <alignment horizontal="center"/>
    </xf>
    <xf numFmtId="0" fontId="11" fillId="0" borderId="0" xfId="0" applyFont="1"/>
    <xf numFmtId="0" fontId="3" fillId="0" borderId="0" xfId="2"/>
    <xf numFmtId="0" fontId="0" fillId="0" borderId="11" xfId="0" applyBorder="1" applyAlignment="1">
      <alignment vertical="center" wrapText="1"/>
    </xf>
    <xf numFmtId="0" fontId="2" fillId="0" borderId="11" xfId="0" applyFont="1" applyBorder="1" applyAlignment="1">
      <alignment horizontal="center"/>
    </xf>
    <xf numFmtId="165" fontId="11" fillId="0" borderId="0" xfId="1" applyFont="1" applyBorder="1" applyAlignment="1" applyProtection="1">
      <alignment horizontal="left"/>
    </xf>
    <xf numFmtId="0" fontId="11" fillId="0" borderId="0" xfId="0" applyFont="1" applyAlignment="1">
      <alignment vertical="center"/>
    </xf>
    <xf numFmtId="0" fontId="0" fillId="0" borderId="0" xfId="0" applyAlignment="1">
      <alignment horizontal="right"/>
    </xf>
    <xf numFmtId="0" fontId="0" fillId="0" borderId="7" xfId="0" applyBorder="1" applyAlignment="1">
      <alignment horizontal="right"/>
    </xf>
    <xf numFmtId="164" fontId="11" fillId="0" borderId="0" xfId="0" applyNumberFormat="1" applyFont="1"/>
    <xf numFmtId="2" fontId="0" fillId="0" borderId="4" xfId="0" applyNumberFormat="1" applyBorder="1"/>
    <xf numFmtId="0" fontId="0" fillId="0" borderId="11" xfId="0" applyBorder="1"/>
    <xf numFmtId="166" fontId="0" fillId="0" borderId="4" xfId="0" applyNumberFormat="1" applyBorder="1"/>
    <xf numFmtId="0" fontId="0" fillId="0" borderId="12" xfId="0" applyBorder="1"/>
    <xf numFmtId="0" fontId="1" fillId="0" borderId="14" xfId="0" applyFont="1" applyBorder="1" applyAlignment="1">
      <alignment horizontal="center"/>
    </xf>
    <xf numFmtId="0" fontId="0" fillId="0" borderId="2" xfId="0" applyBorder="1"/>
    <xf numFmtId="0" fontId="0" fillId="0" borderId="9" xfId="0" applyBorder="1"/>
    <xf numFmtId="0" fontId="0" fillId="0" borderId="12" xfId="0" applyBorder="1" applyAlignment="1">
      <alignment horizontal="center"/>
    </xf>
    <xf numFmtId="2" fontId="0" fillId="0" borderId="2" xfId="0" applyNumberFormat="1" applyBorder="1"/>
    <xf numFmtId="0" fontId="0" fillId="0" borderId="9" xfId="0" applyBorder="1" applyAlignment="1">
      <alignment horizontal="center"/>
    </xf>
    <xf numFmtId="0" fontId="1" fillId="0" borderId="10" xfId="0" applyFont="1" applyBorder="1" applyAlignment="1">
      <alignment horizontal="center"/>
    </xf>
    <xf numFmtId="0" fontId="2" fillId="0" borderId="0" xfId="0" applyFont="1" applyAlignment="1">
      <alignment horizontal="center"/>
    </xf>
    <xf numFmtId="0" fontId="0" fillId="0" borderId="15" xfId="0" applyBorder="1"/>
    <xf numFmtId="0" fontId="1" fillId="0" borderId="12" xfId="0" applyFont="1" applyBorder="1" applyAlignment="1">
      <alignment horizontal="center"/>
    </xf>
    <xf numFmtId="0" fontId="13" fillId="0" borderId="2" xfId="0" applyFont="1" applyBorder="1" applyAlignment="1">
      <alignment horizontal="center" wrapText="1"/>
    </xf>
    <xf numFmtId="0" fontId="13" fillId="0" borderId="6" xfId="0" applyFont="1" applyBorder="1" applyAlignment="1">
      <alignment horizontal="center" wrapText="1"/>
    </xf>
    <xf numFmtId="0" fontId="13" fillId="0" borderId="1" xfId="0" applyFont="1" applyBorder="1" applyAlignment="1">
      <alignment horizontal="center" wrapText="1"/>
    </xf>
    <xf numFmtId="0" fontId="13" fillId="0" borderId="7" xfId="0" applyFont="1" applyBorder="1" applyAlignment="1">
      <alignment horizontal="center" wrapText="1"/>
    </xf>
    <xf numFmtId="165" fontId="1" fillId="0" borderId="7" xfId="1" applyFont="1" applyBorder="1" applyAlignment="1" applyProtection="1">
      <alignment horizontal="center"/>
    </xf>
    <xf numFmtId="0" fontId="13" fillId="0" borderId="4" xfId="0" applyFont="1" applyBorder="1" applyAlignment="1">
      <alignment horizontal="center" wrapText="1"/>
    </xf>
    <xf numFmtId="0" fontId="13" fillId="0" borderId="0" xfId="0" applyFont="1" applyAlignment="1">
      <alignment horizontal="center" wrapText="1"/>
    </xf>
    <xf numFmtId="165" fontId="1" fillId="0" borderId="0" xfId="1" applyFont="1" applyBorder="1" applyAlignment="1" applyProtection="1">
      <alignment horizontal="center"/>
    </xf>
    <xf numFmtId="0" fontId="1" fillId="0" borderId="0" xfId="0" applyFont="1" applyAlignment="1">
      <alignment horizontal="left"/>
    </xf>
    <xf numFmtId="0" fontId="0" fillId="0" borderId="13" xfId="0" applyBorder="1"/>
    <xf numFmtId="0" fontId="0" fillId="0" borderId="10" xfId="0" applyBorder="1"/>
    <xf numFmtId="0" fontId="0" fillId="0" borderId="10" xfId="0" applyBorder="1" applyAlignment="1">
      <alignment horizontal="center"/>
    </xf>
    <xf numFmtId="0" fontId="0" fillId="0" borderId="14" xfId="0" applyBorder="1"/>
    <xf numFmtId="0" fontId="1" fillId="0" borderId="11" xfId="0" applyFont="1" applyBorder="1" applyAlignment="1">
      <alignment horizontal="center"/>
    </xf>
    <xf numFmtId="165" fontId="0" fillId="0" borderId="16" xfId="1" applyFont="1" applyBorder="1"/>
    <xf numFmtId="165" fontId="0" fillId="0" borderId="7" xfId="1" applyFont="1" applyBorder="1"/>
    <xf numFmtId="165" fontId="0" fillId="0" borderId="0" xfId="1" applyFont="1" applyBorder="1"/>
    <xf numFmtId="165" fontId="1" fillId="0" borderId="0" xfId="1" applyFont="1" applyBorder="1" applyProtection="1"/>
    <xf numFmtId="0" fontId="0" fillId="0" borderId="0" xfId="0" applyAlignment="1">
      <alignment horizontal="left"/>
    </xf>
    <xf numFmtId="0" fontId="0" fillId="0" borderId="7" xfId="0" applyBorder="1" applyAlignment="1">
      <alignment horizontal="left"/>
    </xf>
    <xf numFmtId="165" fontId="0" fillId="0" borderId="7" xfId="1" applyFont="1" applyBorder="1" applyAlignment="1">
      <alignment horizontal="center"/>
    </xf>
    <xf numFmtId="0" fontId="0" fillId="0" borderId="16" xfId="0" applyBorder="1" applyAlignment="1">
      <alignment horizontal="center"/>
    </xf>
    <xf numFmtId="0" fontId="11" fillId="0" borderId="7" xfId="0" applyFont="1" applyBorder="1"/>
    <xf numFmtId="165" fontId="11" fillId="0" borderId="0" xfId="1" applyFont="1" applyBorder="1" applyAlignment="1">
      <alignment horizontal="center"/>
    </xf>
    <xf numFmtId="165" fontId="1" fillId="0" borderId="13" xfId="1" applyFont="1" applyBorder="1" applyAlignment="1" applyProtection="1">
      <alignment horizontal="center"/>
    </xf>
    <xf numFmtId="2" fontId="0" fillId="0" borderId="4" xfId="0" applyNumberFormat="1" applyBorder="1" applyAlignment="1">
      <alignment horizontal="right"/>
    </xf>
    <xf numFmtId="2" fontId="0" fillId="0" borderId="0" xfId="3" applyNumberFormat="1" applyFont="1" applyBorder="1" applyAlignment="1">
      <alignment horizontal="right"/>
    </xf>
    <xf numFmtId="2" fontId="13" fillId="0" borderId="4" xfId="0" applyNumberFormat="1" applyFont="1" applyBorder="1" applyAlignment="1">
      <alignment horizontal="right"/>
    </xf>
    <xf numFmtId="166" fontId="0" fillId="0" borderId="4" xfId="0" applyNumberFormat="1" applyBorder="1" applyAlignment="1">
      <alignment horizontal="right"/>
    </xf>
    <xf numFmtId="1" fontId="0" fillId="0" borderId="4" xfId="0" applyNumberFormat="1" applyBorder="1" applyAlignment="1">
      <alignment horizontal="right"/>
    </xf>
    <xf numFmtId="1" fontId="0" fillId="0" borderId="6" xfId="0" applyNumberFormat="1" applyBorder="1" applyAlignment="1">
      <alignment horizontal="right"/>
    </xf>
    <xf numFmtId="165" fontId="11" fillId="0" borderId="0" xfId="1" applyFont="1" applyBorder="1"/>
    <xf numFmtId="2" fontId="0" fillId="0" borderId="0" xfId="0" applyNumberFormat="1" applyAlignment="1">
      <alignment horizontal="right"/>
    </xf>
    <xf numFmtId="0" fontId="11" fillId="0" borderId="7" xfId="0" applyFont="1" applyBorder="1" applyAlignment="1">
      <alignment horizontal="center"/>
    </xf>
    <xf numFmtId="0" fontId="13" fillId="0" borderId="0" xfId="0" quotePrefix="1" applyFont="1" applyAlignment="1">
      <alignment horizontal="center"/>
    </xf>
    <xf numFmtId="165" fontId="13" fillId="0" borderId="0" xfId="1" applyFont="1" applyBorder="1" applyProtection="1"/>
    <xf numFmtId="165" fontId="0" fillId="0" borderId="10" xfId="1" applyFont="1" applyBorder="1" applyAlignment="1" applyProtection="1">
      <alignment horizontal="center"/>
    </xf>
    <xf numFmtId="165" fontId="2" fillId="0" borderId="0" xfId="1" applyFont="1" applyBorder="1" applyAlignment="1" applyProtection="1">
      <alignment horizontal="right"/>
    </xf>
    <xf numFmtId="165" fontId="11" fillId="0" borderId="0" xfId="1" applyFont="1" applyBorder="1" applyAlignment="1">
      <alignment horizontal="left"/>
    </xf>
    <xf numFmtId="165" fontId="11" fillId="0" borderId="0" xfId="1" applyFont="1" applyBorder="1" applyAlignment="1" applyProtection="1">
      <alignment horizontal="center"/>
    </xf>
    <xf numFmtId="165" fontId="11" fillId="0" borderId="1" xfId="1" applyFont="1" applyBorder="1" applyAlignment="1" applyProtection="1">
      <alignment horizontal="center"/>
    </xf>
    <xf numFmtId="0" fontId="11" fillId="0" borderId="1" xfId="0" applyFont="1" applyBorder="1"/>
    <xf numFmtId="165" fontId="11" fillId="0" borderId="7" xfId="1" applyFont="1" applyBorder="1" applyAlignment="1" applyProtection="1">
      <alignment horizontal="center"/>
    </xf>
    <xf numFmtId="2" fontId="0" fillId="0" borderId="6" xfId="0" applyNumberFormat="1" applyBorder="1"/>
    <xf numFmtId="0" fontId="13" fillId="0" borderId="0" xfId="0" applyFont="1"/>
    <xf numFmtId="0" fontId="11" fillId="0" borderId="9" xfId="0" applyFont="1" applyBorder="1" applyAlignment="1">
      <alignment horizontal="center"/>
    </xf>
    <xf numFmtId="0" fontId="11" fillId="0" borderId="11" xfId="0" applyFont="1" applyBorder="1" applyAlignment="1">
      <alignment horizontal="center"/>
    </xf>
    <xf numFmtId="165" fontId="11" fillId="0" borderId="4" xfId="1" applyFont="1" applyBorder="1" applyProtection="1"/>
    <xf numFmtId="165" fontId="11" fillId="0" borderId="1" xfId="1" applyFont="1" applyBorder="1" applyAlignment="1">
      <alignment horizontal="left"/>
    </xf>
    <xf numFmtId="0" fontId="11" fillId="0" borderId="12" xfId="0" applyFont="1" applyBorder="1" applyAlignment="1">
      <alignment horizontal="center"/>
    </xf>
    <xf numFmtId="2" fontId="0" fillId="0" borderId="4" xfId="3" applyNumberFormat="1" applyFont="1" applyBorder="1" applyAlignment="1">
      <alignment horizontal="right"/>
    </xf>
    <xf numFmtId="0" fontId="0" fillId="0" borderId="3" xfId="0" applyBorder="1"/>
    <xf numFmtId="0" fontId="11" fillId="0" borderId="1" xfId="0" applyFont="1" applyBorder="1" applyAlignment="1">
      <alignment horizontal="left"/>
    </xf>
    <xf numFmtId="0" fontId="11" fillId="0" borderId="0" xfId="0" applyFont="1" applyAlignment="1">
      <alignment horizontal="left"/>
    </xf>
    <xf numFmtId="0" fontId="11" fillId="0" borderId="7" xfId="0" applyFont="1" applyBorder="1" applyAlignment="1">
      <alignment horizontal="left"/>
    </xf>
    <xf numFmtId="0" fontId="11" fillId="0" borderId="12" xfId="0" applyFont="1" applyBorder="1" applyAlignment="1">
      <alignment horizontal="left"/>
    </xf>
    <xf numFmtId="0" fontId="11" fillId="0" borderId="1" xfId="0" applyFont="1" applyBorder="1" applyAlignment="1">
      <alignment horizontal="center"/>
    </xf>
    <xf numFmtId="0" fontId="11" fillId="0" borderId="5" xfId="0" applyFont="1" applyBorder="1"/>
    <xf numFmtId="1" fontId="0" fillId="0" borderId="2" xfId="0" applyNumberFormat="1" applyBorder="1"/>
    <xf numFmtId="2" fontId="0" fillId="0" borderId="4" xfId="3" applyNumberFormat="1" applyFont="1" applyBorder="1" applyAlignment="1"/>
    <xf numFmtId="1" fontId="0" fillId="0" borderId="6" xfId="0" applyNumberFormat="1" applyBorder="1"/>
    <xf numFmtId="2" fontId="13" fillId="0" borderId="2" xfId="0" applyNumberFormat="1" applyFont="1" applyBorder="1"/>
    <xf numFmtId="165" fontId="0" fillId="0" borderId="7" xfId="1" applyFont="1" applyBorder="1" applyAlignment="1" applyProtection="1">
      <alignment horizontal="left"/>
    </xf>
    <xf numFmtId="0" fontId="11" fillId="0" borderId="11" xfId="0" applyFont="1" applyBorder="1"/>
    <xf numFmtId="43" fontId="0" fillId="0" borderId="0" xfId="0" applyNumberFormat="1"/>
    <xf numFmtId="0" fontId="13" fillId="0" borderId="17" xfId="0" applyFont="1" applyBorder="1" applyAlignment="1">
      <alignment horizontal="center" wrapText="1"/>
    </xf>
    <xf numFmtId="0" fontId="13" fillId="0" borderId="18" xfId="0" applyFont="1" applyBorder="1" applyAlignment="1">
      <alignment horizontal="center" wrapText="1"/>
    </xf>
    <xf numFmtId="165" fontId="0" fillId="0" borderId="18" xfId="1" applyFont="1" applyBorder="1"/>
    <xf numFmtId="165" fontId="11" fillId="0" borderId="18" xfId="1" applyFont="1" applyBorder="1" applyAlignment="1">
      <alignment horizontal="center"/>
    </xf>
    <xf numFmtId="0" fontId="11" fillId="0" borderId="18" xfId="0" applyFont="1" applyBorder="1"/>
    <xf numFmtId="2" fontId="0" fillId="0" borderId="17" xfId="0" applyNumberFormat="1" applyBorder="1" applyAlignment="1">
      <alignment horizontal="right"/>
    </xf>
    <xf numFmtId="0" fontId="11" fillId="0" borderId="19" xfId="0" applyFont="1" applyBorder="1" applyAlignment="1">
      <alignment horizontal="center"/>
    </xf>
    <xf numFmtId="2" fontId="0" fillId="0" borderId="18" xfId="0" applyNumberFormat="1" applyBorder="1" applyAlignment="1">
      <alignment horizontal="right"/>
    </xf>
    <xf numFmtId="0" fontId="0" fillId="0" borderId="19" xfId="0" applyBorder="1" applyAlignment="1">
      <alignment horizontal="center"/>
    </xf>
    <xf numFmtId="0" fontId="13" fillId="0" borderId="7" xfId="0" applyFont="1" applyBorder="1"/>
    <xf numFmtId="0" fontId="11" fillId="0" borderId="13" xfId="0" applyFont="1" applyBorder="1"/>
    <xf numFmtId="165" fontId="1" fillId="0" borderId="2" xfId="1" applyFont="1" applyBorder="1" applyAlignment="1" applyProtection="1">
      <alignment horizontal="center"/>
    </xf>
    <xf numFmtId="0" fontId="13" fillId="0" borderId="10" xfId="0" applyFont="1" applyBorder="1"/>
    <xf numFmtId="167" fontId="0" fillId="0" borderId="2" xfId="0" applyNumberFormat="1" applyBorder="1"/>
    <xf numFmtId="0" fontId="2" fillId="0" borderId="9" xfId="0" applyFont="1" applyBorder="1"/>
    <xf numFmtId="167" fontId="0" fillId="0" borderId="4" xfId="0" applyNumberFormat="1" applyBorder="1"/>
    <xf numFmtId="0" fontId="2" fillId="0" borderId="11" xfId="0" applyFont="1" applyBorder="1"/>
    <xf numFmtId="165" fontId="2" fillId="0" borderId="1" xfId="1" applyFont="1" applyBorder="1" applyAlignment="1" applyProtection="1">
      <alignment horizontal="center"/>
    </xf>
    <xf numFmtId="165" fontId="0" fillId="0" borderId="4" xfId="1" applyFont="1" applyBorder="1" applyProtection="1"/>
    <xf numFmtId="0" fontId="14" fillId="0" borderId="11" xfId="0" applyFont="1" applyBorder="1"/>
    <xf numFmtId="0" fontId="0" fillId="0" borderId="6" xfId="0" applyBorder="1" applyAlignment="1">
      <alignment horizontal="right"/>
    </xf>
    <xf numFmtId="2" fontId="0" fillId="0" borderId="2" xfId="0" applyNumberFormat="1" applyBorder="1" applyAlignment="1">
      <alignment horizontal="right"/>
    </xf>
    <xf numFmtId="0" fontId="0" fillId="0" borderId="4" xfId="0" applyBorder="1" applyAlignment="1">
      <alignment horizontal="right"/>
    </xf>
    <xf numFmtId="0" fontId="0" fillId="0" borderId="11" xfId="0" applyBorder="1" applyAlignment="1">
      <alignment vertical="center"/>
    </xf>
    <xf numFmtId="0" fontId="0" fillId="0" borderId="12" xfId="0" applyBorder="1" applyAlignment="1">
      <alignment vertical="center" wrapText="1"/>
    </xf>
    <xf numFmtId="0" fontId="0" fillId="0" borderId="11" xfId="0" applyBorder="1" applyAlignment="1">
      <alignment horizontal="right"/>
    </xf>
    <xf numFmtId="0" fontId="0" fillId="0" borderId="12" xfId="0" applyBorder="1" applyAlignment="1">
      <alignment horizontal="right"/>
    </xf>
    <xf numFmtId="0" fontId="0" fillId="0" borderId="9" xfId="0" applyBorder="1" applyAlignment="1">
      <alignment horizontal="right"/>
    </xf>
    <xf numFmtId="0" fontId="0" fillId="0" borderId="3" xfId="0" applyBorder="1" applyAlignment="1">
      <alignment horizontal="center"/>
    </xf>
    <xf numFmtId="0" fontId="11" fillId="0" borderId="3" xfId="0" applyFont="1" applyBorder="1"/>
    <xf numFmtId="168" fontId="0" fillId="0" borderId="4" xfId="1" applyNumberFormat="1" applyFont="1" applyBorder="1" applyAlignment="1" applyProtection="1">
      <alignment horizontal="center"/>
    </xf>
    <xf numFmtId="165" fontId="0" fillId="0" borderId="4" xfId="1" applyFont="1" applyBorder="1" applyAlignment="1" applyProtection="1">
      <alignment horizontal="center"/>
    </xf>
    <xf numFmtId="165" fontId="0" fillId="0" borderId="6" xfId="1" applyFont="1" applyBorder="1" applyAlignment="1" applyProtection="1">
      <alignment horizontal="center"/>
    </xf>
    <xf numFmtId="0" fontId="0" fillId="0" borderId="12" xfId="0" applyBorder="1" applyAlignment="1">
      <alignment vertical="center"/>
    </xf>
    <xf numFmtId="167" fontId="0" fillId="0" borderId="6" xfId="0" applyNumberFormat="1" applyBorder="1" applyAlignment="1">
      <alignment horizontal="right"/>
    </xf>
    <xf numFmtId="2" fontId="0" fillId="0" borderId="6" xfId="0" applyNumberFormat="1" applyBorder="1" applyAlignment="1">
      <alignment horizontal="right"/>
    </xf>
    <xf numFmtId="9" fontId="0" fillId="0" borderId="4" xfId="3" applyFont="1" applyBorder="1"/>
    <xf numFmtId="165" fontId="1" fillId="0" borderId="10" xfId="1" applyFont="1" applyBorder="1" applyAlignment="1" applyProtection="1">
      <alignment horizontal="center"/>
    </xf>
    <xf numFmtId="165" fontId="0" fillId="0" borderId="6" xfId="1" applyFont="1" applyBorder="1" applyProtection="1"/>
    <xf numFmtId="0" fontId="11" fillId="0" borderId="0" xfId="0" applyFont="1" applyAlignment="1">
      <alignment horizontal="center" vertical="center" wrapText="1"/>
    </xf>
    <xf numFmtId="0" fontId="11" fillId="0" borderId="7" xfId="0" applyFont="1" applyBorder="1" applyAlignment="1">
      <alignment horizontal="center" vertical="center" wrapText="1"/>
    </xf>
    <xf numFmtId="0" fontId="11" fillId="0" borderId="11" xfId="0" applyFont="1" applyBorder="1" applyAlignment="1">
      <alignment vertical="center"/>
    </xf>
    <xf numFmtId="0" fontId="13" fillId="0" borderId="2" xfId="0" applyFont="1" applyBorder="1" applyAlignment="1">
      <alignment horizontal="right"/>
    </xf>
    <xf numFmtId="0" fontId="0" fillId="0" borderId="1" xfId="0" applyBorder="1" applyAlignment="1">
      <alignment horizontal="center"/>
    </xf>
    <xf numFmtId="165" fontId="13" fillId="0" borderId="1" xfId="1" applyFont="1" applyBorder="1" applyAlignment="1" applyProtection="1">
      <alignment horizontal="center"/>
    </xf>
    <xf numFmtId="165" fontId="11" fillId="0" borderId="10" xfId="1" applyFont="1" applyBorder="1" applyAlignment="1" applyProtection="1">
      <alignment horizontal="center"/>
    </xf>
    <xf numFmtId="165" fontId="13" fillId="0" borderId="10" xfId="1" applyFont="1" applyBorder="1" applyAlignment="1" applyProtection="1">
      <alignment horizontal="center"/>
    </xf>
    <xf numFmtId="2" fontId="0" fillId="0" borderId="13" xfId="0" applyNumberFormat="1" applyBorder="1" applyAlignment="1">
      <alignment horizontal="right"/>
    </xf>
    <xf numFmtId="0" fontId="11" fillId="0" borderId="14" xfId="0" applyFont="1" applyBorder="1" applyAlignment="1">
      <alignment horizontal="center"/>
    </xf>
    <xf numFmtId="0" fontId="0" fillId="0" borderId="14" xfId="0" applyBorder="1" applyAlignment="1">
      <alignment horizontal="center"/>
    </xf>
    <xf numFmtId="0" fontId="11" fillId="0" borderId="15" xfId="0" applyFont="1" applyBorder="1"/>
    <xf numFmtId="0" fontId="11" fillId="0" borderId="10" xfId="0" applyFont="1" applyBorder="1" applyAlignment="1">
      <alignment horizontal="right"/>
    </xf>
    <xf numFmtId="165" fontId="13" fillId="0" borderId="0" xfId="1" applyFont="1" applyBorder="1" applyAlignment="1" applyProtection="1">
      <alignment horizontal="center"/>
    </xf>
    <xf numFmtId="0" fontId="11" fillId="0" borderId="0" xfId="0" applyFont="1" applyAlignment="1">
      <alignment horizontal="right"/>
    </xf>
    <xf numFmtId="2" fontId="11" fillId="0" borderId="4" xfId="0" applyNumberFormat="1" applyFont="1" applyBorder="1"/>
    <xf numFmtId="0" fontId="13" fillId="0" borderId="9" xfId="0" applyFont="1" applyBorder="1"/>
    <xf numFmtId="165" fontId="13" fillId="0" borderId="4" xfId="1" applyFont="1" applyBorder="1" applyAlignment="1" applyProtection="1">
      <alignment horizontal="center"/>
    </xf>
    <xf numFmtId="165" fontId="13" fillId="0" borderId="2" xfId="1" applyFont="1" applyBorder="1" applyAlignment="1" applyProtection="1">
      <alignment horizontal="center"/>
    </xf>
    <xf numFmtId="0" fontId="11" fillId="0" borderId="10" xfId="0" applyFont="1" applyBorder="1" applyAlignment="1">
      <alignment horizontal="center"/>
    </xf>
    <xf numFmtId="0" fontId="2" fillId="0" borderId="12" xfId="0" applyFont="1" applyBorder="1"/>
    <xf numFmtId="0" fontId="0" fillId="0" borderId="1" xfId="0" applyBorder="1" applyAlignment="1">
      <alignment horizontal="left"/>
    </xf>
    <xf numFmtId="165" fontId="0" fillId="0" borderId="0" xfId="1" applyFont="1" applyBorder="1" applyAlignment="1" applyProtection="1">
      <alignment horizontal="left" vertical="center"/>
    </xf>
    <xf numFmtId="165" fontId="0" fillId="0" borderId="7" xfId="1" applyFont="1" applyBorder="1" applyAlignment="1" applyProtection="1">
      <alignment horizontal="left" vertical="center"/>
    </xf>
    <xf numFmtId="0" fontId="0" fillId="0" borderId="10" xfId="0" applyBorder="1" applyAlignment="1">
      <alignment horizontal="left"/>
    </xf>
    <xf numFmtId="0" fontId="13" fillId="0" borderId="1" xfId="0" applyFont="1" applyBorder="1" applyAlignment="1">
      <alignment horizontal="left"/>
    </xf>
    <xf numFmtId="0" fontId="4" fillId="0" borderId="1" xfId="0" applyFont="1" applyBorder="1" applyAlignment="1">
      <alignment horizontal="center"/>
    </xf>
    <xf numFmtId="0" fontId="11" fillId="0" borderId="8" xfId="0" applyFont="1" applyBorder="1"/>
    <xf numFmtId="0" fontId="0" fillId="0" borderId="5" xfId="0" applyBorder="1" applyAlignment="1">
      <alignment horizontal="center"/>
    </xf>
    <xf numFmtId="0" fontId="2" fillId="0" borderId="7" xfId="0" applyFont="1" applyBorder="1" applyAlignment="1">
      <alignment horizontal="center"/>
    </xf>
    <xf numFmtId="0" fontId="0" fillId="0" borderId="8" xfId="0" applyBorder="1" applyAlignment="1">
      <alignment horizontal="center"/>
    </xf>
    <xf numFmtId="0" fontId="11" fillId="0" borderId="5" xfId="0" applyFont="1" applyBorder="1" applyAlignment="1">
      <alignment wrapText="1"/>
    </xf>
    <xf numFmtId="0" fontId="0" fillId="0" borderId="8" xfId="0" applyBorder="1" applyAlignment="1">
      <alignment wrapText="1"/>
    </xf>
    <xf numFmtId="0" fontId="0" fillId="0" borderId="0" xfId="0" applyAlignment="1">
      <alignment horizontal="center" wrapText="1"/>
    </xf>
    <xf numFmtId="0" fontId="0" fillId="0" borderId="11" xfId="0" applyBorder="1" applyAlignment="1">
      <alignment horizontal="center" vertical="center" wrapText="1"/>
    </xf>
    <xf numFmtId="2" fontId="0" fillId="0" borderId="13" xfId="0" applyNumberFormat="1" applyBorder="1"/>
    <xf numFmtId="165" fontId="0" fillId="0" borderId="13" xfId="1" applyFont="1" applyBorder="1" applyAlignment="1" applyProtection="1">
      <alignment horizontal="center"/>
    </xf>
    <xf numFmtId="0" fontId="11" fillId="0" borderId="6" xfId="0" applyFont="1" applyBorder="1"/>
    <xf numFmtId="165" fontId="0" fillId="0" borderId="0" xfId="1" applyFont="1" applyBorder="1" applyAlignment="1" applyProtection="1">
      <alignment horizontal="center" vertical="center"/>
    </xf>
    <xf numFmtId="168" fontId="0" fillId="0" borderId="0" xfId="1" applyNumberFormat="1" applyFont="1" applyBorder="1" applyAlignment="1" applyProtection="1">
      <alignment horizontal="center"/>
    </xf>
    <xf numFmtId="0" fontId="0" fillId="0" borderId="0" xfId="0" applyAlignment="1">
      <alignment vertical="center" wrapText="1"/>
    </xf>
    <xf numFmtId="0" fontId="0" fillId="0" borderId="4" xfId="0" applyBorder="1" applyAlignment="1">
      <alignment horizontal="center" wrapText="1"/>
    </xf>
    <xf numFmtId="0" fontId="10" fillId="0" borderId="0" xfId="0" applyFont="1" applyAlignment="1">
      <alignment horizontal="center"/>
    </xf>
    <xf numFmtId="2" fontId="2" fillId="0" borderId="4" xfId="0" applyNumberFormat="1" applyFont="1" applyBorder="1"/>
    <xf numFmtId="0" fontId="11" fillId="0" borderId="0" xfId="0" applyFont="1" applyAlignment="1">
      <alignment wrapText="1"/>
    </xf>
    <xf numFmtId="0" fontId="0" fillId="0" borderId="0" xfId="0" applyAlignment="1">
      <alignment wrapText="1"/>
    </xf>
    <xf numFmtId="0" fontId="8" fillId="0" borderId="0" xfId="0" applyFont="1" applyAlignment="1">
      <alignment wrapText="1"/>
    </xf>
    <xf numFmtId="0" fontId="13" fillId="0" borderId="0" xfId="0" applyFont="1" applyAlignment="1">
      <alignment wrapText="1"/>
    </xf>
    <xf numFmtId="0" fontId="11" fillId="0" borderId="0" xfId="0" applyFont="1" applyAlignment="1">
      <alignment vertical="center" wrapText="1"/>
    </xf>
    <xf numFmtId="14" fontId="0" fillId="0" borderId="0" xfId="0" applyNumberFormat="1"/>
    <xf numFmtId="0" fontId="11" fillId="0" borderId="0" xfId="2" applyFont="1" applyBorder="1" applyProtection="1"/>
    <xf numFmtId="0" fontId="0" fillId="0" borderId="0" xfId="1" applyNumberFormat="1" applyFont="1" applyBorder="1" applyProtection="1"/>
    <xf numFmtId="164" fontId="0" fillId="0" borderId="0" xfId="0" applyNumberFormat="1"/>
    <xf numFmtId="0" fontId="9" fillId="0" borderId="0" xfId="0" applyFont="1"/>
    <xf numFmtId="0" fontId="9" fillId="0" borderId="1" xfId="0" applyFont="1" applyBorder="1" applyAlignment="1">
      <alignment horizontal="center"/>
    </xf>
    <xf numFmtId="0" fontId="9" fillId="0" borderId="14" xfId="0" applyFont="1" applyBorder="1" applyAlignment="1">
      <alignment horizontal="center"/>
    </xf>
    <xf numFmtId="2" fontId="0" fillId="0" borderId="4" xfId="0" applyNumberFormat="1" applyBorder="1" applyAlignment="1">
      <alignment horizontal="center" vertical="center"/>
    </xf>
    <xf numFmtId="2" fontId="9" fillId="0" borderId="2" xfId="1" applyNumberFormat="1" applyBorder="1" applyAlignment="1" applyProtection="1">
      <alignment horizontal="center"/>
    </xf>
    <xf numFmtId="2" fontId="9" fillId="0" borderId="4" xfId="1" applyNumberFormat="1" applyBorder="1" applyAlignment="1" applyProtection="1">
      <alignment horizontal="center"/>
    </xf>
    <xf numFmtId="0" fontId="9" fillId="0" borderId="11" xfId="0" applyFont="1" applyBorder="1" applyAlignment="1">
      <alignment horizontal="center"/>
    </xf>
    <xf numFmtId="165" fontId="9" fillId="0" borderId="1" xfId="1" applyBorder="1" applyAlignment="1" applyProtection="1">
      <alignment horizontal="center"/>
    </xf>
    <xf numFmtId="0" fontId="9" fillId="0" borderId="12" xfId="0" applyFont="1" applyBorder="1" applyAlignment="1">
      <alignment horizontal="center"/>
    </xf>
    <xf numFmtId="165" fontId="8" fillId="0" borderId="1" xfId="1" applyFont="1" applyBorder="1" applyAlignment="1" applyProtection="1">
      <alignment horizontal="center"/>
    </xf>
    <xf numFmtId="165" fontId="8" fillId="0" borderId="2" xfId="1" applyFont="1" applyBorder="1" applyAlignment="1" applyProtection="1">
      <alignment horizontal="center"/>
    </xf>
    <xf numFmtId="0" fontId="11" fillId="0" borderId="16" xfId="0" applyFont="1" applyBorder="1" applyAlignment="1">
      <alignment horizontal="center"/>
    </xf>
    <xf numFmtId="164" fontId="0" fillId="0" borderId="16" xfId="0" applyNumberFormat="1" applyBorder="1"/>
    <xf numFmtId="0" fontId="0" fillId="0" borderId="2" xfId="0" applyBorder="1" applyAlignment="1">
      <alignment horizontal="right"/>
    </xf>
    <xf numFmtId="0" fontId="9" fillId="0" borderId="0" xfId="0" applyFont="1" applyAlignment="1">
      <alignment horizontal="center"/>
    </xf>
    <xf numFmtId="0" fontId="1" fillId="0" borderId="13" xfId="1" applyNumberFormat="1" applyFont="1" applyBorder="1" applyAlignment="1" applyProtection="1">
      <alignment horizontal="center"/>
    </xf>
    <xf numFmtId="0" fontId="1" fillId="0" borderId="10" xfId="1" applyNumberFormat="1" applyFont="1" applyBorder="1" applyAlignment="1" applyProtection="1">
      <alignment horizontal="center"/>
    </xf>
    <xf numFmtId="0" fontId="13" fillId="0" borderId="13" xfId="0" applyFont="1" applyBorder="1" applyAlignment="1">
      <alignment horizontal="left"/>
    </xf>
    <xf numFmtId="0" fontId="13" fillId="0" borderId="10" xfId="0" applyFont="1" applyBorder="1" applyAlignment="1">
      <alignment horizontal="left"/>
    </xf>
    <xf numFmtId="0" fontId="13" fillId="0" borderId="14" xfId="0" applyFont="1" applyBorder="1" applyAlignment="1">
      <alignment horizontal="left"/>
    </xf>
    <xf numFmtId="0" fontId="8" fillId="0" borderId="13" xfId="0" applyFont="1" applyBorder="1" applyAlignment="1">
      <alignment horizontal="left" vertical="center"/>
    </xf>
    <xf numFmtId="0" fontId="8" fillId="0" borderId="10" xfId="0" applyFont="1" applyBorder="1" applyAlignment="1">
      <alignment horizontal="left" vertical="center"/>
    </xf>
    <xf numFmtId="0" fontId="8" fillId="0" borderId="14" xfId="0" applyFont="1" applyBorder="1" applyAlignment="1">
      <alignment horizontal="left" vertical="center"/>
    </xf>
    <xf numFmtId="0" fontId="0" fillId="0" borderId="3" xfId="0" applyBorder="1" applyAlignment="1">
      <alignment horizontal="center"/>
    </xf>
    <xf numFmtId="0" fontId="0" fillId="0" borderId="5" xfId="0" applyBorder="1" applyAlignment="1">
      <alignment horizontal="center"/>
    </xf>
    <xf numFmtId="0" fontId="13" fillId="0" borderId="2" xfId="0" applyFont="1" applyBorder="1" applyAlignment="1">
      <alignment horizontal="center" wrapText="1"/>
    </xf>
    <xf numFmtId="0" fontId="13" fillId="0" borderId="4" xfId="0" applyFont="1" applyBorder="1" applyAlignment="1">
      <alignment horizontal="center" wrapText="1"/>
    </xf>
    <xf numFmtId="165" fontId="1" fillId="0" borderId="1" xfId="1" applyFont="1" applyBorder="1" applyAlignment="1" applyProtection="1">
      <alignment horizontal="center"/>
    </xf>
    <xf numFmtId="165" fontId="1" fillId="0" borderId="0" xfId="1" applyFont="1" applyBorder="1" applyAlignment="1" applyProtection="1">
      <alignment horizontal="center"/>
    </xf>
    <xf numFmtId="0" fontId="1" fillId="0" borderId="9" xfId="0" applyFont="1" applyBorder="1" applyAlignment="1">
      <alignment horizontal="center"/>
    </xf>
    <xf numFmtId="0" fontId="1" fillId="0" borderId="11" xfId="0" applyFont="1" applyBorder="1" applyAlignment="1">
      <alignment horizontal="center"/>
    </xf>
    <xf numFmtId="0" fontId="13" fillId="0" borderId="13" xfId="0" applyFont="1" applyBorder="1" applyAlignment="1">
      <alignment horizontal="center"/>
    </xf>
    <xf numFmtId="0" fontId="13" fillId="0" borderId="14" xfId="0" applyFont="1" applyBorder="1" applyAlignment="1">
      <alignment horizontal="center"/>
    </xf>
    <xf numFmtId="0" fontId="0" fillId="0" borderId="5" xfId="0" applyBorder="1" applyAlignment="1">
      <alignment horizontal="center" wrapText="1"/>
    </xf>
    <xf numFmtId="0" fontId="13" fillId="0" borderId="6" xfId="0" applyFont="1" applyBorder="1" applyAlignment="1">
      <alignment horizontal="center" wrapText="1"/>
    </xf>
    <xf numFmtId="0" fontId="13" fillId="0" borderId="0" xfId="0" applyFont="1" applyAlignment="1">
      <alignment horizontal="center" wrapText="1"/>
    </xf>
    <xf numFmtId="0" fontId="13" fillId="0" borderId="7" xfId="0" applyFont="1" applyBorder="1" applyAlignment="1">
      <alignment horizontal="center" wrapText="1"/>
    </xf>
    <xf numFmtId="165" fontId="1" fillId="0" borderId="7" xfId="1" applyFont="1" applyBorder="1" applyAlignment="1" applyProtection="1">
      <alignment horizontal="center"/>
    </xf>
    <xf numFmtId="0" fontId="2" fillId="0" borderId="0" xfId="0" applyFont="1" applyAlignment="1">
      <alignment horizontal="center"/>
    </xf>
    <xf numFmtId="0" fontId="2" fillId="0" borderId="7" xfId="0" applyFont="1" applyBorder="1" applyAlignment="1">
      <alignment horizontal="center"/>
    </xf>
    <xf numFmtId="0" fontId="1" fillId="0" borderId="12" xfId="0" applyFont="1" applyBorder="1" applyAlignment="1">
      <alignment horizontal="center"/>
    </xf>
    <xf numFmtId="0" fontId="13" fillId="0" borderId="6" xfId="0" applyFont="1" applyBorder="1" applyAlignment="1">
      <alignment horizontal="center"/>
    </xf>
    <xf numFmtId="0" fontId="13" fillId="0" borderId="12" xfId="0" applyFont="1" applyBorder="1" applyAlignment="1">
      <alignment horizontal="center"/>
    </xf>
    <xf numFmtId="0" fontId="1" fillId="0" borderId="6" xfId="1" applyNumberFormat="1" applyFont="1" applyBorder="1" applyAlignment="1" applyProtection="1">
      <alignment horizontal="center"/>
    </xf>
    <xf numFmtId="0" fontId="1" fillId="0" borderId="12" xfId="1" applyNumberFormat="1" applyFont="1" applyBorder="1" applyAlignment="1" applyProtection="1">
      <alignment horizontal="center"/>
    </xf>
    <xf numFmtId="0" fontId="13" fillId="0" borderId="1" xfId="0" applyFont="1" applyBorder="1" applyAlignment="1">
      <alignment horizontal="center" wrapText="1"/>
    </xf>
    <xf numFmtId="0" fontId="2" fillId="0" borderId="1" xfId="0" applyFont="1" applyBorder="1" applyAlignment="1">
      <alignment horizontal="center"/>
    </xf>
    <xf numFmtId="0" fontId="1" fillId="0" borderId="1" xfId="0" applyFont="1" applyBorder="1" applyAlignment="1">
      <alignment horizontal="center" wrapText="1"/>
    </xf>
    <xf numFmtId="0" fontId="1" fillId="0" borderId="7" xfId="0" applyFont="1" applyBorder="1" applyAlignment="1">
      <alignment horizontal="center" wrapText="1"/>
    </xf>
    <xf numFmtId="0" fontId="11" fillId="0" borderId="5" xfId="0" applyFont="1" applyBorder="1" applyAlignment="1">
      <alignment horizontal="center" wrapText="1"/>
    </xf>
    <xf numFmtId="0" fontId="0" fillId="0" borderId="8" xfId="0" applyBorder="1" applyAlignment="1">
      <alignment horizontal="center"/>
    </xf>
    <xf numFmtId="0" fontId="1" fillId="0" borderId="14" xfId="1" applyNumberFormat="1" applyFont="1" applyBorder="1" applyAlignment="1" applyProtection="1">
      <alignment horizontal="center"/>
    </xf>
    <xf numFmtId="0" fontId="1" fillId="0" borderId="2" xfId="1" applyNumberFormat="1" applyFont="1" applyBorder="1" applyAlignment="1" applyProtection="1">
      <alignment horizontal="center"/>
    </xf>
    <xf numFmtId="0" fontId="1" fillId="0" borderId="1" xfId="1" applyNumberFormat="1" applyFont="1" applyBorder="1" applyAlignment="1" applyProtection="1">
      <alignment horizontal="center"/>
    </xf>
    <xf numFmtId="0" fontId="1" fillId="0" borderId="7" xfId="0" applyFont="1" applyBorder="1" applyAlignment="1">
      <alignment horizontal="center"/>
    </xf>
    <xf numFmtId="0" fontId="13" fillId="0" borderId="2" xfId="0" applyFont="1" applyBorder="1" applyAlignment="1">
      <alignment horizontal="center"/>
    </xf>
    <xf numFmtId="0" fontId="13" fillId="0" borderId="9" xfId="0" applyFont="1" applyBorder="1" applyAlignment="1">
      <alignment horizontal="center"/>
    </xf>
    <xf numFmtId="165" fontId="0" fillId="0" borderId="3" xfId="1" applyFont="1" applyBorder="1" applyAlignment="1" applyProtection="1">
      <alignment horizontal="center" wrapText="1"/>
    </xf>
    <xf numFmtId="165" fontId="0" fillId="0" borderId="5" xfId="1" applyFont="1" applyBorder="1" applyAlignment="1" applyProtection="1">
      <alignment horizontal="center" wrapText="1"/>
    </xf>
    <xf numFmtId="165" fontId="0" fillId="0" borderId="8" xfId="1" applyFont="1" applyBorder="1" applyAlignment="1" applyProtection="1">
      <alignment horizontal="center" wrapText="1"/>
    </xf>
    <xf numFmtId="165" fontId="4" fillId="0" borderId="0" xfId="1" applyFont="1" applyBorder="1" applyAlignment="1" applyProtection="1">
      <alignment horizontal="center" vertical="center"/>
    </xf>
    <xf numFmtId="165" fontId="1" fillId="0" borderId="1" xfId="1" applyFont="1" applyBorder="1" applyAlignment="1" applyProtection="1">
      <alignment horizontal="left"/>
    </xf>
    <xf numFmtId="165" fontId="1" fillId="0" borderId="7" xfId="1" applyFont="1" applyBorder="1" applyAlignment="1" applyProtection="1">
      <alignment horizontal="left"/>
    </xf>
    <xf numFmtId="0" fontId="2" fillId="0" borderId="1" xfId="0" applyFont="1" applyBorder="1" applyAlignment="1">
      <alignment horizontal="left"/>
    </xf>
    <xf numFmtId="0" fontId="2" fillId="0" borderId="7" xfId="0" applyFont="1" applyBorder="1" applyAlignment="1">
      <alignment horizontal="left"/>
    </xf>
    <xf numFmtId="0" fontId="0" fillId="0" borderId="8" xfId="0" applyBorder="1" applyAlignment="1">
      <alignment horizontal="center" wrapText="1"/>
    </xf>
  </cellXfs>
  <cellStyles count="4">
    <cellStyle name="Komma" xfId="1" builtinId="3"/>
    <cellStyle name="Link" xfId="2" builtinId="8"/>
    <cellStyle name="Prozent" xfId="3"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85724"/>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34</xdr:col>
      <xdr:colOff>0</xdr:colOff>
      <xdr:row>47</xdr:row>
      <xdr:rowOff>0</xdr:rowOff>
    </xdr:from>
    <xdr:to>
      <xdr:col>47</xdr:col>
      <xdr:colOff>656215</xdr:colOff>
      <xdr:row>92</xdr:row>
      <xdr:rowOff>135160</xdr:rowOff>
    </xdr:to>
    <xdr:sp macro="" textlink="">
      <xdr:nvSpPr>
        <xdr:cNvPr id="2" name="AutoShape 8">
          <a:extLst>
            <a:ext uri="{FF2B5EF4-FFF2-40B4-BE49-F238E27FC236}">
              <a16:creationId xmlns:a16="http://schemas.microsoft.com/office/drawing/2014/main" id="{00000000-0008-0000-0200-000002000000}"/>
            </a:ext>
          </a:extLst>
        </xdr:cNvPr>
        <xdr:cNvSpPr/>
      </xdr:nvSpPr>
      <xdr:spPr>
        <a:xfrm>
          <a:off x="28716480" y="10267920"/>
          <a:ext cx="10592280" cy="85046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hyperlink" Target="https://www.sciencedirect.com/science/article/pii/S0360544225010539" TargetMode="External"/><Relationship Id="rId2" Type="http://schemas.openxmlformats.org/officeDocument/2006/relationships/hyperlink" Target="https://dechema.de/dechema_media/Downloads/Positionspapiere/Technology_study_Low_carbon_energy_and_feedstock_for_the_European_chemical_industry.pdf" TargetMode="External"/><Relationship Id="rId1" Type="http://schemas.openxmlformats.org/officeDocument/2006/relationships/hyperlink" Target="https://www.osti.gov/servlets/purl/927032"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https://www.energy.gov/sites/prod/files/2015/08/f26/chemical_bandwidth_report.pdf" TargetMode="External"/><Relationship Id="rId1" Type="http://schemas.openxmlformats.org/officeDocument/2006/relationships/hyperlink" Target="https://dechema.de/dechema_media/Downloads/Positionspapiere/Technology_study_Low_carbon_energy_and_feedstock_for_the_European_chemical_industry.pd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ippcb.jrc.ec.europa.eu/sites/default/files/2020-01/JRC107041_NFM_bref2017.pdf" TargetMode="External"/><Relationship Id="rId2" Type="http://schemas.openxmlformats.org/officeDocument/2006/relationships/hyperlink" Target="https://www.bmwk.de/Redaktion/DE/Downloads/E/energiewende-in-der-industrie-ap2a-branchensteckbrief-metall.pdf?__blob=publicationFile&amp;v=4" TargetMode="External"/><Relationship Id="rId1" Type="http://schemas.openxmlformats.org/officeDocument/2006/relationships/hyperlink" Target="https://d-nb.info/1049260554/34" TargetMode="External"/><Relationship Id="rId6" Type="http://schemas.openxmlformats.org/officeDocument/2006/relationships/printerSettings" Target="../printerSettings/printerSettings2.bin"/><Relationship Id="rId5" Type="http://schemas.openxmlformats.org/officeDocument/2006/relationships/hyperlink" Target="https://www1.eere.energy.gov/manufacturing/resources/aluminum/pdfs/al_theoretical.pdf" TargetMode="External"/><Relationship Id="rId4" Type="http://schemas.openxmlformats.org/officeDocument/2006/relationships/hyperlink" Target="https://european-aluminium.eu/wp-content/uploads/2023/11/23-11-14-Net-Zero-by-2050-Science-based-Decarbonisation-Pathways-for-the-European-Aluminium-Industry_FULL-REPORT.pdf"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elib.dlr.de/130069/1/Renewable%20energy%20in%20copper%20production%20-%20a%20review.pdf" TargetMode="External"/><Relationship Id="rId7" Type="http://schemas.openxmlformats.org/officeDocument/2006/relationships/printerSettings" Target="../printerSettings/printerSettings3.bin"/><Relationship Id="rId2" Type="http://schemas.openxmlformats.org/officeDocument/2006/relationships/hyperlink" Target="https://www.bmwk.de/Redaktion/DE/Downloads/E/energiewende-in-der-industrie-ap2a-branchensteckbrief-metall.pdf?__blob=publicationFile&amp;v=4" TargetMode="External"/><Relationship Id="rId1" Type="http://schemas.openxmlformats.org/officeDocument/2006/relationships/hyperlink" Target="https://d-nb.info/1049260554/34" TargetMode="External"/><Relationship Id="rId6" Type="http://schemas.openxmlformats.org/officeDocument/2006/relationships/hyperlink" Target="https://www.energy.gov/sites/prod/files/2013/11/f4/doebestpractice_052804.pdf" TargetMode="External"/><Relationship Id="rId5" Type="http://schemas.openxmlformats.org/officeDocument/2006/relationships/hyperlink" Target="https://scielo.org.za/pdf/jsaimm/v109n6/03.pdf?utm_source=chatgpt.com" TargetMode="External"/><Relationship Id="rId4" Type="http://schemas.openxmlformats.org/officeDocument/2006/relationships/hyperlink" Target="https://www.sciencedirect.com/science/article/pii/S0360544298000930"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i.org/10.1016/j.rser.2011.01.005" TargetMode="External"/><Relationship Id="rId2" Type="http://schemas.openxmlformats.org/officeDocument/2006/relationships/hyperlink" Target="https://doi.org/10.1016/j.resconrec.2012.12.013" TargetMode="External"/><Relationship Id="rId1" Type="http://schemas.openxmlformats.org/officeDocument/2006/relationships/hyperlink" Target="https://doi.org/10.1146/annurev.energy.26.1.303" TargetMode="External"/><Relationship Id="rId5" Type="http://schemas.openxmlformats.org/officeDocument/2006/relationships/hyperlink" Target="https://www.energystar.gov/sites/default/files/tools/ENERGY%20STAR%20Guide%20for%20the%20Cement%20Industry%2027_08_2013_Rev%20js%20reformat%2011192014.pdf" TargetMode="External"/><Relationship Id="rId4" Type="http://schemas.openxmlformats.org/officeDocument/2006/relationships/hyperlink" Target="https://docs.wbcsd.org/2017/06/CSI_ECRA_Technology_Papers_2017.pdf"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energy.gov/sites/prod/files/2015/08/f26/pulp_and_paper_bandwidth_report.pdf" TargetMode="External"/><Relationship Id="rId7" Type="http://schemas.openxmlformats.org/officeDocument/2006/relationships/comments" Target="../comments1.xml"/><Relationship Id="rId2" Type="http://schemas.openxmlformats.org/officeDocument/2006/relationships/hyperlink" Target="https://doi.org/10.1111/jiec.12613" TargetMode="External"/><Relationship Id="rId1" Type="http://schemas.openxmlformats.org/officeDocument/2006/relationships/hyperlink" Target="https://doi.org/10.1016/j.energy.2012.02.025"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eurochlor.org/wp-content/uploads/2021/04/11-Electrolysis-thermodynamic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97F20-C454-4A99-A64B-962EC78AF4EF}">
  <dimension ref="A2:A15"/>
  <sheetViews>
    <sheetView showGridLines="0" tabSelected="1" workbookViewId="0">
      <selection activeCell="A17" sqref="A17"/>
    </sheetView>
  </sheetViews>
  <sheetFormatPr baseColWidth="10" defaultColWidth="10.85546875" defaultRowHeight="15" x14ac:dyDescent="0.25"/>
  <cols>
    <col min="1" max="1" width="99.42578125" style="222" customWidth="1"/>
  </cols>
  <sheetData>
    <row r="2" spans="1:1" ht="30" x14ac:dyDescent="0.25">
      <c r="A2" s="222" t="s">
        <v>252</v>
      </c>
    </row>
    <row r="4" spans="1:1" x14ac:dyDescent="0.25">
      <c r="A4" s="223" t="s">
        <v>255</v>
      </c>
    </row>
    <row r="5" spans="1:1" ht="30" x14ac:dyDescent="0.25">
      <c r="A5" s="222" t="s">
        <v>253</v>
      </c>
    </row>
    <row r="7" spans="1:1" x14ac:dyDescent="0.25">
      <c r="A7" s="223" t="s">
        <v>180</v>
      </c>
    </row>
    <row r="8" spans="1:1" ht="30" x14ac:dyDescent="0.25">
      <c r="A8" s="222" t="s">
        <v>254</v>
      </c>
    </row>
    <row r="10" spans="1:1" x14ac:dyDescent="0.25">
      <c r="A10" s="224" t="s">
        <v>256</v>
      </c>
    </row>
    <row r="11" spans="1:1" ht="45" x14ac:dyDescent="0.25">
      <c r="A11" s="221" t="s">
        <v>257</v>
      </c>
    </row>
    <row r="12" spans="1:1" x14ac:dyDescent="0.25">
      <c r="A12" s="224" t="s">
        <v>258</v>
      </c>
    </row>
    <row r="13" spans="1:1" ht="75" x14ac:dyDescent="0.25">
      <c r="A13" s="225" t="s">
        <v>259</v>
      </c>
    </row>
    <row r="15" spans="1:1" x14ac:dyDescent="0.25">
      <c r="A15" t="s">
        <v>260</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385724"/>
  </sheetPr>
  <dimension ref="A1:J43"/>
  <sheetViews>
    <sheetView zoomScaleNormal="100" workbookViewId="0">
      <selection activeCell="D28" sqref="D28"/>
    </sheetView>
  </sheetViews>
  <sheetFormatPr baseColWidth="10" defaultColWidth="10.5703125" defaultRowHeight="15" x14ac:dyDescent="0.25"/>
  <cols>
    <col min="1" max="1" width="9.7109375" customWidth="1"/>
    <col min="2" max="2" width="22.85546875" customWidth="1"/>
    <col min="3" max="3" width="17" customWidth="1"/>
    <col min="4" max="4" width="24.85546875" customWidth="1"/>
    <col min="5" max="5" width="10.85546875" style="24" customWidth="1"/>
    <col min="7" max="7" width="20.5703125" customWidth="1"/>
    <col min="9" max="9" width="10.85546875" customWidth="1"/>
    <col min="10" max="10" width="19.28515625" customWidth="1"/>
    <col min="11" max="25" width="10.85546875" customWidth="1"/>
  </cols>
  <sheetData>
    <row r="1" spans="1:10" x14ac:dyDescent="0.25">
      <c r="A1" s="148"/>
      <c r="B1" s="150"/>
      <c r="C1" s="83"/>
      <c r="D1" s="83"/>
      <c r="E1" s="83"/>
      <c r="F1" s="83"/>
      <c r="G1" s="83"/>
      <c r="H1" s="83"/>
      <c r="I1" s="84"/>
      <c r="J1" s="85"/>
    </row>
    <row r="2" spans="1:10" x14ac:dyDescent="0.25">
      <c r="A2" s="255" t="s">
        <v>72</v>
      </c>
      <c r="B2" s="275" t="s">
        <v>146</v>
      </c>
      <c r="C2" s="257" t="s">
        <v>2</v>
      </c>
      <c r="D2" s="276"/>
      <c r="E2" s="259" t="s">
        <v>4</v>
      </c>
      <c r="F2" s="261" t="s">
        <v>181</v>
      </c>
      <c r="G2" s="262"/>
      <c r="H2" s="282" t="s">
        <v>180</v>
      </c>
      <c r="I2" s="283"/>
      <c r="J2" s="124" t="s">
        <v>0</v>
      </c>
    </row>
    <row r="3" spans="1:10" x14ac:dyDescent="0.25">
      <c r="A3" s="264"/>
      <c r="B3" s="266"/>
      <c r="C3" s="267"/>
      <c r="D3" s="269"/>
      <c r="E3" s="270"/>
      <c r="F3" s="149" t="s">
        <v>3</v>
      </c>
      <c r="G3" s="26" t="s">
        <v>5</v>
      </c>
      <c r="H3" s="97" t="s">
        <v>3</v>
      </c>
      <c r="I3" s="69" t="s">
        <v>5</v>
      </c>
      <c r="J3" s="287" t="s">
        <v>71</v>
      </c>
    </row>
    <row r="4" spans="1:10" x14ac:dyDescent="0.25">
      <c r="A4" s="46"/>
      <c r="C4" s="198" t="s">
        <v>83</v>
      </c>
      <c r="D4" s="125" t="s">
        <v>183</v>
      </c>
      <c r="E4" s="68" t="s">
        <v>156</v>
      </c>
      <c r="F4" s="149">
        <f>F7</f>
        <v>19.7</v>
      </c>
      <c r="G4" s="39"/>
      <c r="H4" s="195">
        <f>H5+H6+H7</f>
        <v>30.864599999999999</v>
      </c>
      <c r="I4" s="39"/>
      <c r="J4" s="288"/>
    </row>
    <row r="5" spans="1:10" x14ac:dyDescent="0.25">
      <c r="A5" s="8"/>
      <c r="C5" s="199" t="s">
        <v>6</v>
      </c>
      <c r="D5" s="27" t="s">
        <v>18</v>
      </c>
      <c r="E5" s="20" t="s">
        <v>51</v>
      </c>
      <c r="F5" s="8" t="s">
        <v>122</v>
      </c>
      <c r="G5" s="60" t="s">
        <v>177</v>
      </c>
      <c r="H5" s="40">
        <v>0.56000000000000005</v>
      </c>
      <c r="I5" s="177" t="s">
        <v>11</v>
      </c>
      <c r="J5" s="288"/>
    </row>
    <row r="6" spans="1:10" x14ac:dyDescent="0.25">
      <c r="A6" s="8"/>
      <c r="C6" s="199" t="s">
        <v>6</v>
      </c>
      <c r="D6" s="29" t="s">
        <v>10</v>
      </c>
      <c r="E6" s="20" t="s">
        <v>51</v>
      </c>
      <c r="F6" s="8" t="s">
        <v>122</v>
      </c>
      <c r="G6" s="60" t="s">
        <v>177</v>
      </c>
      <c r="H6" s="40">
        <v>10.6</v>
      </c>
      <c r="I6" s="177" t="s">
        <v>11</v>
      </c>
      <c r="J6" s="288"/>
    </row>
    <row r="7" spans="1:10" x14ac:dyDescent="0.25">
      <c r="A7" s="8"/>
      <c r="C7" s="199" t="s">
        <v>6</v>
      </c>
      <c r="D7" s="54" t="s">
        <v>73</v>
      </c>
      <c r="E7" s="20" t="s">
        <v>51</v>
      </c>
      <c r="F7" s="8">
        <v>19.7</v>
      </c>
      <c r="G7" s="60"/>
      <c r="H7" s="40">
        <v>19.704599999999999</v>
      </c>
      <c r="I7" s="177" t="s">
        <v>11</v>
      </c>
      <c r="J7" s="288"/>
    </row>
    <row r="8" spans="1:10" x14ac:dyDescent="0.25">
      <c r="A8" s="11"/>
      <c r="B8" s="12"/>
      <c r="C8" s="200" t="s">
        <v>21</v>
      </c>
      <c r="D8" s="135" t="s">
        <v>72</v>
      </c>
      <c r="E8" s="23" t="s">
        <v>56</v>
      </c>
      <c r="F8" s="11">
        <v>1</v>
      </c>
      <c r="G8" s="62"/>
      <c r="H8" s="42">
        <v>1</v>
      </c>
      <c r="I8" s="178" t="s">
        <v>11</v>
      </c>
      <c r="J8" s="289"/>
    </row>
    <row r="9" spans="1:10" x14ac:dyDescent="0.25">
      <c r="A9" s="64"/>
      <c r="B9" s="46"/>
      <c r="C9" s="112" t="s">
        <v>246</v>
      </c>
      <c r="D9" s="202" t="s">
        <v>183</v>
      </c>
      <c r="E9" s="20" t="s">
        <v>51</v>
      </c>
      <c r="F9" s="159">
        <f>F7</f>
        <v>19.7</v>
      </c>
      <c r="G9" s="118"/>
      <c r="H9" s="159">
        <f>H4</f>
        <v>30.864599999999999</v>
      </c>
      <c r="I9" s="68"/>
      <c r="J9" s="167" t="s">
        <v>239</v>
      </c>
    </row>
    <row r="10" spans="1:10" x14ac:dyDescent="0.25">
      <c r="A10" s="8"/>
      <c r="C10" s="112" t="s">
        <v>246</v>
      </c>
      <c r="D10" s="80" t="s">
        <v>247</v>
      </c>
      <c r="E10" s="20" t="s">
        <v>51</v>
      </c>
      <c r="F10" s="59"/>
      <c r="G10" s="119"/>
      <c r="H10" s="59">
        <f>H5+H6</f>
        <v>11.16</v>
      </c>
      <c r="I10" s="28"/>
      <c r="J10" s="167" t="s">
        <v>239</v>
      </c>
    </row>
    <row r="11" spans="1:10" x14ac:dyDescent="0.25">
      <c r="A11" s="148"/>
      <c r="B11" s="150"/>
      <c r="C11" s="201"/>
      <c r="D11" s="201"/>
      <c r="E11" s="83"/>
      <c r="F11" s="83"/>
      <c r="G11" s="83"/>
      <c r="H11" s="83"/>
      <c r="I11" s="84"/>
      <c r="J11" s="85"/>
    </row>
    <row r="12" spans="1:10" x14ac:dyDescent="0.25">
      <c r="A12" s="255" t="s">
        <v>72</v>
      </c>
      <c r="B12" s="275" t="s">
        <v>147</v>
      </c>
      <c r="C12" s="291" t="s">
        <v>2</v>
      </c>
      <c r="D12" s="293"/>
      <c r="E12" s="259" t="s">
        <v>4</v>
      </c>
      <c r="F12" s="261" t="s">
        <v>181</v>
      </c>
      <c r="G12" s="262"/>
      <c r="H12" s="282" t="s">
        <v>180</v>
      </c>
      <c r="I12" s="283"/>
      <c r="J12" s="124" t="s">
        <v>0</v>
      </c>
    </row>
    <row r="13" spans="1:10" x14ac:dyDescent="0.25">
      <c r="A13" s="264"/>
      <c r="B13" s="266"/>
      <c r="C13" s="292"/>
      <c r="D13" s="294"/>
      <c r="E13" s="270"/>
      <c r="F13" s="149" t="s">
        <v>3</v>
      </c>
      <c r="G13" s="26" t="s">
        <v>5</v>
      </c>
      <c r="H13" s="97" t="s">
        <v>3</v>
      </c>
      <c r="I13" s="69" t="s">
        <v>5</v>
      </c>
      <c r="J13" s="287" t="s">
        <v>71</v>
      </c>
    </row>
    <row r="14" spans="1:10" x14ac:dyDescent="0.25">
      <c r="A14" s="46"/>
      <c r="C14" s="198" t="s">
        <v>83</v>
      </c>
      <c r="D14" s="125" t="s">
        <v>183</v>
      </c>
      <c r="E14" s="68" t="s">
        <v>156</v>
      </c>
      <c r="F14" s="149"/>
      <c r="G14" s="39"/>
      <c r="H14" s="195">
        <f>H15+H16+H17</f>
        <v>39.379999999999995</v>
      </c>
      <c r="I14" s="39"/>
      <c r="J14" s="288"/>
    </row>
    <row r="15" spans="1:10" ht="14.25" customHeight="1" x14ac:dyDescent="0.25">
      <c r="A15" s="8"/>
      <c r="C15" s="199" t="s">
        <v>6</v>
      </c>
      <c r="D15" s="27" t="s">
        <v>18</v>
      </c>
      <c r="E15" s="20" t="s">
        <v>51</v>
      </c>
      <c r="F15" s="8" t="s">
        <v>122</v>
      </c>
      <c r="G15" s="60" t="s">
        <v>177</v>
      </c>
      <c r="H15" s="40">
        <v>0.56000000000000005</v>
      </c>
      <c r="I15" s="177" t="s">
        <v>11</v>
      </c>
      <c r="J15" s="288"/>
    </row>
    <row r="16" spans="1:10" x14ac:dyDescent="0.25">
      <c r="A16" s="8"/>
      <c r="C16" s="199" t="s">
        <v>6</v>
      </c>
      <c r="D16" s="29" t="s">
        <v>10</v>
      </c>
      <c r="E16" s="20" t="s">
        <v>51</v>
      </c>
      <c r="F16" s="8" t="s">
        <v>122</v>
      </c>
      <c r="G16" s="60" t="s">
        <v>177</v>
      </c>
      <c r="H16" s="40">
        <v>13.58</v>
      </c>
      <c r="I16" s="177" t="s">
        <v>11</v>
      </c>
      <c r="J16" s="288"/>
    </row>
    <row r="17" spans="1:10" ht="14.25" customHeight="1" x14ac:dyDescent="0.25">
      <c r="A17" s="8"/>
      <c r="C17" s="199" t="s">
        <v>6</v>
      </c>
      <c r="D17" s="54" t="s">
        <v>73</v>
      </c>
      <c r="E17" s="20" t="s">
        <v>51</v>
      </c>
      <c r="F17" s="8">
        <v>25.24</v>
      </c>
      <c r="G17" s="60"/>
      <c r="H17" s="40">
        <v>25.24</v>
      </c>
      <c r="I17" s="177" t="s">
        <v>11</v>
      </c>
      <c r="J17" s="288"/>
    </row>
    <row r="18" spans="1:10" x14ac:dyDescent="0.25">
      <c r="A18" s="11"/>
      <c r="B18" s="12"/>
      <c r="C18" s="200" t="s">
        <v>21</v>
      </c>
      <c r="D18" s="135" t="s">
        <v>72</v>
      </c>
      <c r="E18" s="23" t="s">
        <v>56</v>
      </c>
      <c r="F18" s="11">
        <v>1</v>
      </c>
      <c r="G18" s="62"/>
      <c r="H18" s="42">
        <v>1</v>
      </c>
      <c r="I18" s="178" t="s">
        <v>11</v>
      </c>
      <c r="J18" s="289"/>
    </row>
    <row r="19" spans="1:10" x14ac:dyDescent="0.25">
      <c r="A19" s="64"/>
      <c r="B19" s="46"/>
      <c r="C19" s="113" t="s">
        <v>246</v>
      </c>
      <c r="D19" s="202" t="s">
        <v>183</v>
      </c>
      <c r="E19" s="203" t="s">
        <v>51</v>
      </c>
      <c r="F19" s="159">
        <f>F17</f>
        <v>25.24</v>
      </c>
      <c r="G19" s="118"/>
      <c r="H19" s="159">
        <f>H14</f>
        <v>39.379999999999995</v>
      </c>
      <c r="I19" s="68"/>
      <c r="J19" s="167" t="s">
        <v>239</v>
      </c>
    </row>
    <row r="20" spans="1:10" x14ac:dyDescent="0.25">
      <c r="A20" s="11"/>
      <c r="B20" s="12"/>
      <c r="C20" s="115" t="s">
        <v>246</v>
      </c>
      <c r="D20" s="77" t="s">
        <v>247</v>
      </c>
      <c r="E20" s="23" t="s">
        <v>51</v>
      </c>
      <c r="F20" s="116"/>
      <c r="G20" s="122"/>
      <c r="H20" s="116">
        <f>H15+H16</f>
        <v>14.14</v>
      </c>
      <c r="I20" s="66"/>
      <c r="J20" s="204" t="s">
        <v>239</v>
      </c>
    </row>
    <row r="21" spans="1:10" x14ac:dyDescent="0.25">
      <c r="G21" s="2"/>
    </row>
    <row r="22" spans="1:10" x14ac:dyDescent="0.25">
      <c r="A22" s="2" t="s">
        <v>109</v>
      </c>
      <c r="B22" t="s">
        <v>26</v>
      </c>
      <c r="C22" t="s">
        <v>27</v>
      </c>
      <c r="D22" t="s">
        <v>28</v>
      </c>
      <c r="E22" t="s">
        <v>29</v>
      </c>
      <c r="F22" t="s">
        <v>30</v>
      </c>
      <c r="G22" t="s">
        <v>31</v>
      </c>
      <c r="H22" t="s">
        <v>32</v>
      </c>
    </row>
    <row r="23" spans="1:10" x14ac:dyDescent="0.25">
      <c r="A23" t="s">
        <v>33</v>
      </c>
      <c r="B23" s="51" t="s">
        <v>148</v>
      </c>
      <c r="C23" s="48" t="s">
        <v>151</v>
      </c>
      <c r="D23" s="2" t="s">
        <v>149</v>
      </c>
      <c r="E23" s="48" t="s">
        <v>122</v>
      </c>
      <c r="F23" s="2">
        <v>2022</v>
      </c>
      <c r="G23" s="49">
        <v>45232</v>
      </c>
      <c r="H23" s="48" t="s">
        <v>150</v>
      </c>
    </row>
    <row r="24" spans="1:10" x14ac:dyDescent="0.25">
      <c r="A24" s="50" t="s">
        <v>20</v>
      </c>
      <c r="B24" s="51" t="s">
        <v>80</v>
      </c>
      <c r="C24" s="48" t="s">
        <v>152</v>
      </c>
      <c r="D24" s="48" t="s">
        <v>153</v>
      </c>
      <c r="E24" s="48" t="s">
        <v>122</v>
      </c>
      <c r="F24" s="2">
        <v>2017</v>
      </c>
      <c r="G24" s="49">
        <v>45232</v>
      </c>
      <c r="H24" s="48" t="s">
        <v>154</v>
      </c>
    </row>
    <row r="25" spans="1:10" x14ac:dyDescent="0.25">
      <c r="A25" s="44"/>
      <c r="B25" s="44"/>
      <c r="C25" s="19"/>
      <c r="D25" s="19"/>
      <c r="E25" s="40"/>
      <c r="F25" s="19"/>
      <c r="G25" s="45"/>
    </row>
    <row r="26" spans="1:10" x14ac:dyDescent="0.25">
      <c r="A26" s="44" t="s">
        <v>177</v>
      </c>
      <c r="B26" s="44" t="s">
        <v>274</v>
      </c>
      <c r="C26" s="19"/>
      <c r="D26" s="19"/>
      <c r="E26" s="40"/>
      <c r="F26" s="20"/>
      <c r="G26" s="45"/>
    </row>
    <row r="27" spans="1:10" x14ac:dyDescent="0.25">
      <c r="A27" s="44"/>
      <c r="B27" s="44"/>
      <c r="C27" s="19"/>
      <c r="D27" s="19"/>
      <c r="E27" s="40"/>
      <c r="F27" s="19"/>
      <c r="G27" s="45"/>
    </row>
    <row r="28" spans="1:10" x14ac:dyDescent="0.25">
      <c r="A28" s="44"/>
      <c r="B28" s="44"/>
      <c r="C28" s="19"/>
      <c r="D28" s="19"/>
      <c r="E28" s="40"/>
      <c r="F28" s="20"/>
      <c r="G28" s="45"/>
    </row>
    <row r="29" spans="1:10" x14ac:dyDescent="0.25">
      <c r="A29" s="44"/>
      <c r="B29" s="44"/>
      <c r="C29" s="290"/>
      <c r="D29" s="19"/>
      <c r="E29" s="40"/>
      <c r="F29" s="20"/>
      <c r="G29" s="45"/>
    </row>
    <row r="30" spans="1:10" x14ac:dyDescent="0.25">
      <c r="A30" s="44"/>
      <c r="B30" s="44"/>
      <c r="C30" s="290"/>
      <c r="D30" s="19"/>
      <c r="E30" s="40"/>
      <c r="F30" s="20"/>
      <c r="G30" s="45"/>
    </row>
    <row r="31" spans="1:10" x14ac:dyDescent="0.25">
      <c r="A31" s="44"/>
      <c r="B31" s="44"/>
      <c r="C31" s="20"/>
      <c r="D31" s="19"/>
      <c r="E31" s="40"/>
      <c r="F31" s="20"/>
      <c r="G31" s="45"/>
    </row>
    <row r="32" spans="1:10" x14ac:dyDescent="0.25">
      <c r="A32" s="44"/>
      <c r="B32" s="44"/>
      <c r="C32" s="1"/>
      <c r="D32" s="19"/>
      <c r="E32" s="40"/>
      <c r="F32" s="20"/>
      <c r="G32" s="45"/>
    </row>
    <row r="33" spans="1:5" x14ac:dyDescent="0.25">
      <c r="A33" s="44"/>
      <c r="B33" s="44"/>
    </row>
    <row r="36" spans="1:5" x14ac:dyDescent="0.25">
      <c r="E36" s="43"/>
    </row>
    <row r="37" spans="1:5" x14ac:dyDescent="0.25">
      <c r="E37" s="43"/>
    </row>
    <row r="38" spans="1:5" x14ac:dyDescent="0.25">
      <c r="E38" s="43"/>
    </row>
    <row r="39" spans="1:5" x14ac:dyDescent="0.25">
      <c r="E39" s="43"/>
    </row>
    <row r="40" spans="1:5" x14ac:dyDescent="0.25">
      <c r="E40" s="43"/>
    </row>
    <row r="41" spans="1:5" x14ac:dyDescent="0.25">
      <c r="E41" s="43"/>
    </row>
    <row r="42" spans="1:5" x14ac:dyDescent="0.25">
      <c r="E42" s="43"/>
    </row>
    <row r="43" spans="1:5" x14ac:dyDescent="0.25">
      <c r="E43" s="43"/>
    </row>
  </sheetData>
  <mergeCells count="17">
    <mergeCell ref="C29:C30"/>
    <mergeCell ref="A2:A3"/>
    <mergeCell ref="B2:B3"/>
    <mergeCell ref="C2:C3"/>
    <mergeCell ref="D2:D3"/>
    <mergeCell ref="A12:A13"/>
    <mergeCell ref="B12:B13"/>
    <mergeCell ref="C12:C13"/>
    <mergeCell ref="D12:D13"/>
    <mergeCell ref="E12:E13"/>
    <mergeCell ref="J3:J8"/>
    <mergeCell ref="J13:J18"/>
    <mergeCell ref="E2:E3"/>
    <mergeCell ref="F2:G2"/>
    <mergeCell ref="H2:I2"/>
    <mergeCell ref="F12:G12"/>
    <mergeCell ref="H12:I12"/>
  </mergeCells>
  <pageMargins left="0.7" right="0.7" top="0.78749999999999998" bottom="0.78749999999999998"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I34"/>
  <sheetViews>
    <sheetView zoomScaleNormal="100" workbookViewId="0">
      <selection activeCell="O18" sqref="O18"/>
    </sheetView>
  </sheetViews>
  <sheetFormatPr baseColWidth="10" defaultColWidth="11.5703125" defaultRowHeight="15" x14ac:dyDescent="0.25"/>
  <cols>
    <col min="2" max="2" width="16" customWidth="1"/>
    <col min="3" max="3" width="25.140625" bestFit="1" customWidth="1"/>
    <col min="4" max="4" width="11.5703125" style="2"/>
    <col min="5" max="5" width="9.85546875" customWidth="1"/>
    <col min="6" max="6" width="11.7109375" customWidth="1"/>
    <col min="9" max="9" width="16.28515625" bestFit="1" customWidth="1"/>
  </cols>
  <sheetData>
    <row r="2" spans="1:9" x14ac:dyDescent="0.25">
      <c r="A2" s="247" t="s">
        <v>96</v>
      </c>
      <c r="B2" s="248"/>
      <c r="C2" s="248"/>
      <c r="D2" s="248"/>
      <c r="E2" s="248"/>
      <c r="F2" s="248"/>
      <c r="G2" s="248"/>
      <c r="H2" s="248"/>
      <c r="I2" s="249"/>
    </row>
    <row r="3" spans="1:9" x14ac:dyDescent="0.25">
      <c r="A3" s="255"/>
      <c r="B3" s="257" t="s">
        <v>2</v>
      </c>
      <c r="D3" s="259" t="s">
        <v>4</v>
      </c>
      <c r="E3" s="261" t="s">
        <v>181</v>
      </c>
      <c r="F3" s="262"/>
      <c r="G3" s="245" t="s">
        <v>180</v>
      </c>
      <c r="H3" s="246"/>
      <c r="I3" s="253" t="s">
        <v>0</v>
      </c>
    </row>
    <row r="4" spans="1:9" x14ac:dyDescent="0.25">
      <c r="A4" s="264"/>
      <c r="B4" s="267"/>
      <c r="C4" s="12"/>
      <c r="D4" s="270"/>
      <c r="E4" s="97" t="s">
        <v>3</v>
      </c>
      <c r="F4" s="63" t="s">
        <v>5</v>
      </c>
      <c r="G4" s="97" t="s">
        <v>3</v>
      </c>
      <c r="H4" s="69" t="s">
        <v>5</v>
      </c>
      <c r="I4" s="280"/>
    </row>
    <row r="5" spans="1:9" x14ac:dyDescent="0.25">
      <c r="A5" s="46"/>
      <c r="B5" s="46" t="s">
        <v>83</v>
      </c>
      <c r="C5" s="125" t="s">
        <v>183</v>
      </c>
      <c r="D5" s="165" t="s">
        <v>156</v>
      </c>
      <c r="E5" s="237">
        <v>20.3</v>
      </c>
      <c r="F5" s="231" t="s">
        <v>36</v>
      </c>
      <c r="G5" s="180">
        <f>G6+G9+G12</f>
        <v>32.299999999999997</v>
      </c>
      <c r="H5" s="39"/>
      <c r="I5" s="166"/>
    </row>
    <row r="6" spans="1:9" x14ac:dyDescent="0.25">
      <c r="A6" s="8"/>
      <c r="C6" t="s">
        <v>95</v>
      </c>
      <c r="D6" s="28" t="s">
        <v>156</v>
      </c>
      <c r="E6" s="8"/>
      <c r="F6" s="60"/>
      <c r="G6">
        <v>0.3</v>
      </c>
      <c r="H6" s="179" t="s">
        <v>11</v>
      </c>
      <c r="I6" s="279" t="s">
        <v>248</v>
      </c>
    </row>
    <row r="7" spans="1:9" x14ac:dyDescent="0.25">
      <c r="A7" s="8"/>
      <c r="C7" t="s">
        <v>157</v>
      </c>
      <c r="D7" s="28"/>
      <c r="E7" s="8"/>
      <c r="F7" s="60"/>
      <c r="H7" s="161"/>
      <c r="I7" s="263"/>
    </row>
    <row r="8" spans="1:9" x14ac:dyDescent="0.25">
      <c r="A8" s="8"/>
      <c r="B8" s="56"/>
      <c r="C8" s="56" t="s">
        <v>86</v>
      </c>
      <c r="D8" s="28" t="s">
        <v>156</v>
      </c>
      <c r="E8" s="8"/>
      <c r="F8" s="60"/>
      <c r="G8" t="s">
        <v>98</v>
      </c>
      <c r="H8" s="179" t="s">
        <v>11</v>
      </c>
      <c r="I8" s="263"/>
    </row>
    <row r="9" spans="1:9" x14ac:dyDescent="0.25">
      <c r="A9" s="8"/>
      <c r="C9" s="56" t="s">
        <v>87</v>
      </c>
      <c r="D9" s="28" t="s">
        <v>156</v>
      </c>
      <c r="E9" s="8"/>
      <c r="F9" s="60"/>
      <c r="G9">
        <v>11</v>
      </c>
      <c r="H9" s="179" t="s">
        <v>11</v>
      </c>
      <c r="I9" s="263"/>
    </row>
    <row r="10" spans="1:9" x14ac:dyDescent="0.25">
      <c r="A10" s="8"/>
      <c r="C10" s="56" t="s">
        <v>88</v>
      </c>
      <c r="D10" s="28" t="s">
        <v>156</v>
      </c>
      <c r="E10" s="8"/>
      <c r="F10" s="60"/>
      <c r="G10" t="s">
        <v>98</v>
      </c>
      <c r="H10" s="179" t="s">
        <v>11</v>
      </c>
      <c r="I10" s="263"/>
    </row>
    <row r="11" spans="1:9" x14ac:dyDescent="0.25">
      <c r="A11" s="8"/>
      <c r="C11" t="s">
        <v>99</v>
      </c>
      <c r="D11" s="28"/>
      <c r="E11" s="8"/>
      <c r="F11" s="60"/>
      <c r="H11" s="161"/>
      <c r="I11" s="263"/>
    </row>
    <row r="12" spans="1:9" x14ac:dyDescent="0.25">
      <c r="A12" s="8"/>
      <c r="C12" s="56" t="s">
        <v>87</v>
      </c>
      <c r="D12" s="28" t="s">
        <v>156</v>
      </c>
      <c r="E12" s="8"/>
      <c r="F12" s="60"/>
      <c r="G12">
        <v>21</v>
      </c>
      <c r="H12" s="179" t="s">
        <v>11</v>
      </c>
      <c r="I12" s="263"/>
    </row>
    <row r="13" spans="1:9" x14ac:dyDescent="0.25">
      <c r="A13" s="11"/>
      <c r="B13" s="12" t="s">
        <v>89</v>
      </c>
      <c r="C13" s="12" t="s">
        <v>100</v>
      </c>
      <c r="D13" s="66" t="s">
        <v>23</v>
      </c>
      <c r="E13" s="11"/>
      <c r="F13" s="62"/>
      <c r="G13" s="57">
        <v>1</v>
      </c>
      <c r="H13" s="171"/>
      <c r="I13" s="295"/>
    </row>
    <row r="14" spans="1:9" x14ac:dyDescent="0.25">
      <c r="A14" s="46"/>
      <c r="B14" s="113" t="s">
        <v>246</v>
      </c>
      <c r="C14" s="202" t="s">
        <v>183</v>
      </c>
      <c r="D14" s="203" t="s">
        <v>51</v>
      </c>
      <c r="E14" s="159"/>
      <c r="F14" s="118"/>
      <c r="G14" s="159">
        <f>G5</f>
        <v>32.299999999999997</v>
      </c>
      <c r="H14" s="68"/>
      <c r="I14" s="167" t="s">
        <v>239</v>
      </c>
    </row>
    <row r="15" spans="1:9" x14ac:dyDescent="0.25">
      <c r="A15" s="12"/>
      <c r="B15" s="115" t="s">
        <v>246</v>
      </c>
      <c r="C15" s="77" t="s">
        <v>247</v>
      </c>
      <c r="D15" s="23" t="s">
        <v>51</v>
      </c>
      <c r="E15" s="116">
        <v>20.3</v>
      </c>
      <c r="F15" s="238" t="s">
        <v>36</v>
      </c>
      <c r="G15" s="116">
        <f>G6+G9</f>
        <v>11.3</v>
      </c>
      <c r="H15" s="66"/>
      <c r="I15" s="204" t="s">
        <v>239</v>
      </c>
    </row>
    <row r="17" spans="1:9" x14ac:dyDescent="0.25">
      <c r="A17" s="247" t="s">
        <v>101</v>
      </c>
      <c r="B17" s="248"/>
      <c r="C17" s="248"/>
      <c r="D17" s="248"/>
      <c r="E17" s="248"/>
      <c r="F17" s="248"/>
      <c r="G17" s="248"/>
      <c r="H17" s="248"/>
      <c r="I17" s="249"/>
    </row>
    <row r="18" spans="1:9" x14ac:dyDescent="0.25">
      <c r="A18" s="46"/>
      <c r="B18" s="46" t="s">
        <v>83</v>
      </c>
      <c r="C18" s="125" t="s">
        <v>183</v>
      </c>
      <c r="D18" s="68" t="s">
        <v>156</v>
      </c>
      <c r="E18" s="237">
        <v>20.3</v>
      </c>
      <c r="F18" s="231" t="s">
        <v>36</v>
      </c>
      <c r="G18" s="180">
        <f>G19+G21+G25</f>
        <v>37.400000000000006</v>
      </c>
      <c r="H18" s="39"/>
      <c r="I18" s="166"/>
    </row>
    <row r="19" spans="1:9" x14ac:dyDescent="0.25">
      <c r="A19" s="8"/>
      <c r="C19" t="s">
        <v>95</v>
      </c>
      <c r="D19" s="28" t="s">
        <v>156</v>
      </c>
      <c r="E19" s="8"/>
      <c r="F19" s="60"/>
      <c r="G19">
        <v>3.7</v>
      </c>
      <c r="H19" s="179" t="s">
        <v>11</v>
      </c>
      <c r="I19" s="279" t="s">
        <v>248</v>
      </c>
    </row>
    <row r="20" spans="1:9" x14ac:dyDescent="0.25">
      <c r="A20" s="8"/>
      <c r="C20" t="s">
        <v>97</v>
      </c>
      <c r="D20" s="28"/>
      <c r="E20" s="8"/>
      <c r="F20" s="60"/>
      <c r="H20" s="161"/>
      <c r="I20" s="263"/>
    </row>
    <row r="21" spans="1:9" x14ac:dyDescent="0.25">
      <c r="A21" s="8"/>
      <c r="B21" s="56"/>
      <c r="C21" s="56" t="s">
        <v>86</v>
      </c>
      <c r="D21" s="28" t="s">
        <v>156</v>
      </c>
      <c r="E21" s="8"/>
      <c r="F21" s="60"/>
      <c r="G21">
        <v>15.1</v>
      </c>
      <c r="H21" s="179" t="s">
        <v>11</v>
      </c>
      <c r="I21" s="263"/>
    </row>
    <row r="22" spans="1:9" x14ac:dyDescent="0.25">
      <c r="A22" s="8"/>
      <c r="C22" s="56" t="s">
        <v>87</v>
      </c>
      <c r="D22" s="28" t="s">
        <v>156</v>
      </c>
      <c r="E22" s="8"/>
      <c r="F22" s="60"/>
      <c r="G22" t="s">
        <v>98</v>
      </c>
      <c r="H22" s="179" t="s">
        <v>11</v>
      </c>
      <c r="I22" s="263"/>
    </row>
    <row r="23" spans="1:9" x14ac:dyDescent="0.25">
      <c r="A23" s="8"/>
      <c r="C23" s="56" t="s">
        <v>88</v>
      </c>
      <c r="D23" s="28" t="s">
        <v>156</v>
      </c>
      <c r="E23" s="8"/>
      <c r="F23" s="60"/>
      <c r="G23" t="s">
        <v>98</v>
      </c>
      <c r="H23" s="179" t="s">
        <v>11</v>
      </c>
      <c r="I23" s="263"/>
    </row>
    <row r="24" spans="1:9" x14ac:dyDescent="0.25">
      <c r="A24" s="8"/>
      <c r="C24" t="s">
        <v>99</v>
      </c>
      <c r="D24" s="28"/>
      <c r="E24" s="8"/>
      <c r="F24" s="60"/>
      <c r="H24" s="161"/>
      <c r="I24" s="263"/>
    </row>
    <row r="25" spans="1:9" x14ac:dyDescent="0.25">
      <c r="A25" s="8"/>
      <c r="C25" s="56" t="s">
        <v>86</v>
      </c>
      <c r="D25" s="28" t="s">
        <v>156</v>
      </c>
      <c r="E25" s="8"/>
      <c r="F25" s="60"/>
      <c r="G25">
        <v>18.600000000000001</v>
      </c>
      <c r="H25" s="179" t="s">
        <v>11</v>
      </c>
      <c r="I25" s="263"/>
    </row>
    <row r="26" spans="1:9" x14ac:dyDescent="0.25">
      <c r="A26" s="11"/>
      <c r="B26" s="12" t="s">
        <v>89</v>
      </c>
      <c r="C26" s="12" t="s">
        <v>102</v>
      </c>
      <c r="D26" s="66" t="s">
        <v>23</v>
      </c>
      <c r="E26" s="11"/>
      <c r="F26" s="62"/>
      <c r="G26" s="57">
        <v>1</v>
      </c>
      <c r="H26" s="171"/>
      <c r="I26" s="295"/>
    </row>
    <row r="27" spans="1:9" x14ac:dyDescent="0.25">
      <c r="A27" s="46"/>
      <c r="B27" s="113" t="s">
        <v>246</v>
      </c>
      <c r="C27" s="202" t="s">
        <v>183</v>
      </c>
      <c r="D27" s="203" t="s">
        <v>51</v>
      </c>
      <c r="E27" s="159"/>
      <c r="F27" s="118"/>
      <c r="G27" s="159">
        <f>G18</f>
        <v>37.400000000000006</v>
      </c>
      <c r="H27" s="68"/>
      <c r="I27" s="167" t="s">
        <v>239</v>
      </c>
    </row>
    <row r="28" spans="1:9" x14ac:dyDescent="0.25">
      <c r="A28" s="12"/>
      <c r="B28" s="115" t="s">
        <v>246</v>
      </c>
      <c r="C28" s="77" t="s">
        <v>247</v>
      </c>
      <c r="D28" s="23" t="s">
        <v>51</v>
      </c>
      <c r="E28" s="116">
        <v>20.3</v>
      </c>
      <c r="F28" s="238"/>
      <c r="G28" s="116">
        <f>G19+G21</f>
        <v>18.8</v>
      </c>
      <c r="H28" s="66"/>
      <c r="I28" s="204" t="s">
        <v>239</v>
      </c>
    </row>
    <row r="30" spans="1:9" x14ac:dyDescent="0.25">
      <c r="A30" s="50"/>
    </row>
    <row r="32" spans="1:9" x14ac:dyDescent="0.25">
      <c r="A32" s="16" t="s">
        <v>33</v>
      </c>
      <c r="B32" s="55" t="s">
        <v>171</v>
      </c>
    </row>
    <row r="33" spans="1:2" x14ac:dyDescent="0.25">
      <c r="A33" s="16" t="s">
        <v>20</v>
      </c>
      <c r="B33" s="55" t="s">
        <v>172</v>
      </c>
    </row>
    <row r="34" spans="1:2" x14ac:dyDescent="0.25">
      <c r="A34" s="230" t="s">
        <v>36</v>
      </c>
      <c r="B34" s="230" t="s">
        <v>278</v>
      </c>
    </row>
  </sheetData>
  <mergeCells count="10">
    <mergeCell ref="A17:I17"/>
    <mergeCell ref="I6:I13"/>
    <mergeCell ref="I19:I26"/>
    <mergeCell ref="A2:I2"/>
    <mergeCell ref="A3:A4"/>
    <mergeCell ref="B3:B4"/>
    <mergeCell ref="D3:D4"/>
    <mergeCell ref="E3:F3"/>
    <mergeCell ref="G3:H3"/>
    <mergeCell ref="I3:I4"/>
  </mergeCells>
  <pageMargins left="0.78749999999999998" right="0.78749999999999998" top="1.05277777777778" bottom="1.05277777777778" header="0.78749999999999998" footer="0.78749999999999998"/>
  <pageSetup paperSize="9" orientation="portrait" horizontalDpi="300" verticalDpi="300"/>
  <headerFooter>
    <oddHeader>&amp;C&amp;12&amp;Kffffff&amp;A</oddHeader>
    <oddFooter>&amp;C&amp;12&amp;KffffffSeite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4472C4"/>
  </sheetPr>
  <dimension ref="A1:J19"/>
  <sheetViews>
    <sheetView zoomScaleNormal="100" workbookViewId="0">
      <selection activeCell="B19" sqref="B19"/>
    </sheetView>
  </sheetViews>
  <sheetFormatPr baseColWidth="10" defaultColWidth="10.5703125" defaultRowHeight="15" x14ac:dyDescent="0.25"/>
  <cols>
    <col min="2" max="2" width="14.140625" customWidth="1"/>
    <col min="3" max="3" width="18.7109375" customWidth="1"/>
    <col min="4" max="4" width="25.140625" bestFit="1" customWidth="1"/>
    <col min="10" max="10" width="33" customWidth="1"/>
  </cols>
  <sheetData>
    <row r="1" spans="1:10" x14ac:dyDescent="0.25">
      <c r="A1" s="148" t="s">
        <v>74</v>
      </c>
      <c r="B1" s="83"/>
      <c r="C1" s="83"/>
      <c r="D1" s="83"/>
      <c r="E1" s="83"/>
      <c r="F1" s="83"/>
      <c r="G1" s="83"/>
      <c r="H1" s="83"/>
      <c r="I1" s="83"/>
      <c r="J1" s="85"/>
    </row>
    <row r="2" spans="1:10" x14ac:dyDescent="0.25">
      <c r="A2" s="255" t="s">
        <v>74</v>
      </c>
      <c r="B2" s="275"/>
      <c r="C2" s="257" t="s">
        <v>2</v>
      </c>
      <c r="D2" s="276"/>
      <c r="E2" s="259" t="s">
        <v>4</v>
      </c>
      <c r="F2" s="261" t="s">
        <v>181</v>
      </c>
      <c r="G2" s="262"/>
      <c r="H2" s="245" t="s">
        <v>180</v>
      </c>
      <c r="I2" s="246"/>
      <c r="J2" s="71" t="s">
        <v>0</v>
      </c>
    </row>
    <row r="3" spans="1:10" x14ac:dyDescent="0.25">
      <c r="A3" s="264"/>
      <c r="B3" s="266"/>
      <c r="C3" s="267"/>
      <c r="D3" s="269"/>
      <c r="E3" s="270"/>
      <c r="F3" s="97" t="s">
        <v>3</v>
      </c>
      <c r="G3" s="63" t="s">
        <v>5</v>
      </c>
      <c r="H3" s="97" t="s">
        <v>3</v>
      </c>
      <c r="I3" s="69" t="s">
        <v>5</v>
      </c>
      <c r="J3" s="124"/>
    </row>
    <row r="4" spans="1:10" ht="30" x14ac:dyDescent="0.25">
      <c r="A4" s="46"/>
      <c r="B4" s="75" t="s">
        <v>75</v>
      </c>
      <c r="C4" s="198" t="s">
        <v>83</v>
      </c>
      <c r="D4" s="125" t="s">
        <v>183</v>
      </c>
      <c r="E4" s="68" t="s">
        <v>156</v>
      </c>
      <c r="F4" s="134">
        <f>F5+F6+F12</f>
        <v>46.3</v>
      </c>
      <c r="G4" s="39"/>
      <c r="H4" s="134">
        <f>H5+H6+H12</f>
        <v>54.5</v>
      </c>
      <c r="I4" s="39"/>
      <c r="J4" s="7"/>
    </row>
    <row r="5" spans="1:10" x14ac:dyDescent="0.25">
      <c r="A5" s="8"/>
      <c r="C5" s="5" t="s">
        <v>6</v>
      </c>
      <c r="D5" s="5" t="s">
        <v>18</v>
      </c>
      <c r="E5" t="s">
        <v>8</v>
      </c>
      <c r="F5" s="8"/>
      <c r="G5" s="60"/>
      <c r="H5" s="59">
        <v>1</v>
      </c>
      <c r="I5" s="154" t="s">
        <v>77</v>
      </c>
      <c r="J5" s="7"/>
    </row>
    <row r="6" spans="1:10" x14ac:dyDescent="0.25">
      <c r="A6" s="8"/>
      <c r="C6" s="5" t="s">
        <v>6</v>
      </c>
      <c r="D6" s="5" t="s">
        <v>10</v>
      </c>
      <c r="E6" t="s">
        <v>8</v>
      </c>
      <c r="F6" s="8">
        <v>3.8</v>
      </c>
      <c r="G6" s="136" t="s">
        <v>36</v>
      </c>
      <c r="H6" s="59">
        <v>11</v>
      </c>
      <c r="I6" s="154" t="s">
        <v>11</v>
      </c>
      <c r="J6" s="157" t="s">
        <v>235</v>
      </c>
    </row>
    <row r="7" spans="1:10" x14ac:dyDescent="0.25">
      <c r="A7" s="8"/>
      <c r="C7" s="9" t="s">
        <v>12</v>
      </c>
      <c r="D7" s="2" t="s">
        <v>7</v>
      </c>
      <c r="F7" s="8"/>
      <c r="G7" s="60"/>
      <c r="H7" s="61">
        <v>0</v>
      </c>
      <c r="I7" s="154"/>
      <c r="J7" s="279" t="s">
        <v>249</v>
      </c>
    </row>
    <row r="8" spans="1:10" x14ac:dyDescent="0.25">
      <c r="A8" s="8"/>
      <c r="C8" s="9" t="s">
        <v>12</v>
      </c>
      <c r="D8" s="2" t="s">
        <v>14</v>
      </c>
      <c r="F8" s="8"/>
      <c r="G8" s="60"/>
      <c r="H8" s="61">
        <v>0</v>
      </c>
      <c r="I8" s="154"/>
      <c r="J8" s="279"/>
    </row>
    <row r="9" spans="1:10" x14ac:dyDescent="0.25">
      <c r="A9" s="8"/>
      <c r="C9" s="9" t="s">
        <v>12</v>
      </c>
      <c r="D9" s="2" t="s">
        <v>15</v>
      </c>
      <c r="F9" s="8"/>
      <c r="G9" s="60"/>
      <c r="H9" s="61">
        <v>1</v>
      </c>
      <c r="I9" s="154"/>
      <c r="J9" s="279"/>
    </row>
    <row r="10" spans="1:10" x14ac:dyDescent="0.25">
      <c r="A10" s="8"/>
      <c r="C10" s="9" t="s">
        <v>12</v>
      </c>
      <c r="D10" s="5" t="s">
        <v>76</v>
      </c>
      <c r="F10" s="8"/>
      <c r="G10" s="60"/>
      <c r="H10" s="61">
        <v>1</v>
      </c>
      <c r="I10" s="60"/>
      <c r="J10" s="279"/>
    </row>
    <row r="11" spans="1:10" x14ac:dyDescent="0.25">
      <c r="A11" s="8"/>
      <c r="C11" s="9" t="s">
        <v>12</v>
      </c>
      <c r="D11" s="5" t="s">
        <v>17</v>
      </c>
      <c r="F11" s="8"/>
      <c r="G11" s="60"/>
      <c r="H11" s="61">
        <v>0</v>
      </c>
      <c r="I11" s="60"/>
      <c r="J11" s="279"/>
    </row>
    <row r="12" spans="1:10" x14ac:dyDescent="0.25">
      <c r="A12" s="8"/>
      <c r="C12" s="5" t="s">
        <v>6</v>
      </c>
      <c r="D12" s="9" t="s">
        <v>78</v>
      </c>
      <c r="E12" t="s">
        <v>8</v>
      </c>
      <c r="F12" s="59">
        <f>H12</f>
        <v>42.5</v>
      </c>
      <c r="G12" s="136" t="s">
        <v>20</v>
      </c>
      <c r="H12" s="59">
        <v>42.5</v>
      </c>
      <c r="I12" s="154" t="s">
        <v>20</v>
      </c>
      <c r="J12" s="7"/>
    </row>
    <row r="13" spans="1:10" x14ac:dyDescent="0.25">
      <c r="A13" s="11"/>
      <c r="B13" s="12"/>
      <c r="C13" s="13" t="s">
        <v>21</v>
      </c>
      <c r="D13" s="13" t="s">
        <v>74</v>
      </c>
      <c r="E13" s="12" t="s">
        <v>23</v>
      </c>
      <c r="F13" s="11"/>
      <c r="G13" s="62"/>
      <c r="H13" s="11">
        <v>1</v>
      </c>
      <c r="I13" s="62"/>
      <c r="J13" s="14"/>
    </row>
    <row r="14" spans="1:10" x14ac:dyDescent="0.25">
      <c r="A14" s="64"/>
      <c r="B14" s="46"/>
      <c r="C14" s="113" t="s">
        <v>246</v>
      </c>
      <c r="D14" s="202" t="s">
        <v>183</v>
      </c>
      <c r="E14" s="203" t="s">
        <v>51</v>
      </c>
      <c r="F14" s="159">
        <f>F4</f>
        <v>46.3</v>
      </c>
      <c r="G14" s="118"/>
      <c r="H14" s="159">
        <f>H4</f>
        <v>54.5</v>
      </c>
      <c r="I14" s="68"/>
      <c r="J14" s="167" t="s">
        <v>239</v>
      </c>
    </row>
    <row r="15" spans="1:10" x14ac:dyDescent="0.25">
      <c r="A15" s="11"/>
      <c r="B15" s="12"/>
      <c r="C15" s="115" t="s">
        <v>246</v>
      </c>
      <c r="D15" s="77" t="s">
        <v>247</v>
      </c>
      <c r="E15" s="23" t="s">
        <v>51</v>
      </c>
      <c r="F15" s="116">
        <f>F5+F6</f>
        <v>3.8</v>
      </c>
      <c r="G15" s="122"/>
      <c r="H15" s="116">
        <f>H5+H6</f>
        <v>12</v>
      </c>
      <c r="I15" s="66"/>
      <c r="J15" s="204" t="s">
        <v>239</v>
      </c>
    </row>
    <row r="16" spans="1:10" x14ac:dyDescent="0.25">
      <c r="I16" s="31"/>
    </row>
    <row r="17" spans="1:3" x14ac:dyDescent="0.25">
      <c r="A17" s="16" t="s">
        <v>33</v>
      </c>
      <c r="B17" s="50" t="s">
        <v>173</v>
      </c>
      <c r="C17" s="15" t="s">
        <v>79</v>
      </c>
    </row>
    <row r="18" spans="1:3" x14ac:dyDescent="0.25">
      <c r="A18" s="16" t="s">
        <v>20</v>
      </c>
      <c r="B18" s="50" t="s">
        <v>174</v>
      </c>
      <c r="C18" s="15" t="s">
        <v>80</v>
      </c>
    </row>
    <row r="19" spans="1:3" x14ac:dyDescent="0.25">
      <c r="A19" s="50" t="s">
        <v>36</v>
      </c>
      <c r="B19" t="s">
        <v>282</v>
      </c>
      <c r="C19" s="51" t="s">
        <v>234</v>
      </c>
    </row>
  </sheetData>
  <mergeCells count="8">
    <mergeCell ref="J7:J11"/>
    <mergeCell ref="H2:I2"/>
    <mergeCell ref="A2:A3"/>
    <mergeCell ref="B2:B3"/>
    <mergeCell ref="C2:C3"/>
    <mergeCell ref="D2:D3"/>
    <mergeCell ref="E2:E3"/>
    <mergeCell ref="F2:G2"/>
  </mergeCells>
  <hyperlinks>
    <hyperlink ref="C17" r:id="rId1" xr:uid="{00000000-0004-0000-0600-000000000000}"/>
    <hyperlink ref="C18" r:id="rId2" xr:uid="{00000000-0004-0000-0600-000001000000}"/>
    <hyperlink ref="C19" r:id="rId3" xr:uid="{CB36BFB8-B6AE-4296-B52F-177E4CE202BB}"/>
  </hyperlinks>
  <pageMargins left="0.7" right="0.7" top="0.78749999999999998" bottom="0.78749999999999998"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4472C4"/>
  </sheetPr>
  <dimension ref="A1:J21"/>
  <sheetViews>
    <sheetView zoomScaleNormal="100" workbookViewId="0">
      <selection activeCell="B18" sqref="B18"/>
    </sheetView>
  </sheetViews>
  <sheetFormatPr baseColWidth="10" defaultColWidth="10.5703125" defaultRowHeight="15" x14ac:dyDescent="0.25"/>
  <cols>
    <col min="2" max="2" width="14.140625" customWidth="1"/>
    <col min="3" max="3" width="18.7109375" customWidth="1"/>
    <col min="4" max="4" width="25.140625" bestFit="1" customWidth="1"/>
    <col min="7" max="7" width="15.85546875" customWidth="1"/>
    <col min="10" max="10" width="39.5703125" customWidth="1"/>
  </cols>
  <sheetData>
    <row r="1" spans="1:10" x14ac:dyDescent="0.25">
      <c r="A1" s="47" t="s">
        <v>81</v>
      </c>
    </row>
    <row r="2" spans="1:10" x14ac:dyDescent="0.25">
      <c r="A2" s="255" t="s">
        <v>81</v>
      </c>
      <c r="B2" s="275"/>
      <c r="C2" s="257" t="s">
        <v>2</v>
      </c>
      <c r="D2" s="276"/>
      <c r="E2" s="259" t="s">
        <v>4</v>
      </c>
      <c r="F2" s="261" t="s">
        <v>181</v>
      </c>
      <c r="G2" s="262"/>
      <c r="H2" s="245" t="s">
        <v>180</v>
      </c>
      <c r="I2" s="246"/>
      <c r="J2" s="71" t="s">
        <v>0</v>
      </c>
    </row>
    <row r="3" spans="1:10" x14ac:dyDescent="0.25">
      <c r="A3" s="264"/>
      <c r="B3" s="266"/>
      <c r="C3" s="267"/>
      <c r="D3" s="269"/>
      <c r="E3" s="270"/>
      <c r="F3" s="97" t="s">
        <v>3</v>
      </c>
      <c r="G3" s="63" t="s">
        <v>5</v>
      </c>
      <c r="H3" s="149" t="s">
        <v>3</v>
      </c>
      <c r="I3" s="26" t="s">
        <v>5</v>
      </c>
      <c r="J3" s="124"/>
    </row>
    <row r="4" spans="1:10" ht="30" x14ac:dyDescent="0.25">
      <c r="A4" s="46"/>
      <c r="B4" s="75" t="s">
        <v>75</v>
      </c>
      <c r="C4" s="198" t="s">
        <v>83</v>
      </c>
      <c r="D4" s="125" t="s">
        <v>183</v>
      </c>
      <c r="E4" s="68" t="s">
        <v>156</v>
      </c>
      <c r="F4" s="134">
        <f>F5+F6+F12</f>
        <v>42.5</v>
      </c>
      <c r="G4" s="39"/>
      <c r="H4" s="134">
        <f>H5+H6+H12</f>
        <v>49.5</v>
      </c>
      <c r="I4" s="39"/>
      <c r="J4" s="7"/>
    </row>
    <row r="5" spans="1:10" x14ac:dyDescent="0.25">
      <c r="A5" s="8"/>
      <c r="B5" s="79"/>
      <c r="C5" s="5" t="s">
        <v>6</v>
      </c>
      <c r="D5" s="5" t="s">
        <v>18</v>
      </c>
      <c r="E5" s="2" t="s">
        <v>8</v>
      </c>
      <c r="F5" s="8"/>
      <c r="H5" s="220">
        <f>7-H6</f>
        <v>0.33599999999999941</v>
      </c>
      <c r="I5" s="154" t="s">
        <v>232</v>
      </c>
      <c r="J5" s="60"/>
    </row>
    <row r="6" spans="1:10" x14ac:dyDescent="0.25">
      <c r="A6" s="8"/>
      <c r="C6" s="5" t="s">
        <v>6</v>
      </c>
      <c r="D6" s="5" t="s">
        <v>10</v>
      </c>
      <c r="E6" s="2" t="s">
        <v>8</v>
      </c>
      <c r="F6" s="8">
        <v>0</v>
      </c>
      <c r="G6" s="50" t="s">
        <v>237</v>
      </c>
      <c r="H6" s="156">
        <f>(13.9-2)/(13.9-2+0.6)*7</f>
        <v>6.6640000000000006</v>
      </c>
      <c r="I6" s="154" t="s">
        <v>232</v>
      </c>
      <c r="J6" s="157" t="s">
        <v>238</v>
      </c>
    </row>
    <row r="7" spans="1:10" x14ac:dyDescent="0.25">
      <c r="A7" s="8"/>
      <c r="C7" s="9" t="s">
        <v>12</v>
      </c>
      <c r="D7" s="2" t="s">
        <v>7</v>
      </c>
      <c r="E7" s="2"/>
      <c r="F7" s="8"/>
      <c r="H7" s="61">
        <v>0</v>
      </c>
      <c r="I7" s="154"/>
      <c r="J7" s="279" t="s">
        <v>249</v>
      </c>
    </row>
    <row r="8" spans="1:10" x14ac:dyDescent="0.25">
      <c r="A8" s="8"/>
      <c r="C8" s="9" t="s">
        <v>12</v>
      </c>
      <c r="D8" s="2" t="s">
        <v>14</v>
      </c>
      <c r="E8" s="2"/>
      <c r="F8" s="8"/>
      <c r="H8" s="61">
        <v>0</v>
      </c>
      <c r="I8" s="154"/>
      <c r="J8" s="279"/>
    </row>
    <row r="9" spans="1:10" x14ac:dyDescent="0.25">
      <c r="A9" s="8"/>
      <c r="C9" s="9" t="s">
        <v>12</v>
      </c>
      <c r="D9" s="2" t="s">
        <v>15</v>
      </c>
      <c r="E9" s="2"/>
      <c r="F9" s="8"/>
      <c r="H9" s="61">
        <v>1</v>
      </c>
      <c r="I9" s="154"/>
      <c r="J9" s="279"/>
    </row>
    <row r="10" spans="1:10" x14ac:dyDescent="0.25">
      <c r="A10" s="8"/>
      <c r="C10" s="9" t="s">
        <v>12</v>
      </c>
      <c r="D10" s="5" t="s">
        <v>76</v>
      </c>
      <c r="E10" s="2"/>
      <c r="F10" s="8"/>
      <c r="H10" s="61">
        <v>1</v>
      </c>
      <c r="I10" s="60"/>
      <c r="J10" s="279"/>
    </row>
    <row r="11" spans="1:10" x14ac:dyDescent="0.25">
      <c r="A11" s="8"/>
      <c r="C11" s="9" t="s">
        <v>12</v>
      </c>
      <c r="D11" s="5" t="s">
        <v>17</v>
      </c>
      <c r="E11" s="2"/>
      <c r="F11" s="8"/>
      <c r="H11" s="61">
        <v>0</v>
      </c>
      <c r="I11" s="60"/>
      <c r="J11" s="279"/>
    </row>
    <row r="12" spans="1:10" x14ac:dyDescent="0.25">
      <c r="A12" s="8"/>
      <c r="C12" s="5" t="s">
        <v>6</v>
      </c>
      <c r="D12" s="9" t="s">
        <v>78</v>
      </c>
      <c r="E12" s="2" t="s">
        <v>8</v>
      </c>
      <c r="F12" s="59">
        <v>42.5</v>
      </c>
      <c r="G12" s="154" t="s">
        <v>233</v>
      </c>
      <c r="H12" s="59">
        <v>42.5</v>
      </c>
      <c r="I12" s="154" t="s">
        <v>233</v>
      </c>
      <c r="J12" s="60"/>
    </row>
    <row r="13" spans="1:10" x14ac:dyDescent="0.25">
      <c r="A13" s="11"/>
      <c r="B13" s="12"/>
      <c r="C13" s="13" t="s">
        <v>21</v>
      </c>
      <c r="D13" s="18" t="s">
        <v>81</v>
      </c>
      <c r="E13" s="22" t="s">
        <v>23</v>
      </c>
      <c r="F13" s="11"/>
      <c r="G13" s="12"/>
      <c r="H13" s="11">
        <v>1</v>
      </c>
      <c r="I13" s="62"/>
      <c r="J13" s="62"/>
    </row>
    <row r="14" spans="1:10" x14ac:dyDescent="0.25">
      <c r="A14" s="64"/>
      <c r="B14" s="46"/>
      <c r="C14" s="113" t="s">
        <v>246</v>
      </c>
      <c r="D14" s="202" t="s">
        <v>183</v>
      </c>
      <c r="E14" s="203" t="s">
        <v>51</v>
      </c>
      <c r="F14" s="159">
        <f>F4</f>
        <v>42.5</v>
      </c>
      <c r="G14" s="118"/>
      <c r="H14" s="159">
        <f>H4</f>
        <v>49.5</v>
      </c>
      <c r="I14" s="68"/>
      <c r="J14" s="167" t="s">
        <v>239</v>
      </c>
    </row>
    <row r="15" spans="1:10" x14ac:dyDescent="0.25">
      <c r="A15" s="11"/>
      <c r="B15" s="12"/>
      <c r="C15" s="115" t="s">
        <v>246</v>
      </c>
      <c r="D15" s="77" t="s">
        <v>247</v>
      </c>
      <c r="E15" s="23" t="s">
        <v>51</v>
      </c>
      <c r="F15" s="116">
        <f>F5+F6</f>
        <v>0</v>
      </c>
      <c r="G15" s="122"/>
      <c r="H15" s="116">
        <f>H5+H6</f>
        <v>7</v>
      </c>
      <c r="I15" s="66"/>
      <c r="J15" s="204" t="s">
        <v>239</v>
      </c>
    </row>
    <row r="17" spans="1:3" x14ac:dyDescent="0.25">
      <c r="A17" s="16" t="s">
        <v>33</v>
      </c>
      <c r="B17" s="50" t="s">
        <v>174</v>
      </c>
      <c r="C17" s="15" t="s">
        <v>80</v>
      </c>
    </row>
    <row r="18" spans="1:3" x14ac:dyDescent="0.25">
      <c r="A18" s="16" t="s">
        <v>20</v>
      </c>
      <c r="B18" t="s">
        <v>283</v>
      </c>
      <c r="C18" s="51" t="s">
        <v>236</v>
      </c>
    </row>
    <row r="20" spans="1:3" x14ac:dyDescent="0.25">
      <c r="A20" s="50" t="s">
        <v>177</v>
      </c>
      <c r="B20" s="50" t="s">
        <v>229</v>
      </c>
    </row>
    <row r="21" spans="1:3" x14ac:dyDescent="0.25">
      <c r="A21" s="50" t="s">
        <v>230</v>
      </c>
      <c r="B21" t="s">
        <v>231</v>
      </c>
    </row>
  </sheetData>
  <mergeCells count="8">
    <mergeCell ref="J7:J11"/>
    <mergeCell ref="H2:I2"/>
    <mergeCell ref="A2:A3"/>
    <mergeCell ref="B2:B3"/>
    <mergeCell ref="C2:C3"/>
    <mergeCell ref="D2:D3"/>
    <mergeCell ref="E2:E3"/>
    <mergeCell ref="F2:G2"/>
  </mergeCells>
  <hyperlinks>
    <hyperlink ref="C17" r:id="rId1" xr:uid="{00000000-0004-0000-0700-000000000000}"/>
    <hyperlink ref="C18" r:id="rId2" xr:uid="{67B857C5-EE0F-400C-8147-0E13E33124FA}"/>
  </hyperlinks>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I38"/>
  <sheetViews>
    <sheetView zoomScaleNormal="100" workbookViewId="0">
      <selection activeCell="I32" sqref="I32"/>
    </sheetView>
  </sheetViews>
  <sheetFormatPr baseColWidth="10" defaultColWidth="11.5703125" defaultRowHeight="15" x14ac:dyDescent="0.25"/>
  <cols>
    <col min="1" max="1" width="3.42578125" bestFit="1" customWidth="1"/>
    <col min="2" max="2" width="19.42578125" customWidth="1"/>
    <col min="3" max="3" width="10.140625" customWidth="1"/>
    <col min="4" max="4" width="7" customWidth="1"/>
    <col min="5" max="5" width="8.85546875" customWidth="1"/>
    <col min="9" max="9" width="17.7109375" bestFit="1" customWidth="1"/>
  </cols>
  <sheetData>
    <row r="2" spans="1:9" x14ac:dyDescent="0.25">
      <c r="A2" s="247" t="s">
        <v>82</v>
      </c>
      <c r="B2" s="248"/>
      <c r="C2" s="248"/>
      <c r="D2" s="248"/>
      <c r="E2" s="248"/>
      <c r="F2" s="248"/>
      <c r="G2" s="248"/>
      <c r="H2" s="248"/>
      <c r="I2" s="249"/>
    </row>
    <row r="3" spans="1:9" x14ac:dyDescent="0.25">
      <c r="A3" s="255"/>
      <c r="B3" s="257" t="s">
        <v>2</v>
      </c>
      <c r="D3" s="259" t="s">
        <v>4</v>
      </c>
      <c r="E3" s="261" t="s">
        <v>181</v>
      </c>
      <c r="F3" s="262"/>
      <c r="G3" s="245" t="s">
        <v>180</v>
      </c>
      <c r="H3" s="246"/>
      <c r="I3" s="253" t="s">
        <v>0</v>
      </c>
    </row>
    <row r="4" spans="1:9" x14ac:dyDescent="0.25">
      <c r="A4" s="256"/>
      <c r="B4" s="258"/>
      <c r="D4" s="260"/>
      <c r="E4" s="149" t="s">
        <v>3</v>
      </c>
      <c r="F4" s="39" t="s">
        <v>5</v>
      </c>
      <c r="G4" s="149" t="s">
        <v>3</v>
      </c>
      <c r="H4" s="26" t="s">
        <v>5</v>
      </c>
      <c r="I4" s="254"/>
    </row>
    <row r="5" spans="1:9" x14ac:dyDescent="0.25">
      <c r="A5" s="46"/>
      <c r="B5" s="46" t="s">
        <v>83</v>
      </c>
      <c r="C5" s="114" t="s">
        <v>245</v>
      </c>
      <c r="D5" s="165" t="s">
        <v>156</v>
      </c>
      <c r="E5" s="239">
        <f>8.62</f>
        <v>8.6199999999999992</v>
      </c>
      <c r="F5" s="231" t="s">
        <v>38</v>
      </c>
      <c r="G5" s="180">
        <f>G6+G7</f>
        <v>19.510000000000002</v>
      </c>
      <c r="H5" s="39"/>
      <c r="I5" s="68"/>
    </row>
    <row r="6" spans="1:9" x14ac:dyDescent="0.25">
      <c r="C6" t="s">
        <v>84</v>
      </c>
      <c r="D6" s="163" t="s">
        <v>156</v>
      </c>
      <c r="E6" s="8"/>
      <c r="F6" s="60"/>
      <c r="G6" s="160">
        <v>2.35</v>
      </c>
      <c r="H6" s="161" t="s">
        <v>155</v>
      </c>
      <c r="I6" s="60"/>
    </row>
    <row r="7" spans="1:9" x14ac:dyDescent="0.25">
      <c r="A7" s="8"/>
      <c r="B7" s="56"/>
      <c r="C7" t="s">
        <v>85</v>
      </c>
      <c r="D7" s="163" t="s">
        <v>156</v>
      </c>
      <c r="E7" s="8"/>
      <c r="F7" s="60"/>
      <c r="G7" s="160">
        <v>17.16</v>
      </c>
      <c r="H7" s="161" t="s">
        <v>155</v>
      </c>
      <c r="I7" s="60"/>
    </row>
    <row r="8" spans="1:9" x14ac:dyDescent="0.25">
      <c r="A8" s="8"/>
      <c r="C8" s="56" t="s">
        <v>86</v>
      </c>
      <c r="D8" s="163" t="s">
        <v>156</v>
      </c>
      <c r="E8" s="8"/>
      <c r="F8" s="60"/>
      <c r="G8" s="160">
        <v>16.440000000000001</v>
      </c>
      <c r="H8" s="161" t="s">
        <v>155</v>
      </c>
      <c r="I8" s="60"/>
    </row>
    <row r="9" spans="1:9" x14ac:dyDescent="0.25">
      <c r="A9" s="8"/>
      <c r="C9" s="56" t="s">
        <v>87</v>
      </c>
      <c r="D9" s="163" t="s">
        <v>156</v>
      </c>
      <c r="E9" s="8"/>
      <c r="F9" s="60"/>
      <c r="G9" s="160">
        <v>0.68</v>
      </c>
      <c r="H9" s="161" t="s">
        <v>155</v>
      </c>
      <c r="I9" s="60"/>
    </row>
    <row r="10" spans="1:9" x14ac:dyDescent="0.25">
      <c r="A10" s="8"/>
      <c r="C10" s="56" t="s">
        <v>88</v>
      </c>
      <c r="D10" s="163" t="s">
        <v>156</v>
      </c>
      <c r="E10" s="8"/>
      <c r="F10" s="60"/>
      <c r="G10" s="160">
        <v>0.04</v>
      </c>
      <c r="H10" s="161" t="s">
        <v>155</v>
      </c>
      <c r="I10" s="60"/>
    </row>
    <row r="11" spans="1:9" x14ac:dyDescent="0.25">
      <c r="A11" s="11"/>
      <c r="B11" s="12" t="s">
        <v>89</v>
      </c>
      <c r="C11" s="12" t="s">
        <v>90</v>
      </c>
      <c r="D11" s="57" t="s">
        <v>23</v>
      </c>
      <c r="E11" s="11"/>
      <c r="F11" s="62"/>
      <c r="G11" s="158">
        <v>1</v>
      </c>
      <c r="H11" s="162"/>
      <c r="I11" s="62"/>
    </row>
    <row r="12" spans="1:9" x14ac:dyDescent="0.25">
      <c r="A12" s="82"/>
      <c r="B12" s="183" t="s">
        <v>246</v>
      </c>
      <c r="C12" s="184" t="s">
        <v>193</v>
      </c>
      <c r="D12" s="189" t="s">
        <v>185</v>
      </c>
      <c r="E12" s="185">
        <f>E5</f>
        <v>8.6199999999999992</v>
      </c>
      <c r="F12" s="186"/>
      <c r="G12" s="185">
        <f>G5</f>
        <v>19.510000000000002</v>
      </c>
      <c r="H12" s="187"/>
      <c r="I12" s="188"/>
    </row>
    <row r="14" spans="1:9" x14ac:dyDescent="0.25">
      <c r="A14" s="250" t="s">
        <v>91</v>
      </c>
      <c r="B14" s="251"/>
      <c r="C14" s="251"/>
      <c r="D14" s="251"/>
      <c r="E14" s="251"/>
      <c r="F14" s="251"/>
      <c r="G14" s="251"/>
      <c r="H14" s="251"/>
      <c r="I14" s="252"/>
    </row>
    <row r="15" spans="1:9" x14ac:dyDescent="0.25">
      <c r="A15" s="46"/>
      <c r="B15" s="46" t="s">
        <v>83</v>
      </c>
      <c r="C15" s="114" t="s">
        <v>245</v>
      </c>
      <c r="D15" s="165" t="s">
        <v>156</v>
      </c>
      <c r="E15" s="240">
        <f>8.62</f>
        <v>8.6199999999999992</v>
      </c>
      <c r="F15" s="231" t="s">
        <v>38</v>
      </c>
      <c r="G15" s="180">
        <f>G16+G17</f>
        <v>20.100000000000001</v>
      </c>
      <c r="H15" s="39"/>
      <c r="I15" s="68"/>
    </row>
    <row r="16" spans="1:9" x14ac:dyDescent="0.25">
      <c r="A16" s="8"/>
      <c r="C16" t="s">
        <v>84</v>
      </c>
      <c r="D16" s="163" t="s">
        <v>156</v>
      </c>
      <c r="E16" s="8"/>
      <c r="F16" s="60"/>
      <c r="G16" s="8">
        <v>4.37</v>
      </c>
      <c r="H16" s="52" t="s">
        <v>33</v>
      </c>
      <c r="I16" s="60"/>
    </row>
    <row r="17" spans="1:9" x14ac:dyDescent="0.25">
      <c r="A17" s="8"/>
      <c r="C17" t="s">
        <v>85</v>
      </c>
      <c r="D17" s="163" t="s">
        <v>156</v>
      </c>
      <c r="E17" s="8"/>
      <c r="F17" s="60"/>
      <c r="G17" s="8">
        <v>15.73</v>
      </c>
      <c r="H17" s="52" t="s">
        <v>33</v>
      </c>
      <c r="I17" s="60"/>
    </row>
    <row r="18" spans="1:9" x14ac:dyDescent="0.25">
      <c r="A18" s="8"/>
      <c r="B18" s="56"/>
      <c r="C18" s="56" t="s">
        <v>86</v>
      </c>
      <c r="D18" s="163" t="s">
        <v>156</v>
      </c>
      <c r="E18" s="8"/>
      <c r="F18" s="60"/>
      <c r="G18" s="8">
        <v>1.02</v>
      </c>
      <c r="H18" s="52" t="s">
        <v>33</v>
      </c>
      <c r="I18" s="60"/>
    </row>
    <row r="19" spans="1:9" x14ac:dyDescent="0.25">
      <c r="A19" s="8"/>
      <c r="B19" s="56"/>
      <c r="C19" s="56" t="s">
        <v>87</v>
      </c>
      <c r="D19" s="163" t="s">
        <v>156</v>
      </c>
      <c r="E19" s="8"/>
      <c r="F19" s="60"/>
      <c r="G19" s="8">
        <v>14.71</v>
      </c>
      <c r="H19" s="52" t="s">
        <v>33</v>
      </c>
      <c r="I19" s="60"/>
    </row>
    <row r="20" spans="1:9" x14ac:dyDescent="0.25">
      <c r="A20" s="8"/>
      <c r="B20" s="56"/>
      <c r="C20" s="56" t="s">
        <v>88</v>
      </c>
      <c r="D20" s="163" t="s">
        <v>156</v>
      </c>
      <c r="E20" s="8"/>
      <c r="F20" s="60"/>
      <c r="G20" s="8" t="s">
        <v>92</v>
      </c>
      <c r="H20" s="52" t="s">
        <v>33</v>
      </c>
      <c r="I20" s="60"/>
    </row>
    <row r="21" spans="1:9" x14ac:dyDescent="0.25">
      <c r="A21" s="11"/>
      <c r="B21" s="12" t="s">
        <v>21</v>
      </c>
      <c r="C21" s="12" t="s">
        <v>93</v>
      </c>
      <c r="D21" s="164" t="s">
        <v>23</v>
      </c>
      <c r="E21" s="11"/>
      <c r="F21" s="62"/>
      <c r="G21" s="158">
        <v>1</v>
      </c>
      <c r="H21" s="162"/>
      <c r="I21" s="62"/>
    </row>
    <row r="22" spans="1:9" x14ac:dyDescent="0.25">
      <c r="A22" s="82"/>
      <c r="B22" s="183" t="s">
        <v>246</v>
      </c>
      <c r="C22" s="184" t="s">
        <v>193</v>
      </c>
      <c r="D22" s="189" t="s">
        <v>185</v>
      </c>
      <c r="E22" s="185">
        <f>E15</f>
        <v>8.6199999999999992</v>
      </c>
      <c r="F22" s="186"/>
      <c r="G22" s="185">
        <f>G15</f>
        <v>20.100000000000001</v>
      </c>
      <c r="H22" s="187"/>
      <c r="I22" s="188"/>
    </row>
    <row r="24" spans="1:9" x14ac:dyDescent="0.25">
      <c r="A24" s="250" t="s">
        <v>94</v>
      </c>
      <c r="B24" s="251"/>
      <c r="C24" s="251"/>
      <c r="D24" s="251"/>
      <c r="E24" s="251"/>
      <c r="F24" s="251"/>
      <c r="G24" s="251"/>
      <c r="H24" s="251"/>
      <c r="I24" s="252"/>
    </row>
    <row r="25" spans="1:9" x14ac:dyDescent="0.25">
      <c r="A25" s="46"/>
      <c r="B25" s="46" t="s">
        <v>83</v>
      </c>
      <c r="C25" s="114" t="s">
        <v>245</v>
      </c>
      <c r="D25" s="165" t="s">
        <v>156</v>
      </c>
      <c r="E25" s="239">
        <v>1.33</v>
      </c>
      <c r="F25" s="231" t="s">
        <v>38</v>
      </c>
      <c r="G25" s="180">
        <f>G26+G27</f>
        <v>2.6799999999999997</v>
      </c>
      <c r="H25" s="39"/>
      <c r="I25" s="68"/>
    </row>
    <row r="26" spans="1:9" x14ac:dyDescent="0.25">
      <c r="A26" s="8"/>
      <c r="C26" t="s">
        <v>95</v>
      </c>
      <c r="D26" s="163" t="s">
        <v>156</v>
      </c>
      <c r="E26" s="8"/>
      <c r="F26" s="60"/>
      <c r="G26" s="160">
        <v>1.45</v>
      </c>
      <c r="H26" s="52" t="s">
        <v>33</v>
      </c>
      <c r="I26" s="60"/>
    </row>
    <row r="27" spans="1:9" x14ac:dyDescent="0.25">
      <c r="A27" s="8"/>
      <c r="B27" s="56"/>
      <c r="C27" t="s">
        <v>85</v>
      </c>
      <c r="D27" s="163" t="s">
        <v>156</v>
      </c>
      <c r="E27" s="8"/>
      <c r="F27" s="60"/>
      <c r="G27" s="160">
        <v>1.23</v>
      </c>
      <c r="H27" s="52" t="s">
        <v>33</v>
      </c>
      <c r="I27" s="60"/>
    </row>
    <row r="28" spans="1:9" x14ac:dyDescent="0.25">
      <c r="A28" s="8"/>
      <c r="B28" s="56"/>
      <c r="C28" t="s">
        <v>86</v>
      </c>
      <c r="D28" s="163" t="s">
        <v>156</v>
      </c>
      <c r="E28" s="8"/>
      <c r="F28" s="60"/>
      <c r="G28" s="160">
        <v>0.45</v>
      </c>
      <c r="H28" s="52" t="s">
        <v>33</v>
      </c>
      <c r="I28" s="60"/>
    </row>
    <row r="29" spans="1:9" x14ac:dyDescent="0.25">
      <c r="A29" s="8"/>
      <c r="B29" s="56"/>
      <c r="C29" t="s">
        <v>87</v>
      </c>
      <c r="D29" s="163" t="s">
        <v>156</v>
      </c>
      <c r="E29" s="8"/>
      <c r="F29" s="60"/>
      <c r="G29" s="160">
        <v>0.78</v>
      </c>
      <c r="H29" s="52" t="s">
        <v>33</v>
      </c>
      <c r="I29" s="60"/>
    </row>
    <row r="30" spans="1:9" x14ac:dyDescent="0.25">
      <c r="A30" s="8"/>
      <c r="B30" s="56"/>
      <c r="C30" t="s">
        <v>88</v>
      </c>
      <c r="D30" s="163" t="s">
        <v>156</v>
      </c>
      <c r="E30" s="8"/>
      <c r="F30" s="60"/>
      <c r="G30" s="160" t="s">
        <v>92</v>
      </c>
      <c r="H30" s="52" t="s">
        <v>33</v>
      </c>
      <c r="I30" s="60"/>
    </row>
    <row r="31" spans="1:9" x14ac:dyDescent="0.25">
      <c r="A31" s="11"/>
      <c r="B31" s="12" t="s">
        <v>21</v>
      </c>
      <c r="C31" s="12" t="s">
        <v>93</v>
      </c>
      <c r="D31" s="164" t="s">
        <v>23</v>
      </c>
      <c r="E31" s="11"/>
      <c r="F31" s="62"/>
      <c r="G31" s="158">
        <v>1</v>
      </c>
      <c r="H31" s="162"/>
      <c r="I31" s="62"/>
    </row>
    <row r="32" spans="1:9" x14ac:dyDescent="0.25">
      <c r="A32" s="82"/>
      <c r="B32" s="183" t="s">
        <v>246</v>
      </c>
      <c r="C32" s="184" t="s">
        <v>193</v>
      </c>
      <c r="D32" s="189" t="s">
        <v>185</v>
      </c>
      <c r="E32" s="185">
        <f>E25</f>
        <v>1.33</v>
      </c>
      <c r="F32" s="186"/>
      <c r="G32" s="185">
        <f>G25</f>
        <v>2.6799999999999997</v>
      </c>
      <c r="H32" s="187"/>
      <c r="I32" s="188"/>
    </row>
    <row r="33" spans="1:9" x14ac:dyDescent="0.25">
      <c r="B33" s="112"/>
      <c r="C33" s="190"/>
      <c r="D33" s="191"/>
      <c r="E33" s="105"/>
      <c r="F33" s="48"/>
      <c r="G33" s="105"/>
      <c r="H33" s="2"/>
      <c r="I33" s="50"/>
    </row>
    <row r="35" spans="1:9" x14ac:dyDescent="0.25">
      <c r="A35" t="s">
        <v>33</v>
      </c>
      <c r="B35" s="50" t="s">
        <v>160</v>
      </c>
    </row>
    <row r="36" spans="1:9" x14ac:dyDescent="0.25">
      <c r="A36" t="s">
        <v>20</v>
      </c>
      <c r="B36" s="50" t="s">
        <v>162</v>
      </c>
    </row>
    <row r="37" spans="1:9" x14ac:dyDescent="0.25">
      <c r="A37" s="16" t="s">
        <v>36</v>
      </c>
      <c r="B37" s="50" t="s">
        <v>161</v>
      </c>
    </row>
    <row r="38" spans="1:9" x14ac:dyDescent="0.25">
      <c r="A38" s="230" t="s">
        <v>38</v>
      </c>
      <c r="B38" s="230" t="s">
        <v>285</v>
      </c>
    </row>
  </sheetData>
  <mergeCells count="9">
    <mergeCell ref="G3:H3"/>
    <mergeCell ref="A2:I2"/>
    <mergeCell ref="A24:I24"/>
    <mergeCell ref="A14:I14"/>
    <mergeCell ref="I3:I4"/>
    <mergeCell ref="A3:A4"/>
    <mergeCell ref="B3:B4"/>
    <mergeCell ref="D3:D4"/>
    <mergeCell ref="E3:F3"/>
  </mergeCells>
  <pageMargins left="0.78749999999999998" right="0.78749999999999998" top="1.05277777777778" bottom="1.05277777777778" header="0.78749999999999998" footer="0.78749999999999998"/>
  <pageSetup paperSize="9" orientation="portrait" horizontalDpi="300" verticalDpi="300"/>
  <headerFooter>
    <oddHeader>&amp;C&amp;12&amp;Kffffff&amp;A</oddHeader>
    <oddFooter>&amp;C&amp;12&amp;KffffffSeite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B6DAD-6C4C-4FF4-BE73-33C1C992A3F6}">
  <sheetPr>
    <tabColor rgb="FF4472C4"/>
  </sheetPr>
  <dimension ref="A1:O65"/>
  <sheetViews>
    <sheetView topLeftCell="A19" zoomScaleNormal="100" workbookViewId="0">
      <selection activeCell="J29" sqref="J29"/>
    </sheetView>
  </sheetViews>
  <sheetFormatPr baseColWidth="10" defaultColWidth="10.5703125" defaultRowHeight="15" x14ac:dyDescent="0.25"/>
  <cols>
    <col min="1" max="1" width="14" customWidth="1"/>
    <col min="2" max="2" width="22.42578125" customWidth="1"/>
    <col min="3" max="3" width="20.140625" customWidth="1"/>
    <col min="4" max="4" width="39.28515625" bestFit="1" customWidth="1"/>
    <col min="9" max="9" width="11.85546875" style="2" customWidth="1"/>
    <col min="10" max="10" width="26.7109375" bestFit="1" customWidth="1"/>
  </cols>
  <sheetData>
    <row r="1" spans="1:15" x14ac:dyDescent="0.25">
      <c r="A1" s="82" t="s">
        <v>1</v>
      </c>
      <c r="B1" s="83"/>
      <c r="C1" s="83"/>
      <c r="D1" s="83"/>
      <c r="E1" s="83"/>
      <c r="F1" s="83"/>
      <c r="G1" s="83"/>
      <c r="H1" s="83"/>
      <c r="I1" s="84"/>
      <c r="J1" s="85"/>
    </row>
    <row r="2" spans="1:15" x14ac:dyDescent="0.25">
      <c r="A2" s="255" t="s">
        <v>1</v>
      </c>
      <c r="B2" s="275"/>
      <c r="C2" s="257" t="s">
        <v>2</v>
      </c>
      <c r="D2" s="276"/>
      <c r="E2" s="259" t="s">
        <v>4</v>
      </c>
      <c r="F2" s="261" t="s">
        <v>181</v>
      </c>
      <c r="G2" s="262"/>
      <c r="H2" s="245" t="s">
        <v>180</v>
      </c>
      <c r="I2" s="246"/>
      <c r="J2" s="71" t="s">
        <v>0</v>
      </c>
    </row>
    <row r="3" spans="1:15" x14ac:dyDescent="0.25">
      <c r="A3" s="264"/>
      <c r="B3" s="266"/>
      <c r="C3" s="267"/>
      <c r="D3" s="269"/>
      <c r="E3" s="270"/>
      <c r="F3" s="97" t="s">
        <v>3</v>
      </c>
      <c r="G3" s="63" t="s">
        <v>5</v>
      </c>
      <c r="H3" s="97" t="s">
        <v>3</v>
      </c>
      <c r="I3" s="69" t="s">
        <v>5</v>
      </c>
      <c r="J3" s="7"/>
    </row>
    <row r="4" spans="1:15" x14ac:dyDescent="0.25">
      <c r="A4" s="78"/>
      <c r="B4" s="79" t="s">
        <v>186</v>
      </c>
      <c r="C4" s="87" t="s">
        <v>6</v>
      </c>
      <c r="D4" s="241" t="s">
        <v>188</v>
      </c>
      <c r="E4" s="242" t="s">
        <v>23</v>
      </c>
      <c r="F4" s="243"/>
      <c r="G4" s="118"/>
      <c r="H4" s="56">
        <v>2.5449999999999999</v>
      </c>
      <c r="I4" s="48" t="s">
        <v>38</v>
      </c>
      <c r="J4" s="7"/>
    </row>
    <row r="5" spans="1:15" x14ac:dyDescent="0.25">
      <c r="A5" s="78"/>
      <c r="B5" s="79"/>
      <c r="C5" s="24"/>
      <c r="D5" s="112" t="s">
        <v>10</v>
      </c>
      <c r="E5" s="50" t="s">
        <v>8</v>
      </c>
      <c r="F5" s="98">
        <f>0.13*3.6/F7</f>
        <v>0.24761904761904766</v>
      </c>
      <c r="G5" s="119" t="s">
        <v>123</v>
      </c>
      <c r="H5" s="56">
        <f>(7.6+11.7)/2</f>
        <v>9.6499999999999986</v>
      </c>
      <c r="I5" s="48" t="s">
        <v>200</v>
      </c>
      <c r="J5" s="7" t="s">
        <v>208</v>
      </c>
      <c r="O5" s="137"/>
    </row>
    <row r="6" spans="1:15" x14ac:dyDescent="0.25">
      <c r="A6" s="74"/>
      <c r="B6" s="76"/>
      <c r="C6" s="88" t="s">
        <v>21</v>
      </c>
      <c r="D6" s="93" t="s">
        <v>187</v>
      </c>
      <c r="E6" s="95" t="s">
        <v>23</v>
      </c>
      <c r="F6" s="103"/>
      <c r="G6" s="122"/>
      <c r="H6" s="103">
        <v>1</v>
      </c>
      <c r="I6" s="72"/>
      <c r="J6" s="7"/>
    </row>
    <row r="7" spans="1:15" x14ac:dyDescent="0.25">
      <c r="A7" s="78"/>
      <c r="B7" s="79" t="s">
        <v>198</v>
      </c>
      <c r="C7" s="104" t="s">
        <v>6</v>
      </c>
      <c r="D7" s="96" t="s">
        <v>194</v>
      </c>
      <c r="E7" s="50" t="s">
        <v>23</v>
      </c>
      <c r="F7" s="98">
        <v>1.89</v>
      </c>
      <c r="G7" s="119" t="s">
        <v>123</v>
      </c>
      <c r="H7" s="105">
        <f>(1.91+1.96)/2</f>
        <v>1.9350000000000001</v>
      </c>
      <c r="I7" s="48" t="s">
        <v>199</v>
      </c>
      <c r="J7" s="7"/>
    </row>
    <row r="8" spans="1:15" x14ac:dyDescent="0.25">
      <c r="A8" s="78"/>
      <c r="B8" s="107" t="s">
        <v>197</v>
      </c>
      <c r="C8" s="89"/>
      <c r="D8" s="96" t="s">
        <v>18</v>
      </c>
      <c r="E8" s="50" t="s">
        <v>8</v>
      </c>
      <c r="F8" s="98">
        <f>5.11*3.6</f>
        <v>18.396000000000001</v>
      </c>
      <c r="G8" s="119" t="s">
        <v>123</v>
      </c>
      <c r="H8" s="105">
        <f>50.6*52.2/(52.2+3.27)</f>
        <v>47.617090319091396</v>
      </c>
      <c r="I8" s="2" t="s">
        <v>179</v>
      </c>
      <c r="J8" s="130" t="s">
        <v>207</v>
      </c>
    </row>
    <row r="9" spans="1:15" x14ac:dyDescent="0.25">
      <c r="A9" s="138"/>
      <c r="B9" s="139"/>
      <c r="C9" s="140"/>
      <c r="D9" s="141" t="s">
        <v>10</v>
      </c>
      <c r="E9" s="142" t="s">
        <v>8</v>
      </c>
      <c r="F9" s="143">
        <f>(0.49+0.39)*3.6</f>
        <v>3.1680000000000001</v>
      </c>
      <c r="G9" s="144" t="s">
        <v>123</v>
      </c>
      <c r="H9" s="145">
        <f>50.6*3.27/(52.2+3.27)-H10</f>
        <v>1.9907096809085991</v>
      </c>
      <c r="I9" s="146" t="s">
        <v>179</v>
      </c>
      <c r="J9" s="7" t="s">
        <v>208</v>
      </c>
    </row>
    <row r="10" spans="1:15" x14ac:dyDescent="0.25">
      <c r="A10" s="78"/>
      <c r="B10" s="79" t="s">
        <v>189</v>
      </c>
      <c r="C10" s="24"/>
      <c r="D10" s="96" t="s">
        <v>195</v>
      </c>
      <c r="E10" s="50" t="s">
        <v>8</v>
      </c>
      <c r="F10" s="98">
        <f>(2+2.4)/2*0.33</f>
        <v>0.72600000000000009</v>
      </c>
      <c r="G10" s="119" t="s">
        <v>209</v>
      </c>
      <c r="H10" s="105">
        <f>(2+2.4)/2*0.451</f>
        <v>0.99220000000000008</v>
      </c>
      <c r="I10" s="2" t="s">
        <v>9</v>
      </c>
      <c r="J10" s="7" t="s">
        <v>208</v>
      </c>
    </row>
    <row r="11" spans="1:15" x14ac:dyDescent="0.25">
      <c r="A11" s="78"/>
      <c r="B11" s="79" t="s">
        <v>190</v>
      </c>
      <c r="C11" s="24"/>
      <c r="D11" s="9" t="s">
        <v>191</v>
      </c>
      <c r="E11" t="s">
        <v>8</v>
      </c>
      <c r="F11" s="98">
        <f>4.1*3.6</f>
        <v>14.76</v>
      </c>
      <c r="G11" s="119" t="s">
        <v>36</v>
      </c>
      <c r="H11" s="98">
        <v>13.93</v>
      </c>
      <c r="I11" s="2" t="s">
        <v>20</v>
      </c>
      <c r="J11" s="7" t="s">
        <v>208</v>
      </c>
    </row>
    <row r="12" spans="1:15" x14ac:dyDescent="0.25">
      <c r="A12" s="74"/>
      <c r="B12" s="76"/>
      <c r="C12" s="88" t="s">
        <v>21</v>
      </c>
      <c r="D12" s="93" t="s">
        <v>1</v>
      </c>
      <c r="E12" s="95" t="s">
        <v>23</v>
      </c>
      <c r="F12" s="103"/>
      <c r="G12" s="122"/>
      <c r="H12" s="103">
        <v>1</v>
      </c>
      <c r="I12" s="72"/>
      <c r="J12" s="7"/>
    </row>
    <row r="13" spans="1:15" x14ac:dyDescent="0.25">
      <c r="A13" s="78"/>
      <c r="B13" s="79" t="s">
        <v>192</v>
      </c>
      <c r="C13" s="87" t="s">
        <v>6</v>
      </c>
      <c r="D13" s="94" t="s">
        <v>22</v>
      </c>
      <c r="E13" s="50" t="s">
        <v>23</v>
      </c>
      <c r="F13" s="102"/>
      <c r="G13" s="119"/>
      <c r="H13" s="102">
        <v>1</v>
      </c>
      <c r="I13" s="3"/>
      <c r="J13" s="7"/>
    </row>
    <row r="14" spans="1:15" x14ac:dyDescent="0.25">
      <c r="A14" s="78"/>
      <c r="B14" s="79"/>
      <c r="D14" s="96" t="s">
        <v>18</v>
      </c>
      <c r="E14" s="50" t="s">
        <v>8</v>
      </c>
      <c r="F14" s="123"/>
      <c r="G14" s="119"/>
      <c r="H14" s="99">
        <f>3.9*5.76/12.96</f>
        <v>1.7333333333333332</v>
      </c>
      <c r="I14" s="2" t="s">
        <v>179</v>
      </c>
      <c r="J14" s="7"/>
    </row>
    <row r="15" spans="1:15" x14ac:dyDescent="0.25">
      <c r="A15" s="78"/>
      <c r="B15" s="79"/>
      <c r="C15" s="89"/>
      <c r="D15" s="48" t="s">
        <v>10</v>
      </c>
      <c r="E15" s="50" t="s">
        <v>8</v>
      </c>
      <c r="F15" s="59">
        <f>0.33*3.6</f>
        <v>1.1880000000000002</v>
      </c>
      <c r="G15" s="119" t="s">
        <v>210</v>
      </c>
      <c r="H15" s="6">
        <f>3.9*7.2/12.96</f>
        <v>2.1666666666666665</v>
      </c>
      <c r="I15" s="48" t="s">
        <v>179</v>
      </c>
      <c r="J15" s="7"/>
    </row>
    <row r="16" spans="1:15" x14ac:dyDescent="0.25">
      <c r="A16" s="74"/>
      <c r="B16" s="76"/>
      <c r="C16" s="12" t="s">
        <v>21</v>
      </c>
      <c r="D16" s="106" t="s">
        <v>196</v>
      </c>
      <c r="E16" s="95" t="s">
        <v>23</v>
      </c>
      <c r="F16" s="103"/>
      <c r="G16" s="122"/>
      <c r="H16" s="103">
        <v>1</v>
      </c>
      <c r="I16" s="72"/>
      <c r="J16" s="7"/>
      <c r="M16" s="50"/>
    </row>
    <row r="17" spans="1:10" x14ac:dyDescent="0.25">
      <c r="A17" s="78"/>
      <c r="B17" s="79" t="s">
        <v>193</v>
      </c>
      <c r="C17" s="90" t="s">
        <v>182</v>
      </c>
      <c r="D17" s="80" t="s">
        <v>183</v>
      </c>
      <c r="E17" s="81" t="s">
        <v>8</v>
      </c>
      <c r="F17" s="100">
        <f>F5*F7+F8+F9+F10+F11+F15</f>
        <v>38.706000000000003</v>
      </c>
      <c r="G17" s="118"/>
      <c r="H17" s="100">
        <f>H19+H20+H18+H26</f>
        <v>78.079999999999984</v>
      </c>
      <c r="I17" s="3"/>
      <c r="J17" s="7"/>
    </row>
    <row r="18" spans="1:10" x14ac:dyDescent="0.25">
      <c r="A18" s="8"/>
      <c r="C18" s="24" t="s">
        <v>6</v>
      </c>
      <c r="D18" s="5" t="s">
        <v>18</v>
      </c>
      <c r="E18" t="s">
        <v>8</v>
      </c>
      <c r="F18" s="98"/>
      <c r="G18" s="119"/>
      <c r="H18" s="98">
        <f>H8+H14</f>
        <v>49.35042365242473</v>
      </c>
      <c r="I18" s="2" t="s">
        <v>179</v>
      </c>
      <c r="J18" s="7"/>
    </row>
    <row r="19" spans="1:10" x14ac:dyDescent="0.25">
      <c r="A19" s="4"/>
      <c r="B19" s="2"/>
      <c r="C19" s="24"/>
      <c r="D19" s="5" t="s">
        <v>7</v>
      </c>
      <c r="E19" t="s">
        <v>8</v>
      </c>
      <c r="F19" s="98"/>
      <c r="G19" s="119"/>
      <c r="H19" s="98">
        <f>H10</f>
        <v>0.99220000000000008</v>
      </c>
      <c r="I19" s="2" t="s">
        <v>9</v>
      </c>
      <c r="J19" s="7"/>
    </row>
    <row r="20" spans="1:10" x14ac:dyDescent="0.25">
      <c r="A20" s="8"/>
      <c r="C20" s="24"/>
      <c r="D20" s="5" t="s">
        <v>10</v>
      </c>
      <c r="E20" t="s">
        <v>8</v>
      </c>
      <c r="F20" s="98"/>
      <c r="G20" s="119"/>
      <c r="H20" s="98">
        <f>H5+H9+H15</f>
        <v>13.807376347575264</v>
      </c>
      <c r="I20" s="48" t="s">
        <v>178</v>
      </c>
      <c r="J20" s="130" t="s">
        <v>205</v>
      </c>
    </row>
    <row r="21" spans="1:10" x14ac:dyDescent="0.25">
      <c r="A21" s="8"/>
      <c r="C21" s="110" t="s">
        <v>12</v>
      </c>
      <c r="D21" s="2" t="s">
        <v>7</v>
      </c>
      <c r="F21" s="101"/>
      <c r="G21" s="119"/>
      <c r="H21" s="101">
        <v>1</v>
      </c>
      <c r="I21" s="70" t="s">
        <v>13</v>
      </c>
      <c r="J21" s="263" t="s">
        <v>250</v>
      </c>
    </row>
    <row r="22" spans="1:10" x14ac:dyDescent="0.25">
      <c r="A22" s="8"/>
      <c r="C22" s="110" t="s">
        <v>12</v>
      </c>
      <c r="D22" s="2" t="s">
        <v>14</v>
      </c>
      <c r="F22" s="101"/>
      <c r="G22" s="119"/>
      <c r="H22" s="101">
        <v>1</v>
      </c>
      <c r="I22" s="70" t="s">
        <v>13</v>
      </c>
      <c r="J22" s="263"/>
    </row>
    <row r="23" spans="1:10" x14ac:dyDescent="0.25">
      <c r="A23" s="8"/>
      <c r="C23" s="110" t="s">
        <v>12</v>
      </c>
      <c r="D23" s="2" t="s">
        <v>15</v>
      </c>
      <c r="F23" s="101"/>
      <c r="G23" s="119"/>
      <c r="H23" s="101">
        <v>1</v>
      </c>
      <c r="I23" s="70" t="s">
        <v>13</v>
      </c>
      <c r="J23" s="263"/>
    </row>
    <row r="24" spans="1:10" x14ac:dyDescent="0.25">
      <c r="A24" s="8"/>
      <c r="C24" s="110" t="s">
        <v>12</v>
      </c>
      <c r="D24" s="5" t="s">
        <v>16</v>
      </c>
      <c r="F24" s="101"/>
      <c r="G24" s="119"/>
      <c r="H24" s="101">
        <v>1</v>
      </c>
      <c r="J24" s="263"/>
    </row>
    <row r="25" spans="1:10" x14ac:dyDescent="0.25">
      <c r="A25" s="8"/>
      <c r="C25" s="110" t="s">
        <v>12</v>
      </c>
      <c r="D25" s="5" t="s">
        <v>17</v>
      </c>
      <c r="F25" s="101"/>
      <c r="G25" s="119"/>
      <c r="H25" s="101">
        <v>1</v>
      </c>
      <c r="J25" s="263"/>
    </row>
    <row r="26" spans="1:10" x14ac:dyDescent="0.25">
      <c r="A26" s="8"/>
      <c r="C26" s="24"/>
      <c r="D26" s="9" t="s">
        <v>19</v>
      </c>
      <c r="E26" t="s">
        <v>8</v>
      </c>
      <c r="F26" s="98"/>
      <c r="G26" s="119"/>
      <c r="H26" s="98">
        <f>H11</f>
        <v>13.93</v>
      </c>
      <c r="I26" s="2" t="s">
        <v>20</v>
      </c>
      <c r="J26" s="7"/>
    </row>
    <row r="27" spans="1:10" x14ac:dyDescent="0.25">
      <c r="A27" s="11"/>
      <c r="B27" s="12"/>
      <c r="C27" s="41" t="s">
        <v>21</v>
      </c>
      <c r="D27" s="13" t="s">
        <v>22</v>
      </c>
      <c r="E27" s="12" t="s">
        <v>23</v>
      </c>
      <c r="F27" s="158"/>
      <c r="G27" s="122"/>
      <c r="H27" s="158">
        <v>1</v>
      </c>
      <c r="I27" s="66"/>
      <c r="J27" s="7"/>
    </row>
    <row r="28" spans="1:10" x14ac:dyDescent="0.25">
      <c r="A28" s="64"/>
      <c r="B28" s="46"/>
      <c r="C28" s="112" t="s">
        <v>184</v>
      </c>
      <c r="D28" s="182" t="s">
        <v>247</v>
      </c>
      <c r="E28" s="50" t="s">
        <v>185</v>
      </c>
      <c r="F28" s="159">
        <f>F29+F30</f>
        <v>23.946000000000002</v>
      </c>
      <c r="G28" s="118"/>
      <c r="H28" s="159">
        <f>H29+H30</f>
        <v>64.149999999999991</v>
      </c>
      <c r="I28" s="68"/>
      <c r="J28" s="167" t="s">
        <v>239</v>
      </c>
    </row>
    <row r="29" spans="1:10" x14ac:dyDescent="0.25">
      <c r="A29" s="8"/>
      <c r="C29" s="112" t="s">
        <v>184</v>
      </c>
      <c r="D29" s="80" t="s">
        <v>18</v>
      </c>
      <c r="E29" s="50" t="s">
        <v>185</v>
      </c>
      <c r="F29" s="59">
        <f>F8</f>
        <v>18.396000000000001</v>
      </c>
      <c r="G29" s="119"/>
      <c r="H29" s="59">
        <f>H18</f>
        <v>49.35042365242473</v>
      </c>
      <c r="I29" s="28"/>
      <c r="J29" s="130" t="s">
        <v>207</v>
      </c>
    </row>
    <row r="30" spans="1:10" x14ac:dyDescent="0.25">
      <c r="A30" s="11"/>
      <c r="B30" s="12"/>
      <c r="C30" s="115" t="s">
        <v>184</v>
      </c>
      <c r="D30" s="77" t="s">
        <v>10</v>
      </c>
      <c r="E30" s="95" t="s">
        <v>185</v>
      </c>
      <c r="F30" s="116">
        <f>F5*F7+F9+F10+F15</f>
        <v>5.5500000000000007</v>
      </c>
      <c r="G30" s="122"/>
      <c r="H30" s="116">
        <f>H19+H20</f>
        <v>14.799576347575265</v>
      </c>
      <c r="I30" s="66"/>
      <c r="J30" s="14" t="s">
        <v>208</v>
      </c>
    </row>
    <row r="31" spans="1:10" x14ac:dyDescent="0.25">
      <c r="C31" s="108"/>
      <c r="D31" s="80"/>
      <c r="E31" s="50"/>
      <c r="H31" s="105"/>
    </row>
    <row r="32" spans="1:10" x14ac:dyDescent="0.25">
      <c r="A32" s="82" t="s">
        <v>24</v>
      </c>
      <c r="B32" s="83"/>
      <c r="C32" s="109"/>
      <c r="D32" s="109"/>
      <c r="E32" s="83"/>
      <c r="F32" s="83"/>
      <c r="G32" s="83"/>
      <c r="H32" s="83"/>
      <c r="I32" s="84"/>
      <c r="J32" s="85"/>
    </row>
    <row r="33" spans="1:10" x14ac:dyDescent="0.25">
      <c r="A33" s="256" t="s">
        <v>24</v>
      </c>
      <c r="B33" s="265" t="s">
        <v>25</v>
      </c>
      <c r="C33" s="258" t="s">
        <v>2</v>
      </c>
      <c r="D33" s="268"/>
      <c r="E33" s="260" t="s">
        <v>4</v>
      </c>
      <c r="F33" s="271" t="s">
        <v>181</v>
      </c>
      <c r="G33" s="272"/>
      <c r="H33" s="273" t="s">
        <v>180</v>
      </c>
      <c r="I33" s="274"/>
      <c r="J33" s="71" t="s">
        <v>0</v>
      </c>
    </row>
    <row r="34" spans="1:10" x14ac:dyDescent="0.25">
      <c r="A34" s="264"/>
      <c r="B34" s="266"/>
      <c r="C34" s="267"/>
      <c r="D34" s="269"/>
      <c r="E34" s="270"/>
      <c r="F34" s="97" t="s">
        <v>3</v>
      </c>
      <c r="G34" s="39" t="s">
        <v>5</v>
      </c>
      <c r="H34" s="97" t="s">
        <v>3</v>
      </c>
      <c r="I34" s="39" t="s">
        <v>5</v>
      </c>
      <c r="J34" s="124"/>
    </row>
    <row r="35" spans="1:10" x14ac:dyDescent="0.25">
      <c r="A35" s="73"/>
      <c r="B35" s="75" t="s">
        <v>201</v>
      </c>
      <c r="C35" s="121" t="s">
        <v>6</v>
      </c>
      <c r="D35" s="129" t="s">
        <v>204</v>
      </c>
      <c r="E35" s="125" t="s">
        <v>23</v>
      </c>
      <c r="F35" s="132"/>
      <c r="G35" s="118"/>
      <c r="H35" s="132">
        <f>(1033+1108)/2/1000</f>
        <v>1.0705</v>
      </c>
      <c r="I35" s="118" t="s">
        <v>38</v>
      </c>
      <c r="J35" s="7"/>
    </row>
    <row r="36" spans="1:10" x14ac:dyDescent="0.25">
      <c r="A36" s="78"/>
      <c r="B36" s="79" t="s">
        <v>202</v>
      </c>
      <c r="C36" s="50"/>
      <c r="D36" s="96" t="s">
        <v>18</v>
      </c>
      <c r="E36" s="126" t="s">
        <v>8</v>
      </c>
      <c r="F36" s="132"/>
      <c r="G36" s="119"/>
      <c r="H36" s="132">
        <f>2.5*1.8/(1.8+9)</f>
        <v>0.41666666666666663</v>
      </c>
      <c r="I36" s="119" t="s">
        <v>179</v>
      </c>
      <c r="J36" s="7"/>
    </row>
    <row r="37" spans="1:10" x14ac:dyDescent="0.25">
      <c r="A37" s="78"/>
      <c r="B37" s="79" t="s">
        <v>203</v>
      </c>
      <c r="C37" s="111"/>
      <c r="D37" s="96" t="s">
        <v>10</v>
      </c>
      <c r="E37" s="126" t="s">
        <v>8</v>
      </c>
      <c r="F37" s="132">
        <f>0.39*3.6</f>
        <v>1.4040000000000001</v>
      </c>
      <c r="G37" s="119" t="s">
        <v>211</v>
      </c>
      <c r="H37" s="132">
        <f>2.5*9/(1.8+9)</f>
        <v>2.083333333333333</v>
      </c>
      <c r="I37" s="119" t="s">
        <v>179</v>
      </c>
      <c r="J37" s="7" t="s">
        <v>208</v>
      </c>
    </row>
    <row r="38" spans="1:10" x14ac:dyDescent="0.25">
      <c r="A38" s="74"/>
      <c r="B38" s="76"/>
      <c r="C38" s="115" t="s">
        <v>21</v>
      </c>
      <c r="D38" s="106" t="s">
        <v>22</v>
      </c>
      <c r="E38" s="127" t="s">
        <v>23</v>
      </c>
      <c r="F38" s="133"/>
      <c r="G38" s="122"/>
      <c r="H38" s="133">
        <v>1</v>
      </c>
      <c r="I38" s="122"/>
      <c r="J38" s="7"/>
    </row>
    <row r="39" spans="1:10" x14ac:dyDescent="0.25">
      <c r="A39" s="78"/>
      <c r="B39" s="79" t="s">
        <v>192</v>
      </c>
      <c r="C39" s="87" t="s">
        <v>6</v>
      </c>
      <c r="D39" s="94" t="s">
        <v>22</v>
      </c>
      <c r="E39" s="126" t="s">
        <v>23</v>
      </c>
      <c r="F39" s="131"/>
      <c r="G39" s="86"/>
      <c r="H39" s="131">
        <v>1</v>
      </c>
      <c r="I39" s="39"/>
      <c r="J39" s="7"/>
    </row>
    <row r="40" spans="1:10" x14ac:dyDescent="0.25">
      <c r="A40" s="78"/>
      <c r="B40" s="79"/>
      <c r="D40" s="96" t="s">
        <v>18</v>
      </c>
      <c r="E40" s="126" t="s">
        <v>8</v>
      </c>
      <c r="F40" s="132"/>
      <c r="G40" s="86"/>
      <c r="H40" s="132">
        <f>3.9*5.76/12.96</f>
        <v>1.7333333333333332</v>
      </c>
      <c r="I40" s="28" t="s">
        <v>179</v>
      </c>
      <c r="J40" s="7"/>
    </row>
    <row r="41" spans="1:10" x14ac:dyDescent="0.25">
      <c r="A41" s="78"/>
      <c r="B41" s="79"/>
      <c r="C41" s="89"/>
      <c r="D41" s="48" t="s">
        <v>10</v>
      </c>
      <c r="E41" s="126" t="s">
        <v>8</v>
      </c>
      <c r="F41" s="59">
        <f>0.33*3.6</f>
        <v>1.1880000000000002</v>
      </c>
      <c r="G41" s="119" t="s">
        <v>210</v>
      </c>
      <c r="H41" s="59">
        <f>3.9*7.2/12.96</f>
        <v>2.1666666666666665</v>
      </c>
      <c r="I41" s="119" t="s">
        <v>179</v>
      </c>
      <c r="J41" s="7" t="s">
        <v>208</v>
      </c>
    </row>
    <row r="42" spans="1:10" x14ac:dyDescent="0.25">
      <c r="A42" s="74"/>
      <c r="B42" s="76"/>
      <c r="C42" s="12" t="s">
        <v>21</v>
      </c>
      <c r="D42" s="106" t="s">
        <v>196</v>
      </c>
      <c r="E42" s="128" t="s">
        <v>23</v>
      </c>
      <c r="F42" s="133"/>
      <c r="G42" s="72"/>
      <c r="H42" s="133">
        <v>1</v>
      </c>
      <c r="I42" s="72"/>
      <c r="J42" s="7"/>
    </row>
    <row r="43" spans="1:10" x14ac:dyDescent="0.25">
      <c r="A43" s="78"/>
      <c r="B43" s="79" t="s">
        <v>193</v>
      </c>
      <c r="C43" s="90" t="s">
        <v>182</v>
      </c>
      <c r="D43" s="80" t="s">
        <v>247</v>
      </c>
      <c r="E43" s="81" t="s">
        <v>8</v>
      </c>
      <c r="F43" s="134">
        <f>F44+F45</f>
        <v>2.5920000000000005</v>
      </c>
      <c r="G43" s="39"/>
      <c r="H43" s="134">
        <f>H44+H45</f>
        <v>6.4</v>
      </c>
      <c r="I43" s="39"/>
      <c r="J43" s="7"/>
    </row>
    <row r="44" spans="1:10" x14ac:dyDescent="0.25">
      <c r="A44" s="8"/>
      <c r="C44" s="27" t="s">
        <v>6</v>
      </c>
      <c r="D44" s="5" t="s">
        <v>18</v>
      </c>
      <c r="E44" s="91" t="s">
        <v>8</v>
      </c>
      <c r="F44" s="59"/>
      <c r="G44" s="60"/>
      <c r="H44" s="59">
        <f>H36+H40</f>
        <v>2.15</v>
      </c>
      <c r="I44" s="28" t="s">
        <v>179</v>
      </c>
      <c r="J44" s="7"/>
    </row>
    <row r="45" spans="1:10" x14ac:dyDescent="0.25">
      <c r="A45" s="8"/>
      <c r="C45" s="5"/>
      <c r="D45" s="5" t="s">
        <v>10</v>
      </c>
      <c r="E45" s="91" t="s">
        <v>8</v>
      </c>
      <c r="F45" s="59">
        <f>F37+F41</f>
        <v>2.5920000000000005</v>
      </c>
      <c r="G45" s="86"/>
      <c r="H45" s="59">
        <f>H37+H41</f>
        <v>4.25</v>
      </c>
      <c r="I45" s="28" t="s">
        <v>179</v>
      </c>
      <c r="J45" s="7" t="s">
        <v>208</v>
      </c>
    </row>
    <row r="46" spans="1:10" x14ac:dyDescent="0.25">
      <c r="A46" s="8"/>
      <c r="C46" s="110" t="s">
        <v>12</v>
      </c>
      <c r="D46" s="2" t="s">
        <v>7</v>
      </c>
      <c r="E46" s="91"/>
      <c r="F46" s="61"/>
      <c r="G46" s="60"/>
      <c r="H46" s="61">
        <v>1</v>
      </c>
      <c r="I46" s="53" t="s">
        <v>13</v>
      </c>
      <c r="J46" s="263" t="s">
        <v>250</v>
      </c>
    </row>
    <row r="47" spans="1:10" x14ac:dyDescent="0.25">
      <c r="A47" s="8"/>
      <c r="C47" s="110" t="s">
        <v>12</v>
      </c>
      <c r="D47" s="2" t="s">
        <v>14</v>
      </c>
      <c r="E47" s="91"/>
      <c r="F47" s="61"/>
      <c r="G47" s="60"/>
      <c r="H47" s="61">
        <v>1</v>
      </c>
      <c r="I47" s="53" t="s">
        <v>13</v>
      </c>
      <c r="J47" s="263"/>
    </row>
    <row r="48" spans="1:10" x14ac:dyDescent="0.25">
      <c r="A48" s="8"/>
      <c r="C48" s="110" t="s">
        <v>12</v>
      </c>
      <c r="D48" s="2" t="s">
        <v>15</v>
      </c>
      <c r="E48" s="91"/>
      <c r="F48" s="61"/>
      <c r="G48" s="60"/>
      <c r="H48" s="61">
        <v>1</v>
      </c>
      <c r="I48" s="53" t="s">
        <v>13</v>
      </c>
      <c r="J48" s="263"/>
    </row>
    <row r="49" spans="1:10" x14ac:dyDescent="0.25">
      <c r="A49" s="8"/>
      <c r="C49" s="110" t="s">
        <v>12</v>
      </c>
      <c r="D49" s="5" t="s">
        <v>16</v>
      </c>
      <c r="E49" s="91"/>
      <c r="F49" s="61"/>
      <c r="G49" s="60"/>
      <c r="H49" s="61">
        <v>1</v>
      </c>
      <c r="I49" s="28"/>
      <c r="J49" s="263"/>
    </row>
    <row r="50" spans="1:10" x14ac:dyDescent="0.25">
      <c r="A50" s="8"/>
      <c r="C50" s="110" t="s">
        <v>12</v>
      </c>
      <c r="D50" s="5" t="s">
        <v>17</v>
      </c>
      <c r="E50" s="91"/>
      <c r="F50" s="61"/>
      <c r="G50" s="60"/>
      <c r="H50" s="61">
        <v>1</v>
      </c>
      <c r="I50" s="28"/>
      <c r="J50" s="263"/>
    </row>
    <row r="51" spans="1:10" x14ac:dyDescent="0.25">
      <c r="A51" s="11"/>
      <c r="B51" s="12"/>
      <c r="C51" s="135" t="s">
        <v>21</v>
      </c>
      <c r="D51" s="13" t="s">
        <v>22</v>
      </c>
      <c r="E51" s="92" t="s">
        <v>23</v>
      </c>
      <c r="F51" s="11"/>
      <c r="G51" s="62"/>
      <c r="H51" s="11">
        <v>1</v>
      </c>
      <c r="I51" s="66"/>
      <c r="J51" s="14"/>
    </row>
    <row r="52" spans="1:10" x14ac:dyDescent="0.25">
      <c r="A52" s="64"/>
      <c r="B52" s="46"/>
      <c r="C52" s="113" t="s">
        <v>184</v>
      </c>
      <c r="D52" s="182" t="s">
        <v>247</v>
      </c>
      <c r="E52" s="114" t="s">
        <v>185</v>
      </c>
      <c r="F52" s="159">
        <f>F53+F54</f>
        <v>2.5920000000000005</v>
      </c>
      <c r="G52" s="118"/>
      <c r="H52" s="159">
        <f>H53+H54</f>
        <v>6.4</v>
      </c>
      <c r="I52" s="68"/>
      <c r="J52" s="167" t="s">
        <v>239</v>
      </c>
    </row>
    <row r="53" spans="1:10" x14ac:dyDescent="0.25">
      <c r="A53" s="8"/>
      <c r="C53" s="112" t="s">
        <v>184</v>
      </c>
      <c r="D53" s="80" t="s">
        <v>18</v>
      </c>
      <c r="E53" s="50" t="s">
        <v>185</v>
      </c>
      <c r="F53" s="59"/>
      <c r="G53" s="60"/>
      <c r="H53" s="59">
        <f>H44</f>
        <v>2.15</v>
      </c>
      <c r="I53" s="28"/>
      <c r="J53" s="60"/>
    </row>
    <row r="54" spans="1:10" x14ac:dyDescent="0.25">
      <c r="A54" s="11"/>
      <c r="B54" s="12"/>
      <c r="C54" s="115" t="s">
        <v>184</v>
      </c>
      <c r="D54" s="77" t="s">
        <v>10</v>
      </c>
      <c r="E54" s="95" t="s">
        <v>185</v>
      </c>
      <c r="F54" s="116">
        <f>F37+F41</f>
        <v>2.5920000000000005</v>
      </c>
      <c r="G54" s="62"/>
      <c r="H54" s="116">
        <f>H45</f>
        <v>4.25</v>
      </c>
      <c r="I54" s="66"/>
      <c r="J54" s="14" t="s">
        <v>208</v>
      </c>
    </row>
    <row r="55" spans="1:10" x14ac:dyDescent="0.25">
      <c r="C55" s="27"/>
      <c r="D55" s="5"/>
      <c r="E55" s="91"/>
    </row>
    <row r="56" spans="1:10" x14ac:dyDescent="0.25">
      <c r="C56" s="5"/>
      <c r="D56" s="5"/>
      <c r="H56" s="10"/>
    </row>
    <row r="57" spans="1:10" x14ac:dyDescent="0.25">
      <c r="A57" t="s">
        <v>109</v>
      </c>
    </row>
    <row r="58" spans="1:10" x14ac:dyDescent="0.25">
      <c r="A58" t="s">
        <v>33</v>
      </c>
      <c r="B58" s="50" t="s">
        <v>163</v>
      </c>
      <c r="C58" s="15" t="s">
        <v>34</v>
      </c>
      <c r="D58" s="50"/>
    </row>
    <row r="59" spans="1:10" x14ac:dyDescent="0.25">
      <c r="A59" t="s">
        <v>20</v>
      </c>
      <c r="B59" s="55" t="s">
        <v>164</v>
      </c>
      <c r="C59" s="15" t="s">
        <v>35</v>
      </c>
    </row>
    <row r="60" spans="1:10" x14ac:dyDescent="0.25">
      <c r="A60" s="16" t="s">
        <v>36</v>
      </c>
      <c r="B60" s="50" t="s">
        <v>165</v>
      </c>
      <c r="C60" s="17" t="s">
        <v>37</v>
      </c>
    </row>
    <row r="61" spans="1:10" x14ac:dyDescent="0.25">
      <c r="A61" s="16" t="s">
        <v>38</v>
      </c>
      <c r="B61" s="50" t="s">
        <v>166</v>
      </c>
      <c r="C61" s="15" t="s">
        <v>39</v>
      </c>
    </row>
    <row r="62" spans="1:10" x14ac:dyDescent="0.25">
      <c r="A62" s="16" t="s">
        <v>123</v>
      </c>
      <c r="B62" s="230" t="s">
        <v>284</v>
      </c>
      <c r="C62" s="51" t="s">
        <v>206</v>
      </c>
    </row>
    <row r="64" spans="1:10" x14ac:dyDescent="0.25">
      <c r="A64" t="s">
        <v>176</v>
      </c>
    </row>
    <row r="65" spans="1:2" x14ac:dyDescent="0.25">
      <c r="A65" t="s">
        <v>177</v>
      </c>
      <c r="B65" t="s">
        <v>159</v>
      </c>
    </row>
  </sheetData>
  <mergeCells count="16">
    <mergeCell ref="J46:J50"/>
    <mergeCell ref="J21:J25"/>
    <mergeCell ref="H2:I2"/>
    <mergeCell ref="A33:A34"/>
    <mergeCell ref="B33:B34"/>
    <mergeCell ref="C33:C34"/>
    <mergeCell ref="D33:D34"/>
    <mergeCell ref="E33:E34"/>
    <mergeCell ref="F33:G33"/>
    <mergeCell ref="H33:I33"/>
    <mergeCell ref="A2:A3"/>
    <mergeCell ref="B2:B3"/>
    <mergeCell ref="C2:C3"/>
    <mergeCell ref="D2:D3"/>
    <mergeCell ref="E2:E3"/>
    <mergeCell ref="F2:G2"/>
  </mergeCells>
  <hyperlinks>
    <hyperlink ref="C58" r:id="rId1" xr:uid="{8AA3917D-307A-485E-80B4-39A58732D6A4}"/>
    <hyperlink ref="C59" r:id="rId2" xr:uid="{D0BA5975-4BDF-4755-9A46-4E8D327726D3}"/>
    <hyperlink ref="C60" r:id="rId3" xr:uid="{1C10A0EB-2ED4-49AD-8315-12F3C0089D39}"/>
    <hyperlink ref="C61" r:id="rId4" xr:uid="{75EDF6F1-E041-4A63-86A4-9508B60BFF34}"/>
    <hyperlink ref="C62" r:id="rId5" xr:uid="{1FC5E67B-D106-44CC-BBC1-75DA7913BAF4}"/>
  </hyperlinks>
  <pageMargins left="0.7" right="0.7" top="0.78749999999999998" bottom="0.78749999999999998" header="0.511811023622047" footer="0.511811023622047"/>
  <pageSetup paperSize="9" orientation="portrait" horizontalDpi="300" verticalDpi="300"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50F8F-E781-4B86-8D41-BC7759A97107}">
  <sheetPr>
    <tabColor rgb="FF4472C4"/>
  </sheetPr>
  <dimension ref="A1:M83"/>
  <sheetViews>
    <sheetView topLeftCell="A50" zoomScaleNormal="100" workbookViewId="0">
      <selection activeCell="F53" sqref="F53"/>
    </sheetView>
  </sheetViews>
  <sheetFormatPr baseColWidth="10" defaultColWidth="10.5703125" defaultRowHeight="15" x14ac:dyDescent="0.25"/>
  <cols>
    <col min="1" max="1" width="17.5703125" customWidth="1"/>
    <col min="2" max="2" width="17.28515625" style="117" customWidth="1"/>
    <col min="3" max="3" width="18.7109375" customWidth="1"/>
    <col min="4" max="4" width="21.7109375" bestFit="1" customWidth="1"/>
    <col min="10" max="10" width="25.28515625" bestFit="1" customWidth="1"/>
  </cols>
  <sheetData>
    <row r="1" spans="1:10" x14ac:dyDescent="0.25">
      <c r="A1" s="148"/>
      <c r="B1" s="150"/>
      <c r="C1" s="83"/>
      <c r="D1" s="83"/>
      <c r="E1" s="83"/>
      <c r="F1" s="83"/>
      <c r="G1" s="83"/>
      <c r="H1" s="83"/>
      <c r="I1" s="84"/>
      <c r="J1" s="85"/>
    </row>
    <row r="2" spans="1:10" x14ac:dyDescent="0.25">
      <c r="A2" s="255" t="s">
        <v>40</v>
      </c>
      <c r="B2" s="275" t="s">
        <v>218</v>
      </c>
      <c r="C2" s="257" t="s">
        <v>2</v>
      </c>
      <c r="D2" s="276"/>
      <c r="E2" s="259" t="s">
        <v>4</v>
      </c>
      <c r="F2" s="261" t="s">
        <v>181</v>
      </c>
      <c r="G2" s="262"/>
      <c r="H2" s="245" t="s">
        <v>180</v>
      </c>
      <c r="I2" s="246"/>
      <c r="J2" s="71" t="s">
        <v>0</v>
      </c>
    </row>
    <row r="3" spans="1:10" x14ac:dyDescent="0.25">
      <c r="A3" s="264"/>
      <c r="B3" s="266"/>
      <c r="C3" s="267"/>
      <c r="D3" s="269"/>
      <c r="E3" s="270"/>
      <c r="F3" s="97" t="s">
        <v>3</v>
      </c>
      <c r="G3" s="63" t="s">
        <v>5</v>
      </c>
      <c r="H3" s="149" t="s">
        <v>3</v>
      </c>
      <c r="I3" s="26" t="s">
        <v>5</v>
      </c>
      <c r="J3" s="124"/>
    </row>
    <row r="4" spans="1:10" x14ac:dyDescent="0.25">
      <c r="A4" s="78"/>
      <c r="B4" s="75" t="s">
        <v>41</v>
      </c>
      <c r="C4" s="5" t="s">
        <v>6</v>
      </c>
      <c r="D4" s="70" t="s">
        <v>193</v>
      </c>
      <c r="E4" t="s">
        <v>8</v>
      </c>
      <c r="F4" s="64">
        <f>F5+F6</f>
        <v>2.2000000000000002</v>
      </c>
      <c r="G4" s="46"/>
      <c r="H4" s="67">
        <f>H5+H6</f>
        <v>3.2</v>
      </c>
      <c r="I4" s="39"/>
      <c r="J4" s="7"/>
    </row>
    <row r="5" spans="1:10" x14ac:dyDescent="0.25">
      <c r="A5" s="8"/>
      <c r="C5" s="5" t="s">
        <v>6</v>
      </c>
      <c r="D5" s="5" t="s">
        <v>18</v>
      </c>
      <c r="E5" t="s">
        <v>8</v>
      </c>
      <c r="F5" s="8"/>
      <c r="H5" s="59">
        <f>(4.5-1.3)*0.74</f>
        <v>2.3679999999999999</v>
      </c>
      <c r="I5" s="16" t="s">
        <v>42</v>
      </c>
      <c r="J5" s="7"/>
    </row>
    <row r="6" spans="1:10" x14ac:dyDescent="0.25">
      <c r="A6" s="8"/>
      <c r="C6" s="5" t="s">
        <v>6</v>
      </c>
      <c r="D6" s="5" t="s">
        <v>10</v>
      </c>
      <c r="E6" t="s">
        <v>8</v>
      </c>
      <c r="F6" s="8">
        <v>2.2000000000000002</v>
      </c>
      <c r="G6" t="s">
        <v>38</v>
      </c>
      <c r="H6" s="59">
        <f>(4.5-1.3)*0.26</f>
        <v>0.83200000000000007</v>
      </c>
      <c r="I6" s="16" t="s">
        <v>42</v>
      </c>
      <c r="J6" s="7" t="s">
        <v>208</v>
      </c>
    </row>
    <row r="7" spans="1:10" x14ac:dyDescent="0.25">
      <c r="A7" s="8"/>
      <c r="C7" s="9" t="s">
        <v>12</v>
      </c>
      <c r="D7" s="2" t="s">
        <v>7</v>
      </c>
      <c r="F7" s="8"/>
      <c r="H7" s="61">
        <v>1</v>
      </c>
      <c r="I7" s="16"/>
      <c r="J7" s="263" t="s">
        <v>251</v>
      </c>
    </row>
    <row r="8" spans="1:10" x14ac:dyDescent="0.25">
      <c r="A8" s="8"/>
      <c r="C8" s="9" t="s">
        <v>12</v>
      </c>
      <c r="D8" s="2" t="s">
        <v>14</v>
      </c>
      <c r="F8" s="8"/>
      <c r="H8" s="61">
        <v>1</v>
      </c>
      <c r="I8" s="16"/>
      <c r="J8" s="263"/>
    </row>
    <row r="9" spans="1:10" x14ac:dyDescent="0.25">
      <c r="A9" s="8"/>
      <c r="C9" s="9" t="s">
        <v>12</v>
      </c>
      <c r="D9" s="2" t="s">
        <v>15</v>
      </c>
      <c r="F9" s="8"/>
      <c r="H9" s="61">
        <v>1</v>
      </c>
      <c r="I9" s="16"/>
      <c r="J9" s="263"/>
    </row>
    <row r="10" spans="1:10" x14ac:dyDescent="0.25">
      <c r="A10" s="8"/>
      <c r="C10" s="9" t="s">
        <v>12</v>
      </c>
      <c r="D10" s="5" t="s">
        <v>16</v>
      </c>
      <c r="F10" s="8"/>
      <c r="H10" s="61">
        <v>1</v>
      </c>
      <c r="J10" s="263"/>
    </row>
    <row r="11" spans="1:10" x14ac:dyDescent="0.25">
      <c r="A11" s="8"/>
      <c r="C11" s="9" t="s">
        <v>12</v>
      </c>
      <c r="D11" s="5" t="s">
        <v>17</v>
      </c>
      <c r="F11" s="8"/>
      <c r="H11" s="61">
        <v>1</v>
      </c>
      <c r="J11" s="263"/>
    </row>
    <row r="12" spans="1:10" x14ac:dyDescent="0.25">
      <c r="A12" s="11"/>
      <c r="B12" s="147"/>
      <c r="C12" s="13" t="s">
        <v>21</v>
      </c>
      <c r="D12" s="18" t="s">
        <v>43</v>
      </c>
      <c r="E12" s="12" t="s">
        <v>23</v>
      </c>
      <c r="F12" s="11"/>
      <c r="G12" s="12"/>
      <c r="H12" s="11">
        <v>1</v>
      </c>
      <c r="I12" s="12"/>
      <c r="J12" s="14"/>
    </row>
    <row r="13" spans="1:10" x14ac:dyDescent="0.25">
      <c r="A13" s="11"/>
      <c r="B13" s="12"/>
      <c r="C13" s="183" t="s">
        <v>246</v>
      </c>
      <c r="D13" s="184" t="s">
        <v>193</v>
      </c>
      <c r="E13" s="95" t="s">
        <v>185</v>
      </c>
      <c r="F13" s="116">
        <f>F4</f>
        <v>2.2000000000000002</v>
      </c>
      <c r="G13" s="122"/>
      <c r="H13" s="116">
        <f>H4</f>
        <v>3.2</v>
      </c>
      <c r="I13" s="66"/>
      <c r="J13" s="14" t="s">
        <v>208</v>
      </c>
    </row>
    <row r="14" spans="1:10" x14ac:dyDescent="0.25">
      <c r="C14" s="5"/>
      <c r="D14" s="9"/>
    </row>
    <row r="15" spans="1:10" x14ac:dyDescent="0.25">
      <c r="A15" s="255" t="s">
        <v>44</v>
      </c>
      <c r="B15" s="275" t="s">
        <v>218</v>
      </c>
      <c r="C15" s="257" t="s">
        <v>2</v>
      </c>
      <c r="D15" s="276"/>
      <c r="E15" s="259" t="s">
        <v>4</v>
      </c>
      <c r="F15" s="261" t="s">
        <v>181</v>
      </c>
      <c r="G15" s="262"/>
      <c r="H15" s="245" t="s">
        <v>180</v>
      </c>
      <c r="I15" s="246"/>
      <c r="J15" s="71" t="s">
        <v>0</v>
      </c>
    </row>
    <row r="16" spans="1:10" x14ac:dyDescent="0.25">
      <c r="A16" s="264"/>
      <c r="B16" s="266"/>
      <c r="C16" s="267"/>
      <c r="D16" s="269"/>
      <c r="E16" s="270"/>
      <c r="F16" s="97" t="s">
        <v>3</v>
      </c>
      <c r="G16" s="63" t="s">
        <v>5</v>
      </c>
      <c r="H16" s="97" t="s">
        <v>3</v>
      </c>
      <c r="I16" s="69" t="s">
        <v>5</v>
      </c>
      <c r="J16" s="124"/>
    </row>
    <row r="17" spans="1:10" x14ac:dyDescent="0.25">
      <c r="A17" s="78"/>
      <c r="B17" s="75" t="s">
        <v>41</v>
      </c>
      <c r="C17" s="5" t="s">
        <v>6</v>
      </c>
      <c r="D17" s="70" t="s">
        <v>193</v>
      </c>
      <c r="E17" t="s">
        <v>8</v>
      </c>
      <c r="F17" s="67">
        <f>F18+F19</f>
        <v>0.63725624000000003</v>
      </c>
      <c r="G17" s="65"/>
      <c r="H17" s="67">
        <f>H18+H19</f>
        <v>3.1000000000000005</v>
      </c>
      <c r="I17" s="39"/>
      <c r="J17" s="7"/>
    </row>
    <row r="18" spans="1:10" x14ac:dyDescent="0.25">
      <c r="A18" s="8"/>
      <c r="B18" s="79"/>
      <c r="C18" s="5" t="s">
        <v>6</v>
      </c>
      <c r="D18" s="5" t="s">
        <v>18</v>
      </c>
      <c r="E18" t="s">
        <v>8</v>
      </c>
      <c r="F18" s="8"/>
      <c r="G18" s="60"/>
      <c r="H18" s="59">
        <f>(4.4-1.3)*0.63</f>
        <v>1.9530000000000003</v>
      </c>
      <c r="I18" s="154" t="s">
        <v>42</v>
      </c>
      <c r="J18" s="7"/>
    </row>
    <row r="19" spans="1:10" x14ac:dyDescent="0.25">
      <c r="A19" s="8"/>
      <c r="C19" s="5" t="s">
        <v>6</v>
      </c>
      <c r="D19" s="5" t="s">
        <v>10</v>
      </c>
      <c r="E19" t="s">
        <v>8</v>
      </c>
      <c r="F19" s="59">
        <f>0.604*1.05506</f>
        <v>0.63725624000000003</v>
      </c>
      <c r="G19" s="119" t="s">
        <v>227</v>
      </c>
      <c r="H19" s="59">
        <f>(4.4-1.3)*0.37</f>
        <v>1.1470000000000002</v>
      </c>
      <c r="I19" s="154" t="s">
        <v>42</v>
      </c>
      <c r="J19" s="7" t="s">
        <v>208</v>
      </c>
    </row>
    <row r="20" spans="1:10" x14ac:dyDescent="0.25">
      <c r="A20" s="8"/>
      <c r="C20" s="9" t="s">
        <v>12</v>
      </c>
      <c r="D20" s="2" t="s">
        <v>7</v>
      </c>
      <c r="F20" s="8"/>
      <c r="G20" s="60"/>
      <c r="H20" s="61">
        <v>1</v>
      </c>
      <c r="I20" s="154"/>
      <c r="J20" s="263" t="s">
        <v>251</v>
      </c>
    </row>
    <row r="21" spans="1:10" x14ac:dyDescent="0.25">
      <c r="A21" s="8"/>
      <c r="C21" s="9" t="s">
        <v>12</v>
      </c>
      <c r="D21" s="2" t="s">
        <v>14</v>
      </c>
      <c r="F21" s="8"/>
      <c r="G21" s="60"/>
      <c r="H21" s="61">
        <v>1</v>
      </c>
      <c r="I21" s="154"/>
      <c r="J21" s="263"/>
    </row>
    <row r="22" spans="1:10" x14ac:dyDescent="0.25">
      <c r="A22" s="8"/>
      <c r="C22" s="9" t="s">
        <v>12</v>
      </c>
      <c r="D22" s="2" t="s">
        <v>15</v>
      </c>
      <c r="F22" s="8"/>
      <c r="G22" s="60"/>
      <c r="H22" s="61">
        <v>1</v>
      </c>
      <c r="I22" s="154"/>
      <c r="J22" s="263"/>
    </row>
    <row r="23" spans="1:10" x14ac:dyDescent="0.25">
      <c r="A23" s="8"/>
      <c r="C23" s="9" t="s">
        <v>12</v>
      </c>
      <c r="D23" s="5" t="s">
        <v>16</v>
      </c>
      <c r="F23" s="8"/>
      <c r="G23" s="60"/>
      <c r="H23" s="61">
        <v>1</v>
      </c>
      <c r="I23" s="60"/>
      <c r="J23" s="263"/>
    </row>
    <row r="24" spans="1:10" x14ac:dyDescent="0.25">
      <c r="A24" s="8"/>
      <c r="C24" s="9" t="s">
        <v>12</v>
      </c>
      <c r="D24" s="5" t="s">
        <v>17</v>
      </c>
      <c r="F24" s="8"/>
      <c r="G24" s="60"/>
      <c r="H24" s="61">
        <v>1</v>
      </c>
      <c r="I24" s="60"/>
      <c r="J24" s="263"/>
    </row>
    <row r="25" spans="1:10" x14ac:dyDescent="0.25">
      <c r="A25" s="11"/>
      <c r="B25" s="147"/>
      <c r="C25" s="13" t="s">
        <v>21</v>
      </c>
      <c r="D25" s="18" t="s">
        <v>43</v>
      </c>
      <c r="E25" s="12" t="s">
        <v>23</v>
      </c>
      <c r="F25" s="11"/>
      <c r="G25" s="62"/>
      <c r="H25" s="11">
        <v>1</v>
      </c>
      <c r="I25" s="62"/>
      <c r="J25" s="14"/>
    </row>
    <row r="26" spans="1:10" x14ac:dyDescent="0.25">
      <c r="A26" s="11"/>
      <c r="B26" s="12"/>
      <c r="C26" s="183" t="s">
        <v>246</v>
      </c>
      <c r="D26" s="184" t="s">
        <v>193</v>
      </c>
      <c r="E26" s="95" t="s">
        <v>185</v>
      </c>
      <c r="F26" s="116">
        <f>F17</f>
        <v>0.63725624000000003</v>
      </c>
      <c r="G26" s="122"/>
      <c r="H26" s="116">
        <f>H17</f>
        <v>3.1000000000000005</v>
      </c>
      <c r="I26" s="66"/>
      <c r="J26" s="14" t="s">
        <v>208</v>
      </c>
    </row>
    <row r="27" spans="1:10" x14ac:dyDescent="0.25">
      <c r="C27" s="5"/>
      <c r="D27" s="9"/>
    </row>
    <row r="28" spans="1:10" x14ac:dyDescent="0.25">
      <c r="A28" s="255" t="s">
        <v>213</v>
      </c>
      <c r="B28" s="275" t="s">
        <v>217</v>
      </c>
      <c r="C28" s="257" t="s">
        <v>2</v>
      </c>
      <c r="D28" s="276"/>
      <c r="E28" s="259" t="s">
        <v>4</v>
      </c>
      <c r="F28" s="261" t="s">
        <v>181</v>
      </c>
      <c r="G28" s="262"/>
      <c r="H28" s="245" t="s">
        <v>180</v>
      </c>
      <c r="I28" s="246"/>
      <c r="J28" s="71" t="s">
        <v>0</v>
      </c>
    </row>
    <row r="29" spans="1:10" ht="42.75" customHeight="1" x14ac:dyDescent="0.25">
      <c r="A29" s="264"/>
      <c r="B29" s="266"/>
      <c r="C29" s="267"/>
      <c r="D29" s="269"/>
      <c r="E29" s="270"/>
      <c r="F29" s="149" t="s">
        <v>3</v>
      </c>
      <c r="G29" s="39" t="s">
        <v>5</v>
      </c>
      <c r="H29" s="97" t="s">
        <v>3</v>
      </c>
      <c r="I29" s="69" t="s">
        <v>5</v>
      </c>
      <c r="J29" s="124"/>
    </row>
    <row r="30" spans="1:10" x14ac:dyDescent="0.25">
      <c r="A30" s="8"/>
      <c r="B30" s="75" t="s">
        <v>45</v>
      </c>
      <c r="C30" s="5" t="s">
        <v>6</v>
      </c>
      <c r="D30" s="5" t="s">
        <v>18</v>
      </c>
      <c r="E30" t="s">
        <v>8</v>
      </c>
      <c r="F30" s="64"/>
      <c r="G30" s="65"/>
      <c r="H30" s="151">
        <f>(3.2/11.1*4.5)*0.4</f>
        <v>0.51891891891891895</v>
      </c>
      <c r="I30" s="152" t="s">
        <v>42</v>
      </c>
      <c r="J30" s="7"/>
    </row>
    <row r="31" spans="1:10" x14ac:dyDescent="0.25">
      <c r="A31" s="8"/>
      <c r="C31" s="5" t="s">
        <v>6</v>
      </c>
      <c r="D31" s="5" t="s">
        <v>10</v>
      </c>
      <c r="E31" t="s">
        <v>8</v>
      </c>
      <c r="F31" s="59">
        <f>718.22*3600/10^6-F6</f>
        <v>0.38559199999999993</v>
      </c>
      <c r="G31" s="119" t="s">
        <v>228</v>
      </c>
      <c r="H31" s="153">
        <f>1.3*0.6</f>
        <v>0.78</v>
      </c>
      <c r="I31" s="154" t="s">
        <v>42</v>
      </c>
      <c r="J31" s="7" t="s">
        <v>208</v>
      </c>
    </row>
    <row r="32" spans="1:10" x14ac:dyDescent="0.25">
      <c r="A32" s="11"/>
      <c r="B32" s="147"/>
      <c r="C32" s="13" t="s">
        <v>21</v>
      </c>
      <c r="D32" s="18" t="s">
        <v>43</v>
      </c>
      <c r="E32" s="12" t="s">
        <v>23</v>
      </c>
      <c r="F32" s="116"/>
      <c r="G32" s="62"/>
      <c r="H32" s="11">
        <v>1</v>
      </c>
      <c r="I32" s="62"/>
      <c r="J32" s="7"/>
    </row>
    <row r="33" spans="1:13" x14ac:dyDescent="0.25">
      <c r="A33" s="78"/>
      <c r="B33" s="79" t="s">
        <v>192</v>
      </c>
      <c r="C33" s="87" t="s">
        <v>6</v>
      </c>
      <c r="D33" s="155" t="s">
        <v>43</v>
      </c>
      <c r="E33" s="50" t="s">
        <v>23</v>
      </c>
      <c r="F33" s="98"/>
      <c r="G33" s="119"/>
      <c r="H33" s="102">
        <v>1</v>
      </c>
      <c r="I33" s="86"/>
      <c r="J33" s="7"/>
    </row>
    <row r="34" spans="1:13" x14ac:dyDescent="0.25">
      <c r="A34" s="78"/>
      <c r="B34" s="79"/>
      <c r="D34" s="96" t="s">
        <v>18</v>
      </c>
      <c r="E34" s="50" t="s">
        <v>8</v>
      </c>
      <c r="F34" s="123"/>
      <c r="G34" s="119"/>
      <c r="H34" s="123">
        <f>3.9*5.4/12.96</f>
        <v>1.625</v>
      </c>
      <c r="I34" s="28" t="s">
        <v>179</v>
      </c>
      <c r="J34" s="7"/>
    </row>
    <row r="35" spans="1:13" x14ac:dyDescent="0.25">
      <c r="A35" s="78"/>
      <c r="B35" s="79"/>
      <c r="C35" s="89"/>
      <c r="D35" s="48" t="s">
        <v>10</v>
      </c>
      <c r="E35" s="50" t="s">
        <v>8</v>
      </c>
      <c r="F35" s="59">
        <f>0.469*1.05506</f>
        <v>0.49482313999999999</v>
      </c>
      <c r="G35" s="119" t="s">
        <v>226</v>
      </c>
      <c r="H35" s="59">
        <f>3.9*7.56/12.96</f>
        <v>2.2749999999999999</v>
      </c>
      <c r="I35" s="119" t="s">
        <v>179</v>
      </c>
      <c r="J35" s="7" t="s">
        <v>208</v>
      </c>
    </row>
    <row r="36" spans="1:13" x14ac:dyDescent="0.25">
      <c r="A36" s="74"/>
      <c r="B36" s="76"/>
      <c r="C36" s="12" t="s">
        <v>21</v>
      </c>
      <c r="D36" s="106" t="s">
        <v>212</v>
      </c>
      <c r="E36" s="95" t="s">
        <v>23</v>
      </c>
      <c r="F36" s="173"/>
      <c r="G36" s="122"/>
      <c r="H36" s="103">
        <v>1</v>
      </c>
      <c r="I36" s="72"/>
      <c r="J36" s="7"/>
      <c r="M36" s="50"/>
    </row>
    <row r="37" spans="1:13" x14ac:dyDescent="0.25">
      <c r="A37" s="78"/>
      <c r="B37" s="75" t="s">
        <v>214</v>
      </c>
      <c r="C37" s="5" t="s">
        <v>6</v>
      </c>
      <c r="D37" s="70" t="s">
        <v>193</v>
      </c>
      <c r="E37" t="s">
        <v>8</v>
      </c>
      <c r="F37" s="134">
        <f>F38+F39</f>
        <v>0.88041513999999998</v>
      </c>
      <c r="G37" s="193"/>
      <c r="H37" s="134">
        <f>H38+H39</f>
        <v>5.1989189189189187</v>
      </c>
      <c r="I37" s="39"/>
      <c r="J37" s="7"/>
      <c r="M37" s="50"/>
    </row>
    <row r="38" spans="1:13" x14ac:dyDescent="0.25">
      <c r="A38" s="8"/>
      <c r="B38" s="79" t="s">
        <v>192</v>
      </c>
      <c r="C38" s="5" t="s">
        <v>6</v>
      </c>
      <c r="D38" s="5" t="s">
        <v>18</v>
      </c>
      <c r="E38" t="s">
        <v>8</v>
      </c>
      <c r="F38" s="59"/>
      <c r="G38" s="60"/>
      <c r="H38" s="153">
        <f>H30+H34</f>
        <v>2.1439189189189189</v>
      </c>
      <c r="I38" s="154" t="s">
        <v>42</v>
      </c>
      <c r="J38" s="7"/>
    </row>
    <row r="39" spans="1:13" x14ac:dyDescent="0.25">
      <c r="A39" s="8"/>
      <c r="C39" s="5" t="s">
        <v>6</v>
      </c>
      <c r="D39" s="5" t="s">
        <v>10</v>
      </c>
      <c r="E39" t="s">
        <v>8</v>
      </c>
      <c r="F39" s="59">
        <f>F31+F35</f>
        <v>0.88041513999999998</v>
      </c>
      <c r="G39" s="60"/>
      <c r="H39" s="153">
        <f>H31+H35</f>
        <v>3.0549999999999997</v>
      </c>
      <c r="I39" s="154" t="s">
        <v>42</v>
      </c>
      <c r="J39" s="7" t="s">
        <v>208</v>
      </c>
    </row>
    <row r="40" spans="1:13" x14ac:dyDescent="0.25">
      <c r="A40" s="8"/>
      <c r="C40" s="9" t="s">
        <v>12</v>
      </c>
      <c r="D40" s="2" t="s">
        <v>7</v>
      </c>
      <c r="F40" s="8"/>
      <c r="G40" s="60"/>
      <c r="H40" s="61">
        <v>1</v>
      </c>
      <c r="I40" s="154"/>
      <c r="J40" s="263" t="s">
        <v>251</v>
      </c>
    </row>
    <row r="41" spans="1:13" x14ac:dyDescent="0.25">
      <c r="A41" s="8"/>
      <c r="C41" s="9" t="s">
        <v>12</v>
      </c>
      <c r="D41" s="2" t="s">
        <v>14</v>
      </c>
      <c r="F41" s="8"/>
      <c r="G41" s="60"/>
      <c r="H41" s="61">
        <v>1</v>
      </c>
      <c r="I41" s="154"/>
      <c r="J41" s="263"/>
    </row>
    <row r="42" spans="1:13" x14ac:dyDescent="0.25">
      <c r="A42" s="8"/>
      <c r="C42" s="9" t="s">
        <v>12</v>
      </c>
      <c r="D42" s="2" t="s">
        <v>15</v>
      </c>
      <c r="F42" s="8"/>
      <c r="G42" s="60"/>
      <c r="H42" s="61">
        <v>1</v>
      </c>
      <c r="I42" s="154"/>
      <c r="J42" s="263"/>
    </row>
    <row r="43" spans="1:13" x14ac:dyDescent="0.25">
      <c r="A43" s="8"/>
      <c r="C43" s="9" t="s">
        <v>12</v>
      </c>
      <c r="D43" s="5" t="s">
        <v>16</v>
      </c>
      <c r="F43" s="8"/>
      <c r="G43" s="60"/>
      <c r="H43" s="61">
        <v>1</v>
      </c>
      <c r="I43" s="60"/>
      <c r="J43" s="263"/>
    </row>
    <row r="44" spans="1:13" x14ac:dyDescent="0.25">
      <c r="A44" s="8"/>
      <c r="C44" s="9" t="s">
        <v>12</v>
      </c>
      <c r="D44" s="5" t="s">
        <v>17</v>
      </c>
      <c r="F44" s="8"/>
      <c r="G44" s="60"/>
      <c r="H44" s="61">
        <v>1</v>
      </c>
      <c r="I44" s="60"/>
      <c r="J44" s="263"/>
    </row>
    <row r="45" spans="1:13" x14ac:dyDescent="0.25">
      <c r="A45" s="11"/>
      <c r="B45" s="147"/>
      <c r="C45" s="13" t="s">
        <v>21</v>
      </c>
      <c r="D45" s="18" t="s">
        <v>43</v>
      </c>
      <c r="E45" s="12" t="s">
        <v>23</v>
      </c>
      <c r="F45" s="11"/>
      <c r="G45" s="62"/>
      <c r="H45" s="11">
        <v>1</v>
      </c>
      <c r="I45" s="62"/>
      <c r="J45" s="14"/>
    </row>
    <row r="46" spans="1:13" x14ac:dyDescent="0.25">
      <c r="A46" s="64"/>
      <c r="B46" s="46"/>
      <c r="C46" s="113" t="s">
        <v>184</v>
      </c>
      <c r="D46" s="182" t="s">
        <v>247</v>
      </c>
      <c r="E46" s="114" t="s">
        <v>185</v>
      </c>
      <c r="F46" s="159">
        <f>F47+F48</f>
        <v>0.88041513999999998</v>
      </c>
      <c r="G46" s="118"/>
      <c r="H46" s="159">
        <f>H47+H48</f>
        <v>5.1989189189189187</v>
      </c>
      <c r="I46" s="68"/>
      <c r="J46" s="167" t="s">
        <v>239</v>
      </c>
    </row>
    <row r="47" spans="1:13" x14ac:dyDescent="0.25">
      <c r="A47" s="8"/>
      <c r="B47"/>
      <c r="C47" s="112" t="s">
        <v>184</v>
      </c>
      <c r="D47" s="80" t="s">
        <v>18</v>
      </c>
      <c r="E47" s="50" t="s">
        <v>185</v>
      </c>
      <c r="F47" s="192"/>
      <c r="G47" s="119"/>
      <c r="H47" s="59">
        <f>H38</f>
        <v>2.1439189189189189</v>
      </c>
      <c r="I47" s="28"/>
      <c r="J47" s="60"/>
    </row>
    <row r="48" spans="1:13" x14ac:dyDescent="0.25">
      <c r="A48" s="11"/>
      <c r="B48" s="12"/>
      <c r="C48" s="115" t="s">
        <v>184</v>
      </c>
      <c r="D48" s="77" t="s">
        <v>10</v>
      </c>
      <c r="E48" s="95" t="s">
        <v>185</v>
      </c>
      <c r="F48" s="116">
        <f>F39</f>
        <v>0.88041513999999998</v>
      </c>
      <c r="G48" s="122"/>
      <c r="H48" s="116">
        <f>H39</f>
        <v>3.0549999999999997</v>
      </c>
      <c r="I48" s="66"/>
      <c r="J48" s="14" t="s">
        <v>208</v>
      </c>
    </row>
    <row r="49" spans="1:13" x14ac:dyDescent="0.25">
      <c r="C49" s="5"/>
      <c r="D49" s="9"/>
    </row>
    <row r="50" spans="1:13" x14ac:dyDescent="0.25">
      <c r="A50" s="255" t="s">
        <v>46</v>
      </c>
      <c r="B50" s="275" t="s">
        <v>216</v>
      </c>
      <c r="C50" s="257" t="s">
        <v>2</v>
      </c>
      <c r="D50" s="276"/>
      <c r="E50" s="259" t="s">
        <v>4</v>
      </c>
      <c r="F50" s="261" t="s">
        <v>181</v>
      </c>
      <c r="G50" s="262"/>
      <c r="H50" s="245" t="s">
        <v>180</v>
      </c>
      <c r="I50" s="246"/>
      <c r="J50" s="71" t="s">
        <v>0</v>
      </c>
    </row>
    <row r="51" spans="1:13" x14ac:dyDescent="0.25">
      <c r="A51" s="264"/>
      <c r="B51" s="266"/>
      <c r="C51" s="267"/>
      <c r="D51" s="269"/>
      <c r="E51" s="270"/>
      <c r="F51" s="97" t="s">
        <v>3</v>
      </c>
      <c r="G51" s="63" t="s">
        <v>5</v>
      </c>
      <c r="H51" s="97" t="s">
        <v>3</v>
      </c>
      <c r="I51" s="69" t="s">
        <v>5</v>
      </c>
      <c r="J51" s="124"/>
    </row>
    <row r="52" spans="1:13" ht="45" x14ac:dyDescent="0.25">
      <c r="A52" s="8"/>
      <c r="B52" s="75" t="s">
        <v>47</v>
      </c>
      <c r="C52" s="5" t="s">
        <v>6</v>
      </c>
      <c r="D52" s="5" t="s">
        <v>18</v>
      </c>
      <c r="E52" t="s">
        <v>8</v>
      </c>
      <c r="F52" s="64"/>
      <c r="G52" s="65"/>
      <c r="H52" s="151">
        <f>4.5*14.7/11.1*0.15</f>
        <v>0.89391891891891884</v>
      </c>
      <c r="I52" s="152" t="s">
        <v>42</v>
      </c>
      <c r="J52" s="7"/>
    </row>
    <row r="53" spans="1:13" x14ac:dyDescent="0.25">
      <c r="A53" s="8"/>
      <c r="C53" s="5" t="s">
        <v>6</v>
      </c>
      <c r="D53" s="5" t="s">
        <v>10</v>
      </c>
      <c r="E53" t="s">
        <v>8</v>
      </c>
      <c r="F53" s="59">
        <f>2*96485*0.89/10^9 * (1/63.546*10^6)/0.95</f>
        <v>2.844906383606074</v>
      </c>
      <c r="G53" s="60" t="s">
        <v>123</v>
      </c>
      <c r="H53" s="153">
        <f>4.5*14.7/11.1*0.85</f>
        <v>5.0655405405405398</v>
      </c>
      <c r="I53" s="154" t="s">
        <v>42</v>
      </c>
      <c r="J53" s="7" t="s">
        <v>208</v>
      </c>
    </row>
    <row r="54" spans="1:13" x14ac:dyDescent="0.25">
      <c r="A54" s="11"/>
      <c r="B54" s="147"/>
      <c r="C54" s="13" t="s">
        <v>21</v>
      </c>
      <c r="D54" s="18" t="s">
        <v>43</v>
      </c>
      <c r="E54" s="12" t="s">
        <v>23</v>
      </c>
      <c r="F54" s="11"/>
      <c r="G54" s="62"/>
      <c r="H54" s="11">
        <v>1</v>
      </c>
      <c r="I54" s="62"/>
      <c r="J54" s="14"/>
    </row>
    <row r="55" spans="1:13" x14ac:dyDescent="0.25">
      <c r="A55" s="78"/>
      <c r="B55" s="79" t="s">
        <v>192</v>
      </c>
      <c r="C55" s="87" t="s">
        <v>6</v>
      </c>
      <c r="D55" s="155" t="s">
        <v>43</v>
      </c>
      <c r="E55" s="50" t="s">
        <v>23</v>
      </c>
      <c r="F55" s="120"/>
      <c r="G55" s="119"/>
      <c r="H55" s="102">
        <v>1</v>
      </c>
      <c r="I55" s="86"/>
      <c r="J55" s="7"/>
    </row>
    <row r="56" spans="1:13" x14ac:dyDescent="0.25">
      <c r="A56" s="78"/>
      <c r="B56" s="79"/>
      <c r="D56" s="96" t="s">
        <v>18</v>
      </c>
      <c r="E56" s="50" t="s">
        <v>8</v>
      </c>
      <c r="F56" s="120"/>
      <c r="G56" s="119"/>
      <c r="H56" s="123">
        <f>3.9*5.4/12.96</f>
        <v>1.625</v>
      </c>
      <c r="I56" s="28" t="s">
        <v>179</v>
      </c>
      <c r="J56" s="7"/>
    </row>
    <row r="57" spans="1:13" x14ac:dyDescent="0.25">
      <c r="A57" s="78"/>
      <c r="B57" s="79"/>
      <c r="C57" s="89"/>
      <c r="D57" s="48" t="s">
        <v>10</v>
      </c>
      <c r="E57" s="50" t="s">
        <v>8</v>
      </c>
      <c r="F57" s="153">
        <f>0.469*1.05506</f>
        <v>0.49482313999999999</v>
      </c>
      <c r="G57" s="119" t="s">
        <v>226</v>
      </c>
      <c r="H57" s="59">
        <f>3.9*7.56/12.96</f>
        <v>2.2749999999999999</v>
      </c>
      <c r="I57" s="119" t="s">
        <v>179</v>
      </c>
      <c r="J57" s="7" t="s">
        <v>208</v>
      </c>
    </row>
    <row r="58" spans="1:13" x14ac:dyDescent="0.25">
      <c r="A58" s="74"/>
      <c r="B58" s="76"/>
      <c r="C58" s="12" t="s">
        <v>21</v>
      </c>
      <c r="D58" s="106" t="s">
        <v>212</v>
      </c>
      <c r="E58" s="95" t="s">
        <v>23</v>
      </c>
      <c r="F58" s="172"/>
      <c r="G58" s="122"/>
      <c r="H58" s="103">
        <v>1</v>
      </c>
      <c r="I58" s="72"/>
      <c r="J58" s="14"/>
      <c r="M58" s="50"/>
    </row>
    <row r="59" spans="1:13" x14ac:dyDescent="0.25">
      <c r="A59" s="78"/>
      <c r="B59" s="75" t="s">
        <v>219</v>
      </c>
      <c r="C59" s="5" t="s">
        <v>6</v>
      </c>
      <c r="D59" s="70" t="s">
        <v>193</v>
      </c>
      <c r="E59" t="s">
        <v>8</v>
      </c>
      <c r="F59" s="134">
        <f>F60+F61</f>
        <v>3.3397295236060738</v>
      </c>
      <c r="G59" s="193"/>
      <c r="H59" s="134">
        <f>H60+H61</f>
        <v>9.8594594594594582</v>
      </c>
      <c r="I59" s="39"/>
      <c r="J59" s="7"/>
      <c r="M59" s="50"/>
    </row>
    <row r="60" spans="1:13" x14ac:dyDescent="0.25">
      <c r="A60" s="8"/>
      <c r="B60" s="117" t="s">
        <v>220</v>
      </c>
      <c r="C60" s="5" t="s">
        <v>6</v>
      </c>
      <c r="D60" s="5" t="s">
        <v>18</v>
      </c>
      <c r="E60" t="s">
        <v>8</v>
      </c>
      <c r="F60" s="153"/>
      <c r="G60" s="60"/>
      <c r="H60" s="153">
        <f>H52+H56</f>
        <v>2.5189189189189189</v>
      </c>
      <c r="I60" s="154" t="s">
        <v>42</v>
      </c>
      <c r="J60" s="7"/>
    </row>
    <row r="61" spans="1:13" x14ac:dyDescent="0.25">
      <c r="A61" s="8"/>
      <c r="B61" s="117" t="s">
        <v>215</v>
      </c>
      <c r="C61" s="5" t="s">
        <v>6</v>
      </c>
      <c r="D61" s="5" t="s">
        <v>10</v>
      </c>
      <c r="E61" t="s">
        <v>8</v>
      </c>
      <c r="F61" s="153">
        <f>F53+F57</f>
        <v>3.3397295236060738</v>
      </c>
      <c r="H61" s="153">
        <f>H53+H57</f>
        <v>7.3405405405405393</v>
      </c>
      <c r="I61" s="154" t="s">
        <v>42</v>
      </c>
      <c r="J61" s="7" t="s">
        <v>208</v>
      </c>
    </row>
    <row r="62" spans="1:13" x14ac:dyDescent="0.25">
      <c r="A62" s="8"/>
      <c r="B62" s="117" t="s">
        <v>221</v>
      </c>
      <c r="C62" s="9" t="s">
        <v>12</v>
      </c>
      <c r="D62" s="2" t="s">
        <v>7</v>
      </c>
      <c r="F62" s="153"/>
      <c r="G62" s="60"/>
      <c r="H62" s="61">
        <v>1</v>
      </c>
      <c r="I62" s="154"/>
      <c r="J62" s="263" t="s">
        <v>251</v>
      </c>
    </row>
    <row r="63" spans="1:13" x14ac:dyDescent="0.25">
      <c r="A63" s="8"/>
      <c r="B63" s="79" t="s">
        <v>192</v>
      </c>
      <c r="C63" s="9" t="s">
        <v>12</v>
      </c>
      <c r="D63" s="2" t="s">
        <v>14</v>
      </c>
      <c r="F63" s="153"/>
      <c r="G63" s="60"/>
      <c r="H63" s="61">
        <v>1</v>
      </c>
      <c r="I63" s="154"/>
      <c r="J63" s="263"/>
    </row>
    <row r="64" spans="1:13" x14ac:dyDescent="0.25">
      <c r="A64" s="8"/>
      <c r="C64" s="9" t="s">
        <v>12</v>
      </c>
      <c r="D64" s="2" t="s">
        <v>15</v>
      </c>
      <c r="F64" s="153"/>
      <c r="G64" s="60"/>
      <c r="H64" s="61">
        <v>1</v>
      </c>
      <c r="I64" s="154"/>
      <c r="J64" s="263"/>
    </row>
    <row r="65" spans="1:10" x14ac:dyDescent="0.25">
      <c r="A65" s="8"/>
      <c r="C65" s="9" t="s">
        <v>12</v>
      </c>
      <c r="D65" s="5" t="s">
        <v>16</v>
      </c>
      <c r="F65" s="153"/>
      <c r="G65" s="60"/>
      <c r="H65" s="61">
        <v>1</v>
      </c>
      <c r="I65" s="60"/>
      <c r="J65" s="263"/>
    </row>
    <row r="66" spans="1:10" x14ac:dyDescent="0.25">
      <c r="A66" s="8"/>
      <c r="C66" s="9" t="s">
        <v>12</v>
      </c>
      <c r="D66" s="5" t="s">
        <v>17</v>
      </c>
      <c r="F66" s="8"/>
      <c r="G66" s="60"/>
      <c r="H66" s="61">
        <v>1</v>
      </c>
      <c r="I66" s="60"/>
      <c r="J66" s="263"/>
    </row>
    <row r="67" spans="1:10" x14ac:dyDescent="0.25">
      <c r="A67" s="11"/>
      <c r="B67" s="147"/>
      <c r="C67" s="13" t="s">
        <v>21</v>
      </c>
      <c r="D67" s="18" t="s">
        <v>43</v>
      </c>
      <c r="E67" s="12" t="s">
        <v>23</v>
      </c>
      <c r="F67" s="11"/>
      <c r="G67" s="62"/>
      <c r="H67" s="11">
        <v>1</v>
      </c>
      <c r="I67" s="62"/>
      <c r="J67" s="14"/>
    </row>
    <row r="68" spans="1:10" x14ac:dyDescent="0.25">
      <c r="A68" s="64"/>
      <c r="B68" s="46"/>
      <c r="C68" s="113" t="s">
        <v>184</v>
      </c>
      <c r="D68" s="182" t="s">
        <v>247</v>
      </c>
      <c r="E68" s="114" t="s">
        <v>185</v>
      </c>
      <c r="F68" s="159">
        <f>F69+F70</f>
        <v>3.3397295236060738</v>
      </c>
      <c r="G68" s="118"/>
      <c r="H68" s="159">
        <f>H69+H70</f>
        <v>9.8594594594594582</v>
      </c>
      <c r="I68" s="68"/>
      <c r="J68" s="167" t="s">
        <v>239</v>
      </c>
    </row>
    <row r="69" spans="1:10" x14ac:dyDescent="0.25">
      <c r="A69" s="8"/>
      <c r="B69"/>
      <c r="C69" s="112" t="s">
        <v>184</v>
      </c>
      <c r="D69" s="80" t="s">
        <v>18</v>
      </c>
      <c r="E69" s="50" t="s">
        <v>185</v>
      </c>
      <c r="F69" s="192"/>
      <c r="G69" s="119"/>
      <c r="H69" s="59">
        <f>H60</f>
        <v>2.5189189189189189</v>
      </c>
      <c r="I69" s="28"/>
      <c r="J69" s="60"/>
    </row>
    <row r="70" spans="1:10" x14ac:dyDescent="0.25">
      <c r="A70" s="11"/>
      <c r="B70" s="12"/>
      <c r="C70" s="115" t="s">
        <v>184</v>
      </c>
      <c r="D70" s="77" t="s">
        <v>10</v>
      </c>
      <c r="E70" s="95" t="s">
        <v>185</v>
      </c>
      <c r="F70" s="116">
        <f>F61</f>
        <v>3.3397295236060738</v>
      </c>
      <c r="G70" s="122"/>
      <c r="H70" s="116">
        <f>H61</f>
        <v>7.3405405405405393</v>
      </c>
      <c r="I70" s="66"/>
      <c r="J70" s="14" t="s">
        <v>208</v>
      </c>
    </row>
    <row r="73" spans="1:10" x14ac:dyDescent="0.25">
      <c r="A73" t="s">
        <v>33</v>
      </c>
      <c r="B73" s="50" t="s">
        <v>163</v>
      </c>
      <c r="C73" s="15" t="s">
        <v>34</v>
      </c>
    </row>
    <row r="74" spans="1:10" x14ac:dyDescent="0.25">
      <c r="A74" t="s">
        <v>20</v>
      </c>
      <c r="B74" s="55" t="s">
        <v>164</v>
      </c>
      <c r="C74" s="15" t="s">
        <v>35</v>
      </c>
    </row>
    <row r="75" spans="1:10" x14ac:dyDescent="0.25">
      <c r="A75" t="s">
        <v>36</v>
      </c>
      <c r="B75" s="50" t="s">
        <v>167</v>
      </c>
      <c r="C75" s="15" t="s">
        <v>48</v>
      </c>
    </row>
    <row r="76" spans="1:10" x14ac:dyDescent="0.25">
      <c r="A76" t="s">
        <v>38</v>
      </c>
      <c r="B76" s="230" t="s">
        <v>279</v>
      </c>
      <c r="C76" s="51" t="s">
        <v>222</v>
      </c>
    </row>
    <row r="77" spans="1:10" x14ac:dyDescent="0.25">
      <c r="A77" t="s">
        <v>123</v>
      </c>
      <c r="B77" s="230" t="s">
        <v>280</v>
      </c>
      <c r="C77" s="51" t="s">
        <v>223</v>
      </c>
    </row>
    <row r="78" spans="1:10" x14ac:dyDescent="0.25">
      <c r="A78" t="s">
        <v>224</v>
      </c>
      <c r="B78" s="230" t="s">
        <v>281</v>
      </c>
      <c r="C78" s="51" t="s">
        <v>225</v>
      </c>
    </row>
    <row r="79" spans="1:10" x14ac:dyDescent="0.25">
      <c r="B79" s="50"/>
      <c r="C79" s="51"/>
    </row>
    <row r="80" spans="1:10" x14ac:dyDescent="0.25">
      <c r="B80" s="50"/>
      <c r="C80" s="51"/>
    </row>
    <row r="81" spans="1:2" x14ac:dyDescent="0.25">
      <c r="A81" t="s">
        <v>176</v>
      </c>
      <c r="B81" s="50"/>
    </row>
    <row r="82" spans="1:2" x14ac:dyDescent="0.25">
      <c r="A82" t="s">
        <v>177</v>
      </c>
      <c r="B82" s="50" t="s">
        <v>159</v>
      </c>
    </row>
    <row r="83" spans="1:2" x14ac:dyDescent="0.25">
      <c r="B83" s="50"/>
    </row>
  </sheetData>
  <mergeCells count="32">
    <mergeCell ref="J62:J66"/>
    <mergeCell ref="J40:J44"/>
    <mergeCell ref="H2:I2"/>
    <mergeCell ref="A15:A16"/>
    <mergeCell ref="B15:B16"/>
    <mergeCell ref="C15:C16"/>
    <mergeCell ref="D15:D16"/>
    <mergeCell ref="E15:E16"/>
    <mergeCell ref="F15:G15"/>
    <mergeCell ref="H15:I15"/>
    <mergeCell ref="A2:A3"/>
    <mergeCell ref="B2:B3"/>
    <mergeCell ref="C2:C3"/>
    <mergeCell ref="D2:D3"/>
    <mergeCell ref="E2:E3"/>
    <mergeCell ref="F2:G2"/>
    <mergeCell ref="J20:J24"/>
    <mergeCell ref="J7:J11"/>
    <mergeCell ref="H50:I50"/>
    <mergeCell ref="A50:A51"/>
    <mergeCell ref="B50:B51"/>
    <mergeCell ref="C50:C51"/>
    <mergeCell ref="D50:D51"/>
    <mergeCell ref="E50:E51"/>
    <mergeCell ref="F50:G50"/>
    <mergeCell ref="H28:I28"/>
    <mergeCell ref="A28:A29"/>
    <mergeCell ref="B28:B29"/>
    <mergeCell ref="C28:C29"/>
    <mergeCell ref="D28:D29"/>
    <mergeCell ref="E28:E29"/>
    <mergeCell ref="F28:G28"/>
  </mergeCells>
  <hyperlinks>
    <hyperlink ref="C73" r:id="rId1" xr:uid="{6EA70C95-47C6-405C-AD1C-397EC82D1346}"/>
    <hyperlink ref="C74" r:id="rId2" xr:uid="{0C8548DE-D4BD-4B12-937B-35BD94E2FC4D}"/>
    <hyperlink ref="C75" r:id="rId3" xr:uid="{D8098476-A350-4CC4-B61E-D9292DE27892}"/>
    <hyperlink ref="C76" r:id="rId4" xr:uid="{4E0B91F7-B8F2-4042-A6FE-C5C5F00DBFD7}"/>
    <hyperlink ref="C77" r:id="rId5" xr:uid="{7F106FB4-3E67-484B-AF03-9C13B427EB13}"/>
    <hyperlink ref="C78" r:id="rId6" xr:uid="{F216DC3C-8E45-47BC-9649-9FFA0A260BF6}"/>
  </hyperlinks>
  <pageMargins left="0.7" right="0.7" top="0.78749999999999998" bottom="0.78749999999999998" header="0.511811023622047" footer="0.511811023622047"/>
  <pageSetup paperSize="9" orientation="portrait" horizontalDpi="300" verticalDpi="300"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385724"/>
  </sheetPr>
  <dimension ref="A1:L33"/>
  <sheetViews>
    <sheetView zoomScaleNormal="100" workbookViewId="0">
      <selection activeCell="D32" sqref="D32"/>
    </sheetView>
  </sheetViews>
  <sheetFormatPr baseColWidth="10" defaultColWidth="10.5703125" defaultRowHeight="15" x14ac:dyDescent="0.25"/>
  <cols>
    <col min="2" max="2" width="21.5703125" customWidth="1"/>
    <col min="3" max="3" width="19.5703125" customWidth="1"/>
    <col min="4" max="4" width="12.140625" customWidth="1"/>
    <col min="7" max="7" width="16.28515625" customWidth="1"/>
    <col min="10" max="10" width="25.28515625" bestFit="1" customWidth="1"/>
  </cols>
  <sheetData>
    <row r="1" spans="1:12" x14ac:dyDescent="0.25">
      <c r="A1" s="82"/>
      <c r="B1" s="83"/>
      <c r="C1" s="83"/>
      <c r="D1" s="83"/>
      <c r="E1" s="83"/>
      <c r="F1" s="83"/>
      <c r="G1" s="83"/>
      <c r="H1" s="83"/>
      <c r="I1" s="84"/>
      <c r="J1" s="85"/>
    </row>
    <row r="2" spans="1:12" x14ac:dyDescent="0.25">
      <c r="A2" s="255" t="s">
        <v>66</v>
      </c>
      <c r="B2" s="277" t="s">
        <v>261</v>
      </c>
      <c r="C2" s="257" t="s">
        <v>2</v>
      </c>
      <c r="D2" s="276"/>
      <c r="E2" s="259" t="s">
        <v>4</v>
      </c>
      <c r="F2" s="261" t="s">
        <v>181</v>
      </c>
      <c r="G2" s="262"/>
      <c r="H2" s="245" t="s">
        <v>180</v>
      </c>
      <c r="I2" s="246"/>
      <c r="J2" s="71" t="s">
        <v>0</v>
      </c>
    </row>
    <row r="3" spans="1:12" x14ac:dyDescent="0.25">
      <c r="A3" s="264"/>
      <c r="B3" s="278"/>
      <c r="C3" s="267"/>
      <c r="D3" s="269"/>
      <c r="E3" s="270"/>
      <c r="F3" s="97" t="s">
        <v>3</v>
      </c>
      <c r="G3" s="63" t="s">
        <v>5</v>
      </c>
      <c r="H3" s="97" t="s">
        <v>3</v>
      </c>
      <c r="I3" s="69" t="s">
        <v>5</v>
      </c>
      <c r="J3" s="124"/>
    </row>
    <row r="4" spans="1:12" x14ac:dyDescent="0.25">
      <c r="A4" s="46"/>
      <c r="C4" s="181" t="s">
        <v>83</v>
      </c>
      <c r="D4" s="129" t="s">
        <v>193</v>
      </c>
      <c r="E4" s="68" t="s">
        <v>156</v>
      </c>
      <c r="F4" s="149">
        <f>F14</f>
        <v>1.7250000000000001</v>
      </c>
      <c r="G4" s="50"/>
      <c r="H4" s="194">
        <f>H5+H11</f>
        <v>3.1160000000000001</v>
      </c>
      <c r="I4" s="39"/>
      <c r="J4" s="68"/>
    </row>
    <row r="5" spans="1:12" x14ac:dyDescent="0.25">
      <c r="A5" s="4"/>
      <c r="B5" s="2"/>
      <c r="C5" s="5" t="s">
        <v>6</v>
      </c>
      <c r="D5" s="5" t="s">
        <v>50</v>
      </c>
      <c r="E5" s="2" t="s">
        <v>51</v>
      </c>
      <c r="F5" s="59">
        <f>(1.65+1.8)/2</f>
        <v>1.7250000000000001</v>
      </c>
      <c r="G5" s="50" t="s">
        <v>123</v>
      </c>
      <c r="H5" s="169">
        <v>2.9</v>
      </c>
      <c r="I5" s="53" t="s">
        <v>42</v>
      </c>
      <c r="J5" s="7"/>
    </row>
    <row r="6" spans="1:12" x14ac:dyDescent="0.25">
      <c r="A6" s="4"/>
      <c r="B6" s="2"/>
      <c r="C6" s="9" t="s">
        <v>52</v>
      </c>
      <c r="D6" s="2" t="s">
        <v>7</v>
      </c>
      <c r="E6" s="2"/>
      <c r="F6" s="8"/>
      <c r="G6" s="60"/>
      <c r="H6" s="168">
        <v>1</v>
      </c>
      <c r="I6" s="52"/>
      <c r="J6" s="263" t="s">
        <v>251</v>
      </c>
    </row>
    <row r="7" spans="1:12" x14ac:dyDescent="0.25">
      <c r="A7" s="4"/>
      <c r="B7" s="2"/>
      <c r="C7" s="9" t="s">
        <v>52</v>
      </c>
      <c r="D7" s="2" t="s">
        <v>14</v>
      </c>
      <c r="E7" s="2"/>
      <c r="F7" s="8"/>
      <c r="G7" s="60"/>
      <c r="H7" s="168">
        <v>1</v>
      </c>
      <c r="I7" s="52"/>
      <c r="J7" s="263"/>
    </row>
    <row r="8" spans="1:12" x14ac:dyDescent="0.25">
      <c r="A8" s="4"/>
      <c r="B8" s="2"/>
      <c r="C8" s="9" t="s">
        <v>52</v>
      </c>
      <c r="D8" s="2" t="s">
        <v>15</v>
      </c>
      <c r="E8" s="2"/>
      <c r="F8" s="8"/>
      <c r="G8" s="60"/>
      <c r="H8" s="168">
        <v>1</v>
      </c>
      <c r="I8" s="52"/>
      <c r="J8" s="263"/>
    </row>
    <row r="9" spans="1:12" x14ac:dyDescent="0.25">
      <c r="A9" s="4"/>
      <c r="B9" s="2"/>
      <c r="C9" s="9" t="s">
        <v>52</v>
      </c>
      <c r="D9" s="5" t="s">
        <v>16</v>
      </c>
      <c r="E9" s="2"/>
      <c r="F9" s="8"/>
      <c r="G9" s="60"/>
      <c r="H9" s="168">
        <v>1</v>
      </c>
      <c r="I9" s="52"/>
      <c r="J9" s="263"/>
    </row>
    <row r="10" spans="1:12" x14ac:dyDescent="0.25">
      <c r="A10" s="4"/>
      <c r="B10" s="2"/>
      <c r="C10" s="9" t="s">
        <v>52</v>
      </c>
      <c r="D10" s="5" t="s">
        <v>17</v>
      </c>
      <c r="E10" s="2"/>
      <c r="F10" s="8"/>
      <c r="G10" s="60"/>
      <c r="H10" s="168">
        <v>1</v>
      </c>
      <c r="I10" s="52"/>
      <c r="J10" s="263"/>
    </row>
    <row r="11" spans="1:12" x14ac:dyDescent="0.25">
      <c r="A11" s="4"/>
      <c r="B11" s="2"/>
      <c r="C11" s="5" t="s">
        <v>6</v>
      </c>
      <c r="D11" s="5" t="s">
        <v>18</v>
      </c>
      <c r="E11" s="2" t="s">
        <v>51</v>
      </c>
      <c r="F11" s="8"/>
      <c r="G11" s="60"/>
      <c r="H11" s="169">
        <v>0.216</v>
      </c>
      <c r="I11" s="53" t="s">
        <v>42</v>
      </c>
      <c r="J11" s="7"/>
      <c r="K11" s="58"/>
    </row>
    <row r="12" spans="1:12" x14ac:dyDescent="0.25">
      <c r="A12" s="4"/>
      <c r="B12" s="2"/>
      <c r="C12" s="5" t="s">
        <v>21</v>
      </c>
      <c r="D12" s="9" t="s">
        <v>66</v>
      </c>
      <c r="E12" s="5" t="s">
        <v>56</v>
      </c>
      <c r="F12" s="8"/>
      <c r="G12" s="60"/>
      <c r="H12" s="169">
        <v>1</v>
      </c>
      <c r="I12" s="53" t="s">
        <v>42</v>
      </c>
      <c r="J12" s="7"/>
      <c r="L12" s="229"/>
    </row>
    <row r="13" spans="1:12" x14ac:dyDescent="0.25">
      <c r="A13" s="21"/>
      <c r="B13" s="22"/>
      <c r="C13" s="22" t="s">
        <v>21</v>
      </c>
      <c r="D13" s="22" t="s">
        <v>67</v>
      </c>
      <c r="E13" s="22" t="s">
        <v>68</v>
      </c>
      <c r="F13" s="11"/>
      <c r="G13" s="62"/>
      <c r="H13" s="170">
        <f>H12*0.4/0.74</f>
        <v>0.54054054054054057</v>
      </c>
      <c r="I13" s="30" t="s">
        <v>38</v>
      </c>
      <c r="J13" s="14"/>
    </row>
    <row r="14" spans="1:12" x14ac:dyDescent="0.25">
      <c r="A14" s="11"/>
      <c r="B14" s="12"/>
      <c r="C14" s="183" t="s">
        <v>246</v>
      </c>
      <c r="D14" s="184" t="s">
        <v>193</v>
      </c>
      <c r="E14" s="187" t="s">
        <v>51</v>
      </c>
      <c r="F14" s="116">
        <f>F5</f>
        <v>1.7250000000000001</v>
      </c>
      <c r="G14" s="122"/>
      <c r="H14" s="170">
        <f>H4</f>
        <v>3.1160000000000001</v>
      </c>
      <c r="I14" s="66"/>
      <c r="J14" s="14" t="s">
        <v>208</v>
      </c>
    </row>
    <row r="15" spans="1:12" x14ac:dyDescent="0.25">
      <c r="A15" s="2"/>
      <c r="B15" s="2"/>
      <c r="C15" s="2"/>
      <c r="D15" s="2"/>
      <c r="E15" s="2"/>
      <c r="H15" s="5"/>
      <c r="I15" s="70"/>
    </row>
    <row r="16" spans="1:12" x14ac:dyDescent="0.25">
      <c r="A16" s="255" t="s">
        <v>65</v>
      </c>
      <c r="B16" s="277" t="s">
        <v>175</v>
      </c>
      <c r="C16" s="257" t="s">
        <v>2</v>
      </c>
      <c r="D16" s="276"/>
      <c r="E16" s="259" t="s">
        <v>4</v>
      </c>
      <c r="F16" s="261" t="s">
        <v>181</v>
      </c>
      <c r="G16" s="262"/>
      <c r="H16" s="245" t="s">
        <v>180</v>
      </c>
      <c r="I16" s="246"/>
      <c r="J16" s="71" t="s">
        <v>0</v>
      </c>
    </row>
    <row r="17" spans="1:10" x14ac:dyDescent="0.25">
      <c r="A17" s="264"/>
      <c r="B17" s="278"/>
      <c r="C17" s="267"/>
      <c r="D17" s="269"/>
      <c r="E17" s="270"/>
      <c r="F17" s="97" t="s">
        <v>3</v>
      </c>
      <c r="G17" s="63" t="s">
        <v>5</v>
      </c>
      <c r="H17" s="97" t="s">
        <v>3</v>
      </c>
      <c r="I17" s="69" t="s">
        <v>5</v>
      </c>
      <c r="J17" s="124"/>
    </row>
    <row r="18" spans="1:10" x14ac:dyDescent="0.25">
      <c r="A18" s="46"/>
      <c r="C18" s="181" t="s">
        <v>83</v>
      </c>
      <c r="D18" s="129" t="s">
        <v>247</v>
      </c>
      <c r="E18" s="68" t="s">
        <v>156</v>
      </c>
      <c r="F18" s="149">
        <f>17*0.0036</f>
        <v>6.1199999999999997E-2</v>
      </c>
      <c r="G18" s="50" t="s">
        <v>224</v>
      </c>
      <c r="H18" s="195">
        <f>H19</f>
        <v>0.14000000000000001</v>
      </c>
      <c r="I18" s="39"/>
      <c r="J18" s="68"/>
    </row>
    <row r="19" spans="1:10" x14ac:dyDescent="0.25">
      <c r="A19" s="4"/>
      <c r="B19" s="2"/>
      <c r="C19" s="5" t="s">
        <v>6</v>
      </c>
      <c r="D19" s="5" t="s">
        <v>18</v>
      </c>
      <c r="E19" s="2" t="s">
        <v>51</v>
      </c>
      <c r="F19" s="8"/>
      <c r="G19" s="60"/>
      <c r="H19" s="169">
        <v>0.14000000000000001</v>
      </c>
      <c r="I19" s="53" t="s">
        <v>42</v>
      </c>
      <c r="J19" s="7"/>
    </row>
    <row r="20" spans="1:10" x14ac:dyDescent="0.25">
      <c r="A20" s="4"/>
      <c r="B20" s="2"/>
      <c r="C20" s="5" t="s">
        <v>6</v>
      </c>
      <c r="D20" s="9" t="s">
        <v>66</v>
      </c>
      <c r="E20" s="5" t="s">
        <v>56</v>
      </c>
      <c r="F20" s="8"/>
      <c r="G20" s="60"/>
      <c r="H20" s="169">
        <v>0.6</v>
      </c>
      <c r="I20" s="53" t="s">
        <v>42</v>
      </c>
      <c r="J20" s="7"/>
    </row>
    <row r="21" spans="1:10" x14ac:dyDescent="0.25">
      <c r="A21" s="21"/>
      <c r="B21" s="22"/>
      <c r="C21" s="22" t="s">
        <v>21</v>
      </c>
      <c r="D21" s="22" t="s">
        <v>65</v>
      </c>
      <c r="E21" s="13" t="s">
        <v>56</v>
      </c>
      <c r="F21" s="11"/>
      <c r="G21" s="62"/>
      <c r="H21" s="170">
        <v>1</v>
      </c>
      <c r="I21" s="30" t="s">
        <v>42</v>
      </c>
      <c r="J21" s="14"/>
    </row>
    <row r="22" spans="1:10" x14ac:dyDescent="0.25">
      <c r="A22" s="11"/>
      <c r="B22" s="12"/>
      <c r="C22" s="183" t="s">
        <v>246</v>
      </c>
      <c r="D22" s="184" t="s">
        <v>193</v>
      </c>
      <c r="E22" s="187" t="s">
        <v>51</v>
      </c>
      <c r="F22" s="116">
        <f>F18</f>
        <v>6.1199999999999997E-2</v>
      </c>
      <c r="G22" s="122"/>
      <c r="H22" s="170">
        <f>H18</f>
        <v>0.14000000000000001</v>
      </c>
      <c r="I22" s="66"/>
      <c r="J22" s="14" t="s">
        <v>208</v>
      </c>
    </row>
    <row r="27" spans="1:10" x14ac:dyDescent="0.25">
      <c r="A27" s="2" t="s">
        <v>109</v>
      </c>
      <c r="B27" t="s">
        <v>26</v>
      </c>
      <c r="C27" t="s">
        <v>27</v>
      </c>
      <c r="D27" t="s">
        <v>28</v>
      </c>
      <c r="E27" t="s">
        <v>29</v>
      </c>
      <c r="F27" t="s">
        <v>30</v>
      </c>
      <c r="G27" t="s">
        <v>31</v>
      </c>
      <c r="H27" t="s">
        <v>32</v>
      </c>
    </row>
    <row r="28" spans="1:10" x14ac:dyDescent="0.25">
      <c r="A28" t="s">
        <v>33</v>
      </c>
      <c r="B28" s="51" t="s">
        <v>135</v>
      </c>
      <c r="C28" s="48" t="s">
        <v>134</v>
      </c>
      <c r="D28" s="2" t="s">
        <v>131</v>
      </c>
      <c r="E28" s="48" t="s">
        <v>122</v>
      </c>
      <c r="F28" s="2">
        <v>2001</v>
      </c>
      <c r="G28" s="49">
        <v>45232</v>
      </c>
      <c r="H28" s="2" t="s">
        <v>130</v>
      </c>
    </row>
    <row r="29" spans="1:10" x14ac:dyDescent="0.25">
      <c r="A29" s="50" t="s">
        <v>20</v>
      </c>
      <c r="B29" s="51" t="s">
        <v>137</v>
      </c>
      <c r="C29" s="48" t="s">
        <v>136</v>
      </c>
      <c r="D29" s="2" t="s">
        <v>132</v>
      </c>
      <c r="E29" s="48"/>
      <c r="F29" s="2">
        <v>2013</v>
      </c>
      <c r="G29" s="49">
        <v>45232</v>
      </c>
      <c r="H29" s="2" t="s">
        <v>133</v>
      </c>
    </row>
    <row r="30" spans="1:10" x14ac:dyDescent="0.25">
      <c r="A30" s="50" t="s">
        <v>36</v>
      </c>
      <c r="B30" s="51" t="s">
        <v>141</v>
      </c>
      <c r="C30" s="48" t="s">
        <v>138</v>
      </c>
      <c r="D30" s="48" t="s">
        <v>139</v>
      </c>
      <c r="E30" s="48" t="s">
        <v>122</v>
      </c>
      <c r="F30" s="2">
        <v>2011</v>
      </c>
      <c r="G30" s="49">
        <v>45232</v>
      </c>
      <c r="H30" s="2" t="s">
        <v>140</v>
      </c>
    </row>
    <row r="31" spans="1:10" x14ac:dyDescent="0.25">
      <c r="A31" s="50" t="s">
        <v>38</v>
      </c>
      <c r="B31" s="51" t="s">
        <v>143</v>
      </c>
      <c r="C31" s="48" t="s">
        <v>142</v>
      </c>
      <c r="D31" s="50" t="s">
        <v>144</v>
      </c>
      <c r="E31" s="48" t="s">
        <v>122</v>
      </c>
      <c r="F31" s="2">
        <v>2019</v>
      </c>
      <c r="G31" s="49">
        <v>45232</v>
      </c>
      <c r="H31" s="48" t="s">
        <v>142</v>
      </c>
    </row>
    <row r="32" spans="1:10" x14ac:dyDescent="0.25">
      <c r="A32" s="50" t="s">
        <v>123</v>
      </c>
      <c r="B32" s="51" t="s">
        <v>262</v>
      </c>
      <c r="C32" s="244" t="s">
        <v>263</v>
      </c>
      <c r="D32" t="s">
        <v>264</v>
      </c>
      <c r="F32" s="2">
        <v>2017</v>
      </c>
      <c r="G32" s="226">
        <v>45919</v>
      </c>
      <c r="H32" t="str">
        <f>C32</f>
        <v>European Cement Research Academy</v>
      </c>
    </row>
    <row r="33" spans="1:8" x14ac:dyDescent="0.25">
      <c r="A33" s="50" t="s">
        <v>224</v>
      </c>
      <c r="B33" s="51" t="s">
        <v>265</v>
      </c>
      <c r="C33" s="48" t="s">
        <v>266</v>
      </c>
      <c r="D33" t="s">
        <v>267</v>
      </c>
      <c r="F33" s="2">
        <v>2013</v>
      </c>
      <c r="G33" s="226">
        <v>45919</v>
      </c>
      <c r="H33" s="2" t="s">
        <v>268</v>
      </c>
    </row>
  </sheetData>
  <mergeCells count="15">
    <mergeCell ref="J6:J10"/>
    <mergeCell ref="H16:I16"/>
    <mergeCell ref="A16:A17"/>
    <mergeCell ref="B16:B17"/>
    <mergeCell ref="H2:I2"/>
    <mergeCell ref="C16:C17"/>
    <mergeCell ref="D16:D17"/>
    <mergeCell ref="E16:E17"/>
    <mergeCell ref="F16:G16"/>
    <mergeCell ref="A2:A3"/>
    <mergeCell ref="B2:B3"/>
    <mergeCell ref="C2:C3"/>
    <mergeCell ref="D2:D3"/>
    <mergeCell ref="E2:E3"/>
    <mergeCell ref="F2:G2"/>
  </mergeCells>
  <hyperlinks>
    <hyperlink ref="B28" r:id="rId1" display="https://doi.org/10.1146/annurev.energy.26.1.303" xr:uid="{3D0936E8-261D-445D-90AB-6F5EFC5A4083}"/>
    <hyperlink ref="B29" r:id="rId2" tooltip="Persistent link using digital object identifier" xr:uid="{D8A6FC73-95B2-482F-BEFF-FEC063C9204B}"/>
    <hyperlink ref="B30" r:id="rId3" tooltip="Persistent link using digital object identifier" xr:uid="{F6268BAF-2699-49F1-90B3-26C48911B495}"/>
    <hyperlink ref="B32" r:id="rId4" xr:uid="{620C5EF9-3B71-42B4-B32E-14302216F2AE}"/>
    <hyperlink ref="B33" r:id="rId5" xr:uid="{17706F86-4022-462A-B2F8-1DF860F0AE38}"/>
  </hyperlinks>
  <pageMargins left="0.7" right="0.7" top="0.78749999999999998" bottom="0.78749999999999998"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I31"/>
  <sheetViews>
    <sheetView zoomScaleNormal="100" workbookViewId="0">
      <selection activeCell="B31" sqref="B31"/>
    </sheetView>
  </sheetViews>
  <sheetFormatPr baseColWidth="10" defaultColWidth="11.5703125" defaultRowHeight="15" x14ac:dyDescent="0.25"/>
  <cols>
    <col min="1" max="1" width="3.42578125" bestFit="1" customWidth="1"/>
    <col min="2" max="2" width="17.140625" customWidth="1"/>
    <col min="4" max="4" width="11.5703125" style="2"/>
    <col min="9" max="9" width="30.140625" customWidth="1"/>
  </cols>
  <sheetData>
    <row r="2" spans="1:9" x14ac:dyDescent="0.25">
      <c r="A2" s="247" t="s">
        <v>107</v>
      </c>
      <c r="B2" s="248"/>
      <c r="C2" s="248"/>
      <c r="D2" s="248"/>
      <c r="E2" s="248"/>
      <c r="F2" s="248"/>
      <c r="G2" s="248"/>
      <c r="H2" s="248"/>
      <c r="I2" s="249"/>
    </row>
    <row r="3" spans="1:9" x14ac:dyDescent="0.25">
      <c r="A3" s="255"/>
      <c r="B3" s="257" t="s">
        <v>2</v>
      </c>
      <c r="D3" s="259" t="s">
        <v>4</v>
      </c>
      <c r="E3" s="261" t="s">
        <v>181</v>
      </c>
      <c r="F3" s="262"/>
      <c r="G3" s="245" t="s">
        <v>180</v>
      </c>
      <c r="H3" s="246"/>
      <c r="I3" s="253" t="s">
        <v>0</v>
      </c>
    </row>
    <row r="4" spans="1:9" x14ac:dyDescent="0.25">
      <c r="A4" s="264"/>
      <c r="B4" s="267"/>
      <c r="C4" s="12"/>
      <c r="D4" s="270"/>
      <c r="E4" s="149" t="s">
        <v>3</v>
      </c>
      <c r="F4" s="63" t="s">
        <v>5</v>
      </c>
      <c r="G4" s="97" t="s">
        <v>3</v>
      </c>
      <c r="H4" s="69" t="s">
        <v>5</v>
      </c>
      <c r="I4" s="280"/>
    </row>
    <row r="5" spans="1:9" x14ac:dyDescent="0.25">
      <c r="A5" s="46"/>
      <c r="B5" s="46" t="s">
        <v>83</v>
      </c>
      <c r="C5" s="114" t="s">
        <v>245</v>
      </c>
      <c r="D5" s="181" t="s">
        <v>156</v>
      </c>
      <c r="E5" s="234">
        <f>SUM(E6:E7)</f>
        <v>4</v>
      </c>
      <c r="F5" s="231"/>
      <c r="G5" s="180">
        <f>G6+G7</f>
        <v>5.4</v>
      </c>
      <c r="H5" s="39"/>
      <c r="I5" s="68"/>
    </row>
    <row r="6" spans="1:9" ht="15" customHeight="1" x14ac:dyDescent="0.25">
      <c r="A6" s="8"/>
      <c r="B6" t="s">
        <v>83</v>
      </c>
      <c r="C6" t="s">
        <v>95</v>
      </c>
      <c r="D6" s="2" t="s">
        <v>156</v>
      </c>
      <c r="E6" s="235">
        <f>3/0.75-3</f>
        <v>1</v>
      </c>
      <c r="F6" s="236" t="s">
        <v>36</v>
      </c>
      <c r="G6">
        <v>1.24</v>
      </c>
      <c r="H6" s="52" t="s">
        <v>11</v>
      </c>
      <c r="I6" s="7"/>
    </row>
    <row r="7" spans="1:9" ht="14.45" customHeight="1" x14ac:dyDescent="0.25">
      <c r="A7" s="8"/>
      <c r="C7" t="s">
        <v>97</v>
      </c>
      <c r="D7" s="2" t="s">
        <v>156</v>
      </c>
      <c r="E7" s="233">
        <f>3</f>
        <v>3</v>
      </c>
      <c r="F7" s="236" t="s">
        <v>36</v>
      </c>
      <c r="G7">
        <v>4.16</v>
      </c>
      <c r="H7" s="52" t="s">
        <v>11</v>
      </c>
      <c r="I7" s="7"/>
    </row>
    <row r="8" spans="1:9" x14ac:dyDescent="0.25">
      <c r="A8" s="8"/>
      <c r="B8" s="56" t="s">
        <v>158</v>
      </c>
      <c r="C8" t="s">
        <v>86</v>
      </c>
      <c r="E8" s="8"/>
      <c r="F8" s="60"/>
      <c r="G8" s="101">
        <v>0</v>
      </c>
      <c r="H8" s="52"/>
      <c r="I8" s="279" t="s">
        <v>251</v>
      </c>
    </row>
    <row r="9" spans="1:9" x14ac:dyDescent="0.25">
      <c r="A9" s="8"/>
      <c r="B9" s="56" t="s">
        <v>158</v>
      </c>
      <c r="C9" t="s">
        <v>87</v>
      </c>
      <c r="E9" s="8"/>
      <c r="F9" s="60"/>
      <c r="G9" s="160" t="s">
        <v>104</v>
      </c>
      <c r="H9" s="52"/>
      <c r="I9" s="279"/>
    </row>
    <row r="10" spans="1:9" x14ac:dyDescent="0.25">
      <c r="A10" s="8"/>
      <c r="B10" s="56" t="s">
        <v>158</v>
      </c>
      <c r="C10" t="s">
        <v>88</v>
      </c>
      <c r="E10" s="8"/>
      <c r="F10" s="60"/>
      <c r="G10" s="160" t="s">
        <v>104</v>
      </c>
      <c r="H10" s="52"/>
      <c r="I10" s="279"/>
    </row>
    <row r="11" spans="1:9" x14ac:dyDescent="0.25">
      <c r="A11" s="8"/>
      <c r="B11" s="56" t="s">
        <v>158</v>
      </c>
      <c r="C11" t="s">
        <v>105</v>
      </c>
      <c r="E11" s="8"/>
      <c r="F11" s="60"/>
      <c r="G11" s="160" t="s">
        <v>104</v>
      </c>
      <c r="H11" s="52"/>
      <c r="I11" s="279"/>
    </row>
    <row r="12" spans="1:9" x14ac:dyDescent="0.25">
      <c r="A12" s="11"/>
      <c r="B12" s="12" t="s">
        <v>89</v>
      </c>
      <c r="C12" s="95" t="s">
        <v>240</v>
      </c>
      <c r="D12" s="106" t="s">
        <v>23</v>
      </c>
      <c r="E12" s="11"/>
      <c r="F12" s="62"/>
      <c r="G12" s="158">
        <v>1</v>
      </c>
      <c r="H12" s="162"/>
      <c r="I12" s="209"/>
    </row>
    <row r="13" spans="1:9" x14ac:dyDescent="0.25">
      <c r="A13" s="82"/>
      <c r="B13" s="183" t="s">
        <v>246</v>
      </c>
      <c r="C13" s="184" t="s">
        <v>193</v>
      </c>
      <c r="D13" s="196" t="s">
        <v>185</v>
      </c>
      <c r="E13" s="185">
        <v>4</v>
      </c>
      <c r="F13" s="232"/>
      <c r="G13" s="185">
        <f>G5</f>
        <v>5.4</v>
      </c>
      <c r="H13" s="187"/>
      <c r="I13" s="188" t="s">
        <v>239</v>
      </c>
    </row>
    <row r="15" spans="1:9" x14ac:dyDescent="0.25">
      <c r="A15" s="247" t="s">
        <v>108</v>
      </c>
      <c r="B15" s="248"/>
      <c r="C15" s="248"/>
      <c r="D15" s="248"/>
      <c r="E15" s="248"/>
      <c r="F15" s="248"/>
      <c r="G15" s="248"/>
      <c r="H15" s="248"/>
      <c r="I15" s="249"/>
    </row>
    <row r="16" spans="1:9" x14ac:dyDescent="0.25">
      <c r="A16" s="255"/>
      <c r="B16" s="257" t="s">
        <v>2</v>
      </c>
      <c r="D16" s="259" t="s">
        <v>4</v>
      </c>
      <c r="E16" s="261" t="s">
        <v>181</v>
      </c>
      <c r="F16" s="262"/>
      <c r="G16" s="245" t="s">
        <v>180</v>
      </c>
      <c r="H16" s="281"/>
      <c r="I16" s="253" t="s">
        <v>0</v>
      </c>
    </row>
    <row r="17" spans="1:9" x14ac:dyDescent="0.25">
      <c r="A17" s="264"/>
      <c r="B17" s="267"/>
      <c r="C17" s="12"/>
      <c r="D17" s="270"/>
      <c r="E17" s="97" t="s">
        <v>3</v>
      </c>
      <c r="F17" s="63" t="s">
        <v>5</v>
      </c>
      <c r="G17" s="97" t="s">
        <v>3</v>
      </c>
      <c r="H17" s="69" t="s">
        <v>5</v>
      </c>
      <c r="I17" s="280"/>
    </row>
    <row r="18" spans="1:9" x14ac:dyDescent="0.25">
      <c r="A18" s="46"/>
      <c r="B18" s="46" t="s">
        <v>83</v>
      </c>
      <c r="C18" s="114" t="s">
        <v>245</v>
      </c>
      <c r="D18" s="68" t="s">
        <v>156</v>
      </c>
      <c r="E18" s="234">
        <f>SUM(E19:E20)</f>
        <v>4</v>
      </c>
      <c r="F18" s="231"/>
      <c r="G18" s="180">
        <f>G19+G20</f>
        <v>10.62</v>
      </c>
      <c r="H18" s="39"/>
      <c r="I18" s="68"/>
    </row>
    <row r="19" spans="1:9" x14ac:dyDescent="0.25">
      <c r="A19" s="8"/>
      <c r="B19" t="s">
        <v>83</v>
      </c>
      <c r="C19" t="s">
        <v>95</v>
      </c>
      <c r="D19" s="2" t="s">
        <v>156</v>
      </c>
      <c r="E19" s="235">
        <f>3/0.75-3</f>
        <v>1</v>
      </c>
      <c r="F19" s="236" t="s">
        <v>36</v>
      </c>
      <c r="G19" s="8">
        <v>3.03</v>
      </c>
      <c r="H19" s="52" t="s">
        <v>11</v>
      </c>
      <c r="I19" s="208"/>
    </row>
    <row r="20" spans="1:9" ht="14.45" customHeight="1" x14ac:dyDescent="0.25">
      <c r="A20" s="8"/>
      <c r="B20" s="56"/>
      <c r="C20" t="s">
        <v>97</v>
      </c>
      <c r="D20" s="2" t="s">
        <v>156</v>
      </c>
      <c r="E20" s="233">
        <f>3</f>
        <v>3</v>
      </c>
      <c r="F20" s="236" t="s">
        <v>36</v>
      </c>
      <c r="G20" s="8">
        <v>7.59</v>
      </c>
      <c r="H20" s="52" t="s">
        <v>11</v>
      </c>
      <c r="I20" s="7"/>
    </row>
    <row r="21" spans="1:9" x14ac:dyDescent="0.25">
      <c r="A21" s="8"/>
      <c r="B21" s="56" t="s">
        <v>158</v>
      </c>
      <c r="C21" t="s">
        <v>86</v>
      </c>
      <c r="E21" s="8"/>
      <c r="F21" s="60"/>
      <c r="G21" s="101">
        <v>0</v>
      </c>
      <c r="H21" s="161"/>
      <c r="I21" s="279" t="s">
        <v>251</v>
      </c>
    </row>
    <row r="22" spans="1:9" x14ac:dyDescent="0.25">
      <c r="A22" s="8"/>
      <c r="B22" s="56" t="s">
        <v>158</v>
      </c>
      <c r="C22" t="s">
        <v>87</v>
      </c>
      <c r="E22" s="8"/>
      <c r="F22" s="60"/>
      <c r="G22" s="160" t="s">
        <v>104</v>
      </c>
      <c r="H22" s="161"/>
      <c r="I22" s="279"/>
    </row>
    <row r="23" spans="1:9" x14ac:dyDescent="0.25">
      <c r="A23" s="8"/>
      <c r="B23" s="56" t="s">
        <v>158</v>
      </c>
      <c r="C23" t="s">
        <v>88</v>
      </c>
      <c r="E23" s="8"/>
      <c r="F23" s="60"/>
      <c r="G23" s="160" t="s">
        <v>104</v>
      </c>
      <c r="H23" s="161"/>
      <c r="I23" s="279"/>
    </row>
    <row r="24" spans="1:9" x14ac:dyDescent="0.25">
      <c r="A24" s="8"/>
      <c r="B24" s="56" t="s">
        <v>158</v>
      </c>
      <c r="C24" t="s">
        <v>105</v>
      </c>
      <c r="E24" s="8"/>
      <c r="F24" s="60"/>
      <c r="G24" s="160" t="s">
        <v>104</v>
      </c>
      <c r="H24" s="161"/>
      <c r="I24" s="279"/>
    </row>
    <row r="25" spans="1:9" x14ac:dyDescent="0.25">
      <c r="A25" s="11"/>
      <c r="B25" s="12" t="s">
        <v>89</v>
      </c>
      <c r="C25" s="95" t="s">
        <v>240</v>
      </c>
      <c r="D25" s="106" t="s">
        <v>23</v>
      </c>
      <c r="E25" s="11"/>
      <c r="F25" s="62"/>
      <c r="G25" s="158">
        <v>1</v>
      </c>
      <c r="H25" s="171"/>
      <c r="I25" s="209"/>
    </row>
    <row r="26" spans="1:9" x14ac:dyDescent="0.25">
      <c r="A26" s="82"/>
      <c r="B26" s="183" t="s">
        <v>246</v>
      </c>
      <c r="C26" s="184" t="s">
        <v>193</v>
      </c>
      <c r="D26" s="196" t="s">
        <v>185</v>
      </c>
      <c r="E26" s="185">
        <f>E19</f>
        <v>1</v>
      </c>
      <c r="F26" s="186"/>
      <c r="G26" s="185">
        <f>G18</f>
        <v>10.62</v>
      </c>
      <c r="H26" s="187"/>
      <c r="I26" s="188" t="s">
        <v>239</v>
      </c>
    </row>
    <row r="29" spans="1:9" x14ac:dyDescent="0.25">
      <c r="A29" t="s">
        <v>33</v>
      </c>
      <c r="B29" s="50" t="s">
        <v>169</v>
      </c>
    </row>
    <row r="30" spans="1:9" x14ac:dyDescent="0.25">
      <c r="A30" t="s">
        <v>20</v>
      </c>
      <c r="B30" s="50" t="s">
        <v>168</v>
      </c>
    </row>
    <row r="31" spans="1:9" x14ac:dyDescent="0.25">
      <c r="A31" s="230" t="s">
        <v>276</v>
      </c>
      <c r="B31" s="230" t="s">
        <v>277</v>
      </c>
    </row>
  </sheetData>
  <mergeCells count="16">
    <mergeCell ref="I8:I11"/>
    <mergeCell ref="I21:I24"/>
    <mergeCell ref="I16:I17"/>
    <mergeCell ref="A2:I2"/>
    <mergeCell ref="A3:A4"/>
    <mergeCell ref="B3:B4"/>
    <mergeCell ref="D3:D4"/>
    <mergeCell ref="E3:F3"/>
    <mergeCell ref="G3:H3"/>
    <mergeCell ref="I3:I4"/>
    <mergeCell ref="A15:I15"/>
    <mergeCell ref="A16:A17"/>
    <mergeCell ref="B16:B17"/>
    <mergeCell ref="D16:D17"/>
    <mergeCell ref="E16:F16"/>
    <mergeCell ref="G16:H16"/>
  </mergeCells>
  <pageMargins left="0.78749999999999998" right="0.78749999999999998" top="1.05277777777778" bottom="1.05277777777778" header="0.78749999999999998" footer="0.78749999999999998"/>
  <pageSetup paperSize="9" orientation="portrait" horizontalDpi="300" verticalDpi="300"/>
  <headerFooter>
    <oddHeader>&amp;C&amp;12&amp;Kffffff&amp;A</oddHeader>
    <oddFooter>&amp;C&amp;12&amp;KffffffSeite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I15"/>
  <sheetViews>
    <sheetView zoomScaleNormal="100" workbookViewId="0">
      <selection activeCell="F13" sqref="F13"/>
    </sheetView>
  </sheetViews>
  <sheetFormatPr baseColWidth="10" defaultColWidth="11.5703125" defaultRowHeight="15" x14ac:dyDescent="0.25"/>
  <cols>
    <col min="2" max="2" width="15.42578125" bestFit="1" customWidth="1"/>
    <col min="4" max="4" width="11.5703125" style="2"/>
    <col min="5" max="5" width="7.5703125" bestFit="1" customWidth="1"/>
    <col min="6" max="6" width="13.5703125" customWidth="1"/>
    <col min="9" max="9" width="30.140625" customWidth="1"/>
  </cols>
  <sheetData>
    <row r="2" spans="1:9" x14ac:dyDescent="0.25">
      <c r="A2" s="247" t="s">
        <v>103</v>
      </c>
      <c r="B2" s="248"/>
      <c r="C2" s="248"/>
      <c r="D2" s="248"/>
      <c r="E2" s="248"/>
      <c r="F2" s="248"/>
      <c r="G2" s="248"/>
      <c r="H2" s="248"/>
      <c r="I2" s="249"/>
    </row>
    <row r="3" spans="1:9" x14ac:dyDescent="0.25">
      <c r="A3" s="255"/>
      <c r="B3" s="257" t="s">
        <v>2</v>
      </c>
      <c r="D3" s="259" t="s">
        <v>4</v>
      </c>
      <c r="E3" s="261" t="s">
        <v>181</v>
      </c>
      <c r="F3" s="262"/>
      <c r="G3" s="245" t="s">
        <v>180</v>
      </c>
      <c r="H3" s="246"/>
      <c r="I3" s="253" t="s">
        <v>0</v>
      </c>
    </row>
    <row r="4" spans="1:9" x14ac:dyDescent="0.25">
      <c r="A4" s="264"/>
      <c r="B4" s="267"/>
      <c r="C4" s="12"/>
      <c r="D4" s="270"/>
      <c r="E4" s="97" t="s">
        <v>3</v>
      </c>
      <c r="F4" s="63" t="s">
        <v>5</v>
      </c>
      <c r="G4" s="97" t="s">
        <v>3</v>
      </c>
      <c r="H4" s="69" t="s">
        <v>5</v>
      </c>
      <c r="I4" s="280"/>
    </row>
    <row r="5" spans="1:9" x14ac:dyDescent="0.25">
      <c r="A5" s="46"/>
      <c r="B5" s="46" t="s">
        <v>83</v>
      </c>
      <c r="C5" s="114" t="s">
        <v>245</v>
      </c>
      <c r="D5" s="68" t="s">
        <v>156</v>
      </c>
      <c r="E5" s="149"/>
      <c r="F5" s="26"/>
      <c r="G5" s="180">
        <f>G6+G7</f>
        <v>4.47</v>
      </c>
      <c r="H5" s="39"/>
      <c r="I5" s="68"/>
    </row>
    <row r="6" spans="1:9" x14ac:dyDescent="0.25">
      <c r="A6" s="8"/>
      <c r="B6" t="s">
        <v>83</v>
      </c>
      <c r="C6" t="s">
        <v>95</v>
      </c>
      <c r="D6" s="2" t="s">
        <v>156</v>
      </c>
      <c r="E6" s="8"/>
      <c r="F6" s="60"/>
      <c r="G6" s="8">
        <v>0.22</v>
      </c>
      <c r="H6" s="161" t="s">
        <v>33</v>
      </c>
      <c r="I6" s="7"/>
    </row>
    <row r="7" spans="1:9" ht="14.45" customHeight="1" x14ac:dyDescent="0.25">
      <c r="A7" s="8"/>
      <c r="C7" t="s">
        <v>97</v>
      </c>
      <c r="D7" s="2" t="s">
        <v>156</v>
      </c>
      <c r="E7" s="8">
        <v>3.18</v>
      </c>
      <c r="F7" s="236" t="s">
        <v>33</v>
      </c>
      <c r="G7" s="8">
        <v>4.25</v>
      </c>
      <c r="H7" s="161" t="s">
        <v>33</v>
      </c>
      <c r="I7" s="7"/>
    </row>
    <row r="8" spans="1:9" x14ac:dyDescent="0.25">
      <c r="A8" s="8"/>
      <c r="B8" s="56" t="s">
        <v>158</v>
      </c>
      <c r="C8" t="s">
        <v>86</v>
      </c>
      <c r="E8" s="8"/>
      <c r="F8" s="60"/>
      <c r="G8" s="174">
        <v>1</v>
      </c>
      <c r="H8" s="161"/>
      <c r="I8" s="279" t="s">
        <v>251</v>
      </c>
    </row>
    <row r="9" spans="1:9" x14ac:dyDescent="0.25">
      <c r="A9" s="8"/>
      <c r="B9" s="56" t="s">
        <v>158</v>
      </c>
      <c r="C9" t="s">
        <v>87</v>
      </c>
      <c r="E9" s="8"/>
      <c r="F9" s="60"/>
      <c r="G9" s="174">
        <v>1</v>
      </c>
      <c r="H9" s="161"/>
      <c r="I9" s="279"/>
    </row>
    <row r="10" spans="1:9" x14ac:dyDescent="0.25">
      <c r="A10" s="8"/>
      <c r="B10" s="56" t="s">
        <v>158</v>
      </c>
      <c r="C10" t="s">
        <v>88</v>
      </c>
      <c r="E10" s="8"/>
      <c r="F10" s="60"/>
      <c r="G10" s="174">
        <v>1</v>
      </c>
      <c r="H10" s="161"/>
      <c r="I10" s="279"/>
    </row>
    <row r="11" spans="1:9" x14ac:dyDescent="0.25">
      <c r="A11" s="8"/>
      <c r="B11" s="56" t="s">
        <v>158</v>
      </c>
      <c r="C11" t="s">
        <v>105</v>
      </c>
      <c r="E11" s="8"/>
      <c r="F11" s="60"/>
      <c r="G11" s="174">
        <v>1</v>
      </c>
      <c r="H11" s="161"/>
      <c r="I11" s="279"/>
    </row>
    <row r="12" spans="1:9" x14ac:dyDescent="0.25">
      <c r="A12" s="11"/>
      <c r="B12" s="12" t="s">
        <v>89</v>
      </c>
      <c r="C12" s="12" t="s">
        <v>106</v>
      </c>
      <c r="D12" s="22" t="s">
        <v>23</v>
      </c>
      <c r="E12" s="11"/>
      <c r="F12" s="62"/>
      <c r="G12" s="158">
        <v>1</v>
      </c>
      <c r="H12" s="171"/>
      <c r="I12" s="14"/>
    </row>
    <row r="13" spans="1:9" x14ac:dyDescent="0.25">
      <c r="A13" s="82"/>
      <c r="B13" s="183" t="s">
        <v>246</v>
      </c>
      <c r="C13" s="184" t="s">
        <v>193</v>
      </c>
      <c r="D13" s="196" t="s">
        <v>185</v>
      </c>
      <c r="E13" s="185">
        <v>3.18</v>
      </c>
      <c r="F13" s="232"/>
      <c r="G13" s="185">
        <f>G5</f>
        <v>4.47</v>
      </c>
      <c r="H13" s="187"/>
      <c r="I13" s="188" t="s">
        <v>239</v>
      </c>
    </row>
    <row r="15" spans="1:9" x14ac:dyDescent="0.25">
      <c r="A15" s="50" t="s">
        <v>33</v>
      </c>
      <c r="B15" s="50" t="s">
        <v>170</v>
      </c>
    </row>
  </sheetData>
  <mergeCells count="8">
    <mergeCell ref="I8:I11"/>
    <mergeCell ref="A2:I2"/>
    <mergeCell ref="A3:A4"/>
    <mergeCell ref="B3:B4"/>
    <mergeCell ref="D3:D4"/>
    <mergeCell ref="E3:F3"/>
    <mergeCell ref="G3:H3"/>
    <mergeCell ref="I3:I4"/>
  </mergeCells>
  <pageMargins left="0.78749999999999998" right="0.78749999999999998" top="1.05277777777778" bottom="1.05277777777778" header="0.78749999999999998" footer="0.78749999999999998"/>
  <pageSetup paperSize="9" orientation="portrait" horizontalDpi="300" verticalDpi="300"/>
  <headerFooter>
    <oddHeader>&amp;C&amp;12&amp;Kffffff&amp;A</oddHeader>
    <oddFooter>&amp;C&amp;12&amp;KffffffSeite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85724"/>
  </sheetPr>
  <dimension ref="A1:J113"/>
  <sheetViews>
    <sheetView zoomScaleNormal="100" workbookViewId="0">
      <selection activeCell="F16" sqref="F16"/>
    </sheetView>
  </sheetViews>
  <sheetFormatPr baseColWidth="10" defaultColWidth="10.85546875" defaultRowHeight="15" x14ac:dyDescent="0.25"/>
  <cols>
    <col min="1" max="1" width="14.140625" style="2" customWidth="1"/>
    <col min="2" max="2" width="17.7109375" style="2" customWidth="1"/>
    <col min="3" max="3" width="25.5703125" style="2" customWidth="1"/>
    <col min="4" max="4" width="23.85546875" style="2" customWidth="1"/>
    <col min="5" max="5" width="9.5703125" style="2" customWidth="1"/>
    <col min="8" max="8" width="12.85546875" style="5" customWidth="1"/>
    <col min="9" max="9" width="10.85546875" style="2"/>
    <col min="10" max="10" width="27.7109375" style="2" customWidth="1"/>
    <col min="11" max="11" width="85.85546875" style="2" customWidth="1"/>
    <col min="12" max="16384" width="10.85546875" style="2"/>
  </cols>
  <sheetData>
    <row r="1" spans="1:10" customFormat="1" x14ac:dyDescent="0.25">
      <c r="A1" s="148"/>
      <c r="B1" s="150"/>
      <c r="C1" s="83"/>
      <c r="D1" s="83"/>
      <c r="E1" s="83"/>
      <c r="F1" s="83"/>
      <c r="G1" s="83"/>
      <c r="H1" s="83"/>
      <c r="I1" s="84"/>
      <c r="J1" s="85"/>
    </row>
    <row r="2" spans="1:10" customFormat="1" x14ac:dyDescent="0.25">
      <c r="A2" s="255" t="s">
        <v>49</v>
      </c>
      <c r="B2" s="275" t="s">
        <v>49</v>
      </c>
      <c r="C2" s="257" t="s">
        <v>2</v>
      </c>
      <c r="D2" s="276"/>
      <c r="E2" s="259" t="s">
        <v>4</v>
      </c>
      <c r="F2" s="261" t="s">
        <v>181</v>
      </c>
      <c r="G2" s="262"/>
      <c r="H2" s="282" t="s">
        <v>180</v>
      </c>
      <c r="I2" s="283"/>
      <c r="J2" s="124" t="s">
        <v>0</v>
      </c>
    </row>
    <row r="3" spans="1:10" customFormat="1" x14ac:dyDescent="0.25">
      <c r="A3" s="264"/>
      <c r="B3" s="266"/>
      <c r="C3" s="267"/>
      <c r="D3" s="269"/>
      <c r="E3" s="270"/>
      <c r="F3" s="149" t="s">
        <v>3</v>
      </c>
      <c r="G3" s="63" t="s">
        <v>5</v>
      </c>
      <c r="H3" s="97" t="s">
        <v>3</v>
      </c>
      <c r="I3" s="63" t="s">
        <v>5</v>
      </c>
      <c r="J3" s="124"/>
    </row>
    <row r="4" spans="1:10" customFormat="1" x14ac:dyDescent="0.25">
      <c r="A4" s="46"/>
      <c r="C4" s="181" t="s">
        <v>83</v>
      </c>
      <c r="D4" s="129" t="s">
        <v>193</v>
      </c>
      <c r="E4" s="68" t="s">
        <v>156</v>
      </c>
      <c r="F4" s="149">
        <f>(1.71+2.15+0.93)*1.05</f>
        <v>5.0295000000000005</v>
      </c>
      <c r="G4" s="50" t="s">
        <v>224</v>
      </c>
      <c r="H4" s="195">
        <f>H5+H12</f>
        <v>14.899999999999999</v>
      </c>
      <c r="I4" s="39"/>
      <c r="J4" s="68"/>
    </row>
    <row r="5" spans="1:10" x14ac:dyDescent="0.25">
      <c r="A5" s="4"/>
      <c r="C5" s="5" t="s">
        <v>6</v>
      </c>
      <c r="D5" s="5" t="s">
        <v>50</v>
      </c>
      <c r="E5" s="20" t="s">
        <v>51</v>
      </c>
      <c r="F5" s="4"/>
      <c r="G5" s="28"/>
      <c r="H5" s="169">
        <v>12.6</v>
      </c>
      <c r="I5" s="53" t="s">
        <v>11</v>
      </c>
      <c r="J5" s="205"/>
    </row>
    <row r="6" spans="1:10" ht="14.45" customHeight="1" x14ac:dyDescent="0.25">
      <c r="A6" s="210"/>
      <c r="C6" s="9" t="s">
        <v>52</v>
      </c>
      <c r="D6" s="2" t="s">
        <v>7</v>
      </c>
      <c r="F6" s="4"/>
      <c r="G6" s="28"/>
      <c r="H6" s="168">
        <v>1</v>
      </c>
      <c r="I6" s="211"/>
      <c r="J6" s="279" t="s">
        <v>251</v>
      </c>
    </row>
    <row r="7" spans="1:10" x14ac:dyDescent="0.25">
      <c r="A7" s="4"/>
      <c r="C7" s="9" t="s">
        <v>52</v>
      </c>
      <c r="D7" s="2" t="s">
        <v>14</v>
      </c>
      <c r="F7" s="4"/>
      <c r="G7" s="28"/>
      <c r="H7" s="168">
        <v>1</v>
      </c>
      <c r="I7" s="211"/>
      <c r="J7" s="279"/>
    </row>
    <row r="8" spans="1:10" x14ac:dyDescent="0.25">
      <c r="A8" s="4"/>
      <c r="C8" s="9" t="s">
        <v>52</v>
      </c>
      <c r="D8" s="2" t="s">
        <v>15</v>
      </c>
      <c r="F8" s="4"/>
      <c r="G8" s="28"/>
      <c r="H8" s="168">
        <v>1</v>
      </c>
      <c r="I8" s="211"/>
      <c r="J8" s="279"/>
    </row>
    <row r="9" spans="1:10" x14ac:dyDescent="0.25">
      <c r="A9" s="4"/>
      <c r="C9" s="9" t="s">
        <v>52</v>
      </c>
      <c r="D9" s="5" t="s">
        <v>53</v>
      </c>
      <c r="F9" s="4"/>
      <c r="G9" s="28"/>
      <c r="H9" s="168">
        <v>1</v>
      </c>
      <c r="I9" s="211"/>
      <c r="J9" s="279"/>
    </row>
    <row r="10" spans="1:10" x14ac:dyDescent="0.25">
      <c r="A10" s="4"/>
      <c r="C10" s="9" t="s">
        <v>52</v>
      </c>
      <c r="D10" s="5" t="s">
        <v>54</v>
      </c>
      <c r="F10" s="4"/>
      <c r="G10" s="28"/>
      <c r="H10" s="168">
        <v>1</v>
      </c>
      <c r="I10" s="211"/>
      <c r="J10" s="279"/>
    </row>
    <row r="11" spans="1:10" x14ac:dyDescent="0.25">
      <c r="A11" s="4"/>
      <c r="C11" s="9" t="s">
        <v>52</v>
      </c>
      <c r="D11" s="5" t="s">
        <v>17</v>
      </c>
      <c r="F11" s="4"/>
      <c r="G11" s="28"/>
      <c r="H11" s="168">
        <v>1</v>
      </c>
      <c r="I11" s="211"/>
      <c r="J11" s="279"/>
    </row>
    <row r="12" spans="1:10" x14ac:dyDescent="0.25">
      <c r="A12" s="4"/>
      <c r="C12" s="5" t="s">
        <v>6</v>
      </c>
      <c r="D12" s="5" t="s">
        <v>18</v>
      </c>
      <c r="E12" s="20" t="s">
        <v>51</v>
      </c>
      <c r="F12" s="4"/>
      <c r="G12" s="28"/>
      <c r="H12" s="169">
        <v>2.2999999999999998</v>
      </c>
      <c r="I12" s="53" t="s">
        <v>11</v>
      </c>
      <c r="J12" s="205"/>
    </row>
    <row r="13" spans="1:10" x14ac:dyDescent="0.25">
      <c r="A13" s="4"/>
      <c r="C13" s="5" t="s">
        <v>21</v>
      </c>
      <c r="D13" s="5" t="s">
        <v>55</v>
      </c>
      <c r="E13" s="20" t="s">
        <v>56</v>
      </c>
      <c r="F13" s="4"/>
      <c r="G13" s="28"/>
      <c r="H13" s="169">
        <v>1</v>
      </c>
      <c r="I13" s="53" t="s">
        <v>11</v>
      </c>
      <c r="J13" s="205"/>
    </row>
    <row r="14" spans="1:10" x14ac:dyDescent="0.25">
      <c r="A14" s="21"/>
      <c r="B14" s="22"/>
      <c r="C14" s="13" t="s">
        <v>21</v>
      </c>
      <c r="D14" s="13" t="s">
        <v>57</v>
      </c>
      <c r="E14" s="23" t="s">
        <v>51</v>
      </c>
      <c r="F14" s="21"/>
      <c r="G14" s="66"/>
      <c r="H14" s="170">
        <v>22</v>
      </c>
      <c r="I14" s="30" t="s">
        <v>11</v>
      </c>
      <c r="J14" s="207"/>
    </row>
    <row r="15" spans="1:10" customFormat="1" x14ac:dyDescent="0.25">
      <c r="A15" s="82"/>
      <c r="B15" s="83"/>
      <c r="C15" s="183" t="s">
        <v>246</v>
      </c>
      <c r="D15" s="184" t="s">
        <v>193</v>
      </c>
      <c r="E15" s="187" t="s">
        <v>51</v>
      </c>
      <c r="F15" s="212">
        <f>F4</f>
        <v>5.0295000000000005</v>
      </c>
      <c r="G15" s="186"/>
      <c r="H15" s="213">
        <f>H4</f>
        <v>14.899999999999999</v>
      </c>
      <c r="I15" s="187"/>
      <c r="J15" s="71" t="s">
        <v>208</v>
      </c>
    </row>
    <row r="16" spans="1:10" customFormat="1" x14ac:dyDescent="0.25">
      <c r="A16" s="214"/>
      <c r="B16" s="147"/>
      <c r="C16" s="12"/>
      <c r="D16" s="12"/>
      <c r="E16" s="12"/>
      <c r="F16" s="12"/>
      <c r="G16" s="12"/>
      <c r="H16" s="12"/>
      <c r="I16" s="22"/>
      <c r="J16" s="12"/>
    </row>
    <row r="17" spans="1:10" customFormat="1" x14ac:dyDescent="0.25">
      <c r="A17" s="255" t="s">
        <v>58</v>
      </c>
      <c r="B17" s="275" t="s">
        <v>58</v>
      </c>
      <c r="C17" s="257" t="s">
        <v>2</v>
      </c>
      <c r="D17" s="276"/>
      <c r="E17" s="259" t="s">
        <v>4</v>
      </c>
      <c r="F17" s="261" t="s">
        <v>181</v>
      </c>
      <c r="G17" s="262"/>
      <c r="H17" s="245" t="s">
        <v>180</v>
      </c>
      <c r="I17" s="246"/>
      <c r="J17" s="124" t="s">
        <v>0</v>
      </c>
    </row>
    <row r="18" spans="1:10" customFormat="1" x14ac:dyDescent="0.25">
      <c r="A18" s="264"/>
      <c r="B18" s="266"/>
      <c r="C18" s="267"/>
      <c r="D18" s="269"/>
      <c r="E18" s="270"/>
      <c r="F18" s="149" t="s">
        <v>3</v>
      </c>
      <c r="G18" s="63" t="s">
        <v>5</v>
      </c>
      <c r="H18" s="149" t="s">
        <v>3</v>
      </c>
      <c r="I18" s="26" t="s">
        <v>5</v>
      </c>
      <c r="J18" s="124"/>
    </row>
    <row r="19" spans="1:10" customFormat="1" x14ac:dyDescent="0.25">
      <c r="A19" s="46"/>
      <c r="C19" s="181" t="s">
        <v>83</v>
      </c>
      <c r="D19" s="129" t="s">
        <v>193</v>
      </c>
      <c r="E19" s="68" t="s">
        <v>156</v>
      </c>
      <c r="F19" s="149">
        <f>0.71*1.05</f>
        <v>0.74549999999999994</v>
      </c>
      <c r="G19" s="50" t="s">
        <v>224</v>
      </c>
      <c r="H19" s="195">
        <f>H20+H27</f>
        <v>6.7</v>
      </c>
      <c r="I19" s="39"/>
      <c r="J19" s="68"/>
    </row>
    <row r="20" spans="1:10" x14ac:dyDescent="0.25">
      <c r="A20" s="4"/>
      <c r="C20" s="5" t="s">
        <v>6</v>
      </c>
      <c r="D20" s="5" t="s">
        <v>59</v>
      </c>
      <c r="E20" s="20" t="s">
        <v>51</v>
      </c>
      <c r="F20" s="4"/>
      <c r="G20" s="28"/>
      <c r="H20" s="169">
        <v>-1.2</v>
      </c>
      <c r="I20" s="53" t="s">
        <v>11</v>
      </c>
      <c r="J20" s="205"/>
    </row>
    <row r="21" spans="1:10" x14ac:dyDescent="0.25">
      <c r="A21" s="210"/>
      <c r="C21" s="9" t="s">
        <v>52</v>
      </c>
      <c r="D21" s="2" t="s">
        <v>7</v>
      </c>
      <c r="F21" s="4"/>
      <c r="G21" s="28"/>
      <c r="H21" s="168">
        <v>1</v>
      </c>
      <c r="I21" s="28"/>
      <c r="J21" s="279" t="s">
        <v>251</v>
      </c>
    </row>
    <row r="22" spans="1:10" x14ac:dyDescent="0.25">
      <c r="A22" s="4"/>
      <c r="C22" s="9" t="s">
        <v>52</v>
      </c>
      <c r="D22" s="2" t="s">
        <v>14</v>
      </c>
      <c r="F22" s="4"/>
      <c r="G22" s="28"/>
      <c r="H22" s="168">
        <v>1</v>
      </c>
      <c r="I22" s="52"/>
      <c r="J22" s="279"/>
    </row>
    <row r="23" spans="1:10" x14ac:dyDescent="0.25">
      <c r="A23" s="4"/>
      <c r="C23" s="9" t="s">
        <v>52</v>
      </c>
      <c r="D23" s="2" t="s">
        <v>15</v>
      </c>
      <c r="F23" s="4"/>
      <c r="G23" s="28"/>
      <c r="H23" s="168">
        <v>1</v>
      </c>
      <c r="I23" s="52"/>
      <c r="J23" s="279"/>
    </row>
    <row r="24" spans="1:10" x14ac:dyDescent="0.25">
      <c r="A24" s="4"/>
      <c r="C24" s="9" t="s">
        <v>52</v>
      </c>
      <c r="D24" s="5" t="s">
        <v>53</v>
      </c>
      <c r="F24" s="4"/>
      <c r="G24" s="28"/>
      <c r="H24" s="168">
        <v>1</v>
      </c>
      <c r="I24" s="52"/>
      <c r="J24" s="279"/>
    </row>
    <row r="25" spans="1:10" x14ac:dyDescent="0.25">
      <c r="A25" s="4"/>
      <c r="C25" s="9" t="s">
        <v>52</v>
      </c>
      <c r="D25" s="5" t="s">
        <v>54</v>
      </c>
      <c r="F25" s="4"/>
      <c r="G25" s="28"/>
      <c r="H25" s="168">
        <v>1</v>
      </c>
      <c r="I25" s="52"/>
      <c r="J25" s="279"/>
    </row>
    <row r="26" spans="1:10" x14ac:dyDescent="0.25">
      <c r="A26" s="4"/>
      <c r="C26" s="9" t="s">
        <v>52</v>
      </c>
      <c r="D26" s="5" t="s">
        <v>17</v>
      </c>
      <c r="F26" s="4"/>
      <c r="G26" s="28"/>
      <c r="H26" s="168">
        <v>1</v>
      </c>
      <c r="I26" s="52"/>
      <c r="J26" s="279"/>
    </row>
    <row r="27" spans="1:10" x14ac:dyDescent="0.25">
      <c r="A27" s="4"/>
      <c r="C27" s="5" t="s">
        <v>6</v>
      </c>
      <c r="D27" s="5" t="s">
        <v>18</v>
      </c>
      <c r="E27" s="20" t="s">
        <v>51</v>
      </c>
      <c r="F27" s="4"/>
      <c r="G27" s="28"/>
      <c r="H27" s="169">
        <v>7.9</v>
      </c>
      <c r="I27" s="53" t="s">
        <v>11</v>
      </c>
      <c r="J27" s="205"/>
    </row>
    <row r="28" spans="1:10" x14ac:dyDescent="0.25">
      <c r="A28" s="21"/>
      <c r="B28" s="22"/>
      <c r="C28" s="13" t="s">
        <v>21</v>
      </c>
      <c r="D28" s="13" t="s">
        <v>55</v>
      </c>
      <c r="E28" s="23" t="s">
        <v>56</v>
      </c>
      <c r="F28" s="21"/>
      <c r="G28" s="66"/>
      <c r="H28" s="170">
        <v>1</v>
      </c>
      <c r="I28" s="30" t="s">
        <v>11</v>
      </c>
      <c r="J28" s="207"/>
    </row>
    <row r="29" spans="1:10" customFormat="1" x14ac:dyDescent="0.25">
      <c r="A29" s="11"/>
      <c r="B29" s="12"/>
      <c r="C29" s="183" t="s">
        <v>246</v>
      </c>
      <c r="D29" s="184" t="s">
        <v>193</v>
      </c>
      <c r="E29" s="187" t="s">
        <v>51</v>
      </c>
      <c r="F29" s="116">
        <f>F19</f>
        <v>0.74549999999999994</v>
      </c>
      <c r="G29" s="122"/>
      <c r="H29" s="170">
        <f>H19</f>
        <v>6.7</v>
      </c>
      <c r="I29" s="66"/>
      <c r="J29" s="14" t="s">
        <v>208</v>
      </c>
    </row>
    <row r="30" spans="1:10" customFormat="1" x14ac:dyDescent="0.25">
      <c r="A30" s="214"/>
      <c r="B30" s="147"/>
      <c r="C30" s="12"/>
      <c r="D30" s="12"/>
      <c r="E30" s="12"/>
      <c r="F30" s="12"/>
      <c r="G30" s="12"/>
      <c r="H30" s="12"/>
      <c r="I30" s="22"/>
      <c r="J30" s="12"/>
    </row>
    <row r="31" spans="1:10" customFormat="1" x14ac:dyDescent="0.25">
      <c r="A31" s="255" t="s">
        <v>60</v>
      </c>
      <c r="B31" s="275" t="s">
        <v>60</v>
      </c>
      <c r="C31" s="257" t="s">
        <v>2</v>
      </c>
      <c r="D31" s="276"/>
      <c r="E31" s="259" t="s">
        <v>4</v>
      </c>
      <c r="F31" s="261" t="s">
        <v>181</v>
      </c>
      <c r="G31" s="262"/>
      <c r="H31" s="245" t="s">
        <v>180</v>
      </c>
      <c r="I31" s="246"/>
      <c r="J31" s="124" t="s">
        <v>0</v>
      </c>
    </row>
    <row r="32" spans="1:10" customFormat="1" x14ac:dyDescent="0.25">
      <c r="A32" s="264"/>
      <c r="B32" s="266"/>
      <c r="C32" s="267"/>
      <c r="D32" s="269"/>
      <c r="E32" s="270"/>
      <c r="F32" s="149" t="s">
        <v>3</v>
      </c>
      <c r="G32" s="63" t="s">
        <v>5</v>
      </c>
      <c r="H32" s="149" t="s">
        <v>3</v>
      </c>
      <c r="I32" s="26" t="s">
        <v>5</v>
      </c>
      <c r="J32" s="124"/>
    </row>
    <row r="33" spans="1:10" customFormat="1" x14ac:dyDescent="0.25">
      <c r="A33" s="46"/>
      <c r="C33" s="181" t="s">
        <v>83</v>
      </c>
      <c r="D33" s="129" t="s">
        <v>193</v>
      </c>
      <c r="E33" s="68" t="s">
        <v>156</v>
      </c>
      <c r="F33" s="149">
        <f>H33</f>
        <v>1.4300000000000002</v>
      </c>
      <c r="G33" s="53" t="s">
        <v>117</v>
      </c>
      <c r="H33" s="195">
        <f>H35+H41</f>
        <v>1.4300000000000002</v>
      </c>
      <c r="I33" s="39"/>
      <c r="J33" s="68"/>
    </row>
    <row r="34" spans="1:10" x14ac:dyDescent="0.25">
      <c r="C34" s="5" t="s">
        <v>6</v>
      </c>
      <c r="D34" s="5" t="s">
        <v>61</v>
      </c>
      <c r="E34" s="20" t="s">
        <v>62</v>
      </c>
      <c r="F34" s="4"/>
      <c r="G34" s="28"/>
      <c r="H34" s="169">
        <v>1.23</v>
      </c>
      <c r="I34" s="53" t="s">
        <v>117</v>
      </c>
      <c r="J34" s="205"/>
    </row>
    <row r="35" spans="1:10" x14ac:dyDescent="0.25">
      <c r="A35" s="210"/>
      <c r="C35" s="5" t="s">
        <v>6</v>
      </c>
      <c r="D35" s="5" t="s">
        <v>50</v>
      </c>
      <c r="E35" s="20" t="s">
        <v>51</v>
      </c>
      <c r="F35" s="4"/>
      <c r="G35" s="28"/>
      <c r="H35" s="169">
        <v>0.5</v>
      </c>
      <c r="I35" s="53" t="s">
        <v>117</v>
      </c>
      <c r="J35" s="205"/>
    </row>
    <row r="36" spans="1:10" ht="14.45" customHeight="1" x14ac:dyDescent="0.25">
      <c r="A36" s="4"/>
      <c r="C36" s="9" t="s">
        <v>52</v>
      </c>
      <c r="D36" s="2" t="s">
        <v>14</v>
      </c>
      <c r="F36" s="4"/>
      <c r="G36" s="28"/>
      <c r="H36" s="168">
        <v>1</v>
      </c>
      <c r="I36" s="52"/>
      <c r="J36" s="279" t="s">
        <v>251</v>
      </c>
    </row>
    <row r="37" spans="1:10" x14ac:dyDescent="0.25">
      <c r="A37" s="4"/>
      <c r="C37" s="9" t="s">
        <v>52</v>
      </c>
      <c r="D37" s="2" t="s">
        <v>15</v>
      </c>
      <c r="F37" s="4"/>
      <c r="G37" s="28"/>
      <c r="H37" s="168">
        <v>1</v>
      </c>
      <c r="I37" s="52"/>
      <c r="J37" s="279"/>
    </row>
    <row r="38" spans="1:10" x14ac:dyDescent="0.25">
      <c r="A38" s="4"/>
      <c r="C38" s="9" t="s">
        <v>52</v>
      </c>
      <c r="D38" s="5" t="s">
        <v>53</v>
      </c>
      <c r="F38" s="4"/>
      <c r="G38" s="28"/>
      <c r="H38" s="168">
        <v>1</v>
      </c>
      <c r="I38" s="52"/>
      <c r="J38" s="279"/>
    </row>
    <row r="39" spans="1:10" x14ac:dyDescent="0.25">
      <c r="A39" s="4"/>
      <c r="C39" s="9" t="s">
        <v>52</v>
      </c>
      <c r="D39" s="5" t="s">
        <v>54</v>
      </c>
      <c r="F39" s="4"/>
      <c r="G39" s="28"/>
      <c r="H39" s="168">
        <v>1</v>
      </c>
      <c r="I39" s="52"/>
      <c r="J39" s="279"/>
    </row>
    <row r="40" spans="1:10" x14ac:dyDescent="0.25">
      <c r="A40" s="4"/>
      <c r="C40" s="9" t="s">
        <v>52</v>
      </c>
      <c r="D40" s="5" t="s">
        <v>17</v>
      </c>
      <c r="F40" s="4"/>
      <c r="G40" s="28"/>
      <c r="H40" s="168">
        <v>1</v>
      </c>
      <c r="I40" s="52"/>
      <c r="J40" s="279"/>
    </row>
    <row r="41" spans="1:10" x14ac:dyDescent="0.25">
      <c r="A41" s="4"/>
      <c r="C41" s="5" t="s">
        <v>6</v>
      </c>
      <c r="D41" s="5" t="s">
        <v>18</v>
      </c>
      <c r="E41" s="20" t="s">
        <v>51</v>
      </c>
      <c r="F41" s="4"/>
      <c r="G41" s="28"/>
      <c r="H41" s="169">
        <v>0.93</v>
      </c>
      <c r="I41" s="53" t="s">
        <v>117</v>
      </c>
      <c r="J41" s="208"/>
    </row>
    <row r="42" spans="1:10" x14ac:dyDescent="0.25">
      <c r="A42" s="21"/>
      <c r="B42" s="22"/>
      <c r="C42" s="13" t="s">
        <v>21</v>
      </c>
      <c r="D42" s="13" t="s">
        <v>55</v>
      </c>
      <c r="E42" s="23" t="s">
        <v>56</v>
      </c>
      <c r="F42" s="21"/>
      <c r="G42" s="66"/>
      <c r="H42" s="170">
        <v>1</v>
      </c>
      <c r="I42" s="30" t="s">
        <v>117</v>
      </c>
      <c r="J42" s="207"/>
    </row>
    <row r="43" spans="1:10" customFormat="1" x14ac:dyDescent="0.25">
      <c r="A43" s="11"/>
      <c r="B43" s="12"/>
      <c r="C43" s="183" t="s">
        <v>246</v>
      </c>
      <c r="D43" s="184" t="s">
        <v>193</v>
      </c>
      <c r="E43" s="187" t="s">
        <v>51</v>
      </c>
      <c r="F43" s="116">
        <f>F33</f>
        <v>1.4300000000000002</v>
      </c>
      <c r="G43" s="122"/>
      <c r="H43" s="170">
        <f>H33</f>
        <v>1.4300000000000002</v>
      </c>
      <c r="I43" s="66"/>
      <c r="J43" s="14" t="s">
        <v>208</v>
      </c>
    </row>
    <row r="44" spans="1:10" customFormat="1" x14ac:dyDescent="0.25">
      <c r="A44" s="214"/>
      <c r="B44" s="147"/>
      <c r="C44" s="12"/>
      <c r="D44" s="12"/>
      <c r="E44" s="12"/>
      <c r="F44" s="12"/>
      <c r="G44" s="12"/>
      <c r="H44" s="12"/>
      <c r="I44" s="22"/>
      <c r="J44" s="12"/>
    </row>
    <row r="45" spans="1:10" customFormat="1" x14ac:dyDescent="0.25">
      <c r="A45" s="255" t="s">
        <v>63</v>
      </c>
      <c r="B45" s="275" t="s">
        <v>63</v>
      </c>
      <c r="C45" s="257" t="s">
        <v>2</v>
      </c>
      <c r="D45" s="276"/>
      <c r="E45" s="259" t="s">
        <v>4</v>
      </c>
      <c r="F45" s="261" t="s">
        <v>181</v>
      </c>
      <c r="G45" s="262"/>
      <c r="H45" s="245" t="s">
        <v>180</v>
      </c>
      <c r="I45" s="246"/>
      <c r="J45" s="71" t="s">
        <v>0</v>
      </c>
    </row>
    <row r="46" spans="1:10" customFormat="1" x14ac:dyDescent="0.25">
      <c r="A46" s="264"/>
      <c r="B46" s="266"/>
      <c r="C46" s="267"/>
      <c r="D46" s="269"/>
      <c r="E46" s="270"/>
      <c r="F46" s="97" t="s">
        <v>3</v>
      </c>
      <c r="G46" s="69" t="s">
        <v>5</v>
      </c>
      <c r="H46" s="97" t="s">
        <v>3</v>
      </c>
      <c r="I46" s="63" t="s">
        <v>5</v>
      </c>
      <c r="J46" s="124"/>
    </row>
    <row r="47" spans="1:10" customFormat="1" x14ac:dyDescent="0.25">
      <c r="A47" s="46"/>
      <c r="C47" s="181" t="s">
        <v>83</v>
      </c>
      <c r="D47" s="129" t="s">
        <v>193</v>
      </c>
      <c r="E47" s="68" t="s">
        <v>156</v>
      </c>
      <c r="F47" s="149">
        <f>0.88*1.05</f>
        <v>0.92400000000000004</v>
      </c>
      <c r="G47" s="50" t="s">
        <v>224</v>
      </c>
      <c r="H47" s="195">
        <f>H48+H54</f>
        <v>6.1</v>
      </c>
      <c r="I47" s="39"/>
      <c r="J47" s="68"/>
    </row>
    <row r="48" spans="1:10" x14ac:dyDescent="0.25">
      <c r="A48" s="4"/>
      <c r="C48" s="215" t="s">
        <v>6</v>
      </c>
      <c r="D48" s="5" t="s">
        <v>50</v>
      </c>
      <c r="E48" s="20" t="s">
        <v>51</v>
      </c>
      <c r="F48" s="4"/>
      <c r="G48" s="28"/>
      <c r="H48" s="5">
        <v>4.3</v>
      </c>
      <c r="I48" s="70" t="s">
        <v>118</v>
      </c>
      <c r="J48" s="205"/>
    </row>
    <row r="49" spans="1:10" ht="14.45" customHeight="1" x14ac:dyDescent="0.25">
      <c r="A49" s="210"/>
      <c r="C49" s="9" t="s">
        <v>52</v>
      </c>
      <c r="D49" s="2" t="s">
        <v>14</v>
      </c>
      <c r="F49" s="4"/>
      <c r="G49" s="28"/>
      <c r="H49" s="216">
        <v>1</v>
      </c>
      <c r="I49" s="217"/>
      <c r="J49" s="279" t="s">
        <v>251</v>
      </c>
    </row>
    <row r="50" spans="1:10" x14ac:dyDescent="0.25">
      <c r="A50" s="4"/>
      <c r="C50" s="9" t="s">
        <v>52</v>
      </c>
      <c r="D50" s="2" t="s">
        <v>15</v>
      </c>
      <c r="F50" s="4"/>
      <c r="G50" s="28"/>
      <c r="H50" s="216">
        <v>1</v>
      </c>
      <c r="I50" s="217"/>
      <c r="J50" s="279"/>
    </row>
    <row r="51" spans="1:10" x14ac:dyDescent="0.25">
      <c r="A51" s="4"/>
      <c r="C51" s="9" t="s">
        <v>52</v>
      </c>
      <c r="D51" s="5" t="s">
        <v>53</v>
      </c>
      <c r="F51" s="4"/>
      <c r="G51" s="28"/>
      <c r="H51" s="216">
        <v>1</v>
      </c>
      <c r="I51" s="217"/>
      <c r="J51" s="279"/>
    </row>
    <row r="52" spans="1:10" x14ac:dyDescent="0.25">
      <c r="A52" s="4"/>
      <c r="C52" s="9" t="s">
        <v>52</v>
      </c>
      <c r="D52" s="5" t="s">
        <v>54</v>
      </c>
      <c r="F52" s="4"/>
      <c r="G52" s="28"/>
      <c r="H52" s="216">
        <v>1</v>
      </c>
      <c r="I52" s="217"/>
      <c r="J52" s="279"/>
    </row>
    <row r="53" spans="1:10" x14ac:dyDescent="0.25">
      <c r="A53" s="4"/>
      <c r="C53" s="9" t="s">
        <v>52</v>
      </c>
      <c r="D53" s="5" t="s">
        <v>17</v>
      </c>
      <c r="F53" s="4"/>
      <c r="G53" s="28"/>
      <c r="H53" s="216">
        <v>1</v>
      </c>
      <c r="I53" s="217"/>
      <c r="J53" s="279"/>
    </row>
    <row r="54" spans="1:10" x14ac:dyDescent="0.25">
      <c r="A54" s="4"/>
      <c r="C54" s="215" t="s">
        <v>6</v>
      </c>
      <c r="D54" s="5" t="s">
        <v>18</v>
      </c>
      <c r="E54" s="20" t="s">
        <v>51</v>
      </c>
      <c r="F54" s="4"/>
      <c r="G54" s="28"/>
      <c r="H54" s="5">
        <v>1.8</v>
      </c>
      <c r="I54" s="70" t="s">
        <v>118</v>
      </c>
      <c r="J54" s="208"/>
    </row>
    <row r="55" spans="1:10" x14ac:dyDescent="0.25">
      <c r="A55" s="21"/>
      <c r="B55" s="22"/>
      <c r="C55" s="13" t="s">
        <v>21</v>
      </c>
      <c r="D55" s="13" t="s">
        <v>64</v>
      </c>
      <c r="E55" s="23" t="s">
        <v>56</v>
      </c>
      <c r="F55" s="21"/>
      <c r="G55" s="66"/>
      <c r="H55" s="13">
        <v>1</v>
      </c>
      <c r="I55" s="206" t="s">
        <v>118</v>
      </c>
      <c r="J55" s="207"/>
    </row>
    <row r="56" spans="1:10" customFormat="1" x14ac:dyDescent="0.25">
      <c r="A56" s="11"/>
      <c r="B56" s="12"/>
      <c r="C56" s="183" t="s">
        <v>246</v>
      </c>
      <c r="D56" s="184" t="s">
        <v>193</v>
      </c>
      <c r="E56" s="187" t="s">
        <v>51</v>
      </c>
      <c r="F56" s="116">
        <f>F47</f>
        <v>0.92400000000000004</v>
      </c>
      <c r="G56" s="122"/>
      <c r="H56" s="213">
        <f>H47</f>
        <v>6.1</v>
      </c>
      <c r="I56" s="66"/>
      <c r="J56" s="14" t="s">
        <v>208</v>
      </c>
    </row>
    <row r="57" spans="1:10" customFormat="1" x14ac:dyDescent="0.25">
      <c r="A57" s="214"/>
      <c r="B57" s="147"/>
      <c r="C57" s="12"/>
      <c r="D57" s="12"/>
      <c r="E57" s="12"/>
      <c r="F57" s="12"/>
      <c r="G57" s="12"/>
      <c r="H57" s="12"/>
      <c r="I57" s="22"/>
      <c r="J57" s="12"/>
    </row>
    <row r="58" spans="1:10" customFormat="1" x14ac:dyDescent="0.25">
      <c r="A58" s="255" t="s">
        <v>241</v>
      </c>
      <c r="B58" s="275" t="s">
        <v>241</v>
      </c>
      <c r="C58" s="257" t="s">
        <v>2</v>
      </c>
      <c r="D58" s="276"/>
      <c r="E58" s="259" t="s">
        <v>4</v>
      </c>
      <c r="F58" s="261" t="s">
        <v>181</v>
      </c>
      <c r="G58" s="262"/>
      <c r="H58" s="245" t="s">
        <v>180</v>
      </c>
      <c r="I58" s="246"/>
      <c r="J58" s="71" t="s">
        <v>0</v>
      </c>
    </row>
    <row r="59" spans="1:10" customFormat="1" x14ac:dyDescent="0.25">
      <c r="A59" s="264"/>
      <c r="B59" s="266"/>
      <c r="C59" s="267"/>
      <c r="D59" s="269"/>
      <c r="E59" s="270"/>
      <c r="F59" s="97" t="s">
        <v>3</v>
      </c>
      <c r="G59" s="69" t="s">
        <v>5</v>
      </c>
      <c r="H59" s="97" t="s">
        <v>3</v>
      </c>
      <c r="I59" s="63" t="s">
        <v>5</v>
      </c>
      <c r="J59" s="124"/>
    </row>
    <row r="60" spans="1:10" customFormat="1" x14ac:dyDescent="0.25">
      <c r="A60" s="46"/>
      <c r="C60" s="181" t="s">
        <v>83</v>
      </c>
      <c r="D60" s="129" t="s">
        <v>193</v>
      </c>
      <c r="E60" s="68" t="s">
        <v>156</v>
      </c>
      <c r="F60" s="149">
        <f>0.88*1.05</f>
        <v>0.92400000000000004</v>
      </c>
      <c r="G60" s="50" t="s">
        <v>224</v>
      </c>
      <c r="H60" s="195">
        <f>H61+H67</f>
        <v>7</v>
      </c>
      <c r="I60" s="39"/>
      <c r="J60" s="68"/>
    </row>
    <row r="61" spans="1:10" x14ac:dyDescent="0.25">
      <c r="A61" s="4"/>
      <c r="C61" s="215" t="s">
        <v>6</v>
      </c>
      <c r="D61" s="5" t="s">
        <v>50</v>
      </c>
      <c r="E61" s="20" t="s">
        <v>51</v>
      </c>
      <c r="F61" s="4"/>
      <c r="G61" s="28"/>
      <c r="H61" s="5">
        <v>5.2</v>
      </c>
      <c r="I61" s="70" t="s">
        <v>118</v>
      </c>
      <c r="J61" s="205"/>
    </row>
    <row r="62" spans="1:10" x14ac:dyDescent="0.25">
      <c r="A62" s="210"/>
      <c r="C62" s="9" t="s">
        <v>52</v>
      </c>
      <c r="D62" s="2" t="s">
        <v>14</v>
      </c>
      <c r="F62" s="4"/>
      <c r="G62" s="28"/>
      <c r="H62" s="216">
        <v>1</v>
      </c>
      <c r="I62" s="217"/>
      <c r="J62" s="279" t="s">
        <v>251</v>
      </c>
    </row>
    <row r="63" spans="1:10" x14ac:dyDescent="0.25">
      <c r="A63" s="4"/>
      <c r="C63" s="9" t="s">
        <v>52</v>
      </c>
      <c r="D63" s="2" t="s">
        <v>15</v>
      </c>
      <c r="F63" s="4"/>
      <c r="G63" s="28"/>
      <c r="H63" s="216">
        <v>1</v>
      </c>
      <c r="I63" s="217"/>
      <c r="J63" s="279"/>
    </row>
    <row r="64" spans="1:10" x14ac:dyDescent="0.25">
      <c r="A64" s="4"/>
      <c r="C64" s="9" t="s">
        <v>52</v>
      </c>
      <c r="D64" s="5" t="s">
        <v>53</v>
      </c>
      <c r="F64" s="4"/>
      <c r="G64" s="28"/>
      <c r="H64" s="216">
        <v>1</v>
      </c>
      <c r="I64" s="217"/>
      <c r="J64" s="279"/>
    </row>
    <row r="65" spans="1:10" x14ac:dyDescent="0.25">
      <c r="A65" s="4"/>
      <c r="C65" s="9" t="s">
        <v>52</v>
      </c>
      <c r="D65" s="5" t="s">
        <v>54</v>
      </c>
      <c r="F65" s="4"/>
      <c r="G65" s="28"/>
      <c r="H65" s="216">
        <v>1</v>
      </c>
      <c r="I65" s="217"/>
      <c r="J65" s="279"/>
    </row>
    <row r="66" spans="1:10" x14ac:dyDescent="0.25">
      <c r="A66" s="4"/>
      <c r="C66" s="9" t="s">
        <v>52</v>
      </c>
      <c r="D66" s="5" t="s">
        <v>17</v>
      </c>
      <c r="F66" s="4"/>
      <c r="G66" s="28"/>
      <c r="H66" s="216">
        <v>1</v>
      </c>
      <c r="I66" s="217"/>
      <c r="J66" s="279"/>
    </row>
    <row r="67" spans="1:10" x14ac:dyDescent="0.25">
      <c r="A67" s="4"/>
      <c r="C67" s="215" t="s">
        <v>6</v>
      </c>
      <c r="D67" s="5" t="s">
        <v>18</v>
      </c>
      <c r="E67" s="20" t="s">
        <v>51</v>
      </c>
      <c r="F67" s="4"/>
      <c r="G67" s="28"/>
      <c r="H67" s="5">
        <v>1.8</v>
      </c>
      <c r="I67" s="70" t="s">
        <v>118</v>
      </c>
      <c r="J67" s="205"/>
    </row>
    <row r="68" spans="1:10" x14ac:dyDescent="0.25">
      <c r="A68" s="21"/>
      <c r="B68" s="22"/>
      <c r="C68" s="13" t="s">
        <v>21</v>
      </c>
      <c r="D68" s="13" t="s">
        <v>64</v>
      </c>
      <c r="E68" s="23" t="s">
        <v>56</v>
      </c>
      <c r="F68" s="21"/>
      <c r="G68" s="66"/>
      <c r="H68" s="13">
        <v>1</v>
      </c>
      <c r="I68" s="206" t="s">
        <v>118</v>
      </c>
      <c r="J68" s="207"/>
    </row>
    <row r="69" spans="1:10" customFormat="1" x14ac:dyDescent="0.25">
      <c r="A69" s="11"/>
      <c r="B69" s="12"/>
      <c r="C69" s="183" t="s">
        <v>246</v>
      </c>
      <c r="D69" s="184" t="s">
        <v>193</v>
      </c>
      <c r="E69" s="187" t="s">
        <v>51</v>
      </c>
      <c r="F69" s="116">
        <f>F60</f>
        <v>0.92400000000000004</v>
      </c>
      <c r="G69" s="122"/>
      <c r="H69" s="213">
        <f>H60</f>
        <v>7</v>
      </c>
      <c r="I69" s="66"/>
      <c r="J69" s="14" t="s">
        <v>208</v>
      </c>
    </row>
    <row r="70" spans="1:10" customFormat="1" x14ac:dyDescent="0.25">
      <c r="A70" s="214"/>
      <c r="B70" s="147"/>
      <c r="C70" s="12"/>
      <c r="D70" s="12"/>
      <c r="E70" s="12"/>
      <c r="F70" s="12"/>
      <c r="G70" s="12"/>
      <c r="H70" s="12"/>
      <c r="I70" s="22"/>
      <c r="J70" s="12"/>
    </row>
    <row r="71" spans="1:10" customFormat="1" x14ac:dyDescent="0.25">
      <c r="A71" s="255" t="s">
        <v>242</v>
      </c>
      <c r="B71" s="275" t="s">
        <v>242</v>
      </c>
      <c r="C71" s="257" t="s">
        <v>2</v>
      </c>
      <c r="D71" s="276"/>
      <c r="E71" s="259" t="s">
        <v>4</v>
      </c>
      <c r="F71" s="261" t="s">
        <v>181</v>
      </c>
      <c r="G71" s="262"/>
      <c r="H71" s="245" t="s">
        <v>180</v>
      </c>
      <c r="I71" s="246"/>
      <c r="J71" s="71" t="s">
        <v>0</v>
      </c>
    </row>
    <row r="72" spans="1:10" customFormat="1" x14ac:dyDescent="0.25">
      <c r="A72" s="264"/>
      <c r="B72" s="266"/>
      <c r="C72" s="267"/>
      <c r="D72" s="269"/>
      <c r="E72" s="270"/>
      <c r="F72" s="97" t="s">
        <v>3</v>
      </c>
      <c r="G72" s="69" t="s">
        <v>5</v>
      </c>
      <c r="H72" s="97" t="s">
        <v>3</v>
      </c>
      <c r="I72" s="63" t="s">
        <v>5</v>
      </c>
      <c r="J72" s="124"/>
    </row>
    <row r="73" spans="1:10" customFormat="1" x14ac:dyDescent="0.25">
      <c r="A73" s="46"/>
      <c r="C73" s="181" t="s">
        <v>83</v>
      </c>
      <c r="D73" s="129" t="s">
        <v>193</v>
      </c>
      <c r="E73" s="68" t="s">
        <v>156</v>
      </c>
      <c r="F73" s="149">
        <f>0.88*1.05</f>
        <v>0.92400000000000004</v>
      </c>
      <c r="G73" s="50" t="s">
        <v>224</v>
      </c>
      <c r="H73" s="195">
        <f>H74+H80</f>
        <v>8.6999999999999993</v>
      </c>
      <c r="I73" s="39"/>
      <c r="J73" s="68"/>
    </row>
    <row r="74" spans="1:10" x14ac:dyDescent="0.25">
      <c r="A74" s="218"/>
      <c r="C74" s="215" t="s">
        <v>6</v>
      </c>
      <c r="D74" s="5" t="s">
        <v>50</v>
      </c>
      <c r="E74" s="20" t="s">
        <v>51</v>
      </c>
      <c r="F74" s="4"/>
      <c r="G74" s="28"/>
      <c r="H74" s="5">
        <v>5.0999999999999996</v>
      </c>
      <c r="I74" s="70" t="s">
        <v>118</v>
      </c>
      <c r="J74" s="205"/>
    </row>
    <row r="75" spans="1:10" x14ac:dyDescent="0.25">
      <c r="A75" s="210"/>
      <c r="C75" s="9" t="s">
        <v>52</v>
      </c>
      <c r="D75" s="2" t="s">
        <v>14</v>
      </c>
      <c r="F75" s="4"/>
      <c r="G75" s="28"/>
      <c r="H75" s="216">
        <v>1</v>
      </c>
      <c r="I75" s="217"/>
      <c r="J75" s="279" t="s">
        <v>251</v>
      </c>
    </row>
    <row r="76" spans="1:10" x14ac:dyDescent="0.25">
      <c r="A76" s="4"/>
      <c r="C76" s="9" t="s">
        <v>52</v>
      </c>
      <c r="D76" s="2" t="s">
        <v>15</v>
      </c>
      <c r="F76" s="4"/>
      <c r="G76" s="28"/>
      <c r="H76" s="216">
        <v>1</v>
      </c>
      <c r="I76" s="217"/>
      <c r="J76" s="279"/>
    </row>
    <row r="77" spans="1:10" x14ac:dyDescent="0.25">
      <c r="A77" s="4"/>
      <c r="C77" s="9" t="s">
        <v>52</v>
      </c>
      <c r="D77" s="5" t="s">
        <v>53</v>
      </c>
      <c r="F77" s="4"/>
      <c r="G77" s="28"/>
      <c r="H77" s="216">
        <v>1</v>
      </c>
      <c r="I77" s="217"/>
      <c r="J77" s="279"/>
    </row>
    <row r="78" spans="1:10" x14ac:dyDescent="0.25">
      <c r="A78" s="4"/>
      <c r="C78" s="9" t="s">
        <v>52</v>
      </c>
      <c r="D78" s="5" t="s">
        <v>54</v>
      </c>
      <c r="F78" s="4"/>
      <c r="G78" s="28"/>
      <c r="H78" s="216">
        <v>1</v>
      </c>
      <c r="I78" s="217"/>
      <c r="J78" s="279"/>
    </row>
    <row r="79" spans="1:10" x14ac:dyDescent="0.25">
      <c r="A79" s="4"/>
      <c r="C79" s="9" t="s">
        <v>52</v>
      </c>
      <c r="D79" s="5" t="s">
        <v>17</v>
      </c>
      <c r="F79" s="4"/>
      <c r="G79" s="28"/>
      <c r="H79" s="216">
        <v>1</v>
      </c>
      <c r="I79" s="217"/>
      <c r="J79" s="279"/>
    </row>
    <row r="80" spans="1:10" x14ac:dyDescent="0.25">
      <c r="A80" s="4"/>
      <c r="C80" s="215" t="s">
        <v>6</v>
      </c>
      <c r="D80" s="5" t="s">
        <v>18</v>
      </c>
      <c r="E80" s="20" t="s">
        <v>51</v>
      </c>
      <c r="F80" s="4"/>
      <c r="G80" s="28"/>
      <c r="H80" s="5">
        <v>3.6</v>
      </c>
      <c r="I80" s="70" t="s">
        <v>118</v>
      </c>
      <c r="J80" s="205"/>
    </row>
    <row r="81" spans="1:10" x14ac:dyDescent="0.25">
      <c r="A81" s="21"/>
      <c r="B81" s="22"/>
      <c r="C81" s="13" t="s">
        <v>21</v>
      </c>
      <c r="D81" s="13" t="s">
        <v>64</v>
      </c>
      <c r="E81" s="23" t="s">
        <v>56</v>
      </c>
      <c r="F81" s="21"/>
      <c r="G81" s="66"/>
      <c r="H81" s="13">
        <v>1</v>
      </c>
      <c r="I81" s="206" t="s">
        <v>118</v>
      </c>
      <c r="J81" s="207"/>
    </row>
    <row r="82" spans="1:10" customFormat="1" x14ac:dyDescent="0.25">
      <c r="A82" s="11"/>
      <c r="B82" s="12"/>
      <c r="C82" s="183" t="s">
        <v>246</v>
      </c>
      <c r="D82" s="184" t="s">
        <v>193</v>
      </c>
      <c r="E82" s="187" t="s">
        <v>51</v>
      </c>
      <c r="F82" s="116">
        <f>F73</f>
        <v>0.92400000000000004</v>
      </c>
      <c r="G82" s="122"/>
      <c r="H82" s="213">
        <f>H73</f>
        <v>8.6999999999999993</v>
      </c>
      <c r="I82" s="66"/>
      <c r="J82" s="14" t="s">
        <v>208</v>
      </c>
    </row>
    <row r="83" spans="1:10" customFormat="1" x14ac:dyDescent="0.25">
      <c r="A83" s="214"/>
      <c r="B83" s="147"/>
      <c r="C83" s="12"/>
      <c r="D83" s="12"/>
      <c r="E83" s="12"/>
      <c r="F83" s="12"/>
      <c r="G83" s="12"/>
      <c r="H83" s="12"/>
      <c r="I83" s="22"/>
      <c r="J83" s="12"/>
    </row>
    <row r="84" spans="1:10" customFormat="1" x14ac:dyDescent="0.25">
      <c r="A84" s="255" t="s">
        <v>243</v>
      </c>
      <c r="B84" s="275" t="s">
        <v>243</v>
      </c>
      <c r="C84" s="257" t="s">
        <v>2</v>
      </c>
      <c r="D84" s="276"/>
      <c r="E84" s="259" t="s">
        <v>4</v>
      </c>
      <c r="F84" s="261" t="s">
        <v>181</v>
      </c>
      <c r="G84" s="262"/>
      <c r="H84" s="245" t="s">
        <v>180</v>
      </c>
      <c r="I84" s="246"/>
      <c r="J84" s="71" t="s">
        <v>0</v>
      </c>
    </row>
    <row r="85" spans="1:10" customFormat="1" x14ac:dyDescent="0.25">
      <c r="A85" s="264"/>
      <c r="B85" s="266"/>
      <c r="C85" s="267"/>
      <c r="D85" s="269"/>
      <c r="E85" s="270"/>
      <c r="F85" s="97" t="s">
        <v>3</v>
      </c>
      <c r="G85" s="69" t="s">
        <v>5</v>
      </c>
      <c r="H85" s="97" t="s">
        <v>3</v>
      </c>
      <c r="I85" s="63" t="s">
        <v>5</v>
      </c>
      <c r="J85" s="124"/>
    </row>
    <row r="86" spans="1:10" customFormat="1" x14ac:dyDescent="0.25">
      <c r="A86" s="46"/>
      <c r="C86" s="181" t="s">
        <v>83</v>
      </c>
      <c r="D86" s="129" t="s">
        <v>193</v>
      </c>
      <c r="E86" s="68" t="s">
        <v>156</v>
      </c>
      <c r="F86" s="149">
        <f>0.88*1.05</f>
        <v>0.92400000000000004</v>
      </c>
      <c r="G86" s="50" t="s">
        <v>224</v>
      </c>
      <c r="H86" s="195">
        <f>H87+H93</f>
        <v>7.8000000000000007</v>
      </c>
      <c r="I86" s="39"/>
      <c r="J86" s="68"/>
    </row>
    <row r="87" spans="1:10" x14ac:dyDescent="0.25">
      <c r="A87" s="4"/>
      <c r="C87" s="215" t="s">
        <v>6</v>
      </c>
      <c r="D87" s="5" t="s">
        <v>50</v>
      </c>
      <c r="E87" s="20" t="s">
        <v>51</v>
      </c>
      <c r="F87" s="4"/>
      <c r="G87" s="28"/>
      <c r="H87" s="5">
        <v>4.9000000000000004</v>
      </c>
      <c r="I87" s="70" t="s">
        <v>118</v>
      </c>
      <c r="J87" s="205"/>
    </row>
    <row r="88" spans="1:10" x14ac:dyDescent="0.25">
      <c r="A88" s="210"/>
      <c r="C88" s="9" t="s">
        <v>52</v>
      </c>
      <c r="D88" s="2" t="s">
        <v>14</v>
      </c>
      <c r="F88" s="4"/>
      <c r="G88" s="28"/>
      <c r="H88" s="216">
        <v>1</v>
      </c>
      <c r="I88" s="217"/>
      <c r="J88" s="279" t="s">
        <v>251</v>
      </c>
    </row>
    <row r="89" spans="1:10" x14ac:dyDescent="0.25">
      <c r="C89" s="9" t="s">
        <v>52</v>
      </c>
      <c r="D89" s="2" t="s">
        <v>15</v>
      </c>
      <c r="F89" s="4"/>
      <c r="G89" s="28"/>
      <c r="H89" s="216">
        <v>1</v>
      </c>
      <c r="I89" s="217"/>
      <c r="J89" s="279"/>
    </row>
    <row r="90" spans="1:10" x14ac:dyDescent="0.25">
      <c r="A90" s="4"/>
      <c r="C90" s="9" t="s">
        <v>52</v>
      </c>
      <c r="D90" s="5" t="s">
        <v>53</v>
      </c>
      <c r="F90" s="4"/>
      <c r="G90" s="28"/>
      <c r="H90" s="216">
        <v>1</v>
      </c>
      <c r="I90" s="217"/>
      <c r="J90" s="279"/>
    </row>
    <row r="91" spans="1:10" x14ac:dyDescent="0.25">
      <c r="A91" s="4"/>
      <c r="C91" s="9" t="s">
        <v>52</v>
      </c>
      <c r="D91" s="5" t="s">
        <v>54</v>
      </c>
      <c r="F91" s="4"/>
      <c r="G91" s="28"/>
      <c r="H91" s="216">
        <v>1</v>
      </c>
      <c r="I91" s="217"/>
      <c r="J91" s="279"/>
    </row>
    <row r="92" spans="1:10" x14ac:dyDescent="0.25">
      <c r="A92" s="4"/>
      <c r="C92" s="9" t="s">
        <v>52</v>
      </c>
      <c r="D92" s="5" t="s">
        <v>17</v>
      </c>
      <c r="F92" s="4"/>
      <c r="G92" s="28"/>
      <c r="H92" s="216">
        <v>1</v>
      </c>
      <c r="I92" s="217"/>
      <c r="J92" s="279"/>
    </row>
    <row r="93" spans="1:10" x14ac:dyDescent="0.25">
      <c r="A93" s="4"/>
      <c r="C93" s="215" t="s">
        <v>6</v>
      </c>
      <c r="D93" s="5" t="s">
        <v>18</v>
      </c>
      <c r="E93" s="20" t="s">
        <v>51</v>
      </c>
      <c r="F93" s="4"/>
      <c r="G93" s="28"/>
      <c r="H93" s="5">
        <v>2.9</v>
      </c>
      <c r="I93" s="70" t="s">
        <v>118</v>
      </c>
      <c r="J93" s="205"/>
    </row>
    <row r="94" spans="1:10" x14ac:dyDescent="0.25">
      <c r="A94" s="21"/>
      <c r="B94" s="22"/>
      <c r="C94" s="13" t="s">
        <v>21</v>
      </c>
      <c r="D94" s="13" t="s">
        <v>64</v>
      </c>
      <c r="E94" s="23" t="s">
        <v>56</v>
      </c>
      <c r="F94" s="21"/>
      <c r="G94" s="66"/>
      <c r="H94" s="13">
        <v>1</v>
      </c>
      <c r="I94" s="206" t="s">
        <v>118</v>
      </c>
      <c r="J94" s="207"/>
    </row>
    <row r="95" spans="1:10" customFormat="1" x14ac:dyDescent="0.25">
      <c r="A95" s="11"/>
      <c r="B95" s="12"/>
      <c r="C95" s="183" t="s">
        <v>246</v>
      </c>
      <c r="D95" s="184" t="s">
        <v>193</v>
      </c>
      <c r="E95" s="187" t="s">
        <v>51</v>
      </c>
      <c r="F95" s="116">
        <f>F86</f>
        <v>0.92400000000000004</v>
      </c>
      <c r="G95" s="122"/>
      <c r="H95" s="213">
        <f>H86</f>
        <v>7.8000000000000007</v>
      </c>
      <c r="I95" s="66"/>
      <c r="J95" s="14" t="s">
        <v>208</v>
      </c>
    </row>
    <row r="96" spans="1:10" x14ac:dyDescent="0.25">
      <c r="C96" s="5"/>
      <c r="D96" s="5"/>
      <c r="E96" s="20"/>
      <c r="F96" s="2"/>
      <c r="G96" s="2"/>
      <c r="I96" s="70"/>
    </row>
    <row r="98" spans="1:9" x14ac:dyDescent="0.25">
      <c r="A98" s="2" t="s">
        <v>109</v>
      </c>
      <c r="B98" t="s">
        <v>26</v>
      </c>
      <c r="C98" t="s">
        <v>27</v>
      </c>
      <c r="D98" t="s">
        <v>28</v>
      </c>
      <c r="E98" t="s">
        <v>30</v>
      </c>
      <c r="F98" s="2"/>
      <c r="G98" s="2"/>
      <c r="H98" t="s">
        <v>29</v>
      </c>
      <c r="I98" t="s">
        <v>31</v>
      </c>
    </row>
    <row r="99" spans="1:9" x14ac:dyDescent="0.25">
      <c r="A99" t="s">
        <v>33</v>
      </c>
      <c r="B99" s="219" t="s">
        <v>110</v>
      </c>
      <c r="C99" s="48" t="s">
        <v>111</v>
      </c>
      <c r="D99" s="2" t="s">
        <v>112</v>
      </c>
      <c r="E99" s="2">
        <v>2016</v>
      </c>
      <c r="F99" s="2"/>
      <c r="G99" s="2"/>
      <c r="H99" s="2"/>
      <c r="I99" s="49">
        <v>45232</v>
      </c>
    </row>
    <row r="100" spans="1:9" x14ac:dyDescent="0.25">
      <c r="A100" s="50" t="s">
        <v>20</v>
      </c>
      <c r="B100" s="51" t="s">
        <v>113</v>
      </c>
      <c r="C100" s="48" t="s">
        <v>114</v>
      </c>
      <c r="D100" s="2" t="s">
        <v>115</v>
      </c>
      <c r="E100" s="2">
        <v>2012</v>
      </c>
      <c r="F100" s="2"/>
      <c r="G100" s="2"/>
      <c r="H100" s="48" t="s">
        <v>116</v>
      </c>
      <c r="I100" s="49">
        <v>45232</v>
      </c>
    </row>
    <row r="101" spans="1:9" x14ac:dyDescent="0.25">
      <c r="A101" s="50" t="s">
        <v>36</v>
      </c>
      <c r="B101" s="219" t="s">
        <v>119</v>
      </c>
      <c r="C101" s="2" t="s">
        <v>120</v>
      </c>
      <c r="D101" s="2" t="s">
        <v>121</v>
      </c>
      <c r="E101" s="2">
        <v>2022</v>
      </c>
      <c r="F101" s="2"/>
      <c r="G101" s="2"/>
      <c r="H101" s="2" t="s">
        <v>122</v>
      </c>
      <c r="I101" s="49">
        <v>45232</v>
      </c>
    </row>
    <row r="102" spans="1:9" x14ac:dyDescent="0.25">
      <c r="A102" s="50" t="s">
        <v>38</v>
      </c>
      <c r="B102" s="51" t="s">
        <v>124</v>
      </c>
      <c r="C102" s="48" t="s">
        <v>125</v>
      </c>
      <c r="D102" s="2" t="s">
        <v>126</v>
      </c>
      <c r="E102" s="2">
        <v>2017</v>
      </c>
      <c r="F102" s="2"/>
      <c r="G102" s="2"/>
      <c r="H102" s="48" t="s">
        <v>122</v>
      </c>
      <c r="I102" s="49">
        <v>45232</v>
      </c>
    </row>
    <row r="103" spans="1:9" x14ac:dyDescent="0.25">
      <c r="A103" s="50" t="s">
        <v>123</v>
      </c>
      <c r="B103" s="219" t="s">
        <v>127</v>
      </c>
      <c r="C103" s="48" t="s">
        <v>128</v>
      </c>
      <c r="D103" s="48" t="s">
        <v>129</v>
      </c>
      <c r="E103" s="2">
        <v>2009</v>
      </c>
      <c r="F103" s="2"/>
      <c r="G103" s="2"/>
      <c r="H103" s="48" t="s">
        <v>122</v>
      </c>
      <c r="I103" s="49">
        <v>45232</v>
      </c>
    </row>
    <row r="104" spans="1:9" x14ac:dyDescent="0.25">
      <c r="A104" s="50" t="s">
        <v>224</v>
      </c>
      <c r="B104" s="51" t="s">
        <v>271</v>
      </c>
      <c r="C104" s="2" t="s">
        <v>272</v>
      </c>
      <c r="D104" s="2" t="s">
        <v>273</v>
      </c>
      <c r="E104" s="2">
        <v>2015</v>
      </c>
      <c r="F104" s="2" t="s">
        <v>275</v>
      </c>
      <c r="H104" s="48" t="s">
        <v>122</v>
      </c>
      <c r="I104" s="49">
        <v>45919</v>
      </c>
    </row>
    <row r="109" spans="1:9" ht="14.25" customHeight="1" x14ac:dyDescent="0.25">
      <c r="F109" s="2"/>
      <c r="G109" s="2"/>
    </row>
    <row r="110" spans="1:9" x14ac:dyDescent="0.25">
      <c r="F110" s="2"/>
      <c r="G110" s="2"/>
    </row>
    <row r="111" spans="1:9" x14ac:dyDescent="0.25">
      <c r="F111" s="2"/>
      <c r="G111" s="2"/>
    </row>
    <row r="112" spans="1:9" x14ac:dyDescent="0.25">
      <c r="F112" s="2"/>
      <c r="G112" s="2"/>
    </row>
    <row r="113" spans="6:7" x14ac:dyDescent="0.25">
      <c r="F113" s="2"/>
      <c r="G113" s="2"/>
    </row>
  </sheetData>
  <mergeCells count="56">
    <mergeCell ref="H84:I84"/>
    <mergeCell ref="A84:A85"/>
    <mergeCell ref="B84:B85"/>
    <mergeCell ref="C84:C85"/>
    <mergeCell ref="D84:D85"/>
    <mergeCell ref="E84:E85"/>
    <mergeCell ref="F84:G84"/>
    <mergeCell ref="H58:I58"/>
    <mergeCell ref="A71:A72"/>
    <mergeCell ref="B71:B72"/>
    <mergeCell ref="C71:C72"/>
    <mergeCell ref="D71:D72"/>
    <mergeCell ref="E71:E72"/>
    <mergeCell ref="F71:G71"/>
    <mergeCell ref="H71:I71"/>
    <mergeCell ref="A58:A59"/>
    <mergeCell ref="B58:B59"/>
    <mergeCell ref="C58:C59"/>
    <mergeCell ref="D58:D59"/>
    <mergeCell ref="E58:E59"/>
    <mergeCell ref="F58:G58"/>
    <mergeCell ref="H31:I31"/>
    <mergeCell ref="A45:A46"/>
    <mergeCell ref="B45:B46"/>
    <mergeCell ref="C45:C46"/>
    <mergeCell ref="D45:D46"/>
    <mergeCell ref="E45:E46"/>
    <mergeCell ref="F45:G45"/>
    <mergeCell ref="H45:I45"/>
    <mergeCell ref="A31:A32"/>
    <mergeCell ref="B31:B32"/>
    <mergeCell ref="C31:C32"/>
    <mergeCell ref="D31:D32"/>
    <mergeCell ref="E31:E32"/>
    <mergeCell ref="F31:G31"/>
    <mergeCell ref="H2:I2"/>
    <mergeCell ref="A17:A18"/>
    <mergeCell ref="B17:B18"/>
    <mergeCell ref="C17:C18"/>
    <mergeCell ref="D17:D18"/>
    <mergeCell ref="E17:E18"/>
    <mergeCell ref="F17:G17"/>
    <mergeCell ref="H17:I17"/>
    <mergeCell ref="A2:A3"/>
    <mergeCell ref="B2:B3"/>
    <mergeCell ref="C2:C3"/>
    <mergeCell ref="D2:D3"/>
    <mergeCell ref="E2:E3"/>
    <mergeCell ref="F2:G2"/>
    <mergeCell ref="J62:J66"/>
    <mergeCell ref="J75:J79"/>
    <mergeCell ref="J88:J92"/>
    <mergeCell ref="J6:J11"/>
    <mergeCell ref="J21:J26"/>
    <mergeCell ref="J36:J40"/>
    <mergeCell ref="J49:J53"/>
  </mergeCells>
  <hyperlinks>
    <hyperlink ref="B100" r:id="rId1" tooltip="Persistent link using digital object identifier" xr:uid="{08C37779-D221-400E-B10A-9D56EB8BC329}"/>
    <hyperlink ref="B102" r:id="rId2" xr:uid="{B8150BBD-9BAF-4247-8821-6939CE2AF9AC}"/>
    <hyperlink ref="B104" r:id="rId3" xr:uid="{7BF36A04-C452-40D6-A5C3-0011A8CADE5F}"/>
  </hyperlinks>
  <pageMargins left="0.7" right="0.7" top="0.78749999999999998" bottom="0.78749999999999998" header="0.511811023622047" footer="0.511811023622047"/>
  <pageSetup paperSize="9" orientation="portrait" horizontalDpi="300" verticalDpi="300" r:id="rId4"/>
  <drawing r:id="rId5"/>
  <legacyDrawing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85724"/>
  </sheetPr>
  <dimension ref="A1:P48"/>
  <sheetViews>
    <sheetView zoomScaleNormal="100" workbookViewId="0">
      <selection activeCell="F4" sqref="F4"/>
    </sheetView>
  </sheetViews>
  <sheetFormatPr baseColWidth="10" defaultColWidth="10.5703125" defaultRowHeight="15" x14ac:dyDescent="0.25"/>
  <cols>
    <col min="2" max="2" width="29.5703125" customWidth="1"/>
    <col min="3" max="3" width="27.85546875" customWidth="1"/>
    <col min="4" max="4" width="17.28515625" customWidth="1"/>
    <col min="5" max="5" width="15.28515625" customWidth="1"/>
    <col min="6" max="6" width="10.85546875" style="24" customWidth="1"/>
  </cols>
  <sheetData>
    <row r="1" spans="1:16" x14ac:dyDescent="0.25">
      <c r="A1" s="148"/>
      <c r="B1" s="150"/>
      <c r="C1" s="83"/>
      <c r="D1" s="83"/>
      <c r="E1" s="83"/>
      <c r="F1" s="83"/>
      <c r="G1" s="83"/>
      <c r="H1" s="83"/>
      <c r="I1" s="84"/>
      <c r="J1" s="85"/>
    </row>
    <row r="2" spans="1:16" x14ac:dyDescent="0.25">
      <c r="A2" s="255" t="s">
        <v>145</v>
      </c>
      <c r="B2" s="275" t="s">
        <v>244</v>
      </c>
      <c r="C2" s="257" t="s">
        <v>2</v>
      </c>
      <c r="D2" s="276"/>
      <c r="E2" s="259" t="s">
        <v>4</v>
      </c>
      <c r="F2" s="285" t="s">
        <v>181</v>
      </c>
      <c r="G2" s="286"/>
      <c r="H2" s="282" t="s">
        <v>180</v>
      </c>
      <c r="I2" s="283"/>
      <c r="J2" s="124" t="s">
        <v>0</v>
      </c>
    </row>
    <row r="3" spans="1:16" ht="30" customHeight="1" x14ac:dyDescent="0.25">
      <c r="A3" s="264"/>
      <c r="B3" s="266"/>
      <c r="C3" s="267"/>
      <c r="D3" s="269"/>
      <c r="E3" s="284"/>
      <c r="F3" s="97" t="s">
        <v>3</v>
      </c>
      <c r="G3" s="63" t="s">
        <v>5</v>
      </c>
      <c r="H3" s="175" t="s">
        <v>3</v>
      </c>
      <c r="I3" s="69" t="s">
        <v>5</v>
      </c>
      <c r="J3" s="124"/>
    </row>
    <row r="4" spans="1:16" x14ac:dyDescent="0.25">
      <c r="A4" s="46"/>
      <c r="C4" s="181" t="s">
        <v>83</v>
      </c>
      <c r="D4" s="129" t="s">
        <v>193</v>
      </c>
      <c r="E4" s="68" t="s">
        <v>156</v>
      </c>
      <c r="F4" s="149">
        <f>1653.8*3.6/1000</f>
        <v>5.9536800000000003</v>
      </c>
      <c r="G4" s="50" t="s">
        <v>20</v>
      </c>
      <c r="H4" s="195">
        <f>H5</f>
        <v>7.2</v>
      </c>
      <c r="I4" s="39"/>
      <c r="J4" s="68"/>
    </row>
    <row r="5" spans="1:16" ht="14.25" customHeight="1" x14ac:dyDescent="0.25">
      <c r="A5" s="8"/>
      <c r="B5" s="25"/>
      <c r="C5" s="5" t="s">
        <v>6</v>
      </c>
      <c r="D5" s="9" t="s">
        <v>18</v>
      </c>
      <c r="E5" s="2" t="s">
        <v>69</v>
      </c>
      <c r="F5" s="156"/>
      <c r="H5" s="156">
        <v>7.2</v>
      </c>
      <c r="I5" s="154" t="s">
        <v>33</v>
      </c>
      <c r="J5" s="7"/>
    </row>
    <row r="6" spans="1:16" x14ac:dyDescent="0.25">
      <c r="A6" s="11"/>
      <c r="B6" s="12"/>
      <c r="C6" s="13" t="s">
        <v>21</v>
      </c>
      <c r="D6" s="13" t="s">
        <v>70</v>
      </c>
      <c r="E6" s="22" t="s">
        <v>56</v>
      </c>
      <c r="F6" s="176"/>
      <c r="G6" s="12"/>
      <c r="H6" s="176">
        <v>1</v>
      </c>
      <c r="I6" s="197" t="s">
        <v>33</v>
      </c>
      <c r="J6" s="14"/>
    </row>
    <row r="7" spans="1:16" x14ac:dyDescent="0.25">
      <c r="A7" s="11"/>
      <c r="B7" s="12"/>
      <c r="C7" s="183" t="s">
        <v>246</v>
      </c>
      <c r="D7" s="184" t="s">
        <v>193</v>
      </c>
      <c r="E7" s="187" t="s">
        <v>51</v>
      </c>
      <c r="F7" s="116">
        <f>F4</f>
        <v>5.9536800000000003</v>
      </c>
      <c r="G7" s="122"/>
      <c r="H7" s="116">
        <f>H4</f>
        <v>7.2</v>
      </c>
      <c r="I7" s="66"/>
      <c r="J7" s="14" t="s">
        <v>208</v>
      </c>
    </row>
    <row r="8" spans="1:16" x14ac:dyDescent="0.25">
      <c r="H8" s="16"/>
    </row>
    <row r="9" spans="1:16" x14ac:dyDescent="0.25">
      <c r="A9" s="2" t="s">
        <v>109</v>
      </c>
      <c r="B9" t="s">
        <v>26</v>
      </c>
      <c r="C9" t="s">
        <v>27</v>
      </c>
      <c r="D9" t="s">
        <v>28</v>
      </c>
      <c r="E9" t="s">
        <v>29</v>
      </c>
      <c r="F9" t="s">
        <v>30</v>
      </c>
      <c r="G9" t="s">
        <v>31</v>
      </c>
      <c r="H9" t="s">
        <v>32</v>
      </c>
    </row>
    <row r="10" spans="1:16" x14ac:dyDescent="0.25">
      <c r="A10" s="50" t="s">
        <v>33</v>
      </c>
      <c r="B10" s="51" t="s">
        <v>80</v>
      </c>
      <c r="C10" s="48" t="s">
        <v>152</v>
      </c>
      <c r="D10" s="48" t="s">
        <v>153</v>
      </c>
      <c r="E10" s="48" t="s">
        <v>122</v>
      </c>
      <c r="F10" s="2">
        <v>2017</v>
      </c>
      <c r="G10" s="49">
        <v>45232</v>
      </c>
      <c r="H10" s="48" t="s">
        <v>154</v>
      </c>
    </row>
    <row r="11" spans="1:16" x14ac:dyDescent="0.25">
      <c r="A11" s="50" t="s">
        <v>20</v>
      </c>
      <c r="B11" s="51" t="s">
        <v>269</v>
      </c>
      <c r="C11" s="227" t="s">
        <v>270</v>
      </c>
      <c r="D11" s="230" t="s">
        <v>286</v>
      </c>
      <c r="F11" s="228">
        <v>2018</v>
      </c>
      <c r="G11" s="226">
        <v>45919</v>
      </c>
      <c r="H11" t="str">
        <f>C11</f>
        <v>EuroChlor</v>
      </c>
    </row>
    <row r="13" spans="1:16" ht="14.25" customHeight="1" x14ac:dyDescent="0.25">
      <c r="A13" s="32"/>
      <c r="B13" s="32"/>
      <c r="C13" s="33"/>
      <c r="D13" s="34"/>
      <c r="E13" s="34"/>
      <c r="F13" s="35"/>
      <c r="G13" s="32"/>
      <c r="H13" s="32"/>
      <c r="I13" s="32"/>
      <c r="J13" s="32"/>
      <c r="K13" s="32"/>
      <c r="L13" s="32"/>
      <c r="M13" s="32"/>
      <c r="N13" s="32"/>
      <c r="O13" s="32"/>
      <c r="P13" s="32"/>
    </row>
    <row r="14" spans="1:16" ht="14.25" customHeight="1" x14ac:dyDescent="0.25">
      <c r="A14" s="32"/>
      <c r="F14"/>
      <c r="J14" s="32"/>
      <c r="K14" s="32"/>
      <c r="L14" s="32"/>
      <c r="M14" s="32"/>
      <c r="N14" s="32"/>
      <c r="O14" s="32"/>
      <c r="P14" s="32"/>
    </row>
    <row r="15" spans="1:16" x14ac:dyDescent="0.25">
      <c r="A15" s="32"/>
      <c r="B15" s="32"/>
      <c r="C15" s="32"/>
      <c r="D15" s="34"/>
      <c r="E15" s="34"/>
      <c r="F15" s="35"/>
      <c r="G15" s="36"/>
      <c r="H15" s="37"/>
      <c r="I15" s="32"/>
      <c r="J15" s="32"/>
      <c r="K15" s="32"/>
      <c r="L15" s="32"/>
      <c r="M15" s="32"/>
      <c r="N15" s="32"/>
      <c r="O15" s="32"/>
      <c r="P15" s="32"/>
    </row>
    <row r="16" spans="1:16" x14ac:dyDescent="0.25">
      <c r="A16" s="32"/>
      <c r="B16" s="32"/>
      <c r="C16" s="32"/>
      <c r="D16" s="34"/>
      <c r="E16" s="34"/>
      <c r="F16" s="35"/>
      <c r="G16" s="38"/>
      <c r="H16" s="37"/>
      <c r="I16" s="32"/>
      <c r="J16" s="32"/>
      <c r="K16" s="32"/>
      <c r="L16" s="32"/>
      <c r="M16" s="32"/>
      <c r="N16" s="32"/>
      <c r="O16" s="32"/>
      <c r="P16" s="32"/>
    </row>
    <row r="17" spans="1:16" x14ac:dyDescent="0.25">
      <c r="A17" s="32"/>
      <c r="B17" s="32"/>
      <c r="C17" s="32"/>
      <c r="D17" s="34"/>
      <c r="E17" s="34"/>
      <c r="F17" s="35"/>
      <c r="G17" s="36"/>
      <c r="H17" s="37"/>
      <c r="I17" s="32"/>
      <c r="J17" s="32"/>
      <c r="K17" s="32"/>
      <c r="L17" s="32"/>
      <c r="M17" s="32"/>
      <c r="N17" s="32"/>
      <c r="O17" s="32"/>
      <c r="P17" s="32"/>
    </row>
    <row r="18" spans="1:16" x14ac:dyDescent="0.25">
      <c r="A18" s="32"/>
      <c r="B18" s="32"/>
      <c r="C18" s="32"/>
      <c r="D18" s="34"/>
      <c r="E18" s="34"/>
      <c r="F18" s="35"/>
      <c r="G18" s="38"/>
      <c r="H18" s="37"/>
      <c r="I18" s="32"/>
      <c r="J18" s="32"/>
      <c r="K18" s="32"/>
      <c r="L18" s="32"/>
      <c r="M18" s="32"/>
      <c r="N18" s="32"/>
      <c r="O18" s="32"/>
      <c r="P18" s="32"/>
    </row>
    <row r="19" spans="1:16" x14ac:dyDescent="0.25">
      <c r="A19" s="32"/>
      <c r="B19" s="32"/>
      <c r="C19" s="32"/>
      <c r="D19" s="34"/>
      <c r="E19" s="34"/>
      <c r="F19" s="35"/>
      <c r="G19" s="38"/>
      <c r="H19" s="37"/>
      <c r="I19" s="32"/>
      <c r="J19" s="32"/>
      <c r="K19" s="32"/>
      <c r="L19" s="32"/>
      <c r="M19" s="32"/>
      <c r="N19" s="32"/>
      <c r="O19" s="32"/>
      <c r="P19" s="32"/>
    </row>
    <row r="20" spans="1:16" x14ac:dyDescent="0.25">
      <c r="A20" s="32"/>
      <c r="B20" s="32"/>
      <c r="C20" s="32"/>
      <c r="D20" s="35"/>
      <c r="E20" s="35"/>
      <c r="F20" s="35"/>
      <c r="G20" s="38"/>
      <c r="H20" s="37"/>
      <c r="I20" s="32"/>
      <c r="J20" s="32"/>
      <c r="K20" s="32"/>
      <c r="L20" s="32"/>
      <c r="M20" s="32"/>
      <c r="N20" s="32"/>
      <c r="O20" s="32"/>
      <c r="P20" s="32"/>
    </row>
    <row r="21" spans="1:16" x14ac:dyDescent="0.25">
      <c r="A21" s="32"/>
      <c r="B21" s="32"/>
      <c r="C21" s="32"/>
      <c r="D21" s="32"/>
      <c r="E21" s="34"/>
      <c r="F21" s="35"/>
      <c r="G21" s="38"/>
      <c r="H21" s="37"/>
      <c r="I21" s="32"/>
      <c r="J21" s="32"/>
      <c r="K21" s="32"/>
      <c r="L21" s="32"/>
      <c r="M21" s="32"/>
      <c r="N21" s="32"/>
      <c r="O21" s="32"/>
      <c r="P21" s="32"/>
    </row>
    <row r="22" spans="1:16" x14ac:dyDescent="0.25">
      <c r="A22" s="32"/>
      <c r="B22" s="32"/>
      <c r="C22" s="32"/>
      <c r="D22" s="32"/>
      <c r="E22" s="32"/>
      <c r="F22" s="35"/>
      <c r="G22" s="32"/>
      <c r="H22" s="32"/>
      <c r="I22" s="32"/>
      <c r="J22" s="32"/>
      <c r="K22" s="32"/>
      <c r="L22" s="32"/>
      <c r="M22" s="32"/>
      <c r="N22" s="32"/>
      <c r="O22" s="32"/>
      <c r="P22" s="32"/>
    </row>
    <row r="23" spans="1:16" x14ac:dyDescent="0.25">
      <c r="A23" s="32"/>
      <c r="B23" s="32"/>
      <c r="C23" s="32"/>
      <c r="D23" s="32"/>
      <c r="E23" s="32"/>
      <c r="F23" s="35"/>
      <c r="G23" s="32"/>
      <c r="H23" s="32"/>
      <c r="I23" s="32"/>
      <c r="J23" s="32"/>
      <c r="K23" s="32"/>
      <c r="L23" s="32"/>
      <c r="M23" s="32"/>
      <c r="N23" s="32"/>
      <c r="O23" s="32"/>
      <c r="P23" s="32"/>
    </row>
    <row r="24" spans="1:16" x14ac:dyDescent="0.25">
      <c r="A24" s="32"/>
      <c r="B24" s="32"/>
      <c r="C24" s="32"/>
      <c r="D24" s="32"/>
      <c r="E24" s="32"/>
      <c r="F24" s="35"/>
      <c r="G24" s="32"/>
      <c r="H24" s="32"/>
      <c r="I24" s="32"/>
      <c r="J24" s="32"/>
      <c r="K24" s="32"/>
      <c r="L24" s="32"/>
      <c r="M24" s="32"/>
      <c r="N24" s="32"/>
      <c r="O24" s="32"/>
      <c r="P24" s="32"/>
    </row>
    <row r="25" spans="1:16" x14ac:dyDescent="0.25">
      <c r="A25" s="32"/>
      <c r="B25" s="32"/>
      <c r="C25" s="32"/>
      <c r="D25" s="32"/>
      <c r="E25" s="32"/>
      <c r="F25" s="35"/>
      <c r="G25" s="32"/>
      <c r="H25" s="32"/>
      <c r="I25" s="32"/>
      <c r="J25" s="32"/>
      <c r="K25" s="32"/>
      <c r="L25" s="32"/>
      <c r="M25" s="32"/>
      <c r="N25" s="32"/>
      <c r="O25" s="32"/>
      <c r="P25" s="32"/>
    </row>
    <row r="26" spans="1:16" x14ac:dyDescent="0.25">
      <c r="A26" s="32"/>
      <c r="B26" s="32"/>
      <c r="C26" s="32"/>
      <c r="D26" s="32"/>
      <c r="E26" s="32"/>
      <c r="F26" s="35"/>
      <c r="G26" s="32"/>
      <c r="H26" s="32"/>
      <c r="I26" s="32"/>
      <c r="J26" s="32"/>
      <c r="K26" s="32"/>
      <c r="L26" s="32"/>
      <c r="M26" s="32"/>
      <c r="N26" s="32"/>
      <c r="O26" s="32"/>
      <c r="P26" s="32"/>
    </row>
    <row r="27" spans="1:16" x14ac:dyDescent="0.25">
      <c r="A27" s="32"/>
      <c r="B27" s="32"/>
      <c r="C27" s="32"/>
      <c r="D27" s="32"/>
      <c r="E27" s="32"/>
      <c r="F27" s="35"/>
      <c r="G27" s="32"/>
      <c r="H27" s="32"/>
      <c r="I27" s="32"/>
      <c r="J27" s="32"/>
      <c r="K27" s="32"/>
      <c r="L27" s="32"/>
      <c r="M27" s="32"/>
      <c r="N27" s="32"/>
      <c r="O27" s="32"/>
      <c r="P27" s="32"/>
    </row>
    <row r="28" spans="1:16" x14ac:dyDescent="0.25">
      <c r="A28" s="32"/>
      <c r="B28" s="32"/>
      <c r="C28" s="32"/>
      <c r="D28" s="32"/>
      <c r="E28" s="32"/>
      <c r="F28" s="35"/>
      <c r="G28" s="32"/>
      <c r="H28" s="32"/>
      <c r="I28" s="32"/>
      <c r="J28" s="32"/>
      <c r="K28" s="32"/>
      <c r="L28" s="32"/>
      <c r="M28" s="32"/>
      <c r="N28" s="32"/>
      <c r="O28" s="32"/>
      <c r="P28" s="32"/>
    </row>
    <row r="29" spans="1:16" x14ac:dyDescent="0.25">
      <c r="A29" s="32"/>
      <c r="B29" s="32"/>
      <c r="C29" s="32"/>
      <c r="D29" s="32"/>
      <c r="E29" s="32"/>
      <c r="F29" s="35"/>
      <c r="G29" s="32"/>
      <c r="H29" s="32"/>
      <c r="I29" s="32"/>
      <c r="J29" s="32"/>
      <c r="K29" s="32"/>
      <c r="L29" s="32"/>
      <c r="M29" s="32"/>
      <c r="N29" s="32"/>
      <c r="O29" s="32"/>
      <c r="P29" s="32"/>
    </row>
    <row r="30" spans="1:16" x14ac:dyDescent="0.25">
      <c r="A30" s="32"/>
      <c r="B30" s="32"/>
      <c r="C30" s="32"/>
      <c r="D30" s="32"/>
      <c r="E30" s="32"/>
      <c r="F30" s="35"/>
      <c r="G30" s="32"/>
      <c r="H30" s="32"/>
      <c r="I30" s="32"/>
      <c r="J30" s="32"/>
      <c r="K30" s="32"/>
      <c r="L30" s="32"/>
      <c r="M30" s="32"/>
      <c r="N30" s="32"/>
      <c r="O30" s="32"/>
      <c r="P30" s="32"/>
    </row>
    <row r="31" spans="1:16" x14ac:dyDescent="0.25">
      <c r="A31" s="32"/>
      <c r="B31" s="32"/>
      <c r="C31" s="33"/>
      <c r="D31" s="34"/>
      <c r="E31" s="35"/>
      <c r="F31" s="35"/>
      <c r="G31" s="35"/>
      <c r="H31" s="32"/>
      <c r="I31" s="32"/>
      <c r="J31" s="32"/>
      <c r="K31" s="32"/>
      <c r="L31" s="32"/>
      <c r="M31" s="32"/>
      <c r="N31" s="32"/>
      <c r="O31" s="32"/>
      <c r="P31" s="32"/>
    </row>
    <row r="32" spans="1:16" x14ac:dyDescent="0.25">
      <c r="A32" s="32"/>
      <c r="B32" s="32"/>
      <c r="C32" s="32"/>
      <c r="D32" s="34"/>
      <c r="E32" s="34"/>
      <c r="F32" s="35"/>
      <c r="G32" s="36"/>
      <c r="H32" s="37"/>
      <c r="I32" s="32"/>
      <c r="J32" s="32"/>
      <c r="K32" s="32"/>
      <c r="L32" s="32"/>
      <c r="M32" s="32"/>
      <c r="N32" s="32"/>
      <c r="O32" s="32"/>
      <c r="P32" s="32"/>
    </row>
    <row r="33" spans="1:16" x14ac:dyDescent="0.25">
      <c r="A33" s="32"/>
      <c r="B33" s="32"/>
      <c r="C33" s="32"/>
      <c r="D33" s="34"/>
      <c r="E33" s="34"/>
      <c r="F33" s="35"/>
      <c r="G33" s="36"/>
      <c r="H33" s="37"/>
      <c r="I33" s="32"/>
      <c r="J33" s="32"/>
      <c r="K33" s="32"/>
      <c r="L33" s="32"/>
      <c r="M33" s="32"/>
      <c r="N33" s="32"/>
      <c r="O33" s="32"/>
      <c r="P33" s="32"/>
    </row>
    <row r="34" spans="1:16" x14ac:dyDescent="0.25">
      <c r="A34" s="32"/>
      <c r="B34" s="32"/>
      <c r="C34" s="32"/>
      <c r="D34" s="34"/>
      <c r="E34" s="34"/>
      <c r="F34" s="35"/>
      <c r="G34" s="38"/>
      <c r="H34" s="37"/>
      <c r="I34" s="32"/>
      <c r="J34" s="32"/>
      <c r="K34" s="32"/>
      <c r="L34" s="32"/>
      <c r="M34" s="32"/>
      <c r="N34" s="32"/>
      <c r="O34" s="32"/>
      <c r="P34" s="32"/>
    </row>
    <row r="35" spans="1:16" x14ac:dyDescent="0.25">
      <c r="A35" s="32"/>
      <c r="B35" s="32"/>
      <c r="C35" s="32"/>
      <c r="D35" s="34"/>
      <c r="E35" s="34"/>
      <c r="F35" s="35"/>
      <c r="G35" s="36"/>
      <c r="H35" s="37"/>
      <c r="I35" s="32"/>
      <c r="J35" s="32"/>
      <c r="K35" s="32"/>
      <c r="L35" s="32"/>
      <c r="M35" s="32"/>
      <c r="N35" s="32"/>
      <c r="O35" s="32"/>
      <c r="P35" s="32"/>
    </row>
    <row r="36" spans="1:16" x14ac:dyDescent="0.25">
      <c r="A36" s="32"/>
      <c r="B36" s="32"/>
      <c r="C36" s="32"/>
      <c r="D36" s="34"/>
      <c r="E36" s="34"/>
      <c r="F36" s="35"/>
      <c r="G36" s="38"/>
      <c r="H36" s="37"/>
      <c r="I36" s="32"/>
      <c r="J36" s="32"/>
      <c r="K36" s="32"/>
      <c r="L36" s="32"/>
      <c r="M36" s="32"/>
      <c r="N36" s="32"/>
      <c r="O36" s="32"/>
      <c r="P36" s="32"/>
    </row>
    <row r="37" spans="1:16" x14ac:dyDescent="0.25">
      <c r="A37" s="32"/>
      <c r="B37" s="32"/>
      <c r="C37" s="32"/>
      <c r="D37" s="34"/>
      <c r="E37" s="34"/>
      <c r="F37" s="35"/>
      <c r="G37" s="38"/>
      <c r="H37" s="37"/>
      <c r="I37" s="32"/>
      <c r="J37" s="32"/>
      <c r="K37" s="32"/>
      <c r="L37" s="32"/>
      <c r="M37" s="32"/>
      <c r="N37" s="32"/>
      <c r="O37" s="32"/>
      <c r="P37" s="32"/>
    </row>
    <row r="38" spans="1:16" x14ac:dyDescent="0.25">
      <c r="A38" s="32"/>
      <c r="B38" s="32"/>
      <c r="C38" s="32"/>
      <c r="D38" s="35"/>
      <c r="E38" s="35"/>
      <c r="F38" s="35"/>
      <c r="G38" s="38"/>
      <c r="H38" s="37"/>
      <c r="I38" s="32"/>
      <c r="J38" s="32"/>
      <c r="K38" s="32"/>
      <c r="L38" s="32"/>
      <c r="M38" s="32"/>
      <c r="N38" s="32"/>
      <c r="O38" s="32"/>
      <c r="P38" s="32"/>
    </row>
    <row r="39" spans="1:16" x14ac:dyDescent="0.25">
      <c r="A39" s="32"/>
      <c r="B39" s="32"/>
      <c r="C39" s="32"/>
      <c r="D39" s="32"/>
      <c r="E39" s="34"/>
      <c r="F39" s="35"/>
      <c r="G39" s="38"/>
      <c r="H39" s="37"/>
      <c r="I39" s="32"/>
      <c r="J39" s="32"/>
      <c r="K39" s="32"/>
      <c r="L39" s="32"/>
      <c r="M39" s="32"/>
      <c r="N39" s="32"/>
      <c r="O39" s="32"/>
      <c r="P39" s="32"/>
    </row>
    <row r="40" spans="1:16" x14ac:dyDescent="0.25">
      <c r="A40" s="32"/>
      <c r="B40" s="32"/>
      <c r="D40" s="32"/>
      <c r="E40" s="32"/>
      <c r="F40" s="35"/>
      <c r="G40" s="32"/>
      <c r="H40" s="32"/>
      <c r="I40" s="32"/>
      <c r="J40" s="32"/>
      <c r="K40" s="32"/>
      <c r="L40" s="32"/>
      <c r="M40" s="32"/>
      <c r="N40" s="32"/>
      <c r="O40" s="32"/>
      <c r="P40" s="32"/>
    </row>
    <row r="41" spans="1:16" x14ac:dyDescent="0.25">
      <c r="A41" s="32"/>
      <c r="B41" s="32"/>
      <c r="C41" s="32"/>
      <c r="D41" s="32"/>
      <c r="E41" s="32"/>
      <c r="F41" s="35"/>
      <c r="G41" s="32"/>
      <c r="H41" s="32"/>
      <c r="I41" s="32"/>
      <c r="J41" s="32"/>
      <c r="K41" s="32"/>
      <c r="L41" s="32"/>
      <c r="M41" s="32"/>
      <c r="N41" s="32"/>
      <c r="O41" s="32"/>
      <c r="P41" s="32"/>
    </row>
    <row r="42" spans="1:16" x14ac:dyDescent="0.25">
      <c r="A42" s="32"/>
      <c r="B42" s="32"/>
      <c r="C42" s="32"/>
      <c r="D42" s="32"/>
      <c r="E42" s="32"/>
      <c r="F42" s="35"/>
      <c r="G42" s="32"/>
      <c r="H42" s="32"/>
      <c r="I42" s="32"/>
      <c r="J42" s="32"/>
      <c r="K42" s="32"/>
      <c r="L42" s="32"/>
      <c r="M42" s="32"/>
      <c r="N42" s="32"/>
      <c r="O42" s="32"/>
      <c r="P42" s="32"/>
    </row>
    <row r="43" spans="1:16" x14ac:dyDescent="0.25">
      <c r="A43" s="32"/>
      <c r="B43" s="32"/>
      <c r="C43" s="32"/>
      <c r="D43" s="32"/>
      <c r="E43" s="32"/>
      <c r="F43" s="35"/>
      <c r="G43" s="32"/>
      <c r="H43" s="32"/>
      <c r="I43" s="32"/>
      <c r="J43" s="32"/>
      <c r="K43" s="32"/>
      <c r="L43" s="32"/>
      <c r="M43" s="32"/>
      <c r="N43" s="32"/>
      <c r="O43" s="32"/>
      <c r="P43" s="32"/>
    </row>
    <row r="44" spans="1:16" x14ac:dyDescent="0.25">
      <c r="A44" s="32"/>
      <c r="B44" s="32"/>
      <c r="C44" s="32"/>
      <c r="D44" s="32"/>
      <c r="E44" s="32"/>
      <c r="F44" s="35"/>
      <c r="G44" s="32"/>
      <c r="H44" s="32"/>
      <c r="I44" s="32"/>
      <c r="J44" s="32"/>
      <c r="K44" s="32"/>
      <c r="L44" s="32"/>
      <c r="M44" s="32"/>
      <c r="N44" s="32"/>
      <c r="O44" s="32"/>
      <c r="P44" s="32"/>
    </row>
    <row r="45" spans="1:16" x14ac:dyDescent="0.25">
      <c r="A45" s="32"/>
      <c r="B45" s="32"/>
      <c r="C45" s="32"/>
      <c r="D45" s="32"/>
      <c r="E45" s="32"/>
      <c r="F45" s="35"/>
      <c r="G45" s="32"/>
      <c r="H45" s="32"/>
      <c r="I45" s="32"/>
      <c r="J45" s="32"/>
      <c r="K45" s="32"/>
      <c r="L45" s="32"/>
      <c r="M45" s="32"/>
      <c r="N45" s="32"/>
      <c r="O45" s="32"/>
      <c r="P45" s="32"/>
    </row>
    <row r="46" spans="1:16" ht="5.25" customHeight="1" x14ac:dyDescent="0.25">
      <c r="A46" s="32"/>
      <c r="B46" s="32"/>
      <c r="C46" s="32"/>
      <c r="D46" s="32"/>
      <c r="E46" s="32"/>
      <c r="F46" s="35"/>
      <c r="G46" s="32"/>
      <c r="H46" s="32"/>
      <c r="I46" s="32"/>
      <c r="J46" s="32"/>
      <c r="K46" s="32"/>
      <c r="L46" s="32"/>
      <c r="M46" s="32"/>
      <c r="N46" s="32"/>
      <c r="O46" s="32"/>
      <c r="P46" s="32"/>
    </row>
    <row r="47" spans="1:16" x14ac:dyDescent="0.25">
      <c r="A47" s="32"/>
      <c r="B47" s="32"/>
      <c r="C47" s="32"/>
      <c r="D47" s="32"/>
      <c r="E47" s="32"/>
      <c r="F47" s="35"/>
      <c r="G47" s="32"/>
      <c r="H47" s="32"/>
      <c r="I47" s="32"/>
      <c r="J47" s="32"/>
      <c r="K47" s="32"/>
      <c r="L47" s="32"/>
      <c r="M47" s="32"/>
      <c r="N47" s="32"/>
      <c r="O47" s="32"/>
      <c r="P47" s="32"/>
    </row>
    <row r="48" spans="1:16" x14ac:dyDescent="0.25">
      <c r="A48" s="32"/>
      <c r="B48" s="32"/>
      <c r="C48" s="32"/>
      <c r="D48" s="32"/>
      <c r="E48" s="32"/>
      <c r="F48" s="35"/>
      <c r="G48" s="32"/>
      <c r="H48" s="32"/>
      <c r="I48" s="32"/>
      <c r="J48" s="32"/>
      <c r="K48" s="32"/>
      <c r="L48" s="32"/>
      <c r="M48" s="32"/>
      <c r="N48" s="32"/>
      <c r="O48" s="32"/>
      <c r="P48" s="32"/>
    </row>
  </sheetData>
  <mergeCells count="7">
    <mergeCell ref="H2:I2"/>
    <mergeCell ref="A2:A3"/>
    <mergeCell ref="B2:B3"/>
    <mergeCell ref="C2:C3"/>
    <mergeCell ref="D2:D3"/>
    <mergeCell ref="E2:E3"/>
    <mergeCell ref="F2:G2"/>
  </mergeCells>
  <hyperlinks>
    <hyperlink ref="B11" r:id="rId1" xr:uid="{31762262-0174-4AEE-9445-93E8E547EA0C}"/>
  </hyperlinks>
  <pageMargins left="0.7" right="0.7" top="0.78749999999999998" bottom="0.78749999999999998" header="0.511811023622047" footer="0.511811023622047"/>
  <pageSetup paperSize="9" orientation="portrait" horizontalDpi="300" verticalDpi="300"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13</vt:i4>
      </vt:variant>
      <vt:variant>
        <vt:lpstr>Benannte Bereiche</vt:lpstr>
      </vt:variant>
      <vt:variant>
        <vt:i4>5</vt:i4>
      </vt:variant>
    </vt:vector>
  </HeadingPairs>
  <TitlesOfParts>
    <vt:vector size="18" baseType="lpstr">
      <vt:lpstr>Info</vt:lpstr>
      <vt:lpstr>Steel</vt:lpstr>
      <vt:lpstr>Aluminium</vt:lpstr>
      <vt:lpstr>Copper</vt:lpstr>
      <vt:lpstr>Cement</vt:lpstr>
      <vt:lpstr>Glass</vt:lpstr>
      <vt:lpstr>Lime</vt:lpstr>
      <vt:lpstr>Paper</vt:lpstr>
      <vt:lpstr>Chlorine</vt:lpstr>
      <vt:lpstr>Methanol</vt:lpstr>
      <vt:lpstr>Ammonia</vt:lpstr>
      <vt:lpstr>Olefins</vt:lpstr>
      <vt:lpstr>Aromatics</vt:lpstr>
      <vt:lpstr>Steel!_CTVL00114913102b4f546a79e19db691d9bb9a0</vt:lpstr>
      <vt:lpstr>Aluminium!_CTVL00145bc5694f2564992876849797e47ce29</vt:lpstr>
      <vt:lpstr>Aluminium!_CTVL00166cb1aa183ae4d378211629bc316783e</vt:lpstr>
      <vt:lpstr>Steel!_CTVL001a9105efbf1534ccf84615a26ba897e42</vt:lpstr>
      <vt:lpstr>Steel!_CTVL001efd329c251e74350bb57ff09bd640555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Lippkau, Felix</dc:creator>
  <dc:description/>
  <cp:lastModifiedBy>Kerekes, Andelka</cp:lastModifiedBy>
  <cp:revision>15</cp:revision>
  <dcterms:created xsi:type="dcterms:W3CDTF">2023-05-19T11:26:11Z</dcterms:created>
  <dcterms:modified xsi:type="dcterms:W3CDTF">2025-10-02T12:16:14Z</dcterms:modified>
  <dc:language>de-DE</dc:language>
</cp:coreProperties>
</file>