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gino_\Carrera de IA y Ciencia de Datos\Semestre 2\Estadistica y Ciencia de datos 2\Modulo 2\Estimacion Clase 1\"/>
    </mc:Choice>
  </mc:AlternateContent>
  <xr:revisionPtr revIDLastSave="0" documentId="13_ncr:1_{4D47607F-111D-4371-B546-BE11E1BA5CB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1" l="1"/>
  <c r="E200" i="1"/>
  <c r="E199" i="1"/>
  <c r="D183" i="1"/>
  <c r="D181" i="1"/>
  <c r="B183" i="1"/>
  <c r="B181" i="1"/>
  <c r="D182" i="1"/>
  <c r="B182" i="1"/>
  <c r="F179" i="1"/>
  <c r="E180" i="1"/>
  <c r="E181" i="1" s="1"/>
  <c r="E178" i="1"/>
  <c r="E177" i="1" s="1"/>
  <c r="D196" i="1"/>
  <c r="H198" i="1"/>
  <c r="H197" i="1"/>
  <c r="H196" i="1"/>
  <c r="H195" i="1"/>
  <c r="H194" i="1"/>
  <c r="H193" i="1"/>
  <c r="H192" i="1"/>
  <c r="B161" i="1"/>
  <c r="B162" i="1" s="1"/>
  <c r="B166" i="1"/>
  <c r="B165" i="1"/>
  <c r="F157" i="1"/>
  <c r="F158" i="1"/>
  <c r="F159" i="1"/>
  <c r="E160" i="1"/>
  <c r="E161" i="1" s="1"/>
  <c r="F161" i="1" s="1"/>
  <c r="E159" i="1"/>
  <c r="E157" i="1"/>
  <c r="E156" i="1" s="1"/>
  <c r="D192" i="1"/>
  <c r="D194" i="1"/>
  <c r="B188" i="1"/>
  <c r="D191" i="1"/>
  <c r="D146" i="1"/>
  <c r="C147" i="1" s="1"/>
  <c r="C146" i="1"/>
  <c r="B140" i="1"/>
  <c r="B138" i="1"/>
  <c r="Q129" i="1"/>
  <c r="P130" i="1" s="1"/>
  <c r="P129" i="1"/>
  <c r="O123" i="1"/>
  <c r="O121" i="1"/>
  <c r="R126" i="1"/>
  <c r="R125" i="1"/>
  <c r="R124" i="1"/>
  <c r="R123" i="1"/>
  <c r="R122" i="1"/>
  <c r="R121" i="1"/>
  <c r="R120" i="1"/>
  <c r="E143" i="1"/>
  <c r="E142" i="1"/>
  <c r="E141" i="1"/>
  <c r="E140" i="1"/>
  <c r="E139" i="1"/>
  <c r="E138" i="1"/>
  <c r="E137" i="1"/>
  <c r="D130" i="1"/>
  <c r="C131" i="1" s="1"/>
  <c r="C130" i="1"/>
  <c r="B124" i="1"/>
  <c r="O104" i="1"/>
  <c r="B122" i="1"/>
  <c r="P113" i="1"/>
  <c r="P112" i="1" s="1"/>
  <c r="P111" i="1"/>
  <c r="D113" i="1"/>
  <c r="O102" i="1"/>
  <c r="E126" i="1"/>
  <c r="E125" i="1"/>
  <c r="E124" i="1"/>
  <c r="E123" i="1"/>
  <c r="E122" i="1"/>
  <c r="E121" i="1"/>
  <c r="E120" i="1"/>
  <c r="R104" i="1"/>
  <c r="R103" i="1"/>
  <c r="R102" i="1"/>
  <c r="R101" i="1"/>
  <c r="R100" i="1"/>
  <c r="R99" i="1"/>
  <c r="R98" i="1"/>
  <c r="D114" i="1"/>
  <c r="D115" i="1"/>
  <c r="B106" i="1"/>
  <c r="B102" i="1"/>
  <c r="E99" i="1"/>
  <c r="E100" i="1"/>
  <c r="E101" i="1"/>
  <c r="E102" i="1"/>
  <c r="E103" i="1"/>
  <c r="E104" i="1"/>
  <c r="E98" i="1"/>
  <c r="R85" i="1"/>
  <c r="R84" i="1"/>
  <c r="P87" i="1"/>
  <c r="P88" i="1" s="1"/>
  <c r="R79" i="1"/>
  <c r="R80" i="1"/>
  <c r="Q80" i="1"/>
  <c r="Q81" i="1" s="1"/>
  <c r="Q78" i="1"/>
  <c r="R78" i="1" s="1"/>
  <c r="O86" i="1"/>
  <c r="O85" i="1"/>
  <c r="E85" i="1"/>
  <c r="E84" i="1"/>
  <c r="C87" i="1"/>
  <c r="C88" i="1" s="1"/>
  <c r="E79" i="1"/>
  <c r="D80" i="1"/>
  <c r="E80" i="1" s="1"/>
  <c r="D78" i="1"/>
  <c r="D77" i="1" s="1"/>
  <c r="B92" i="1"/>
  <c r="P53" i="1"/>
  <c r="P52" i="1"/>
  <c r="B91" i="1"/>
  <c r="E67" i="1"/>
  <c r="E66" i="1"/>
  <c r="C69" i="1"/>
  <c r="C70" i="1" s="1"/>
  <c r="E61" i="1"/>
  <c r="E62" i="1"/>
  <c r="D60" i="1"/>
  <c r="D59" i="1" s="1"/>
  <c r="D62" i="1"/>
  <c r="D63" i="1" s="1"/>
  <c r="B72" i="1"/>
  <c r="S60" i="1"/>
  <c r="S59" i="1"/>
  <c r="S56" i="1"/>
  <c r="S57" i="1"/>
  <c r="S52" i="1"/>
  <c r="S53" i="1" s="1"/>
  <c r="R52" i="1"/>
  <c r="R53" i="1" s="1"/>
  <c r="S44" i="1"/>
  <c r="R45" i="1"/>
  <c r="R46" i="1" s="1"/>
  <c r="R47" i="1" s="1"/>
  <c r="S47" i="1" s="1"/>
  <c r="R43" i="1"/>
  <c r="R42" i="1" s="1"/>
  <c r="C37" i="1"/>
  <c r="P51" i="1"/>
  <c r="C55" i="1"/>
  <c r="C54" i="1"/>
  <c r="C49" i="1"/>
  <c r="C52" i="1"/>
  <c r="I36" i="1"/>
  <c r="C51" i="1"/>
  <c r="B48" i="1"/>
  <c r="B49" i="1" s="1"/>
  <c r="F44" i="1"/>
  <c r="E45" i="1"/>
  <c r="E46" i="1" s="1"/>
  <c r="E43" i="1"/>
  <c r="F43" i="1" s="1"/>
  <c r="L35" i="1"/>
  <c r="I35" i="1"/>
  <c r="C14" i="1"/>
  <c r="O36" i="1"/>
  <c r="O35" i="1"/>
  <c r="L36" i="1"/>
  <c r="E23" i="1"/>
  <c r="F23" i="1" s="1"/>
  <c r="P24" i="1"/>
  <c r="P25" i="1" s="1"/>
  <c r="Q24" i="1"/>
  <c r="Q25" i="1" s="1"/>
  <c r="O24" i="1"/>
  <c r="O25" i="1" s="1"/>
  <c r="F24" i="1"/>
  <c r="E25" i="1"/>
  <c r="E26" i="1" s="1"/>
  <c r="C17" i="1"/>
  <c r="C16" i="1"/>
  <c r="N6" i="1"/>
  <c r="N5" i="1"/>
  <c r="C13" i="1"/>
  <c r="E176" i="1" l="1"/>
  <c r="F176" i="1" s="1"/>
  <c r="F177" i="1"/>
  <c r="Q82" i="1"/>
  <c r="R82" i="1" s="1"/>
  <c r="R81" i="1"/>
  <c r="E182" i="1"/>
  <c r="F182" i="1" s="1"/>
  <c r="F181" i="1"/>
  <c r="F180" i="1"/>
  <c r="B113" i="1"/>
  <c r="O129" i="1"/>
  <c r="S45" i="1"/>
  <c r="Q77" i="1"/>
  <c r="E22" i="1"/>
  <c r="E21" i="1" s="1"/>
  <c r="F21" i="1" s="1"/>
  <c r="F178" i="1"/>
  <c r="E42" i="1"/>
  <c r="E41" i="1" s="1"/>
  <c r="F41" i="1" s="1"/>
  <c r="B130" i="1"/>
  <c r="B146" i="1"/>
  <c r="E155" i="1"/>
  <c r="F155" i="1" s="1"/>
  <c r="F156" i="1"/>
  <c r="F160" i="1"/>
  <c r="D76" i="1"/>
  <c r="E76" i="1" s="1"/>
  <c r="E77" i="1"/>
  <c r="E78" i="1"/>
  <c r="D81" i="1"/>
  <c r="S43" i="1"/>
  <c r="E60" i="1"/>
  <c r="O111" i="1"/>
  <c r="E47" i="1"/>
  <c r="F47" i="1" s="1"/>
  <c r="F46" i="1"/>
  <c r="E27" i="1"/>
  <c r="F27" i="1" s="1"/>
  <c r="F26" i="1"/>
  <c r="R41" i="1"/>
  <c r="S41" i="1" s="1"/>
  <c r="S42" i="1"/>
  <c r="D64" i="1"/>
  <c r="E64" i="1" s="1"/>
  <c r="E63" i="1"/>
  <c r="D58" i="1"/>
  <c r="E58" i="1" s="1"/>
  <c r="E59" i="1"/>
  <c r="S46" i="1"/>
  <c r="F45" i="1"/>
  <c r="F25" i="1"/>
  <c r="F42" i="1"/>
  <c r="E6" i="1"/>
  <c r="D7" i="1"/>
  <c r="E7" i="1" s="1"/>
  <c r="D5" i="1"/>
  <c r="D4" i="1" s="1"/>
  <c r="Q76" i="1" l="1"/>
  <c r="R76" i="1" s="1"/>
  <c r="R77" i="1"/>
  <c r="F22" i="1"/>
  <c r="E5" i="1"/>
  <c r="D82" i="1"/>
  <c r="E82" i="1" s="1"/>
  <c r="E81" i="1"/>
  <c r="D8" i="1"/>
  <c r="E8" i="1" s="1"/>
  <c r="D3" i="1"/>
  <c r="E3" i="1" s="1"/>
  <c r="E4" i="1"/>
  <c r="D9" i="1"/>
  <c r="E9" i="1" s="1"/>
</calcChain>
</file>

<file path=xl/sharedStrings.xml><?xml version="1.0" encoding="utf-8"?>
<sst xmlns="http://schemas.openxmlformats.org/spreadsheetml/2006/main" count="219" uniqueCount="92">
  <si>
    <t>σ</t>
  </si>
  <si>
    <t>M(x)</t>
  </si>
  <si>
    <t>x</t>
  </si>
  <si>
    <t>P(x)</t>
  </si>
  <si>
    <t xml:space="preserve">X1= </t>
  </si>
  <si>
    <t>x2=</t>
  </si>
  <si>
    <t>y2=</t>
  </si>
  <si>
    <t>y1=</t>
  </si>
  <si>
    <t>Ejercicio 1</t>
  </si>
  <si>
    <t>Ejercicio 2</t>
  </si>
  <si>
    <t>Media</t>
  </si>
  <si>
    <t>Varianza</t>
  </si>
  <si>
    <t>X</t>
  </si>
  <si>
    <t>P(X)</t>
  </si>
  <si>
    <t>Porcentajes</t>
  </si>
  <si>
    <t xml:space="preserve">x1 = </t>
  </si>
  <si>
    <t>x2 =</t>
  </si>
  <si>
    <t>y1 =</t>
  </si>
  <si>
    <t>y2 =</t>
  </si>
  <si>
    <t>z1 =</t>
  </si>
  <si>
    <t>z2 =</t>
  </si>
  <si>
    <t>Y</t>
  </si>
  <si>
    <t>Z</t>
  </si>
  <si>
    <t>Ejercicio 3</t>
  </si>
  <si>
    <t>Muestra</t>
  </si>
  <si>
    <t>X1 =</t>
  </si>
  <si>
    <t>X2 =</t>
  </si>
  <si>
    <t>Ejercicio 4</t>
  </si>
  <si>
    <t>Y1</t>
  </si>
  <si>
    <t>A)</t>
  </si>
  <si>
    <t>B)</t>
  </si>
  <si>
    <t>Y2</t>
  </si>
  <si>
    <t>Desv_Est</t>
  </si>
  <si>
    <t xml:space="preserve">X2= </t>
  </si>
  <si>
    <t>X1=</t>
  </si>
  <si>
    <t>Y2 =</t>
  </si>
  <si>
    <t>Y1 =</t>
  </si>
  <si>
    <t>Ejercicio 5</t>
  </si>
  <si>
    <t>Media M</t>
  </si>
  <si>
    <t>µ</t>
  </si>
  <si>
    <t>Ejercicio 6</t>
  </si>
  <si>
    <t>Desv M</t>
  </si>
  <si>
    <t>Ejercicio 7</t>
  </si>
  <si>
    <t>Ejercicios de prueba de Hipotesis</t>
  </si>
  <si>
    <t xml:space="preserve">H1 </t>
  </si>
  <si>
    <t xml:space="preserve">H0 </t>
  </si>
  <si>
    <t>P(z)</t>
  </si>
  <si>
    <r>
      <t>1-</t>
    </r>
    <r>
      <rPr>
        <sz val="11"/>
        <color theme="1"/>
        <rFont val="Calibri"/>
        <family val="2"/>
      </rPr>
      <t>α</t>
    </r>
  </si>
  <si>
    <t>α</t>
  </si>
  <si>
    <t>Z1=</t>
  </si>
  <si>
    <t>Desv P</t>
  </si>
  <si>
    <t>≥</t>
  </si>
  <si>
    <t>&lt;</t>
  </si>
  <si>
    <t>Zobs =</t>
  </si>
  <si>
    <t>Xobs</t>
  </si>
  <si>
    <t>Esperado</t>
  </si>
  <si>
    <t>Con los datos recavados no rechazo la hipotesis sugerida</t>
  </si>
  <si>
    <t xml:space="preserve"> </t>
  </si>
  <si>
    <t>H0</t>
  </si>
  <si>
    <t>H1</t>
  </si>
  <si>
    <t>Media P</t>
  </si>
  <si>
    <t>Eventos</t>
  </si>
  <si>
    <t>Z1 =</t>
  </si>
  <si>
    <t>Cantidad</t>
  </si>
  <si>
    <t>≠</t>
  </si>
  <si>
    <t>=</t>
  </si>
  <si>
    <t>Zobs=</t>
  </si>
  <si>
    <t>≤</t>
  </si>
  <si>
    <t>&gt;</t>
  </si>
  <si>
    <t>Zobs</t>
  </si>
  <si>
    <t>No se puede Rechazar la Hipotesis Nula</t>
  </si>
  <si>
    <t>Ejercicios A resolver Dados como Remplazo de la Clase del 27</t>
  </si>
  <si>
    <t>Ejercicios de distribucion</t>
  </si>
  <si>
    <t xml:space="preserve"> Ejercicios de Prueba de Hipotesis</t>
  </si>
  <si>
    <t>µ = 90</t>
  </si>
  <si>
    <t>Z1</t>
  </si>
  <si>
    <t>Desv_M</t>
  </si>
  <si>
    <t>Intervalo A</t>
  </si>
  <si>
    <t>Intervalo B</t>
  </si>
  <si>
    <t>Desv_P</t>
  </si>
  <si>
    <t>Var_P</t>
  </si>
  <si>
    <t xml:space="preserve">Media </t>
  </si>
  <si>
    <t xml:space="preserve">Intervalo </t>
  </si>
  <si>
    <t>Z2</t>
  </si>
  <si>
    <t>Hipotesis</t>
  </si>
  <si>
    <t>Probabilidad</t>
  </si>
  <si>
    <t>Puntos criticos</t>
  </si>
  <si>
    <t>Valores</t>
  </si>
  <si>
    <t>α/2</t>
  </si>
  <si>
    <t>Media_M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</si>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</sst>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0" borderId="0" xfId="0" applyNumberFormat="1"/>
    <xf numFmtId="164" fontId="0" fillId="0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165" fontId="0" fillId="0" borderId="0" xfId="0" applyNumberFormat="1"/>
    <xf numFmtId="0" fontId="0" fillId="13" borderId="0" xfId="0" applyFill="1"/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0" fillId="0" borderId="2" xfId="0" applyBorder="1"/>
    <xf numFmtId="0" fontId="0" fillId="0" borderId="0" xfId="0" applyBorder="1"/>
    <xf numFmtId="0" fontId="0" fillId="0" borderId="0" xfId="0" applyFill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483814523184598E-2"/>
          <c:y val="0.18097222222222226"/>
          <c:w val="0.8839606299212597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Hoja1!$E$2</c:f>
              <c:strCache>
                <c:ptCount val="1"/>
                <c:pt idx="0">
                  <c:v>P(x)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Hoja1!$D$3:$D$9</c:f>
              <c:numCache>
                <c:formatCode>General</c:formatCode>
                <c:ptCount val="7"/>
                <c:pt idx="0">
                  <c:v>-1.129999999999999</c:v>
                </c:pt>
                <c:pt idx="1">
                  <c:v>0.88000000000000078</c:v>
                </c:pt>
                <c:pt idx="2">
                  <c:v>2.8900000000000006</c:v>
                </c:pt>
                <c:pt idx="3">
                  <c:v>4.9000000000000004</c:v>
                </c:pt>
                <c:pt idx="4">
                  <c:v>6.91</c:v>
                </c:pt>
                <c:pt idx="5">
                  <c:v>8.92</c:v>
                </c:pt>
                <c:pt idx="6">
                  <c:v>10.93</c:v>
                </c:pt>
              </c:numCache>
            </c:numRef>
          </c:cat>
          <c:val>
            <c:numRef>
              <c:f>Hoja1!$E$3:$E$9</c:f>
              <c:numCache>
                <c:formatCode>General</c:formatCode>
                <c:ptCount val="7"/>
                <c:pt idx="0">
                  <c:v>2.2048997074318446E-3</c:v>
                </c:pt>
                <c:pt idx="1">
                  <c:v>2.6861177369745307E-2</c:v>
                </c:pt>
                <c:pt idx="2">
                  <c:v>0.12038344503439971</c:v>
                </c:pt>
                <c:pt idx="3">
                  <c:v>0.19847874646837452</c:v>
                </c:pt>
                <c:pt idx="4">
                  <c:v>0.12038344503439971</c:v>
                </c:pt>
                <c:pt idx="5">
                  <c:v>2.6861177369745307E-2</c:v>
                </c:pt>
                <c:pt idx="6">
                  <c:v>2.2048997074318446E-3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F8B-4915-B5C8-3DB9BEF61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361952"/>
        <c:axId val="291366944"/>
      </c:lineChart>
      <c:catAx>
        <c:axId val="29136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1366944"/>
        <c:crosses val="autoZero"/>
        <c:auto val="1"/>
        <c:lblAlgn val="ctr"/>
        <c:lblOffset val="100"/>
        <c:noMultiLvlLbl val="0"/>
      </c:catAx>
      <c:valAx>
        <c:axId val="2913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136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594925634295717E-2"/>
          <c:y val="7.407407407407407E-2"/>
          <c:w val="0.8839606299212597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Hoja1!$E$119</c:f>
              <c:strCache>
                <c:ptCount val="1"/>
                <c:pt idx="0">
                  <c:v>P(z)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Hoja1!$D$120:$D$126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Hoja1!$E$120:$E$126</c:f>
              <c:numCache>
                <c:formatCode>General</c:formatCode>
                <c:ptCount val="7"/>
                <c:pt idx="0">
                  <c:v>4.4318484119380075E-3</c:v>
                </c:pt>
                <c:pt idx="1">
                  <c:v>5.3990966513188063E-2</c:v>
                </c:pt>
                <c:pt idx="2">
                  <c:v>0.24197072451914337</c:v>
                </c:pt>
                <c:pt idx="3">
                  <c:v>0.3989422804014327</c:v>
                </c:pt>
                <c:pt idx="4">
                  <c:v>0.24197072451914337</c:v>
                </c:pt>
                <c:pt idx="5">
                  <c:v>5.3990966513188063E-2</c:v>
                </c:pt>
                <c:pt idx="6">
                  <c:v>4.4318484119380075E-3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8E4-46E0-B2EF-745D2BFA5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254959"/>
        <c:axId val="756253711"/>
      </c:lineChart>
      <c:catAx>
        <c:axId val="75625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6253711"/>
        <c:crosses val="autoZero"/>
        <c:auto val="1"/>
        <c:lblAlgn val="ctr"/>
        <c:lblOffset val="100"/>
        <c:noMultiLvlLbl val="0"/>
      </c:catAx>
      <c:valAx>
        <c:axId val="7562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625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Hoja1!$E$136</c:f>
              <c:strCache>
                <c:ptCount val="1"/>
                <c:pt idx="0">
                  <c:v>P(z)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Hoja1!$D$137:$D$143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Hoja1!$E$137:$E$143</c:f>
              <c:numCache>
                <c:formatCode>General</c:formatCode>
                <c:ptCount val="7"/>
                <c:pt idx="0">
                  <c:v>4.4318484119380075E-3</c:v>
                </c:pt>
                <c:pt idx="1">
                  <c:v>5.3990966513188063E-2</c:v>
                </c:pt>
                <c:pt idx="2">
                  <c:v>0.24197072451914337</c:v>
                </c:pt>
                <c:pt idx="3">
                  <c:v>0.3989422804014327</c:v>
                </c:pt>
                <c:pt idx="4">
                  <c:v>0.24197072451914337</c:v>
                </c:pt>
                <c:pt idx="5">
                  <c:v>5.3990966513188063E-2</c:v>
                </c:pt>
                <c:pt idx="6">
                  <c:v>4.4318484119380075E-3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F53-4410-ABA7-F6C54D6CD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984639"/>
        <c:axId val="756985471"/>
      </c:lineChart>
      <c:catAx>
        <c:axId val="75698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6985471"/>
        <c:crosses val="autoZero"/>
        <c:auto val="1"/>
        <c:lblAlgn val="ctr"/>
        <c:lblOffset val="100"/>
        <c:noMultiLvlLbl val="0"/>
      </c:catAx>
      <c:valAx>
        <c:axId val="75698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698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Hoja1!$R$119</c:f>
              <c:strCache>
                <c:ptCount val="1"/>
                <c:pt idx="0">
                  <c:v>P(z)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Hoja1!$Q$120:$Q$126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Hoja1!$R$120:$R$126</c:f>
              <c:numCache>
                <c:formatCode>General</c:formatCode>
                <c:ptCount val="7"/>
                <c:pt idx="0">
                  <c:v>4.4318484119380075E-3</c:v>
                </c:pt>
                <c:pt idx="1">
                  <c:v>5.3990966513188063E-2</c:v>
                </c:pt>
                <c:pt idx="2">
                  <c:v>0.24197072451914337</c:v>
                </c:pt>
                <c:pt idx="3">
                  <c:v>0.3989422804014327</c:v>
                </c:pt>
                <c:pt idx="4">
                  <c:v>0.24197072451914337</c:v>
                </c:pt>
                <c:pt idx="5">
                  <c:v>5.3990966513188063E-2</c:v>
                </c:pt>
                <c:pt idx="6">
                  <c:v>4.4318484119380075E-3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7B8-400E-9527-9B1FAC152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884591"/>
        <c:axId val="765418783"/>
      </c:lineChart>
      <c:catAx>
        <c:axId val="83688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5418783"/>
        <c:crosses val="autoZero"/>
        <c:auto val="1"/>
        <c:lblAlgn val="ctr"/>
        <c:lblOffset val="100"/>
        <c:noMultiLvlLbl val="0"/>
      </c:catAx>
      <c:valAx>
        <c:axId val="76541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688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594925634295722E-2"/>
          <c:y val="5.5555555555555552E-2"/>
          <c:w val="0.87129396325459318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Hoja1!$E$155:$E$161</c:f>
              <c:numCache>
                <c:formatCode>General</c:formatCode>
                <c:ptCount val="7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110</c:v>
                </c:pt>
                <c:pt idx="5">
                  <c:v>130</c:v>
                </c:pt>
                <c:pt idx="6">
                  <c:v>150</c:v>
                </c:pt>
              </c:numCache>
            </c:numRef>
          </c:cat>
          <c:val>
            <c:numRef>
              <c:f>Hoja1!$F$155:$F$161</c:f>
              <c:numCache>
                <c:formatCode>General</c:formatCode>
                <c:ptCount val="7"/>
                <c:pt idx="0">
                  <c:v>2.2159242059690038E-4</c:v>
                </c:pt>
                <c:pt idx="1">
                  <c:v>2.6995483256594031E-3</c:v>
                </c:pt>
                <c:pt idx="2">
                  <c:v>1.2098536225957168E-2</c:v>
                </c:pt>
                <c:pt idx="3">
                  <c:v>1.9947114020071637E-2</c:v>
                </c:pt>
                <c:pt idx="4">
                  <c:v>1.2098536225957168E-2</c:v>
                </c:pt>
                <c:pt idx="5">
                  <c:v>2.6995483256594031E-3</c:v>
                </c:pt>
                <c:pt idx="6">
                  <c:v>2.2159242059690038E-4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D2C-4750-B3F1-9EB1C6161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677039"/>
        <c:axId val="575702959"/>
      </c:lineChart>
      <c:catAx>
        <c:axId val="77167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75702959"/>
        <c:crosses val="autoZero"/>
        <c:auto val="1"/>
        <c:lblAlgn val="ctr"/>
        <c:lblOffset val="100"/>
        <c:noMultiLvlLbl val="0"/>
      </c:catAx>
      <c:valAx>
        <c:axId val="57570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167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Hoja1!$H$191</c:f>
              <c:strCache>
                <c:ptCount val="1"/>
                <c:pt idx="0">
                  <c:v>P(z)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Hoja1!$G$192:$G$198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Hoja1!$H$192:$H$198</c:f>
              <c:numCache>
                <c:formatCode>General</c:formatCode>
                <c:ptCount val="7"/>
                <c:pt idx="0">
                  <c:v>4.4318484119380075E-3</c:v>
                </c:pt>
                <c:pt idx="1">
                  <c:v>5.3990966513188063E-2</c:v>
                </c:pt>
                <c:pt idx="2">
                  <c:v>0.24197072451914337</c:v>
                </c:pt>
                <c:pt idx="3">
                  <c:v>0.3989422804014327</c:v>
                </c:pt>
                <c:pt idx="4">
                  <c:v>0.24197072451914337</c:v>
                </c:pt>
                <c:pt idx="5">
                  <c:v>5.3990966513188063E-2</c:v>
                </c:pt>
                <c:pt idx="6">
                  <c:v>4.4318484119380075E-3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625-4F90-9A44-0FDF11AF3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772719"/>
        <c:axId val="775774383"/>
      </c:lineChart>
      <c:catAx>
        <c:axId val="77577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5774383"/>
        <c:crosses val="autoZero"/>
        <c:auto val="1"/>
        <c:lblAlgn val="ctr"/>
        <c:lblOffset val="100"/>
        <c:noMultiLvlLbl val="0"/>
      </c:catAx>
      <c:valAx>
        <c:axId val="77577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577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594925634295722E-2"/>
          <c:y val="3.7453703703703718E-2"/>
          <c:w val="0.87129396325459318"/>
          <c:h val="0.8551469087197431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Hoja1!$E$176:$E$182</c:f>
              <c:numCache>
                <c:formatCode>General</c:formatCode>
                <c:ptCount val="7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  <c:pt idx="4">
                  <c:v>170</c:v>
                </c:pt>
                <c:pt idx="5">
                  <c:v>180</c:v>
                </c:pt>
                <c:pt idx="6">
                  <c:v>190</c:v>
                </c:pt>
              </c:numCache>
            </c:numRef>
          </c:cat>
          <c:val>
            <c:numRef>
              <c:f>Hoja1!$F$176:$F$182</c:f>
              <c:numCache>
                <c:formatCode>General</c:formatCode>
                <c:ptCount val="7"/>
                <c:pt idx="0">
                  <c:v>4.4318484119380076E-4</c:v>
                </c:pt>
                <c:pt idx="1">
                  <c:v>5.3990966513188061E-3</c:v>
                </c:pt>
                <c:pt idx="2">
                  <c:v>2.4197072451914336E-2</c:v>
                </c:pt>
                <c:pt idx="3">
                  <c:v>3.9894228040143274E-2</c:v>
                </c:pt>
                <c:pt idx="4">
                  <c:v>2.4197072451914336E-2</c:v>
                </c:pt>
                <c:pt idx="5">
                  <c:v>5.3990966513188061E-3</c:v>
                </c:pt>
                <c:pt idx="6">
                  <c:v>4.4318484119380076E-4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15E-40BD-BAB8-7E8C1E339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463183"/>
        <c:axId val="918459439"/>
      </c:lineChart>
      <c:catAx>
        <c:axId val="91846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8459439"/>
        <c:crosses val="autoZero"/>
        <c:auto val="1"/>
        <c:lblAlgn val="ctr"/>
        <c:lblOffset val="100"/>
        <c:noMultiLvlLbl val="0"/>
      </c:catAx>
      <c:valAx>
        <c:axId val="91845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846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483814523184598E-2"/>
          <c:y val="0.17171296296296298"/>
          <c:w val="0.8839606299212597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Hoja1!$F$20</c:f>
              <c:strCache>
                <c:ptCount val="1"/>
                <c:pt idx="0">
                  <c:v>P(X)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Hoja1!$E$21:$E$27</c:f>
              <c:numCache>
                <c:formatCode>General</c:formatCode>
                <c:ptCount val="7"/>
                <c:pt idx="0">
                  <c:v>488.75</c:v>
                </c:pt>
                <c:pt idx="1">
                  <c:v>493.75</c:v>
                </c:pt>
                <c:pt idx="2">
                  <c:v>498.75</c:v>
                </c:pt>
                <c:pt idx="3">
                  <c:v>503.75</c:v>
                </c:pt>
                <c:pt idx="4">
                  <c:v>508.75</c:v>
                </c:pt>
                <c:pt idx="5">
                  <c:v>513.75</c:v>
                </c:pt>
                <c:pt idx="6">
                  <c:v>518.75</c:v>
                </c:pt>
              </c:numCache>
            </c:numRef>
          </c:cat>
          <c:val>
            <c:numRef>
              <c:f>Hoja1!$F$21:$F$27</c:f>
              <c:numCache>
                <c:formatCode>General</c:formatCode>
                <c:ptCount val="7"/>
                <c:pt idx="0">
                  <c:v>8.8636968238760153E-4</c:v>
                </c:pt>
                <c:pt idx="1">
                  <c:v>1.0798193302637612E-2</c:v>
                </c:pt>
                <c:pt idx="2">
                  <c:v>4.8394144903828672E-2</c:v>
                </c:pt>
                <c:pt idx="3">
                  <c:v>7.9788456080286549E-2</c:v>
                </c:pt>
                <c:pt idx="4">
                  <c:v>4.8394144903828672E-2</c:v>
                </c:pt>
                <c:pt idx="5">
                  <c:v>1.0798193302637612E-2</c:v>
                </c:pt>
                <c:pt idx="6">
                  <c:v>8.8636968238760153E-4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4A9-4824-B656-7F69F5355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263936"/>
        <c:axId val="391670368"/>
      </c:lineChart>
      <c:catAx>
        <c:axId val="27626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1670368"/>
        <c:crosses val="autoZero"/>
        <c:auto val="1"/>
        <c:lblAlgn val="ctr"/>
        <c:lblOffset val="100"/>
        <c:noMultiLvlLbl val="0"/>
      </c:catAx>
      <c:valAx>
        <c:axId val="3916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626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58114610673665"/>
          <c:y val="0.14856481481481484"/>
          <c:w val="0.79597440944881892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Hoja1!$E$41:$E$47</c:f>
              <c:numCache>
                <c:formatCode>General</c:formatCode>
                <c:ptCount val="7"/>
                <c:pt idx="0">
                  <c:v>-140</c:v>
                </c:pt>
                <c:pt idx="1">
                  <c:v>-40</c:v>
                </c:pt>
                <c:pt idx="2">
                  <c:v>60</c:v>
                </c:pt>
                <c:pt idx="3">
                  <c:v>160</c:v>
                </c:pt>
                <c:pt idx="4">
                  <c:v>260</c:v>
                </c:pt>
                <c:pt idx="5">
                  <c:v>360</c:v>
                </c:pt>
                <c:pt idx="6">
                  <c:v>460</c:v>
                </c:pt>
              </c:numCache>
            </c:numRef>
          </c:cat>
          <c:val>
            <c:numRef>
              <c:f>Hoja1!$F$41:$F$47</c:f>
              <c:numCache>
                <c:formatCode>General</c:formatCode>
                <c:ptCount val="7"/>
                <c:pt idx="0" formatCode="0.00000E+00">
                  <c:v>4.4318484119380074E-5</c:v>
                </c:pt>
                <c:pt idx="1">
                  <c:v>5.3990966513188055E-4</c:v>
                </c:pt>
                <c:pt idx="2">
                  <c:v>2.4197072451914337E-3</c:v>
                </c:pt>
                <c:pt idx="3">
                  <c:v>3.9894228040143268E-3</c:v>
                </c:pt>
                <c:pt idx="4">
                  <c:v>2.4197072451914337E-3</c:v>
                </c:pt>
                <c:pt idx="5">
                  <c:v>5.3990966513188055E-4</c:v>
                </c:pt>
                <c:pt idx="6">
                  <c:v>4.4318484119380074E-5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57C-4724-9EA1-0FA881380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638112"/>
        <c:axId val="1937638528"/>
      </c:lineChart>
      <c:catAx>
        <c:axId val="193763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37638528"/>
        <c:crosses val="autoZero"/>
        <c:auto val="1"/>
        <c:lblAlgn val="ctr"/>
        <c:lblOffset val="100"/>
        <c:noMultiLvlLbl val="0"/>
      </c:catAx>
      <c:valAx>
        <c:axId val="19376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3763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Hoja1!$R$41:$R$47</c:f>
              <c:numCache>
                <c:formatCode>General</c:formatCode>
                <c:ptCount val="7"/>
                <c:pt idx="0">
                  <c:v>412.15999999999997</c:v>
                </c:pt>
                <c:pt idx="1">
                  <c:v>478.23999999999995</c:v>
                </c:pt>
                <c:pt idx="2">
                  <c:v>544.31999999999994</c:v>
                </c:pt>
                <c:pt idx="3">
                  <c:v>610.4</c:v>
                </c:pt>
                <c:pt idx="4">
                  <c:v>676.48</c:v>
                </c:pt>
                <c:pt idx="5">
                  <c:v>742.56000000000006</c:v>
                </c:pt>
                <c:pt idx="6">
                  <c:v>808.6400000000001</c:v>
                </c:pt>
              </c:numCache>
            </c:numRef>
          </c:cat>
          <c:val>
            <c:numRef>
              <c:f>Hoja1!$S$41:$S$47</c:f>
              <c:numCache>
                <c:formatCode>General</c:formatCode>
                <c:ptCount val="7"/>
                <c:pt idx="0" formatCode="0.00000E+00">
                  <c:v>6.7067923909473477E-5</c:v>
                </c:pt>
                <c:pt idx="1">
                  <c:v>8.1705457798407998E-4</c:v>
                </c:pt>
                <c:pt idx="2">
                  <c:v>3.6617845720209323E-3</c:v>
                </c:pt>
                <c:pt idx="3">
                  <c:v>6.0372621126124808E-3</c:v>
                </c:pt>
                <c:pt idx="4">
                  <c:v>3.6617845720209323E-3</c:v>
                </c:pt>
                <c:pt idx="5">
                  <c:v>8.1705457798407857E-4</c:v>
                </c:pt>
                <c:pt idx="6">
                  <c:v>6.7067923909473124E-5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9F4-4DF1-B7DC-D910A82DB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112752"/>
        <c:axId val="2133113168"/>
      </c:lineChart>
      <c:catAx>
        <c:axId val="213311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33113168"/>
        <c:crosses val="autoZero"/>
        <c:auto val="1"/>
        <c:lblAlgn val="ctr"/>
        <c:lblOffset val="100"/>
        <c:noMultiLvlLbl val="0"/>
      </c:catAx>
      <c:valAx>
        <c:axId val="21331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3311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Hoja1!$D$58:$D$64</c:f>
              <c:numCache>
                <c:formatCode>General</c:formatCode>
                <c:ptCount val="7"/>
                <c:pt idx="0">
                  <c:v>161</c:v>
                </c:pt>
                <c:pt idx="1">
                  <c:v>165</c:v>
                </c:pt>
                <c:pt idx="2">
                  <c:v>169</c:v>
                </c:pt>
                <c:pt idx="3">
                  <c:v>173</c:v>
                </c:pt>
                <c:pt idx="4">
                  <c:v>177</c:v>
                </c:pt>
                <c:pt idx="5">
                  <c:v>181</c:v>
                </c:pt>
                <c:pt idx="6">
                  <c:v>185</c:v>
                </c:pt>
              </c:numCache>
            </c:numRef>
          </c:cat>
          <c:val>
            <c:numRef>
              <c:f>Hoja1!$E$58:$E$64</c:f>
              <c:numCache>
                <c:formatCode>General</c:formatCode>
                <c:ptCount val="7"/>
                <c:pt idx="0">
                  <c:v>1.1079621029845019E-3</c:v>
                </c:pt>
                <c:pt idx="1">
                  <c:v>1.3497741628297016E-2</c:v>
                </c:pt>
                <c:pt idx="2">
                  <c:v>6.0492681129785841E-2</c:v>
                </c:pt>
                <c:pt idx="3">
                  <c:v>9.9735570100358176E-2</c:v>
                </c:pt>
                <c:pt idx="4">
                  <c:v>6.0492681129785841E-2</c:v>
                </c:pt>
                <c:pt idx="5">
                  <c:v>1.3497741628297016E-2</c:v>
                </c:pt>
                <c:pt idx="6">
                  <c:v>1.1079621029845019E-3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CFC-45A3-B2A0-5B2D261A3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58768"/>
        <c:axId val="2134764176"/>
      </c:lineChart>
      <c:catAx>
        <c:axId val="213475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34764176"/>
        <c:crosses val="autoZero"/>
        <c:auto val="1"/>
        <c:lblAlgn val="ctr"/>
        <c:lblOffset val="100"/>
        <c:noMultiLvlLbl val="0"/>
      </c:catAx>
      <c:valAx>
        <c:axId val="21347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3475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483814523184598E-2"/>
          <c:y val="6.0185185185185182E-2"/>
          <c:w val="0.88396062992125979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Hoja1!$D$76:$D$82</c:f>
              <c:numCache>
                <c:formatCode>General</c:formatCode>
                <c:ptCount val="7"/>
                <c:pt idx="0">
                  <c:v>33.400000000000006</c:v>
                </c:pt>
                <c:pt idx="1">
                  <c:v>40.200000000000003</c:v>
                </c:pt>
                <c:pt idx="2">
                  <c:v>47</c:v>
                </c:pt>
                <c:pt idx="3">
                  <c:v>53.8</c:v>
                </c:pt>
                <c:pt idx="4">
                  <c:v>60.599999999999994</c:v>
                </c:pt>
                <c:pt idx="5">
                  <c:v>67.399999999999991</c:v>
                </c:pt>
                <c:pt idx="6">
                  <c:v>74.199999999999989</c:v>
                </c:pt>
              </c:numCache>
            </c:numRef>
          </c:cat>
          <c:val>
            <c:numRef>
              <c:f>Hoja1!$E$76:$E$82</c:f>
              <c:numCache>
                <c:formatCode>General</c:formatCode>
                <c:ptCount val="7"/>
                <c:pt idx="0">
                  <c:v>6.5174241352029751E-4</c:v>
                </c:pt>
                <c:pt idx="1">
                  <c:v>7.9398480166453164E-3</c:v>
                </c:pt>
                <c:pt idx="2">
                  <c:v>3.5583930076344625E-2</c:v>
                </c:pt>
                <c:pt idx="3">
                  <c:v>5.8667982411975399E-2</c:v>
                </c:pt>
                <c:pt idx="4">
                  <c:v>3.5583930076344625E-2</c:v>
                </c:pt>
                <c:pt idx="5">
                  <c:v>7.9398480166453164E-3</c:v>
                </c:pt>
                <c:pt idx="6">
                  <c:v>6.5174241352029751E-4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A10-4794-9BCE-EAEF05C4B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972959"/>
        <c:axId val="1632986687"/>
      </c:lineChart>
      <c:catAx>
        <c:axId val="163297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2986687"/>
        <c:crosses val="autoZero"/>
        <c:auto val="1"/>
        <c:lblAlgn val="ctr"/>
        <c:lblOffset val="100"/>
        <c:noMultiLvlLbl val="0"/>
      </c:catAx>
      <c:valAx>
        <c:axId val="163298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297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Hoja1!$Q$76:$Q$82</c:f>
              <c:numCache>
                <c:formatCode>General</c:formatCode>
                <c:ptCount val="7"/>
                <c:pt idx="0">
                  <c:v>3.2000000000000006</c:v>
                </c:pt>
                <c:pt idx="1">
                  <c:v>4.3000000000000007</c:v>
                </c:pt>
                <c:pt idx="2">
                  <c:v>5.4</c:v>
                </c:pt>
                <c:pt idx="3">
                  <c:v>6.5</c:v>
                </c:pt>
                <c:pt idx="4">
                  <c:v>7.6</c:v>
                </c:pt>
                <c:pt idx="5">
                  <c:v>8.6999999999999993</c:v>
                </c:pt>
                <c:pt idx="6">
                  <c:v>9.7999999999999989</c:v>
                </c:pt>
              </c:numCache>
            </c:numRef>
          </c:cat>
          <c:val>
            <c:numRef>
              <c:f>Hoja1!$R$76:$R$82</c:f>
              <c:numCache>
                <c:formatCode>General</c:formatCode>
                <c:ptCount val="7"/>
                <c:pt idx="0">
                  <c:v>4.0289531017618351E-3</c:v>
                </c:pt>
                <c:pt idx="1">
                  <c:v>4.9082696830171038E-2</c:v>
                </c:pt>
                <c:pt idx="2">
                  <c:v>0.21997338592649404</c:v>
                </c:pt>
                <c:pt idx="3">
                  <c:v>0.36267480036493882</c:v>
                </c:pt>
                <c:pt idx="4">
                  <c:v>0.21997338592649404</c:v>
                </c:pt>
                <c:pt idx="5">
                  <c:v>4.9082696830171038E-2</c:v>
                </c:pt>
                <c:pt idx="6">
                  <c:v>4.0289531017618395E-3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B68-4129-ACBD-F7B73592E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325999"/>
        <c:axId val="1662323087"/>
      </c:lineChart>
      <c:catAx>
        <c:axId val="166232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62323087"/>
        <c:crosses val="autoZero"/>
        <c:auto val="1"/>
        <c:lblAlgn val="ctr"/>
        <c:lblOffset val="100"/>
        <c:noMultiLvlLbl val="0"/>
      </c:catAx>
      <c:valAx>
        <c:axId val="166232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6232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Hoja1!$D$98:$D$104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Hoja1!$E$98:$E$104</c:f>
              <c:numCache>
                <c:formatCode>General</c:formatCode>
                <c:ptCount val="7"/>
                <c:pt idx="0">
                  <c:v>4.4318484119380075E-3</c:v>
                </c:pt>
                <c:pt idx="1">
                  <c:v>5.3990966513188063E-2</c:v>
                </c:pt>
                <c:pt idx="2">
                  <c:v>0.24197072451914337</c:v>
                </c:pt>
                <c:pt idx="3">
                  <c:v>0.3989422804014327</c:v>
                </c:pt>
                <c:pt idx="4">
                  <c:v>0.24197072451914337</c:v>
                </c:pt>
                <c:pt idx="5">
                  <c:v>5.3990966513188063E-2</c:v>
                </c:pt>
                <c:pt idx="6">
                  <c:v>4.4318484119380075E-3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222-4088-9E7F-BF69110E7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136528"/>
        <c:axId val="416143600"/>
      </c:lineChart>
      <c:catAx>
        <c:axId val="41613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6143600"/>
        <c:crosses val="autoZero"/>
        <c:auto val="1"/>
        <c:lblAlgn val="ctr"/>
        <c:lblOffset val="100"/>
        <c:noMultiLvlLbl val="0"/>
      </c:catAx>
      <c:valAx>
        <c:axId val="4161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613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Hoja1!$R$97</c:f>
              <c:strCache>
                <c:ptCount val="1"/>
                <c:pt idx="0">
                  <c:v>P(z)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Hoja1!$Q$98:$Q$104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Hoja1!$R$98:$R$104</c:f>
              <c:numCache>
                <c:formatCode>General</c:formatCode>
                <c:ptCount val="7"/>
                <c:pt idx="0">
                  <c:v>4.4318484119380075E-3</c:v>
                </c:pt>
                <c:pt idx="1">
                  <c:v>5.3990966513188063E-2</c:v>
                </c:pt>
                <c:pt idx="2">
                  <c:v>0.24197072451914337</c:v>
                </c:pt>
                <c:pt idx="3">
                  <c:v>0.3989422804014327</c:v>
                </c:pt>
                <c:pt idx="4">
                  <c:v>0.24197072451914337</c:v>
                </c:pt>
                <c:pt idx="5">
                  <c:v>5.3990966513188063E-2</c:v>
                </c:pt>
                <c:pt idx="6">
                  <c:v>4.4318484119380075E-3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CE3-40A2-8319-9C07AB9F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227984"/>
        <c:axId val="741235888"/>
      </c:lineChart>
      <c:catAx>
        <c:axId val="74122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41235888"/>
        <c:crosses val="autoZero"/>
        <c:auto val="1"/>
        <c:lblAlgn val="ctr"/>
        <c:lblOffset val="100"/>
        <c:noMultiLvlLbl val="0"/>
      </c:catAx>
      <c:valAx>
        <c:axId val="7412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4122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161925</xdr:rowOff>
    </xdr:from>
    <xdr:to>
      <xdr:col>12</xdr:col>
      <xdr:colOff>323850</xdr:colOff>
      <xdr:row>15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4E54A1-AF93-4CFC-BA11-340C0D0DC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566737</xdr:colOff>
      <xdr:row>13</xdr:row>
      <xdr:rowOff>180975</xdr:rowOff>
    </xdr:from>
    <xdr:to>
      <xdr:col>7</xdr:col>
      <xdr:colOff>314325</xdr:colOff>
      <xdr:row>15</xdr:row>
      <xdr:rowOff>66675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8BA2305-89CC-47D7-8163-CB972DCD2EFF}"/>
            </a:ext>
          </a:extLst>
        </xdr:cNvPr>
        <xdr:cNvSpPr txBox="1"/>
      </xdr:nvSpPr>
      <xdr:spPr>
        <a:xfrm>
          <a:off x="4224337" y="2657475"/>
          <a:ext cx="357188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y1</a:t>
          </a:r>
        </a:p>
      </xdr:txBody>
    </xdr:sp>
    <xdr:clientData/>
  </xdr:twoCellAnchor>
  <xdr:twoCellAnchor>
    <xdr:from>
      <xdr:col>8</xdr:col>
      <xdr:colOff>395287</xdr:colOff>
      <xdr:row>3</xdr:row>
      <xdr:rowOff>66675</xdr:rowOff>
    </xdr:from>
    <xdr:to>
      <xdr:col>9</xdr:col>
      <xdr:colOff>238125</xdr:colOff>
      <xdr:row>4</xdr:row>
      <xdr:rowOff>171450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DF05BDBD-503E-4E81-9B02-66692EA69D5A}"/>
            </a:ext>
          </a:extLst>
        </xdr:cNvPr>
        <xdr:cNvSpPr txBox="1"/>
      </xdr:nvSpPr>
      <xdr:spPr>
        <a:xfrm>
          <a:off x="5272087" y="638175"/>
          <a:ext cx="452438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0,99</a:t>
          </a:r>
        </a:p>
        <a:p>
          <a:endParaRPr lang="es-AR" sz="1100"/>
        </a:p>
      </xdr:txBody>
    </xdr:sp>
    <xdr:clientData/>
  </xdr:twoCellAnchor>
  <xdr:twoCellAnchor>
    <xdr:from>
      <xdr:col>10</xdr:col>
      <xdr:colOff>414337</xdr:colOff>
      <xdr:row>13</xdr:row>
      <xdr:rowOff>142875</xdr:rowOff>
    </xdr:from>
    <xdr:to>
      <xdr:col>11</xdr:col>
      <xdr:colOff>133350</xdr:colOff>
      <xdr:row>15</xdr:row>
      <xdr:rowOff>47625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10E76076-CD9B-47F6-9FDF-0D3C36938A10}"/>
            </a:ext>
          </a:extLst>
        </xdr:cNvPr>
        <xdr:cNvSpPr txBox="1"/>
      </xdr:nvSpPr>
      <xdr:spPr>
        <a:xfrm>
          <a:off x="6510337" y="2619375"/>
          <a:ext cx="328613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y2</a:t>
          </a:r>
        </a:p>
      </xdr:txBody>
    </xdr:sp>
    <xdr:clientData/>
  </xdr:twoCellAnchor>
  <xdr:twoCellAnchor>
    <xdr:from>
      <xdr:col>11</xdr:col>
      <xdr:colOff>138111</xdr:colOff>
      <xdr:row>3</xdr:row>
      <xdr:rowOff>57150</xdr:rowOff>
    </xdr:from>
    <xdr:to>
      <xdr:col>12</xdr:col>
      <xdr:colOff>47624</xdr:colOff>
      <xdr:row>4</xdr:row>
      <xdr:rowOff>152400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E82BA284-29EB-4FDC-BC43-B7BFE031A981}"/>
            </a:ext>
          </a:extLst>
        </xdr:cNvPr>
        <xdr:cNvSpPr txBox="1"/>
      </xdr:nvSpPr>
      <xdr:spPr>
        <a:xfrm>
          <a:off x="6843711" y="628650"/>
          <a:ext cx="519113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0,005</a:t>
          </a:r>
        </a:p>
      </xdr:txBody>
    </xdr:sp>
    <xdr:clientData/>
  </xdr:twoCellAnchor>
  <xdr:twoCellAnchor>
    <xdr:from>
      <xdr:col>5</xdr:col>
      <xdr:colOff>552450</xdr:colOff>
      <xdr:row>3</xdr:row>
      <xdr:rowOff>76200</xdr:rowOff>
    </xdr:from>
    <xdr:to>
      <xdr:col>6</xdr:col>
      <xdr:colOff>457200</xdr:colOff>
      <xdr:row>4</xdr:row>
      <xdr:rowOff>171450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480D4CAF-CF7E-4489-A96F-9C92AB394093}"/>
            </a:ext>
          </a:extLst>
        </xdr:cNvPr>
        <xdr:cNvSpPr txBox="1"/>
      </xdr:nvSpPr>
      <xdr:spPr>
        <a:xfrm>
          <a:off x="3600450" y="647700"/>
          <a:ext cx="51435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0,005</a:t>
          </a:r>
        </a:p>
      </xdr:txBody>
    </xdr:sp>
    <xdr:clientData/>
  </xdr:twoCellAnchor>
  <xdr:twoCellAnchor>
    <xdr:from>
      <xdr:col>6</xdr:col>
      <xdr:colOff>33337</xdr:colOff>
      <xdr:row>18</xdr:row>
      <xdr:rowOff>171450</xdr:rowOff>
    </xdr:from>
    <xdr:to>
      <xdr:col>13</xdr:col>
      <xdr:colOff>338137</xdr:colOff>
      <xdr:row>33</xdr:row>
      <xdr:rowOff>57150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1086B24-0C38-4C65-9F99-7CFFDDA50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376237</xdr:colOff>
      <xdr:row>20</xdr:row>
      <xdr:rowOff>123825</xdr:rowOff>
    </xdr:from>
    <xdr:to>
      <xdr:col>10</xdr:col>
      <xdr:colOff>219075</xdr:colOff>
      <xdr:row>22</xdr:row>
      <xdr:rowOff>38100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577711B0-1B57-4B4C-A359-4580A464498B}"/>
            </a:ext>
          </a:extLst>
        </xdr:cNvPr>
        <xdr:cNvSpPr txBox="1"/>
      </xdr:nvSpPr>
      <xdr:spPr>
        <a:xfrm>
          <a:off x="6043612" y="3933825"/>
          <a:ext cx="452438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0,9</a:t>
          </a:r>
        </a:p>
        <a:p>
          <a:endParaRPr lang="es-AR" sz="1100"/>
        </a:p>
      </xdr:txBody>
    </xdr:sp>
    <xdr:clientData/>
  </xdr:twoCellAnchor>
  <xdr:twoCellAnchor>
    <xdr:from>
      <xdr:col>11</xdr:col>
      <xdr:colOff>576261</xdr:colOff>
      <xdr:row>21</xdr:row>
      <xdr:rowOff>161925</xdr:rowOff>
    </xdr:from>
    <xdr:to>
      <xdr:col>12</xdr:col>
      <xdr:colOff>504824</xdr:colOff>
      <xdr:row>23</xdr:row>
      <xdr:rowOff>76200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E40B0F66-10A5-4C4C-AFD5-30B31C1E24A6}"/>
            </a:ext>
          </a:extLst>
        </xdr:cNvPr>
        <xdr:cNvSpPr txBox="1"/>
      </xdr:nvSpPr>
      <xdr:spPr>
        <a:xfrm>
          <a:off x="7462836" y="4162425"/>
          <a:ext cx="538163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0,05</a:t>
          </a:r>
        </a:p>
        <a:p>
          <a:endParaRPr lang="es-AR" sz="1100"/>
        </a:p>
      </xdr:txBody>
    </xdr:sp>
    <xdr:clientData/>
  </xdr:twoCellAnchor>
  <xdr:twoCellAnchor>
    <xdr:from>
      <xdr:col>7</xdr:col>
      <xdr:colOff>128585</xdr:colOff>
      <xdr:row>21</xdr:row>
      <xdr:rowOff>104775</xdr:rowOff>
    </xdr:from>
    <xdr:to>
      <xdr:col>8</xdr:col>
      <xdr:colOff>66674</xdr:colOff>
      <xdr:row>23</xdr:row>
      <xdr:rowOff>19050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C5853CB-78AE-4C37-A140-D5197C9424E0}"/>
            </a:ext>
          </a:extLst>
        </xdr:cNvPr>
        <xdr:cNvSpPr txBox="1"/>
      </xdr:nvSpPr>
      <xdr:spPr>
        <a:xfrm>
          <a:off x="4576760" y="4105275"/>
          <a:ext cx="547689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0,05</a:t>
          </a:r>
        </a:p>
        <a:p>
          <a:endParaRPr lang="es-AR" sz="1100"/>
        </a:p>
      </xdr:txBody>
    </xdr:sp>
    <xdr:clientData/>
  </xdr:twoCellAnchor>
  <xdr:twoCellAnchor>
    <xdr:from>
      <xdr:col>11</xdr:col>
      <xdr:colOff>204787</xdr:colOff>
      <xdr:row>31</xdr:row>
      <xdr:rowOff>142875</xdr:rowOff>
    </xdr:from>
    <xdr:to>
      <xdr:col>12</xdr:col>
      <xdr:colOff>47625</xdr:colOff>
      <xdr:row>33</xdr:row>
      <xdr:rowOff>57150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1B0C3480-1C36-4E64-8CE5-EA5B9DB0491A}"/>
            </a:ext>
          </a:extLst>
        </xdr:cNvPr>
        <xdr:cNvSpPr txBox="1"/>
      </xdr:nvSpPr>
      <xdr:spPr>
        <a:xfrm>
          <a:off x="7091362" y="6048375"/>
          <a:ext cx="452438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y1</a:t>
          </a:r>
        </a:p>
        <a:p>
          <a:endParaRPr lang="es-AR" sz="1100"/>
        </a:p>
      </xdr:txBody>
    </xdr:sp>
    <xdr:clientData/>
  </xdr:twoCellAnchor>
  <xdr:twoCellAnchor>
    <xdr:from>
      <xdr:col>7</xdr:col>
      <xdr:colOff>585787</xdr:colOff>
      <xdr:row>31</xdr:row>
      <xdr:rowOff>104775</xdr:rowOff>
    </xdr:from>
    <xdr:to>
      <xdr:col>8</xdr:col>
      <xdr:colOff>428625</xdr:colOff>
      <xdr:row>33</xdr:row>
      <xdr:rowOff>19050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171F37EA-151B-4590-B718-4AA29E739667}"/>
            </a:ext>
          </a:extLst>
        </xdr:cNvPr>
        <xdr:cNvSpPr txBox="1"/>
      </xdr:nvSpPr>
      <xdr:spPr>
        <a:xfrm>
          <a:off x="5033962" y="6010275"/>
          <a:ext cx="452438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y1</a:t>
          </a:r>
        </a:p>
        <a:p>
          <a:endParaRPr lang="es-AR" sz="1100"/>
        </a:p>
      </xdr:txBody>
    </xdr:sp>
    <xdr:clientData/>
  </xdr:twoCellAnchor>
  <xdr:twoCellAnchor>
    <xdr:from>
      <xdr:col>8</xdr:col>
      <xdr:colOff>183356</xdr:colOff>
      <xdr:row>21</xdr:row>
      <xdr:rowOff>0</xdr:rowOff>
    </xdr:from>
    <xdr:to>
      <xdr:col>8</xdr:col>
      <xdr:colOff>190500</xdr:colOff>
      <xdr:row>31</xdr:row>
      <xdr:rowOff>95250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D9B47271-E211-4270-8260-E485A0F20ED5}"/>
            </a:ext>
          </a:extLst>
        </xdr:cNvPr>
        <xdr:cNvCxnSpPr/>
      </xdr:nvCxnSpPr>
      <xdr:spPr>
        <a:xfrm flipV="1">
          <a:off x="5241131" y="4000500"/>
          <a:ext cx="7144" cy="2000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431006</xdr:colOff>
      <xdr:row>21</xdr:row>
      <xdr:rowOff>19050</xdr:rowOff>
    </xdr:from>
    <xdr:to>
      <xdr:col>11</xdr:col>
      <xdr:colOff>447675</xdr:colOff>
      <xdr:row>31</xdr:row>
      <xdr:rowOff>142875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2A45DF89-01F0-4D53-AFE2-8BBD002489FD}"/>
            </a:ext>
          </a:extLst>
        </xdr:cNvPr>
        <xdr:cNvCxnSpPr>
          <a:stCxn id="12" idx="0"/>
        </xdr:cNvCxnSpPr>
      </xdr:nvCxnSpPr>
      <xdr:spPr>
        <a:xfrm flipV="1">
          <a:off x="7317581" y="4019550"/>
          <a:ext cx="16669" cy="2028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39</xdr:row>
      <xdr:rowOff>180975</xdr:rowOff>
    </xdr:from>
    <xdr:to>
      <xdr:col>13</xdr:col>
      <xdr:colOff>323850</xdr:colOff>
      <xdr:row>54</xdr:row>
      <xdr:rowOff>66675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D2D78062-D07F-457D-937C-93542233C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8</xdr:col>
      <xdr:colOff>123825</xdr:colOff>
      <xdr:row>53</xdr:row>
      <xdr:rowOff>114300</xdr:rowOff>
    </xdr:from>
    <xdr:ext cx="361950" cy="264560"/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E77A4651-D356-4C0C-8854-1687040053FC}"/>
            </a:ext>
          </a:extLst>
        </xdr:cNvPr>
        <xdr:cNvSpPr txBox="1"/>
      </xdr:nvSpPr>
      <xdr:spPr>
        <a:xfrm>
          <a:off x="5276850" y="10210800"/>
          <a:ext cx="361950" cy="26456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AR" sz="1100"/>
            <a:t>X1</a:t>
          </a:r>
        </a:p>
      </xdr:txBody>
    </xdr:sp>
    <xdr:clientData/>
  </xdr:oneCellAnchor>
  <xdr:oneCellAnchor>
    <xdr:from>
      <xdr:col>11</xdr:col>
      <xdr:colOff>438151</xdr:colOff>
      <xdr:row>53</xdr:row>
      <xdr:rowOff>114300</xdr:rowOff>
    </xdr:from>
    <xdr:ext cx="342900" cy="257175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68448AE5-5FB3-4D0E-BD1A-0ACFE32BB1A3}"/>
            </a:ext>
          </a:extLst>
        </xdr:cNvPr>
        <xdr:cNvSpPr txBox="1"/>
      </xdr:nvSpPr>
      <xdr:spPr>
        <a:xfrm>
          <a:off x="7419976" y="10210800"/>
          <a:ext cx="342900" cy="257175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AR" sz="1100"/>
            <a:t>X2</a:t>
          </a:r>
        </a:p>
      </xdr:txBody>
    </xdr:sp>
    <xdr:clientData/>
  </xdr:oneCellAnchor>
  <xdr:twoCellAnchor>
    <xdr:from>
      <xdr:col>8</xdr:col>
      <xdr:colOff>590550</xdr:colOff>
      <xdr:row>42</xdr:row>
      <xdr:rowOff>38100</xdr:rowOff>
    </xdr:from>
    <xdr:to>
      <xdr:col>9</xdr:col>
      <xdr:colOff>0</xdr:colOff>
      <xdr:row>52</xdr:row>
      <xdr:rowOff>95250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EF606CA5-0AB8-4F90-B13C-E57C9A1D892B}"/>
            </a:ext>
          </a:extLst>
        </xdr:cNvPr>
        <xdr:cNvCxnSpPr/>
      </xdr:nvCxnSpPr>
      <xdr:spPr>
        <a:xfrm flipV="1">
          <a:off x="5743575" y="8039100"/>
          <a:ext cx="19050" cy="1962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523875</xdr:colOff>
      <xdr:row>53</xdr:row>
      <xdr:rowOff>123825</xdr:rowOff>
    </xdr:from>
    <xdr:ext cx="352426" cy="276226"/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1CC7A55B-099D-4B64-A56F-6FD71EAFDD4B}"/>
            </a:ext>
          </a:extLst>
        </xdr:cNvPr>
        <xdr:cNvSpPr txBox="1"/>
      </xdr:nvSpPr>
      <xdr:spPr>
        <a:xfrm>
          <a:off x="5676900" y="10220325"/>
          <a:ext cx="352426" cy="27622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AR" sz="1100"/>
            <a:t>Y1</a:t>
          </a:r>
        </a:p>
      </xdr:txBody>
    </xdr:sp>
    <xdr:clientData/>
  </xdr:oneCellAnchor>
  <xdr:oneCellAnchor>
    <xdr:from>
      <xdr:col>11</xdr:col>
      <xdr:colOff>105821</xdr:colOff>
      <xdr:row>53</xdr:row>
      <xdr:rowOff>104775</xdr:rowOff>
    </xdr:from>
    <xdr:ext cx="322804" cy="264560"/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C02C9B93-EA0B-4EFC-98E0-DEFFD96AC5C2}"/>
            </a:ext>
          </a:extLst>
        </xdr:cNvPr>
        <xdr:cNvSpPr txBox="1"/>
      </xdr:nvSpPr>
      <xdr:spPr>
        <a:xfrm flipH="1">
          <a:off x="7087646" y="10201275"/>
          <a:ext cx="322804" cy="2645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AR" sz="1100"/>
            <a:t>Y2</a:t>
          </a:r>
        </a:p>
      </xdr:txBody>
    </xdr:sp>
    <xdr:clientData/>
  </xdr:oneCellAnchor>
  <xdr:oneCellAnchor>
    <xdr:from>
      <xdr:col>7</xdr:col>
      <xdr:colOff>561975</xdr:colOff>
      <xdr:row>47</xdr:row>
      <xdr:rowOff>152400</xdr:rowOff>
    </xdr:from>
    <xdr:ext cx="457200" cy="264560"/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4A862B7F-CDEB-44F6-BC5B-50F6EEDE870D}"/>
            </a:ext>
          </a:extLst>
        </xdr:cNvPr>
        <xdr:cNvSpPr txBox="1"/>
      </xdr:nvSpPr>
      <xdr:spPr>
        <a:xfrm>
          <a:off x="5105400" y="9105900"/>
          <a:ext cx="4572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AR" sz="1100">
              <a:solidFill>
                <a:schemeClr val="accent1">
                  <a:lumMod val="60000"/>
                  <a:lumOff val="40000"/>
                </a:schemeClr>
              </a:solidFill>
            </a:rPr>
            <a:t>0,05</a:t>
          </a:r>
        </a:p>
      </xdr:txBody>
    </xdr:sp>
    <xdr:clientData/>
  </xdr:oneCellAnchor>
  <xdr:oneCellAnchor>
    <xdr:from>
      <xdr:col>11</xdr:col>
      <xdr:colOff>533400</xdr:colOff>
      <xdr:row>47</xdr:row>
      <xdr:rowOff>142875</xdr:rowOff>
    </xdr:from>
    <xdr:ext cx="457200" cy="264560"/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1A58537E-AA96-483C-9B85-9E18D24958C8}"/>
            </a:ext>
          </a:extLst>
        </xdr:cNvPr>
        <xdr:cNvSpPr txBox="1"/>
      </xdr:nvSpPr>
      <xdr:spPr>
        <a:xfrm>
          <a:off x="7515225" y="9096375"/>
          <a:ext cx="4572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AR" sz="1100">
              <a:solidFill>
                <a:schemeClr val="accent1">
                  <a:lumMod val="60000"/>
                  <a:lumOff val="40000"/>
                </a:schemeClr>
              </a:solidFill>
            </a:rPr>
            <a:t>0,05</a:t>
          </a:r>
        </a:p>
      </xdr:txBody>
    </xdr:sp>
    <xdr:clientData/>
  </xdr:oneCellAnchor>
  <xdr:oneCellAnchor>
    <xdr:from>
      <xdr:col>9</xdr:col>
      <xdr:colOff>495300</xdr:colOff>
      <xdr:row>47</xdr:row>
      <xdr:rowOff>133350</xdr:rowOff>
    </xdr:from>
    <xdr:ext cx="457200" cy="264560"/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8457C300-BD38-4DB3-85F8-F254877F796E}"/>
            </a:ext>
          </a:extLst>
        </xdr:cNvPr>
        <xdr:cNvSpPr txBox="1"/>
      </xdr:nvSpPr>
      <xdr:spPr>
        <a:xfrm>
          <a:off x="6257925" y="9086850"/>
          <a:ext cx="4572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AR" sz="1100">
              <a:solidFill>
                <a:schemeClr val="accent1">
                  <a:lumMod val="60000"/>
                  <a:lumOff val="40000"/>
                </a:schemeClr>
              </a:solidFill>
            </a:rPr>
            <a:t>0,90</a:t>
          </a:r>
        </a:p>
      </xdr:txBody>
    </xdr:sp>
    <xdr:clientData/>
  </xdr:oneCellAnchor>
  <xdr:twoCellAnchor>
    <xdr:from>
      <xdr:col>19</xdr:col>
      <xdr:colOff>28575</xdr:colOff>
      <xdr:row>39</xdr:row>
      <xdr:rowOff>152400</xdr:rowOff>
    </xdr:from>
    <xdr:to>
      <xdr:col>26</xdr:col>
      <xdr:colOff>333375</xdr:colOff>
      <xdr:row>54</xdr:row>
      <xdr:rowOff>38100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368534B2-695C-4F00-BB74-410D95AC4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9525</xdr:colOff>
      <xdr:row>56</xdr:row>
      <xdr:rowOff>171450</xdr:rowOff>
    </xdr:from>
    <xdr:to>
      <xdr:col>12</xdr:col>
      <xdr:colOff>38100</xdr:colOff>
      <xdr:row>71</xdr:row>
      <xdr:rowOff>57150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1F493B71-A02D-4C7C-8CC1-CD03D92A5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219075</xdr:colOff>
      <xdr:row>59</xdr:row>
      <xdr:rowOff>28575</xdr:rowOff>
    </xdr:from>
    <xdr:to>
      <xdr:col>10</xdr:col>
      <xdr:colOff>219075</xdr:colOff>
      <xdr:row>69</xdr:row>
      <xdr:rowOff>133350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2E194696-FA8F-4CA7-AF5A-2D9D79B5794A}"/>
            </a:ext>
          </a:extLst>
        </xdr:cNvPr>
        <xdr:cNvCxnSpPr/>
      </xdr:nvCxnSpPr>
      <xdr:spPr>
        <a:xfrm flipV="1">
          <a:off x="6591300" y="11268075"/>
          <a:ext cx="0" cy="2009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74</xdr:row>
      <xdr:rowOff>161925</xdr:rowOff>
    </xdr:from>
    <xdr:to>
      <xdr:col>12</xdr:col>
      <xdr:colOff>47625</xdr:colOff>
      <xdr:row>89</xdr:row>
      <xdr:rowOff>47625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7DF20E8-B614-436A-BDA7-BAF0B69DF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28575</xdr:colOff>
      <xdr:row>74</xdr:row>
      <xdr:rowOff>152400</xdr:rowOff>
    </xdr:from>
    <xdr:to>
      <xdr:col>25</xdr:col>
      <xdr:colOff>133350</xdr:colOff>
      <xdr:row>89</xdr:row>
      <xdr:rowOff>38100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3071B97A-28A7-4E84-B297-9817D1B06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428625</xdr:colOff>
      <xdr:row>77</xdr:row>
      <xdr:rowOff>28575</xdr:rowOff>
    </xdr:from>
    <xdr:to>
      <xdr:col>6</xdr:col>
      <xdr:colOff>457200</xdr:colOff>
      <xdr:row>87</xdr:row>
      <xdr:rowOff>142875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BA131500-6DF1-4F7C-B7A5-3AF0DD619A06}"/>
            </a:ext>
          </a:extLst>
        </xdr:cNvPr>
        <xdr:cNvCxnSpPr/>
      </xdr:nvCxnSpPr>
      <xdr:spPr>
        <a:xfrm flipV="1">
          <a:off x="4362450" y="14697075"/>
          <a:ext cx="28575" cy="2019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77</xdr:row>
      <xdr:rowOff>19050</xdr:rowOff>
    </xdr:from>
    <xdr:to>
      <xdr:col>10</xdr:col>
      <xdr:colOff>200025</xdr:colOff>
      <xdr:row>87</xdr:row>
      <xdr:rowOff>142875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BBE20920-F1DF-4018-AE7B-9E2ADA393D28}"/>
            </a:ext>
          </a:extLst>
        </xdr:cNvPr>
        <xdr:cNvCxnSpPr/>
      </xdr:nvCxnSpPr>
      <xdr:spPr>
        <a:xfrm flipH="1" flipV="1">
          <a:off x="6562725" y="14687550"/>
          <a:ext cx="9525" cy="2028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323850</xdr:colOff>
      <xdr:row>76</xdr:row>
      <xdr:rowOff>171450</xdr:rowOff>
    </xdr:from>
    <xdr:to>
      <xdr:col>19</xdr:col>
      <xdr:colOff>342900</xdr:colOff>
      <xdr:row>87</xdr:row>
      <xdr:rowOff>152400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05F4257C-E274-4C81-8265-2CB6BDF2614C}"/>
            </a:ext>
          </a:extLst>
        </xdr:cNvPr>
        <xdr:cNvCxnSpPr/>
      </xdr:nvCxnSpPr>
      <xdr:spPr>
        <a:xfrm flipH="1" flipV="1">
          <a:off x="12563475" y="14649450"/>
          <a:ext cx="19050" cy="2076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457200</xdr:colOff>
      <xdr:row>77</xdr:row>
      <xdr:rowOff>19050</xdr:rowOff>
    </xdr:from>
    <xdr:to>
      <xdr:col>23</xdr:col>
      <xdr:colOff>476250</xdr:colOff>
      <xdr:row>87</xdr:row>
      <xdr:rowOff>142875</xdr:rowOff>
    </xdr:to>
    <xdr:cxnSp macro="">
      <xdr:nvCxnSpPr>
        <xdr:cNvPr id="39" name="Conector recto de flecha 38">
          <a:extLst>
            <a:ext uri="{FF2B5EF4-FFF2-40B4-BE49-F238E27FC236}">
              <a16:creationId xmlns:a16="http://schemas.microsoft.com/office/drawing/2014/main" id="{F6F4A3B1-CACE-436F-A9BF-C7762BFABDA4}"/>
            </a:ext>
          </a:extLst>
        </xdr:cNvPr>
        <xdr:cNvCxnSpPr/>
      </xdr:nvCxnSpPr>
      <xdr:spPr>
        <a:xfrm flipH="1" flipV="1">
          <a:off x="15135225" y="14687550"/>
          <a:ext cx="19050" cy="2028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95</xdr:row>
      <xdr:rowOff>171450</xdr:rowOff>
    </xdr:from>
    <xdr:to>
      <xdr:col>12</xdr:col>
      <xdr:colOff>28575</xdr:colOff>
      <xdr:row>110</xdr:row>
      <xdr:rowOff>57150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2D1BC1DA-DB88-4DC9-962D-7E4755835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57150</xdr:colOff>
      <xdr:row>96</xdr:row>
      <xdr:rowOff>104775</xdr:rowOff>
    </xdr:from>
    <xdr:to>
      <xdr:col>7</xdr:col>
      <xdr:colOff>76200</xdr:colOff>
      <xdr:row>108</xdr:row>
      <xdr:rowOff>142876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EB96CDBE-C526-4B80-B5F4-3101618C6595}"/>
            </a:ext>
          </a:extLst>
        </xdr:cNvPr>
        <xdr:cNvCxnSpPr/>
      </xdr:nvCxnSpPr>
      <xdr:spPr>
        <a:xfrm flipV="1">
          <a:off x="4600575" y="18392775"/>
          <a:ext cx="19050" cy="23241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96</xdr:row>
      <xdr:rowOff>38100</xdr:rowOff>
    </xdr:from>
    <xdr:to>
      <xdr:col>8</xdr:col>
      <xdr:colOff>528638</xdr:colOff>
      <xdr:row>97</xdr:row>
      <xdr:rowOff>142875</xdr:rowOff>
    </xdr:to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id="{78D8B094-CA7E-4CBB-8002-EA0BE37B7527}"/>
            </a:ext>
          </a:extLst>
        </xdr:cNvPr>
        <xdr:cNvSpPr txBox="1"/>
      </xdr:nvSpPr>
      <xdr:spPr>
        <a:xfrm>
          <a:off x="5229225" y="18326100"/>
          <a:ext cx="452438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0,95</a:t>
          </a:r>
        </a:p>
        <a:p>
          <a:endParaRPr lang="es-AR" sz="1100"/>
        </a:p>
        <a:p>
          <a:endParaRPr lang="es-AR" sz="1100"/>
        </a:p>
      </xdr:txBody>
    </xdr:sp>
    <xdr:clientData/>
  </xdr:twoCellAnchor>
  <xdr:twoCellAnchor>
    <xdr:from>
      <xdr:col>5</xdr:col>
      <xdr:colOff>590549</xdr:colOff>
      <xdr:row>96</xdr:row>
      <xdr:rowOff>171450</xdr:rowOff>
    </xdr:from>
    <xdr:to>
      <xdr:col>6</xdr:col>
      <xdr:colOff>209549</xdr:colOff>
      <xdr:row>98</xdr:row>
      <xdr:rowOff>85725</xdr:rowOff>
    </xdr:to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CF0B2615-C9B7-45D9-930C-270D98C7CDEB}"/>
            </a:ext>
          </a:extLst>
        </xdr:cNvPr>
        <xdr:cNvSpPr txBox="1"/>
      </xdr:nvSpPr>
      <xdr:spPr>
        <a:xfrm>
          <a:off x="3638549" y="18459450"/>
          <a:ext cx="50482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0,05</a:t>
          </a:r>
        </a:p>
        <a:p>
          <a:endParaRPr lang="es-AR" sz="1100"/>
        </a:p>
      </xdr:txBody>
    </xdr:sp>
    <xdr:clientData/>
  </xdr:twoCellAnchor>
  <xdr:twoCellAnchor>
    <xdr:from>
      <xdr:col>7</xdr:col>
      <xdr:colOff>266700</xdr:colOff>
      <xdr:row>107</xdr:row>
      <xdr:rowOff>114300</xdr:rowOff>
    </xdr:from>
    <xdr:to>
      <xdr:col>7</xdr:col>
      <xdr:colOff>457200</xdr:colOff>
      <xdr:row>108</xdr:row>
      <xdr:rowOff>180975</xdr:rowOff>
    </xdr:to>
    <xdr:sp macro="" textlink="">
      <xdr:nvSpPr>
        <xdr:cNvPr id="44" name="Flecha: hacia abajo 43">
          <a:extLst>
            <a:ext uri="{FF2B5EF4-FFF2-40B4-BE49-F238E27FC236}">
              <a16:creationId xmlns:a16="http://schemas.microsoft.com/office/drawing/2014/main" id="{5DCC537B-DA36-4F9D-BC05-1E5C4CCA4125}"/>
            </a:ext>
          </a:extLst>
        </xdr:cNvPr>
        <xdr:cNvSpPr/>
      </xdr:nvSpPr>
      <xdr:spPr>
        <a:xfrm>
          <a:off x="4810125" y="20497800"/>
          <a:ext cx="190500" cy="2571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oneCellAnchor>
    <xdr:from>
      <xdr:col>7</xdr:col>
      <xdr:colOff>133350</xdr:colOff>
      <xdr:row>106</xdr:row>
      <xdr:rowOff>57150</xdr:rowOff>
    </xdr:from>
    <xdr:ext cx="454355" cy="264560"/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83B9F623-07D8-4FE2-A2F8-80EA37D1545B}"/>
            </a:ext>
          </a:extLst>
        </xdr:cNvPr>
        <xdr:cNvSpPr txBox="1"/>
      </xdr:nvSpPr>
      <xdr:spPr>
        <a:xfrm>
          <a:off x="4676775" y="20250150"/>
          <a:ext cx="4543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AR" sz="1100"/>
            <a:t>Zobs</a:t>
          </a:r>
        </a:p>
      </xdr:txBody>
    </xdr:sp>
    <xdr:clientData/>
  </xdr:oneCellAnchor>
  <xdr:twoCellAnchor>
    <xdr:from>
      <xdr:col>18</xdr:col>
      <xdr:colOff>9525</xdr:colOff>
      <xdr:row>96</xdr:row>
      <xdr:rowOff>0</xdr:rowOff>
    </xdr:from>
    <xdr:to>
      <xdr:col>25</xdr:col>
      <xdr:colOff>114300</xdr:colOff>
      <xdr:row>110</xdr:row>
      <xdr:rowOff>76200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79893CE3-429E-4BC1-8387-DD00F98D1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295276</xdr:colOff>
      <xdr:row>96</xdr:row>
      <xdr:rowOff>104775</xdr:rowOff>
    </xdr:from>
    <xdr:to>
      <xdr:col>19</xdr:col>
      <xdr:colOff>304800</xdr:colOff>
      <xdr:row>108</xdr:row>
      <xdr:rowOff>142876</xdr:rowOff>
    </xdr:to>
    <xdr:cxnSp macro="">
      <xdr:nvCxnSpPr>
        <xdr:cNvPr id="48" name="Conector recto de flecha 47">
          <a:extLst>
            <a:ext uri="{FF2B5EF4-FFF2-40B4-BE49-F238E27FC236}">
              <a16:creationId xmlns:a16="http://schemas.microsoft.com/office/drawing/2014/main" id="{F6080B4C-7EA8-4306-BE66-65DC70838C15}"/>
            </a:ext>
          </a:extLst>
        </xdr:cNvPr>
        <xdr:cNvCxnSpPr/>
      </xdr:nvCxnSpPr>
      <xdr:spPr>
        <a:xfrm flipV="1">
          <a:off x="12534901" y="18392775"/>
          <a:ext cx="9524" cy="23241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116</xdr:row>
      <xdr:rowOff>161925</xdr:rowOff>
    </xdr:from>
    <xdr:to>
      <xdr:col>12</xdr:col>
      <xdr:colOff>38100</xdr:colOff>
      <xdr:row>131</xdr:row>
      <xdr:rowOff>47625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6E5EDAD5-F105-429A-A5BF-8EB3885CE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14287</xdr:colOff>
      <xdr:row>134</xdr:row>
      <xdr:rowOff>0</xdr:rowOff>
    </xdr:from>
    <xdr:to>
      <xdr:col>12</xdr:col>
      <xdr:colOff>42862</xdr:colOff>
      <xdr:row>148</xdr:row>
      <xdr:rowOff>76200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809F3CA0-C67F-494F-814C-7A88B980C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14287</xdr:colOff>
      <xdr:row>117</xdr:row>
      <xdr:rowOff>161925</xdr:rowOff>
    </xdr:from>
    <xdr:to>
      <xdr:col>25</xdr:col>
      <xdr:colOff>119062</xdr:colOff>
      <xdr:row>132</xdr:row>
      <xdr:rowOff>47625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6ABFA006-D9CD-4A6C-86E0-7BBF75AC6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304800</xdr:colOff>
      <xdr:row>118</xdr:row>
      <xdr:rowOff>152400</xdr:rowOff>
    </xdr:from>
    <xdr:to>
      <xdr:col>20</xdr:col>
      <xdr:colOff>314325</xdr:colOff>
      <xdr:row>130</xdr:row>
      <xdr:rowOff>114300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D1AF2191-3743-41F3-8BFC-9CE50E326C7C}"/>
            </a:ext>
          </a:extLst>
        </xdr:cNvPr>
        <xdr:cNvCxnSpPr/>
      </xdr:nvCxnSpPr>
      <xdr:spPr>
        <a:xfrm flipV="1">
          <a:off x="13335000" y="22631400"/>
          <a:ext cx="9525" cy="2247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134</xdr:row>
      <xdr:rowOff>161925</xdr:rowOff>
    </xdr:from>
    <xdr:to>
      <xdr:col>10</xdr:col>
      <xdr:colOff>38100</xdr:colOff>
      <xdr:row>146</xdr:row>
      <xdr:rowOff>180975</xdr:rowOff>
    </xdr:to>
    <xdr:cxnSp macro="">
      <xdr:nvCxnSpPr>
        <xdr:cNvPr id="50" name="Conector recto de flecha 49">
          <a:extLst>
            <a:ext uri="{FF2B5EF4-FFF2-40B4-BE49-F238E27FC236}">
              <a16:creationId xmlns:a16="http://schemas.microsoft.com/office/drawing/2014/main" id="{A0268980-092E-48CB-8A8F-938DBE9DA688}"/>
            </a:ext>
          </a:extLst>
        </xdr:cNvPr>
        <xdr:cNvCxnSpPr/>
      </xdr:nvCxnSpPr>
      <xdr:spPr>
        <a:xfrm flipH="1" flipV="1">
          <a:off x="6562725" y="25688925"/>
          <a:ext cx="28575" cy="2305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857250</xdr:colOff>
      <xdr:row>153</xdr:row>
      <xdr:rowOff>0</xdr:rowOff>
    </xdr:from>
    <xdr:to>
      <xdr:col>13</xdr:col>
      <xdr:colOff>276225</xdr:colOff>
      <xdr:row>167</xdr:row>
      <xdr:rowOff>76200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452C85CA-D7CD-4F45-BC89-C7B9C9AAF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590550</xdr:colOff>
      <xdr:row>189</xdr:row>
      <xdr:rowOff>161925</xdr:rowOff>
    </xdr:from>
    <xdr:to>
      <xdr:col>15</xdr:col>
      <xdr:colOff>104775</xdr:colOff>
      <xdr:row>204</xdr:row>
      <xdr:rowOff>47625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2266FD4B-FD35-4E12-8DDB-F25621E92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857250</xdr:colOff>
      <xdr:row>173</xdr:row>
      <xdr:rowOff>180975</xdr:rowOff>
    </xdr:from>
    <xdr:to>
      <xdr:col>13</xdr:col>
      <xdr:colOff>276225</xdr:colOff>
      <xdr:row>188</xdr:row>
      <xdr:rowOff>66675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9697B9F3-5571-4AE5-B77F-E333FD036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247650</xdr:colOff>
      <xdr:row>174</xdr:row>
      <xdr:rowOff>85725</xdr:rowOff>
    </xdr:from>
    <xdr:to>
      <xdr:col>8</xdr:col>
      <xdr:colOff>257175</xdr:colOff>
      <xdr:row>186</xdr:row>
      <xdr:rowOff>171450</xdr:rowOff>
    </xdr:to>
    <xdr:cxnSp macro="">
      <xdr:nvCxnSpPr>
        <xdr:cNvPr id="57" name="Conector recto de flecha 56">
          <a:extLst>
            <a:ext uri="{FF2B5EF4-FFF2-40B4-BE49-F238E27FC236}">
              <a16:creationId xmlns:a16="http://schemas.microsoft.com/office/drawing/2014/main" id="{F3D48208-4682-4CAD-8C39-0A408B8464D1}"/>
            </a:ext>
          </a:extLst>
        </xdr:cNvPr>
        <xdr:cNvCxnSpPr/>
      </xdr:nvCxnSpPr>
      <xdr:spPr>
        <a:xfrm flipH="1" flipV="1">
          <a:off x="5762625" y="33232725"/>
          <a:ext cx="9525" cy="2371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238125</xdr:colOff>
      <xdr:row>174</xdr:row>
      <xdr:rowOff>66675</xdr:rowOff>
    </xdr:from>
    <xdr:to>
      <xdr:col>11</xdr:col>
      <xdr:colOff>257175</xdr:colOff>
      <xdr:row>186</xdr:row>
      <xdr:rowOff>171450</xdr:rowOff>
    </xdr:to>
    <xdr:cxnSp macro="">
      <xdr:nvCxnSpPr>
        <xdr:cNvPr id="59" name="Conector recto de flecha 58">
          <a:extLst>
            <a:ext uri="{FF2B5EF4-FFF2-40B4-BE49-F238E27FC236}">
              <a16:creationId xmlns:a16="http://schemas.microsoft.com/office/drawing/2014/main" id="{FDA74902-D44E-4F44-A4DC-C9E9C89B082E}"/>
            </a:ext>
          </a:extLst>
        </xdr:cNvPr>
        <xdr:cNvCxnSpPr/>
      </xdr:nvCxnSpPr>
      <xdr:spPr>
        <a:xfrm flipH="1" flipV="1">
          <a:off x="7581900" y="33213675"/>
          <a:ext cx="19050" cy="23907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192</xdr:row>
      <xdr:rowOff>28575</xdr:rowOff>
    </xdr:from>
    <xdr:to>
      <xdr:col>10</xdr:col>
      <xdr:colOff>66675</xdr:colOff>
      <xdr:row>202</xdr:row>
      <xdr:rowOff>142875</xdr:rowOff>
    </xdr:to>
    <xdr:cxnSp macro="">
      <xdr:nvCxnSpPr>
        <xdr:cNvPr id="42" name="Conector recto de flecha 41">
          <a:extLst>
            <a:ext uri="{FF2B5EF4-FFF2-40B4-BE49-F238E27FC236}">
              <a16:creationId xmlns:a16="http://schemas.microsoft.com/office/drawing/2014/main" id="{4564F140-B09F-431D-A9AB-2A9D8DBA0C2B}"/>
            </a:ext>
          </a:extLst>
        </xdr:cNvPr>
        <xdr:cNvCxnSpPr/>
      </xdr:nvCxnSpPr>
      <xdr:spPr>
        <a:xfrm flipV="1">
          <a:off x="6800850" y="36604575"/>
          <a:ext cx="0" cy="2019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466725</xdr:colOff>
      <xdr:row>191</xdr:row>
      <xdr:rowOff>180975</xdr:rowOff>
    </xdr:from>
    <xdr:to>
      <xdr:col>13</xdr:col>
      <xdr:colOff>476250</xdr:colOff>
      <xdr:row>202</xdr:row>
      <xdr:rowOff>133350</xdr:rowOff>
    </xdr:to>
    <xdr:cxnSp macro="">
      <xdr:nvCxnSpPr>
        <xdr:cNvPr id="49" name="Conector recto de flecha 48">
          <a:extLst>
            <a:ext uri="{FF2B5EF4-FFF2-40B4-BE49-F238E27FC236}">
              <a16:creationId xmlns:a16="http://schemas.microsoft.com/office/drawing/2014/main" id="{6B338237-DB1D-4255-B2EE-E04D465F97F7}"/>
            </a:ext>
          </a:extLst>
        </xdr:cNvPr>
        <xdr:cNvCxnSpPr/>
      </xdr:nvCxnSpPr>
      <xdr:spPr>
        <a:xfrm flipH="1" flipV="1">
          <a:off x="9029700" y="36566475"/>
          <a:ext cx="9525" cy="2047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0.11944</cdr:x>
      <cdr:y>0.69907</cdr:y>
    </cdr:from>
    <cdr:to>
      <cdr:x>0.23541</cdr:x>
      <cdr:y>0.80671</cdr:y>
    </cdr:to>
    <cdr:sp macro="" textlink="">
      <cdr:nvSpPr>
        <cdr:cNvPr id="2" name="CuadroTexto 42">
          <a:extLst xmlns:a="http://schemas.openxmlformats.org/drawingml/2006/main">
            <a:ext uri="{FF2B5EF4-FFF2-40B4-BE49-F238E27FC236}">
              <a16:creationId xmlns:a16="http://schemas.microsoft.com/office/drawing/2014/main" id="{D276A072-0B93-4299-99FA-0196C016B41A}"/>
            </a:ext>
          </a:extLst>
        </cdr:cNvPr>
        <cdr:cNvSpPr txBox="1"/>
      </cdr:nvSpPr>
      <cdr:spPr>
        <a:xfrm xmlns:a="http://schemas.openxmlformats.org/drawingml/2006/main">
          <a:off x="546100" y="1917700"/>
          <a:ext cx="530215" cy="29527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100">
              <a:solidFill>
                <a:schemeClr val="accent1"/>
              </a:solidFill>
            </a:rPr>
            <a:t>0,025</a:t>
          </a:r>
        </a:p>
        <a:p xmlns:a="http://schemas.openxmlformats.org/drawingml/2006/main">
          <a:endParaRPr lang="es-AR" sz="1100"/>
        </a:p>
      </cdr:txBody>
    </cdr:sp>
  </cdr:relSizeAnchor>
  <cdr:relSizeAnchor xmlns:cdr="http://schemas.openxmlformats.org/drawingml/2006/chartDrawing">
    <cdr:from>
      <cdr:x>0.81111</cdr:x>
      <cdr:y>0.70255</cdr:y>
    </cdr:from>
    <cdr:to>
      <cdr:x>0.92708</cdr:x>
      <cdr:y>0.81019</cdr:y>
    </cdr:to>
    <cdr:sp macro="" textlink="">
      <cdr:nvSpPr>
        <cdr:cNvPr id="3" name="CuadroTexto 42">
          <a:extLst xmlns:a="http://schemas.openxmlformats.org/drawingml/2006/main">
            <a:ext uri="{FF2B5EF4-FFF2-40B4-BE49-F238E27FC236}">
              <a16:creationId xmlns:a16="http://schemas.microsoft.com/office/drawing/2014/main" id="{D276A072-0B93-4299-99FA-0196C016B41A}"/>
            </a:ext>
          </a:extLst>
        </cdr:cNvPr>
        <cdr:cNvSpPr txBox="1"/>
      </cdr:nvSpPr>
      <cdr:spPr>
        <a:xfrm xmlns:a="http://schemas.openxmlformats.org/drawingml/2006/main">
          <a:off x="3708400" y="1927225"/>
          <a:ext cx="530215" cy="29527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100">
              <a:solidFill>
                <a:schemeClr val="accent1"/>
              </a:solidFill>
            </a:rPr>
            <a:t>0,025</a:t>
          </a:r>
        </a:p>
        <a:p xmlns:a="http://schemas.openxmlformats.org/drawingml/2006/main">
          <a:endParaRPr lang="es-AR" sz="1100"/>
        </a:p>
      </cdr:txBody>
    </cdr:sp>
  </cdr:relSizeAnchor>
  <cdr:relSizeAnchor xmlns:cdr="http://schemas.openxmlformats.org/drawingml/2006/chartDrawing">
    <cdr:from>
      <cdr:x>0.47153</cdr:x>
      <cdr:y>0.62269</cdr:y>
    </cdr:from>
    <cdr:to>
      <cdr:x>0.56875</cdr:x>
      <cdr:y>0.73033</cdr:y>
    </cdr:to>
    <cdr:sp macro="" textlink="">
      <cdr:nvSpPr>
        <cdr:cNvPr id="4" name="CuadroTexto 42">
          <a:extLst xmlns:a="http://schemas.openxmlformats.org/drawingml/2006/main">
            <a:ext uri="{FF2B5EF4-FFF2-40B4-BE49-F238E27FC236}">
              <a16:creationId xmlns:a16="http://schemas.microsoft.com/office/drawing/2014/main" id="{D276A072-0B93-4299-99FA-0196C016B41A}"/>
            </a:ext>
          </a:extLst>
        </cdr:cNvPr>
        <cdr:cNvSpPr txBox="1"/>
      </cdr:nvSpPr>
      <cdr:spPr>
        <a:xfrm xmlns:a="http://schemas.openxmlformats.org/drawingml/2006/main">
          <a:off x="2155826" y="1708150"/>
          <a:ext cx="444500" cy="29527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100">
              <a:solidFill>
                <a:schemeClr val="accent1"/>
              </a:solidFill>
            </a:rPr>
            <a:t>0,95</a:t>
          </a:r>
        </a:p>
        <a:p xmlns:a="http://schemas.openxmlformats.org/drawingml/2006/main">
          <a:endParaRPr lang="es-AR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0.09653</cdr:x>
      <cdr:y>0.13657</cdr:y>
    </cdr:from>
    <cdr:to>
      <cdr:x>0.20694</cdr:x>
      <cdr:y>0.24421</cdr:y>
    </cdr:to>
    <cdr:sp macro="" textlink="">
      <cdr:nvSpPr>
        <cdr:cNvPr id="2" name="CuadroTexto 42">
          <a:extLst xmlns:a="http://schemas.openxmlformats.org/drawingml/2006/main">
            <a:ext uri="{FF2B5EF4-FFF2-40B4-BE49-F238E27FC236}">
              <a16:creationId xmlns:a16="http://schemas.microsoft.com/office/drawing/2014/main" id="{761A6599-A99C-45FD-BB05-6309950B62D4}"/>
            </a:ext>
          </a:extLst>
        </cdr:cNvPr>
        <cdr:cNvSpPr txBox="1"/>
      </cdr:nvSpPr>
      <cdr:spPr>
        <a:xfrm xmlns:a="http://schemas.openxmlformats.org/drawingml/2006/main">
          <a:off x="441325" y="374650"/>
          <a:ext cx="504825" cy="2952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100"/>
            <a:t>0,05</a:t>
          </a:r>
        </a:p>
        <a:p xmlns:a="http://schemas.openxmlformats.org/drawingml/2006/main">
          <a:endParaRPr lang="es-AR" sz="1100"/>
        </a:p>
      </cdr:txBody>
    </cdr:sp>
  </cdr:relSizeAnchor>
  <cdr:relSizeAnchor xmlns:cdr="http://schemas.openxmlformats.org/drawingml/2006/chartDrawing">
    <cdr:from>
      <cdr:x>0.85069</cdr:x>
      <cdr:y>0.1331</cdr:y>
    </cdr:from>
    <cdr:to>
      <cdr:x>0.96111</cdr:x>
      <cdr:y>0.24074</cdr:y>
    </cdr:to>
    <cdr:sp macro="" textlink="">
      <cdr:nvSpPr>
        <cdr:cNvPr id="3" name="CuadroTexto 42">
          <a:extLst xmlns:a="http://schemas.openxmlformats.org/drawingml/2006/main">
            <a:ext uri="{FF2B5EF4-FFF2-40B4-BE49-F238E27FC236}">
              <a16:creationId xmlns:a16="http://schemas.microsoft.com/office/drawing/2014/main" id="{761A6599-A99C-45FD-BB05-6309950B62D4}"/>
            </a:ext>
          </a:extLst>
        </cdr:cNvPr>
        <cdr:cNvSpPr txBox="1"/>
      </cdr:nvSpPr>
      <cdr:spPr>
        <a:xfrm xmlns:a="http://schemas.openxmlformats.org/drawingml/2006/main">
          <a:off x="3889375" y="365125"/>
          <a:ext cx="504825" cy="2952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100"/>
            <a:t>0,05</a:t>
          </a:r>
        </a:p>
        <a:p xmlns:a="http://schemas.openxmlformats.org/drawingml/2006/main">
          <a:endParaRPr lang="es-AR" sz="1100"/>
        </a:p>
      </cdr:txBody>
    </cdr:sp>
  </cdr:relSizeAnchor>
  <cdr:relSizeAnchor xmlns:cdr="http://schemas.openxmlformats.org/drawingml/2006/chartDrawing">
    <cdr:from>
      <cdr:x>0.47153</cdr:x>
      <cdr:y>0.24074</cdr:y>
    </cdr:from>
    <cdr:to>
      <cdr:x>0.58194</cdr:x>
      <cdr:y>0.34838</cdr:y>
    </cdr:to>
    <cdr:sp macro="" textlink="">
      <cdr:nvSpPr>
        <cdr:cNvPr id="4" name="CuadroTexto 42">
          <a:extLst xmlns:a="http://schemas.openxmlformats.org/drawingml/2006/main">
            <a:ext uri="{FF2B5EF4-FFF2-40B4-BE49-F238E27FC236}">
              <a16:creationId xmlns:a16="http://schemas.microsoft.com/office/drawing/2014/main" id="{761A6599-A99C-45FD-BB05-6309950B62D4}"/>
            </a:ext>
          </a:extLst>
        </cdr:cNvPr>
        <cdr:cNvSpPr txBox="1"/>
      </cdr:nvSpPr>
      <cdr:spPr>
        <a:xfrm xmlns:a="http://schemas.openxmlformats.org/drawingml/2006/main">
          <a:off x="2155825" y="660400"/>
          <a:ext cx="504825" cy="2952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100"/>
            <a:t>0,90</a:t>
          </a:r>
        </a:p>
        <a:p xmlns:a="http://schemas.openxmlformats.org/drawingml/2006/main">
          <a:endParaRPr lang="es-AR" sz="1100"/>
        </a:p>
      </cdr:txBody>
    </cdr:sp>
  </cdr:relSizeAnchor>
  <cdr:relSizeAnchor xmlns:cdr="http://schemas.openxmlformats.org/drawingml/2006/chartDrawing">
    <cdr:from>
      <cdr:x>0.09653</cdr:x>
      <cdr:y>0.60185</cdr:y>
    </cdr:from>
    <cdr:to>
      <cdr:x>0.2125</cdr:x>
      <cdr:y>0.70949</cdr:y>
    </cdr:to>
    <cdr:sp macro="" textlink="">
      <cdr:nvSpPr>
        <cdr:cNvPr id="5" name="CuadroTexto 42">
          <a:extLst xmlns:a="http://schemas.openxmlformats.org/drawingml/2006/main">
            <a:ext uri="{FF2B5EF4-FFF2-40B4-BE49-F238E27FC236}">
              <a16:creationId xmlns:a16="http://schemas.microsoft.com/office/drawing/2014/main" id="{761A6599-A99C-45FD-BB05-6309950B62D4}"/>
            </a:ext>
          </a:extLst>
        </cdr:cNvPr>
        <cdr:cNvSpPr txBox="1"/>
      </cdr:nvSpPr>
      <cdr:spPr>
        <a:xfrm xmlns:a="http://schemas.openxmlformats.org/drawingml/2006/main">
          <a:off x="441326" y="1651000"/>
          <a:ext cx="530224" cy="2952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100">
              <a:solidFill>
                <a:schemeClr val="accent1"/>
              </a:solidFill>
            </a:rPr>
            <a:t>0,025</a:t>
          </a:r>
        </a:p>
        <a:p xmlns:a="http://schemas.openxmlformats.org/drawingml/2006/main">
          <a:endParaRPr lang="es-AR" sz="1100"/>
        </a:p>
      </cdr:txBody>
    </cdr:sp>
  </cdr:relSizeAnchor>
  <cdr:relSizeAnchor xmlns:cdr="http://schemas.openxmlformats.org/drawingml/2006/chartDrawing">
    <cdr:from>
      <cdr:x>0.46528</cdr:x>
      <cdr:y>0.60532</cdr:y>
    </cdr:from>
    <cdr:to>
      <cdr:x>0.57569</cdr:x>
      <cdr:y>0.71296</cdr:y>
    </cdr:to>
    <cdr:sp macro="" textlink="">
      <cdr:nvSpPr>
        <cdr:cNvPr id="6" name="CuadroTexto 42">
          <a:extLst xmlns:a="http://schemas.openxmlformats.org/drawingml/2006/main">
            <a:ext uri="{FF2B5EF4-FFF2-40B4-BE49-F238E27FC236}">
              <a16:creationId xmlns:a16="http://schemas.microsoft.com/office/drawing/2014/main" id="{761A6599-A99C-45FD-BB05-6309950B62D4}"/>
            </a:ext>
          </a:extLst>
        </cdr:cNvPr>
        <cdr:cNvSpPr txBox="1"/>
      </cdr:nvSpPr>
      <cdr:spPr>
        <a:xfrm xmlns:a="http://schemas.openxmlformats.org/drawingml/2006/main">
          <a:off x="2127250" y="1660525"/>
          <a:ext cx="504825" cy="2952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100">
              <a:solidFill>
                <a:schemeClr val="accent1"/>
              </a:solidFill>
            </a:rPr>
            <a:t>0,95</a:t>
          </a:r>
        </a:p>
        <a:p xmlns:a="http://schemas.openxmlformats.org/drawingml/2006/main">
          <a:endParaRPr lang="es-AR" sz="1100"/>
        </a:p>
      </cdr:txBody>
    </cdr:sp>
  </cdr:relSizeAnchor>
  <cdr:relSizeAnchor xmlns:cdr="http://schemas.openxmlformats.org/drawingml/2006/chartDrawing">
    <cdr:from>
      <cdr:x>0.84236</cdr:x>
      <cdr:y>0.60185</cdr:y>
    </cdr:from>
    <cdr:to>
      <cdr:x>0.95278</cdr:x>
      <cdr:y>0.70949</cdr:y>
    </cdr:to>
    <cdr:sp macro="" textlink="">
      <cdr:nvSpPr>
        <cdr:cNvPr id="7" name="CuadroTexto 42">
          <a:extLst xmlns:a="http://schemas.openxmlformats.org/drawingml/2006/main">
            <a:ext uri="{FF2B5EF4-FFF2-40B4-BE49-F238E27FC236}">
              <a16:creationId xmlns:a16="http://schemas.microsoft.com/office/drawing/2014/main" id="{761A6599-A99C-45FD-BB05-6309950B62D4}"/>
            </a:ext>
          </a:extLst>
        </cdr:cNvPr>
        <cdr:cNvSpPr txBox="1"/>
      </cdr:nvSpPr>
      <cdr:spPr>
        <a:xfrm xmlns:a="http://schemas.openxmlformats.org/drawingml/2006/main">
          <a:off x="3851275" y="1651000"/>
          <a:ext cx="504825" cy="2952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100">
              <a:solidFill>
                <a:schemeClr val="accent1"/>
              </a:solidFill>
            </a:rPr>
            <a:t>0,025</a:t>
          </a:r>
        </a:p>
        <a:p xmlns:a="http://schemas.openxmlformats.org/drawingml/2006/main">
          <a:endParaRPr lang="es-AR" sz="1100"/>
        </a:p>
      </cdr:txBody>
    </cdr:sp>
  </cdr:relSizeAnchor>
  <cdr:relSizeAnchor xmlns:cdr="http://schemas.openxmlformats.org/drawingml/2006/chartDrawing">
    <cdr:from>
      <cdr:x>0.275</cdr:x>
      <cdr:y>0.03472</cdr:y>
    </cdr:from>
    <cdr:to>
      <cdr:x>0.27917</cdr:x>
      <cdr:y>0.88542</cdr:y>
    </cdr:to>
    <cdr:cxnSp macro="">
      <cdr:nvCxnSpPr>
        <cdr:cNvPr id="9" name="Conector recto de flecha 8">
          <a:extLst xmlns:a="http://schemas.openxmlformats.org/drawingml/2006/main">
            <a:ext uri="{FF2B5EF4-FFF2-40B4-BE49-F238E27FC236}">
              <a16:creationId xmlns:a16="http://schemas.microsoft.com/office/drawing/2014/main" id="{B202D713-FAAB-4C3F-A921-709C4D38AF75}"/>
            </a:ext>
          </a:extLst>
        </cdr:cNvPr>
        <cdr:cNvCxnSpPr/>
      </cdr:nvCxnSpPr>
      <cdr:spPr>
        <a:xfrm xmlns:a="http://schemas.openxmlformats.org/drawingml/2006/main" flipH="1" flipV="1">
          <a:off x="1257300" y="95250"/>
          <a:ext cx="19050" cy="23336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0.77292</cdr:x>
      <cdr:y>0.01736</cdr:y>
    </cdr:from>
    <cdr:to>
      <cdr:x>0.775</cdr:x>
      <cdr:y>0.89583</cdr:y>
    </cdr:to>
    <cdr:cxnSp macro="">
      <cdr:nvCxnSpPr>
        <cdr:cNvPr id="11" name="Conector recto de flecha 10">
          <a:extLst xmlns:a="http://schemas.openxmlformats.org/drawingml/2006/main">
            <a:ext uri="{FF2B5EF4-FFF2-40B4-BE49-F238E27FC236}">
              <a16:creationId xmlns:a16="http://schemas.microsoft.com/office/drawing/2014/main" id="{D12C8340-E5EA-4712-9A86-2644032FB032}"/>
            </a:ext>
          </a:extLst>
        </cdr:cNvPr>
        <cdr:cNvCxnSpPr/>
      </cdr:nvCxnSpPr>
      <cdr:spPr>
        <a:xfrm xmlns:a="http://schemas.openxmlformats.org/drawingml/2006/main" flipH="1" flipV="1">
          <a:off x="3533775" y="47625"/>
          <a:ext cx="9525" cy="24098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0.29167</cdr:x>
      <cdr:y>0.16319</cdr:y>
    </cdr:from>
    <cdr:to>
      <cdr:x>0.29583</cdr:x>
      <cdr:y>0.91319</cdr:y>
    </cdr:to>
    <cdr:cxnSp macro="">
      <cdr:nvCxnSpPr>
        <cdr:cNvPr id="3" name="Conector recto de flecha 2">
          <a:extLst xmlns:a="http://schemas.openxmlformats.org/drawingml/2006/main">
            <a:ext uri="{FF2B5EF4-FFF2-40B4-BE49-F238E27FC236}">
              <a16:creationId xmlns:a16="http://schemas.microsoft.com/office/drawing/2014/main" id="{89E30DD2-AB1B-4A96-B6E0-5A5604D1AA7B}"/>
            </a:ext>
          </a:extLst>
        </cdr:cNvPr>
        <cdr:cNvCxnSpPr/>
      </cdr:nvCxnSpPr>
      <cdr:spPr>
        <a:xfrm xmlns:a="http://schemas.openxmlformats.org/drawingml/2006/main" flipV="1">
          <a:off x="1333500" y="447675"/>
          <a:ext cx="19050" cy="20574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0.775</cdr:x>
      <cdr:y>0.15625</cdr:y>
    </cdr:from>
    <cdr:to>
      <cdr:x>0.78333</cdr:x>
      <cdr:y>0.92361</cdr:y>
    </cdr:to>
    <cdr:cxnSp macro="">
      <cdr:nvCxnSpPr>
        <cdr:cNvPr id="5" name="Conector recto de flecha 4">
          <a:extLst xmlns:a="http://schemas.openxmlformats.org/drawingml/2006/main">
            <a:ext uri="{FF2B5EF4-FFF2-40B4-BE49-F238E27FC236}">
              <a16:creationId xmlns:a16="http://schemas.microsoft.com/office/drawing/2014/main" id="{3092247F-3757-4A5D-959E-0C5C0D85D069}"/>
            </a:ext>
          </a:extLst>
        </cdr:cNvPr>
        <cdr:cNvCxnSpPr/>
      </cdr:nvCxnSpPr>
      <cdr:spPr>
        <a:xfrm xmlns:a="http://schemas.openxmlformats.org/drawingml/2006/main" flipH="1" flipV="1">
          <a:off x="3543300" y="428625"/>
          <a:ext cx="38100" cy="21050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0.51667</cdr:x>
      <cdr:y>0.12153</cdr:y>
    </cdr:from>
    <cdr:to>
      <cdr:x>0.60833</cdr:x>
      <cdr:y>0.22569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7D8255FC-3E9A-4249-AAD2-91C8F7CA9621}"/>
            </a:ext>
          </a:extLst>
        </cdr:cNvPr>
        <cdr:cNvSpPr txBox="1"/>
      </cdr:nvSpPr>
      <cdr:spPr>
        <a:xfrm xmlns:a="http://schemas.openxmlformats.org/drawingml/2006/main">
          <a:off x="2362200" y="333375"/>
          <a:ext cx="4191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AR" sz="1100"/>
            <a:t>0,95</a:t>
          </a:r>
        </a:p>
      </cdr:txBody>
    </cdr:sp>
  </cdr:relSizeAnchor>
  <cdr:relSizeAnchor xmlns:cdr="http://schemas.openxmlformats.org/drawingml/2006/chartDrawing">
    <cdr:from>
      <cdr:x>0.25417</cdr:x>
      <cdr:y>0.20949</cdr:y>
    </cdr:from>
    <cdr:to>
      <cdr:x>0.3625</cdr:x>
      <cdr:y>0.31366</cdr:y>
    </cdr:to>
    <cdr:sp macro="" textlink="">
      <cdr:nvSpPr>
        <cdr:cNvPr id="3" name="CuadroTexto 1">
          <a:extLst xmlns:a="http://schemas.openxmlformats.org/drawingml/2006/main">
            <a:ext uri="{FF2B5EF4-FFF2-40B4-BE49-F238E27FC236}">
              <a16:creationId xmlns:a16="http://schemas.microsoft.com/office/drawing/2014/main" id="{7BE3D594-6216-4A08-AD29-BB4B3CF673DD}"/>
            </a:ext>
          </a:extLst>
        </cdr:cNvPr>
        <cdr:cNvSpPr txBox="1"/>
      </cdr:nvSpPr>
      <cdr:spPr>
        <a:xfrm xmlns:a="http://schemas.openxmlformats.org/drawingml/2006/main">
          <a:off x="1162050" y="574675"/>
          <a:ext cx="4953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100"/>
            <a:t>0,025</a:t>
          </a:r>
        </a:p>
      </cdr:txBody>
    </cdr:sp>
  </cdr:relSizeAnchor>
  <cdr:relSizeAnchor xmlns:cdr="http://schemas.openxmlformats.org/drawingml/2006/chartDrawing">
    <cdr:from>
      <cdr:x>0.76528</cdr:x>
      <cdr:y>0.21296</cdr:y>
    </cdr:from>
    <cdr:to>
      <cdr:x>0.88125</cdr:x>
      <cdr:y>0.31713</cdr:y>
    </cdr:to>
    <cdr:sp macro="" textlink="">
      <cdr:nvSpPr>
        <cdr:cNvPr id="4" name="CuadroTexto 1">
          <a:extLst xmlns:a="http://schemas.openxmlformats.org/drawingml/2006/main">
            <a:ext uri="{FF2B5EF4-FFF2-40B4-BE49-F238E27FC236}">
              <a16:creationId xmlns:a16="http://schemas.microsoft.com/office/drawing/2014/main" id="{7BE3D594-6216-4A08-AD29-BB4B3CF673DD}"/>
            </a:ext>
          </a:extLst>
        </cdr:cNvPr>
        <cdr:cNvSpPr txBox="1"/>
      </cdr:nvSpPr>
      <cdr:spPr>
        <a:xfrm xmlns:a="http://schemas.openxmlformats.org/drawingml/2006/main">
          <a:off x="3498849" y="584200"/>
          <a:ext cx="5302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100"/>
            <a:t>0,025</a:t>
          </a:r>
        </a:p>
      </cdr:txBody>
    </cdr:sp>
  </cdr:relSizeAnchor>
  <cdr:relSizeAnchor xmlns:cdr="http://schemas.openxmlformats.org/drawingml/2006/chartDrawing">
    <cdr:from>
      <cdr:x>0.36875</cdr:x>
      <cdr:y>0.15278</cdr:y>
    </cdr:from>
    <cdr:to>
      <cdr:x>0.375</cdr:x>
      <cdr:y>0.87153</cdr:y>
    </cdr:to>
    <cdr:cxnSp macro="">
      <cdr:nvCxnSpPr>
        <cdr:cNvPr id="6" name="Conector recto de flecha 5">
          <a:extLst xmlns:a="http://schemas.openxmlformats.org/drawingml/2006/main">
            <a:ext uri="{FF2B5EF4-FFF2-40B4-BE49-F238E27FC236}">
              <a16:creationId xmlns:a16="http://schemas.microsoft.com/office/drawing/2014/main" id="{722907D3-2566-4EE3-AC5B-933CBD9D7C58}"/>
            </a:ext>
          </a:extLst>
        </cdr:cNvPr>
        <cdr:cNvCxnSpPr/>
      </cdr:nvCxnSpPr>
      <cdr:spPr>
        <a:xfrm xmlns:a="http://schemas.openxmlformats.org/drawingml/2006/main" flipV="1">
          <a:off x="1685926" y="419100"/>
          <a:ext cx="28574" cy="197167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0.75833</cdr:x>
      <cdr:y>0.15278</cdr:y>
    </cdr:from>
    <cdr:to>
      <cdr:x>0.76042</cdr:x>
      <cdr:y>0.875</cdr:y>
    </cdr:to>
    <cdr:cxnSp macro="">
      <cdr:nvCxnSpPr>
        <cdr:cNvPr id="8" name="Conector recto de flecha 7">
          <a:extLst xmlns:a="http://schemas.openxmlformats.org/drawingml/2006/main">
            <a:ext uri="{FF2B5EF4-FFF2-40B4-BE49-F238E27FC236}">
              <a16:creationId xmlns:a16="http://schemas.microsoft.com/office/drawing/2014/main" id="{22426340-CE9E-40DF-8726-C2A7F121338D}"/>
            </a:ext>
          </a:extLst>
        </cdr:cNvPr>
        <cdr:cNvCxnSpPr/>
      </cdr:nvCxnSpPr>
      <cdr:spPr>
        <a:xfrm xmlns:a="http://schemas.openxmlformats.org/drawingml/2006/main" flipH="1" flipV="1">
          <a:off x="3467100" y="419100"/>
          <a:ext cx="9525" cy="198120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0.73958</cdr:x>
      <cdr:y>0.14931</cdr:y>
    </cdr:from>
    <cdr:to>
      <cdr:x>0.73958</cdr:x>
      <cdr:y>0.86806</cdr:y>
    </cdr:to>
    <cdr:cxnSp macro="">
      <cdr:nvCxnSpPr>
        <cdr:cNvPr id="14" name="Conector recto de flecha 13">
          <a:extLst xmlns:a="http://schemas.openxmlformats.org/drawingml/2006/main">
            <a:ext uri="{FF2B5EF4-FFF2-40B4-BE49-F238E27FC236}">
              <a16:creationId xmlns:a16="http://schemas.microsoft.com/office/drawing/2014/main" id="{628F21F1-50FC-4DFF-9C15-671E8AD65B99}"/>
            </a:ext>
          </a:extLst>
        </cdr:cNvPr>
        <cdr:cNvCxnSpPr/>
      </cdr:nvCxnSpPr>
      <cdr:spPr>
        <a:xfrm xmlns:a="http://schemas.openxmlformats.org/drawingml/2006/main" flipV="1">
          <a:off x="3381375" y="409575"/>
          <a:ext cx="0" cy="19716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0.01111</cdr:x>
      <cdr:y>0.01852</cdr:y>
    </cdr:from>
    <cdr:to>
      <cdr:x>0.10278</cdr:x>
      <cdr:y>0.12269</cdr:y>
    </cdr:to>
    <cdr:sp macro="" textlink="">
      <cdr:nvSpPr>
        <cdr:cNvPr id="15" name="CuadroTexto 1">
          <a:extLst xmlns:a="http://schemas.openxmlformats.org/drawingml/2006/main">
            <a:ext uri="{FF2B5EF4-FFF2-40B4-BE49-F238E27FC236}">
              <a16:creationId xmlns:a16="http://schemas.microsoft.com/office/drawing/2014/main" id="{B6F794D7-B550-4B1D-A872-887E28C69185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4191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100"/>
            <a:t>0,95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0.27917</cdr:x>
      <cdr:y>0.15972</cdr:y>
    </cdr:from>
    <cdr:to>
      <cdr:x>0.28125</cdr:x>
      <cdr:y>0.89931</cdr:y>
    </cdr:to>
    <cdr:cxnSp macro="">
      <cdr:nvCxnSpPr>
        <cdr:cNvPr id="3" name="Conector recto de flecha 2">
          <a:extLst xmlns:a="http://schemas.openxmlformats.org/drawingml/2006/main">
            <a:ext uri="{FF2B5EF4-FFF2-40B4-BE49-F238E27FC236}">
              <a16:creationId xmlns:a16="http://schemas.microsoft.com/office/drawing/2014/main" id="{E5BE701B-5842-40FE-A90D-5187D1A2A26E}"/>
            </a:ext>
          </a:extLst>
        </cdr:cNvPr>
        <cdr:cNvCxnSpPr/>
      </cdr:nvCxnSpPr>
      <cdr:spPr>
        <a:xfrm xmlns:a="http://schemas.openxmlformats.org/drawingml/2006/main" flipH="1" flipV="1">
          <a:off x="1276350" y="438150"/>
          <a:ext cx="9525" cy="20288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0.48194</cdr:x>
      <cdr:y>0.09028</cdr:y>
    </cdr:from>
    <cdr:to>
      <cdr:x>0.57361</cdr:x>
      <cdr:y>0.1956</cdr:y>
    </cdr:to>
    <cdr:sp macro="" textlink="">
      <cdr:nvSpPr>
        <cdr:cNvPr id="4" name="CuadroTexto 1">
          <a:extLst xmlns:a="http://schemas.openxmlformats.org/drawingml/2006/main">
            <a:ext uri="{FF2B5EF4-FFF2-40B4-BE49-F238E27FC236}">
              <a16:creationId xmlns:a16="http://schemas.microsoft.com/office/drawing/2014/main" id="{B6F794D7-B550-4B1D-A872-887E28C69185}"/>
            </a:ext>
          </a:extLst>
        </cdr:cNvPr>
        <cdr:cNvSpPr txBox="1"/>
      </cdr:nvSpPr>
      <cdr:spPr>
        <a:xfrm xmlns:a="http://schemas.openxmlformats.org/drawingml/2006/main">
          <a:off x="2203445" y="247650"/>
          <a:ext cx="419115" cy="2889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100"/>
            <a:t>0,95</a:t>
          </a:r>
        </a:p>
      </cdr:txBody>
    </cdr:sp>
  </cdr:relSizeAnchor>
  <cdr:relSizeAnchor xmlns:cdr="http://schemas.openxmlformats.org/drawingml/2006/chartDrawing">
    <cdr:from>
      <cdr:x>0.76111</cdr:x>
      <cdr:y>0.22338</cdr:y>
    </cdr:from>
    <cdr:to>
      <cdr:x>0.85278</cdr:x>
      <cdr:y>0.32755</cdr:y>
    </cdr:to>
    <cdr:sp macro="" textlink="">
      <cdr:nvSpPr>
        <cdr:cNvPr id="5" name="CuadroTexto 1">
          <a:extLst xmlns:a="http://schemas.openxmlformats.org/drawingml/2006/main">
            <a:ext uri="{FF2B5EF4-FFF2-40B4-BE49-F238E27FC236}">
              <a16:creationId xmlns:a16="http://schemas.microsoft.com/office/drawing/2014/main" id="{B6F794D7-B550-4B1D-A872-887E28C69185}"/>
            </a:ext>
          </a:extLst>
        </cdr:cNvPr>
        <cdr:cNvSpPr txBox="1"/>
      </cdr:nvSpPr>
      <cdr:spPr>
        <a:xfrm xmlns:a="http://schemas.openxmlformats.org/drawingml/2006/main">
          <a:off x="3479800" y="612775"/>
          <a:ext cx="4191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100"/>
            <a:t>0,025</a:t>
          </a:r>
        </a:p>
      </cdr:txBody>
    </cdr:sp>
  </cdr:relSizeAnchor>
  <cdr:relSizeAnchor xmlns:cdr="http://schemas.openxmlformats.org/drawingml/2006/chartDrawing">
    <cdr:from>
      <cdr:x>0.12361</cdr:x>
      <cdr:y>0.21296</cdr:y>
    </cdr:from>
    <cdr:to>
      <cdr:x>0.21528</cdr:x>
      <cdr:y>0.31713</cdr:y>
    </cdr:to>
    <cdr:sp macro="" textlink="">
      <cdr:nvSpPr>
        <cdr:cNvPr id="7" name="CuadroTexto 1">
          <a:extLst xmlns:a="http://schemas.openxmlformats.org/drawingml/2006/main">
            <a:ext uri="{FF2B5EF4-FFF2-40B4-BE49-F238E27FC236}">
              <a16:creationId xmlns:a16="http://schemas.microsoft.com/office/drawing/2014/main" id="{B6F794D7-B550-4B1D-A872-887E28C69185}"/>
            </a:ext>
          </a:extLst>
        </cdr:cNvPr>
        <cdr:cNvSpPr txBox="1"/>
      </cdr:nvSpPr>
      <cdr:spPr>
        <a:xfrm xmlns:a="http://schemas.openxmlformats.org/drawingml/2006/main">
          <a:off x="565150" y="584200"/>
          <a:ext cx="4191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100"/>
            <a:t>0,025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0.26528</cdr:x>
      <cdr:y>0.05324</cdr:y>
    </cdr:from>
    <cdr:to>
      <cdr:x>0.36424</cdr:x>
      <cdr:y>0.16088</cdr:y>
    </cdr:to>
    <cdr:sp macro="" textlink="">
      <cdr:nvSpPr>
        <cdr:cNvPr id="2" name="CuadroTexto 40">
          <a:extLst xmlns:a="http://schemas.openxmlformats.org/drawingml/2006/main">
            <a:ext uri="{FF2B5EF4-FFF2-40B4-BE49-F238E27FC236}">
              <a16:creationId xmlns:a16="http://schemas.microsoft.com/office/drawing/2014/main" id="{78D8B094-CA7E-4CBB-8002-EA0BE37B7527}"/>
            </a:ext>
          </a:extLst>
        </cdr:cNvPr>
        <cdr:cNvSpPr txBox="1"/>
      </cdr:nvSpPr>
      <cdr:spPr>
        <a:xfrm xmlns:a="http://schemas.openxmlformats.org/drawingml/2006/main">
          <a:off x="1212850" y="146050"/>
          <a:ext cx="452438" cy="2952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100"/>
            <a:t>0,99</a:t>
          </a:r>
        </a:p>
        <a:p xmlns:a="http://schemas.openxmlformats.org/drawingml/2006/main">
          <a:endParaRPr lang="es-AR" sz="1100"/>
        </a:p>
        <a:p xmlns:a="http://schemas.openxmlformats.org/drawingml/2006/main">
          <a:endParaRPr lang="es-AR" sz="1100"/>
        </a:p>
      </cdr:txBody>
    </cdr:sp>
  </cdr:relSizeAnchor>
  <cdr:relSizeAnchor xmlns:cdr="http://schemas.openxmlformats.org/drawingml/2006/chartDrawing">
    <cdr:from>
      <cdr:x>0.11319</cdr:x>
      <cdr:y>0.0463</cdr:y>
    </cdr:from>
    <cdr:to>
      <cdr:x>0.21215</cdr:x>
      <cdr:y>0.15394</cdr:y>
    </cdr:to>
    <cdr:sp macro="" textlink="">
      <cdr:nvSpPr>
        <cdr:cNvPr id="3" name="CuadroTexto 40">
          <a:extLst xmlns:a="http://schemas.openxmlformats.org/drawingml/2006/main">
            <a:ext uri="{FF2B5EF4-FFF2-40B4-BE49-F238E27FC236}">
              <a16:creationId xmlns:a16="http://schemas.microsoft.com/office/drawing/2014/main" id="{78D8B094-CA7E-4CBB-8002-EA0BE37B7527}"/>
            </a:ext>
          </a:extLst>
        </cdr:cNvPr>
        <cdr:cNvSpPr txBox="1"/>
      </cdr:nvSpPr>
      <cdr:spPr>
        <a:xfrm xmlns:a="http://schemas.openxmlformats.org/drawingml/2006/main">
          <a:off x="517525" y="127000"/>
          <a:ext cx="452438" cy="2952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100"/>
            <a:t>0,01</a:t>
          </a:r>
        </a:p>
        <a:p xmlns:a="http://schemas.openxmlformats.org/drawingml/2006/main">
          <a:endParaRPr lang="es-AR" sz="1100"/>
        </a:p>
        <a:p xmlns:a="http://schemas.openxmlformats.org/drawingml/2006/main">
          <a:endParaRPr lang="es-AR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0.20069</cdr:x>
      <cdr:y>0.0706</cdr:y>
    </cdr:from>
    <cdr:to>
      <cdr:x>0.31111</cdr:x>
      <cdr:y>0.17824</cdr:y>
    </cdr:to>
    <cdr:sp macro="" textlink="">
      <cdr:nvSpPr>
        <cdr:cNvPr id="2" name="CuadroTexto 42">
          <a:extLst xmlns:a="http://schemas.openxmlformats.org/drawingml/2006/main">
            <a:ext uri="{FF2B5EF4-FFF2-40B4-BE49-F238E27FC236}">
              <a16:creationId xmlns:a16="http://schemas.microsoft.com/office/drawing/2014/main" id="{CF0B2615-C9B7-45D9-930C-270D98C7CDEB}"/>
            </a:ext>
          </a:extLst>
        </cdr:cNvPr>
        <cdr:cNvSpPr txBox="1"/>
      </cdr:nvSpPr>
      <cdr:spPr>
        <a:xfrm xmlns:a="http://schemas.openxmlformats.org/drawingml/2006/main">
          <a:off x="917575" y="193675"/>
          <a:ext cx="504825" cy="2952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100"/>
            <a:t>0,05</a:t>
          </a:r>
        </a:p>
        <a:p xmlns:a="http://schemas.openxmlformats.org/drawingml/2006/main">
          <a:endParaRPr lang="es-AR" sz="1100"/>
        </a:p>
      </cdr:txBody>
    </cdr:sp>
  </cdr:relSizeAnchor>
  <cdr:relSizeAnchor xmlns:cdr="http://schemas.openxmlformats.org/drawingml/2006/chartDrawing">
    <cdr:from>
      <cdr:x>0.34653</cdr:x>
      <cdr:y>0.0706</cdr:y>
    </cdr:from>
    <cdr:to>
      <cdr:x>0.45694</cdr:x>
      <cdr:y>0.17824</cdr:y>
    </cdr:to>
    <cdr:sp macro="" textlink="">
      <cdr:nvSpPr>
        <cdr:cNvPr id="3" name="CuadroTexto 42">
          <a:extLst xmlns:a="http://schemas.openxmlformats.org/drawingml/2006/main">
            <a:ext uri="{FF2B5EF4-FFF2-40B4-BE49-F238E27FC236}">
              <a16:creationId xmlns:a16="http://schemas.microsoft.com/office/drawing/2014/main" id="{CF0B2615-C9B7-45D9-930C-270D98C7CDEB}"/>
            </a:ext>
          </a:extLst>
        </cdr:cNvPr>
        <cdr:cNvSpPr txBox="1"/>
      </cdr:nvSpPr>
      <cdr:spPr>
        <a:xfrm xmlns:a="http://schemas.openxmlformats.org/drawingml/2006/main">
          <a:off x="1584325" y="193675"/>
          <a:ext cx="504825" cy="2952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100"/>
            <a:t>0,95</a:t>
          </a:r>
        </a:p>
        <a:p xmlns:a="http://schemas.openxmlformats.org/drawingml/2006/main">
          <a:endParaRPr lang="es-AR" sz="1100"/>
        </a:p>
      </cdr:txBody>
    </cdr:sp>
  </cdr:relSizeAnchor>
  <cdr:relSizeAnchor xmlns:cdr="http://schemas.openxmlformats.org/drawingml/2006/chartDrawing">
    <cdr:from>
      <cdr:x>0.32083</cdr:x>
      <cdr:y>0.05208</cdr:y>
    </cdr:from>
    <cdr:to>
      <cdr:x>0.32708</cdr:x>
      <cdr:y>0.92361</cdr:y>
    </cdr:to>
    <cdr:cxnSp macro="">
      <cdr:nvCxnSpPr>
        <cdr:cNvPr id="5" name="Conector recto de flecha 4">
          <a:extLst xmlns:a="http://schemas.openxmlformats.org/drawingml/2006/main">
            <a:ext uri="{FF2B5EF4-FFF2-40B4-BE49-F238E27FC236}">
              <a16:creationId xmlns:a16="http://schemas.microsoft.com/office/drawing/2014/main" id="{B987F927-3B43-4B35-9AE4-5F115F74F5B6}"/>
            </a:ext>
          </a:extLst>
        </cdr:cNvPr>
        <cdr:cNvCxnSpPr/>
      </cdr:nvCxnSpPr>
      <cdr:spPr>
        <a:xfrm xmlns:a="http://schemas.openxmlformats.org/drawingml/2006/main" flipV="1">
          <a:off x="1466851" y="142875"/>
          <a:ext cx="28574" cy="23907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0.54861</cdr:x>
      <cdr:y>0.1331</cdr:y>
    </cdr:from>
    <cdr:to>
      <cdr:x>0.65903</cdr:x>
      <cdr:y>0.24074</cdr:y>
    </cdr:to>
    <cdr:sp macro="" textlink="">
      <cdr:nvSpPr>
        <cdr:cNvPr id="2" name="CuadroTexto 42">
          <a:extLst xmlns:a="http://schemas.openxmlformats.org/drawingml/2006/main">
            <a:ext uri="{FF2B5EF4-FFF2-40B4-BE49-F238E27FC236}">
              <a16:creationId xmlns:a16="http://schemas.microsoft.com/office/drawing/2014/main" id="{636B626D-C621-4875-BEFB-C54A6ACED516}"/>
            </a:ext>
          </a:extLst>
        </cdr:cNvPr>
        <cdr:cNvSpPr txBox="1"/>
      </cdr:nvSpPr>
      <cdr:spPr>
        <a:xfrm xmlns:a="http://schemas.openxmlformats.org/drawingml/2006/main">
          <a:off x="2508250" y="365125"/>
          <a:ext cx="504825" cy="2952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100"/>
            <a:t>0,95</a:t>
          </a:r>
        </a:p>
        <a:p xmlns:a="http://schemas.openxmlformats.org/drawingml/2006/main">
          <a:endParaRPr lang="es-AR" sz="1100"/>
        </a:p>
      </cdr:txBody>
    </cdr:sp>
  </cdr:relSizeAnchor>
  <cdr:relSizeAnchor xmlns:cdr="http://schemas.openxmlformats.org/drawingml/2006/chartDrawing">
    <cdr:from>
      <cdr:x>0.80903</cdr:x>
      <cdr:y>0.12616</cdr:y>
    </cdr:from>
    <cdr:to>
      <cdr:x>0.91944</cdr:x>
      <cdr:y>0.2338</cdr:y>
    </cdr:to>
    <cdr:sp macro="" textlink="">
      <cdr:nvSpPr>
        <cdr:cNvPr id="3" name="CuadroTexto 42">
          <a:extLst xmlns:a="http://schemas.openxmlformats.org/drawingml/2006/main">
            <a:ext uri="{FF2B5EF4-FFF2-40B4-BE49-F238E27FC236}">
              <a16:creationId xmlns:a16="http://schemas.microsoft.com/office/drawing/2014/main" id="{636B626D-C621-4875-BEFB-C54A6ACED516}"/>
            </a:ext>
          </a:extLst>
        </cdr:cNvPr>
        <cdr:cNvSpPr txBox="1"/>
      </cdr:nvSpPr>
      <cdr:spPr>
        <a:xfrm xmlns:a="http://schemas.openxmlformats.org/drawingml/2006/main">
          <a:off x="3698875" y="346075"/>
          <a:ext cx="504825" cy="2952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100"/>
            <a:t>0,05</a:t>
          </a:r>
        </a:p>
        <a:p xmlns:a="http://schemas.openxmlformats.org/drawingml/2006/main">
          <a:endParaRPr lang="es-AR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0.21528</cdr:x>
      <cdr:y>0.08102</cdr:y>
    </cdr:from>
    <cdr:to>
      <cdr:x>0.32569</cdr:x>
      <cdr:y>0.18866</cdr:y>
    </cdr:to>
    <cdr:sp macro="" textlink="">
      <cdr:nvSpPr>
        <cdr:cNvPr id="2" name="CuadroTexto 42">
          <a:extLst xmlns:a="http://schemas.openxmlformats.org/drawingml/2006/main">
            <a:ext uri="{FF2B5EF4-FFF2-40B4-BE49-F238E27FC236}">
              <a16:creationId xmlns:a16="http://schemas.microsoft.com/office/drawing/2014/main" id="{F50A14B3-0555-4855-82D0-015F237F13AE}"/>
            </a:ext>
          </a:extLst>
        </cdr:cNvPr>
        <cdr:cNvSpPr txBox="1"/>
      </cdr:nvSpPr>
      <cdr:spPr>
        <a:xfrm xmlns:a="http://schemas.openxmlformats.org/drawingml/2006/main">
          <a:off x="984250" y="222250"/>
          <a:ext cx="504825" cy="2952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100"/>
            <a:t>0,10</a:t>
          </a:r>
        </a:p>
        <a:p xmlns:a="http://schemas.openxmlformats.org/drawingml/2006/main">
          <a:endParaRPr lang="es-AR" sz="1100"/>
        </a:p>
      </cdr:txBody>
    </cdr:sp>
  </cdr:relSizeAnchor>
  <cdr:relSizeAnchor xmlns:cdr="http://schemas.openxmlformats.org/drawingml/2006/chartDrawing">
    <cdr:from>
      <cdr:x>0.44028</cdr:x>
      <cdr:y>0.07407</cdr:y>
    </cdr:from>
    <cdr:to>
      <cdr:x>0.55069</cdr:x>
      <cdr:y>0.18171</cdr:y>
    </cdr:to>
    <cdr:sp macro="" textlink="">
      <cdr:nvSpPr>
        <cdr:cNvPr id="3" name="CuadroTexto 42">
          <a:extLst xmlns:a="http://schemas.openxmlformats.org/drawingml/2006/main">
            <a:ext uri="{FF2B5EF4-FFF2-40B4-BE49-F238E27FC236}">
              <a16:creationId xmlns:a16="http://schemas.microsoft.com/office/drawing/2014/main" id="{F50A14B3-0555-4855-82D0-015F237F13AE}"/>
            </a:ext>
          </a:extLst>
        </cdr:cNvPr>
        <cdr:cNvSpPr txBox="1"/>
      </cdr:nvSpPr>
      <cdr:spPr>
        <a:xfrm xmlns:a="http://schemas.openxmlformats.org/drawingml/2006/main">
          <a:off x="2012950" y="203200"/>
          <a:ext cx="504825" cy="2952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100"/>
            <a:t>0,90</a:t>
          </a:r>
        </a:p>
        <a:p xmlns:a="http://schemas.openxmlformats.org/drawingml/2006/main">
          <a:endParaRPr lang="es-AR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0.46319</cdr:x>
      <cdr:y>0.06019</cdr:y>
    </cdr:from>
    <cdr:to>
      <cdr:x>0.57361</cdr:x>
      <cdr:y>0.16782</cdr:y>
    </cdr:to>
    <cdr:sp macro="" textlink="">
      <cdr:nvSpPr>
        <cdr:cNvPr id="2" name="CuadroTexto 42">
          <a:extLst xmlns:a="http://schemas.openxmlformats.org/drawingml/2006/main">
            <a:ext uri="{FF2B5EF4-FFF2-40B4-BE49-F238E27FC236}">
              <a16:creationId xmlns:a16="http://schemas.microsoft.com/office/drawing/2014/main" id="{62BF2EFB-1536-45FC-826F-643BCDCD4883}"/>
            </a:ext>
          </a:extLst>
        </cdr:cNvPr>
        <cdr:cNvSpPr txBox="1"/>
      </cdr:nvSpPr>
      <cdr:spPr>
        <a:xfrm xmlns:a="http://schemas.openxmlformats.org/drawingml/2006/main">
          <a:off x="2117725" y="165100"/>
          <a:ext cx="504825" cy="2952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100"/>
            <a:t>0,9</a:t>
          </a:r>
        </a:p>
        <a:p xmlns:a="http://schemas.openxmlformats.org/drawingml/2006/main">
          <a:endParaRPr lang="es-AR" sz="1100"/>
        </a:p>
      </cdr:txBody>
    </cdr:sp>
  </cdr:relSizeAnchor>
  <cdr:relSizeAnchor xmlns:cdr="http://schemas.openxmlformats.org/drawingml/2006/chartDrawing">
    <cdr:from>
      <cdr:x>0.13194</cdr:x>
      <cdr:y>0.06019</cdr:y>
    </cdr:from>
    <cdr:to>
      <cdr:x>0.24236</cdr:x>
      <cdr:y>0.16782</cdr:y>
    </cdr:to>
    <cdr:sp macro="" textlink="">
      <cdr:nvSpPr>
        <cdr:cNvPr id="3" name="CuadroTexto 42">
          <a:extLst xmlns:a="http://schemas.openxmlformats.org/drawingml/2006/main">
            <a:ext uri="{FF2B5EF4-FFF2-40B4-BE49-F238E27FC236}">
              <a16:creationId xmlns:a16="http://schemas.microsoft.com/office/drawing/2014/main" id="{62BF2EFB-1536-45FC-826F-643BCDCD4883}"/>
            </a:ext>
          </a:extLst>
        </cdr:cNvPr>
        <cdr:cNvSpPr txBox="1"/>
      </cdr:nvSpPr>
      <cdr:spPr>
        <a:xfrm xmlns:a="http://schemas.openxmlformats.org/drawingml/2006/main">
          <a:off x="603250" y="165100"/>
          <a:ext cx="504825" cy="2952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100"/>
            <a:t>0,05</a:t>
          </a:r>
        </a:p>
        <a:p xmlns:a="http://schemas.openxmlformats.org/drawingml/2006/main">
          <a:endParaRPr lang="es-AR" sz="1100"/>
        </a:p>
      </cdr:txBody>
    </cdr:sp>
  </cdr:relSizeAnchor>
  <cdr:relSizeAnchor xmlns:cdr="http://schemas.openxmlformats.org/drawingml/2006/chartDrawing">
    <cdr:from>
      <cdr:x>0.83403</cdr:x>
      <cdr:y>0.06019</cdr:y>
    </cdr:from>
    <cdr:to>
      <cdr:x>0.94444</cdr:x>
      <cdr:y>0.16782</cdr:y>
    </cdr:to>
    <cdr:sp macro="" textlink="">
      <cdr:nvSpPr>
        <cdr:cNvPr id="4" name="CuadroTexto 42">
          <a:extLst xmlns:a="http://schemas.openxmlformats.org/drawingml/2006/main">
            <a:ext uri="{FF2B5EF4-FFF2-40B4-BE49-F238E27FC236}">
              <a16:creationId xmlns:a16="http://schemas.microsoft.com/office/drawing/2014/main" id="{62BF2EFB-1536-45FC-826F-643BCDCD4883}"/>
            </a:ext>
          </a:extLst>
        </cdr:cNvPr>
        <cdr:cNvSpPr txBox="1"/>
      </cdr:nvSpPr>
      <cdr:spPr>
        <a:xfrm xmlns:a="http://schemas.openxmlformats.org/drawingml/2006/main">
          <a:off x="3813175" y="165100"/>
          <a:ext cx="504825" cy="2952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100"/>
            <a:t>0,05</a:t>
          </a:r>
        </a:p>
        <a:p xmlns:a="http://schemas.openxmlformats.org/drawingml/2006/main">
          <a:endParaRPr lang="es-AR" sz="1100"/>
        </a:p>
      </cdr:txBody>
    </cdr:sp>
  </cdr:relSizeAnchor>
  <cdr:relSizeAnchor xmlns:cdr="http://schemas.openxmlformats.org/drawingml/2006/chartDrawing">
    <cdr:from>
      <cdr:x>0.325</cdr:x>
      <cdr:y>0.05556</cdr:y>
    </cdr:from>
    <cdr:to>
      <cdr:x>0.32708</cdr:x>
      <cdr:y>0.89236</cdr:y>
    </cdr:to>
    <cdr:cxnSp macro="">
      <cdr:nvCxnSpPr>
        <cdr:cNvPr id="6" name="Conector recto de flecha 5">
          <a:extLst xmlns:a="http://schemas.openxmlformats.org/drawingml/2006/main">
            <a:ext uri="{FF2B5EF4-FFF2-40B4-BE49-F238E27FC236}">
              <a16:creationId xmlns:a16="http://schemas.microsoft.com/office/drawing/2014/main" id="{EC446195-6B5D-4C2E-8751-386E8A5DE228}"/>
            </a:ext>
          </a:extLst>
        </cdr:cNvPr>
        <cdr:cNvCxnSpPr/>
      </cdr:nvCxnSpPr>
      <cdr:spPr>
        <a:xfrm xmlns:a="http://schemas.openxmlformats.org/drawingml/2006/main" flipV="1">
          <a:off x="1485900" y="152400"/>
          <a:ext cx="9525" cy="22955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0.72292</cdr:x>
      <cdr:y>0.05208</cdr:y>
    </cdr:from>
    <cdr:to>
      <cdr:x>0.72917</cdr:x>
      <cdr:y>0.89931</cdr:y>
    </cdr:to>
    <cdr:cxnSp macro="">
      <cdr:nvCxnSpPr>
        <cdr:cNvPr id="8" name="Conector recto de flecha 7">
          <a:extLst xmlns:a="http://schemas.openxmlformats.org/drawingml/2006/main">
            <a:ext uri="{FF2B5EF4-FFF2-40B4-BE49-F238E27FC236}">
              <a16:creationId xmlns:a16="http://schemas.microsoft.com/office/drawing/2014/main" id="{C944CC63-04C5-48D9-8538-176079CCF118}"/>
            </a:ext>
          </a:extLst>
        </cdr:cNvPr>
        <cdr:cNvCxnSpPr/>
      </cdr:nvCxnSpPr>
      <cdr:spPr>
        <a:xfrm xmlns:a="http://schemas.openxmlformats.org/drawingml/2006/main" flipH="1" flipV="1">
          <a:off x="3305175" y="142875"/>
          <a:ext cx="28575" cy="23241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7"/>
  <sheetViews>
    <sheetView tabSelected="1" topLeftCell="A6" workbookViewId="0">
      <selection activeCell="C55" sqref="C55"/>
    </sheetView>
  </sheetViews>
  <sheetFormatPr baseColWidth="10" defaultColWidth="9.140625" defaultRowHeight="15" x14ac:dyDescent="0.25"/>
  <cols>
    <col min="2" max="2" width="11.85546875" bestFit="1" customWidth="1"/>
    <col min="4" max="4" width="11.85546875" bestFit="1" customWidth="1"/>
    <col min="6" max="6" width="13.28515625" customWidth="1"/>
    <col min="15" max="16" width="11.85546875" bestFit="1" customWidth="1"/>
    <col min="19" max="19" width="12.140625" customWidth="1"/>
  </cols>
  <sheetData>
    <row r="1" spans="1:14" x14ac:dyDescent="0.25">
      <c r="A1" s="12" t="s">
        <v>8</v>
      </c>
      <c r="B1" t="s">
        <v>72</v>
      </c>
    </row>
    <row r="2" spans="1:14" x14ac:dyDescent="0.25">
      <c r="A2" s="18" t="s">
        <v>0</v>
      </c>
      <c r="B2" s="17">
        <v>2.0099999999999998</v>
      </c>
      <c r="D2" s="17" t="s">
        <v>2</v>
      </c>
      <c r="E2" s="17" t="s">
        <v>3</v>
      </c>
    </row>
    <row r="3" spans="1:14" x14ac:dyDescent="0.25">
      <c r="A3" s="17" t="s">
        <v>1</v>
      </c>
      <c r="B3" s="17">
        <v>4.9000000000000004</v>
      </c>
      <c r="D3" s="17">
        <f>D4-2.01</f>
        <v>-1.129999999999999</v>
      </c>
      <c r="E3" s="17">
        <f>_xlfn.NORM.DIST(D3,4.9,2.01,0)</f>
        <v>2.2048997074318446E-3</v>
      </c>
      <c r="N3">
        <v>1</v>
      </c>
    </row>
    <row r="4" spans="1:14" x14ac:dyDescent="0.25">
      <c r="D4" s="17">
        <f>D5-2.01</f>
        <v>0.88000000000000078</v>
      </c>
      <c r="E4" s="17">
        <f t="shared" ref="E4:E9" si="0">_xlfn.NORM.DIST(D4,4.9,2.01,0)</f>
        <v>2.6861177369745307E-2</v>
      </c>
      <c r="N4">
        <v>0.99</v>
      </c>
    </row>
    <row r="5" spans="1:14" x14ac:dyDescent="0.25">
      <c r="D5" s="17">
        <f>D6-2.01</f>
        <v>2.8900000000000006</v>
      </c>
      <c r="E5" s="17">
        <f t="shared" si="0"/>
        <v>0.12038344503439971</v>
      </c>
      <c r="N5">
        <f>N3-N4</f>
        <v>1.0000000000000009E-2</v>
      </c>
    </row>
    <row r="6" spans="1:14" x14ac:dyDescent="0.25">
      <c r="D6" s="17">
        <v>4.9000000000000004</v>
      </c>
      <c r="E6" s="17">
        <f t="shared" si="0"/>
        <v>0.19847874646837452</v>
      </c>
      <c r="N6">
        <f>N5/2</f>
        <v>5.0000000000000044E-3</v>
      </c>
    </row>
    <row r="7" spans="1:14" x14ac:dyDescent="0.25">
      <c r="D7" s="17">
        <f>D6+2.01</f>
        <v>6.91</v>
      </c>
      <c r="E7" s="17">
        <f t="shared" si="0"/>
        <v>0.12038344503439971</v>
      </c>
    </row>
    <row r="8" spans="1:14" x14ac:dyDescent="0.25">
      <c r="D8" s="17">
        <f>D7+2.01</f>
        <v>8.92</v>
      </c>
      <c r="E8" s="17">
        <f t="shared" si="0"/>
        <v>2.6861177369745307E-2</v>
      </c>
    </row>
    <row r="9" spans="1:14" x14ac:dyDescent="0.25">
      <c r="D9" s="17">
        <f>D8+2.01</f>
        <v>10.93</v>
      </c>
      <c r="E9" s="17">
        <f t="shared" si="0"/>
        <v>2.2048997074318446E-3</v>
      </c>
    </row>
    <row r="13" spans="1:14" x14ac:dyDescent="0.25">
      <c r="B13" s="2" t="s">
        <v>4</v>
      </c>
      <c r="C13" s="2">
        <f>_xlfn.NORM.INV(0.05,4.9,2.01)</f>
        <v>1.5938442098275405</v>
      </c>
    </row>
    <row r="14" spans="1:14" x14ac:dyDescent="0.25">
      <c r="B14" s="2" t="s">
        <v>5</v>
      </c>
      <c r="C14" s="2">
        <f>_xlfn.NORM.INV(0.95,4.9,2.01)</f>
        <v>8.206155790172458</v>
      </c>
    </row>
    <row r="16" spans="1:14" x14ac:dyDescent="0.25">
      <c r="B16" s="2" t="s">
        <v>7</v>
      </c>
      <c r="C16" s="2">
        <f>_xlfn.NORM.INV(0.005,4.9,2.01)</f>
        <v>-0.27741690013328757</v>
      </c>
    </row>
    <row r="17" spans="1:17" x14ac:dyDescent="0.25">
      <c r="B17" s="2" t="s">
        <v>6</v>
      </c>
      <c r="C17" s="2">
        <f>_xlfn.NORM.INV(0.995,4.9,2.01)</f>
        <v>10.077416900133288</v>
      </c>
    </row>
    <row r="19" spans="1:17" x14ac:dyDescent="0.25">
      <c r="A19" s="12" t="s">
        <v>9</v>
      </c>
    </row>
    <row r="20" spans="1:17" x14ac:dyDescent="0.25">
      <c r="C20" t="s">
        <v>2</v>
      </c>
      <c r="E20" t="s">
        <v>12</v>
      </c>
      <c r="F20" t="s">
        <v>13</v>
      </c>
      <c r="O20" t="s">
        <v>14</v>
      </c>
    </row>
    <row r="21" spans="1:17" x14ac:dyDescent="0.25">
      <c r="C21">
        <v>493</v>
      </c>
      <c r="E21">
        <f>E22-5</f>
        <v>488.75</v>
      </c>
      <c r="F21">
        <f>_xlfn.NORM.DIST(E21,503.75,5,0)</f>
        <v>8.8636968238760153E-4</v>
      </c>
      <c r="O21" s="3" t="s">
        <v>21</v>
      </c>
      <c r="P21" s="4" t="s">
        <v>12</v>
      </c>
      <c r="Q21" s="5" t="s">
        <v>22</v>
      </c>
    </row>
    <row r="22" spans="1:17" x14ac:dyDescent="0.25">
      <c r="C22">
        <v>496</v>
      </c>
      <c r="E22">
        <f>E23-5</f>
        <v>493.75</v>
      </c>
      <c r="F22">
        <f t="shared" ref="F22:F27" si="1">_xlfn.NORM.DIST(E22,503.75,5,0)</f>
        <v>1.0798193302637612E-2</v>
      </c>
      <c r="O22" s="3">
        <v>1</v>
      </c>
      <c r="P22" s="4">
        <v>1</v>
      </c>
      <c r="Q22" s="5">
        <v>1</v>
      </c>
    </row>
    <row r="23" spans="1:17" x14ac:dyDescent="0.25">
      <c r="C23">
        <v>496</v>
      </c>
      <c r="E23">
        <f>E24-5</f>
        <v>498.75</v>
      </c>
      <c r="F23">
        <f t="shared" si="1"/>
        <v>4.8394144903828672E-2</v>
      </c>
      <c r="O23" s="3">
        <v>0.9</v>
      </c>
      <c r="P23" s="4">
        <v>0.95</v>
      </c>
      <c r="Q23" s="5">
        <v>0.99</v>
      </c>
    </row>
    <row r="24" spans="1:17" x14ac:dyDescent="0.25">
      <c r="C24">
        <v>497</v>
      </c>
      <c r="E24">
        <v>503.75</v>
      </c>
      <c r="F24">
        <f t="shared" si="1"/>
        <v>7.9788456080286549E-2</v>
      </c>
      <c r="O24" s="3">
        <f>O22-O23</f>
        <v>9.9999999999999978E-2</v>
      </c>
      <c r="P24" s="4">
        <f>P22-P23</f>
        <v>5.0000000000000044E-2</v>
      </c>
      <c r="Q24" s="5">
        <f>Q22-Q23</f>
        <v>1.0000000000000009E-2</v>
      </c>
    </row>
    <row r="25" spans="1:17" x14ac:dyDescent="0.25">
      <c r="C25">
        <v>499</v>
      </c>
      <c r="E25">
        <f>E24+5</f>
        <v>508.75</v>
      </c>
      <c r="F25">
        <f t="shared" si="1"/>
        <v>4.8394144903828672E-2</v>
      </c>
      <c r="O25" s="3">
        <f>O24/2</f>
        <v>4.9999999999999989E-2</v>
      </c>
      <c r="P25" s="4">
        <f>P24/2</f>
        <v>2.5000000000000022E-2</v>
      </c>
      <c r="Q25" s="5">
        <f>Q24/2</f>
        <v>5.0000000000000044E-3</v>
      </c>
    </row>
    <row r="26" spans="1:17" x14ac:dyDescent="0.25">
      <c r="C26">
        <v>502</v>
      </c>
      <c r="E26">
        <f>E25+5</f>
        <v>513.75</v>
      </c>
      <c r="F26">
        <f t="shared" si="1"/>
        <v>1.0798193302637612E-2</v>
      </c>
    </row>
    <row r="27" spans="1:17" x14ac:dyDescent="0.25">
      <c r="C27">
        <v>503</v>
      </c>
      <c r="E27">
        <f>E26+5</f>
        <v>518.75</v>
      </c>
      <c r="F27">
        <f t="shared" si="1"/>
        <v>8.8636968238760153E-4</v>
      </c>
    </row>
    <row r="28" spans="1:17" x14ac:dyDescent="0.25">
      <c r="C28">
        <v>504</v>
      </c>
    </row>
    <row r="29" spans="1:17" x14ac:dyDescent="0.25">
      <c r="C29">
        <v>505</v>
      </c>
    </row>
    <row r="30" spans="1:17" x14ac:dyDescent="0.25">
      <c r="C30">
        <v>506</v>
      </c>
    </row>
    <row r="31" spans="1:17" x14ac:dyDescent="0.25">
      <c r="C31">
        <v>506</v>
      </c>
    </row>
    <row r="32" spans="1:17" x14ac:dyDescent="0.25">
      <c r="C32">
        <v>508</v>
      </c>
    </row>
    <row r="33" spans="1:19" x14ac:dyDescent="0.25">
      <c r="C33">
        <v>509</v>
      </c>
    </row>
    <row r="34" spans="1:19" x14ac:dyDescent="0.25">
      <c r="C34">
        <v>510</v>
      </c>
    </row>
    <row r="35" spans="1:19" x14ac:dyDescent="0.25">
      <c r="C35">
        <v>512</v>
      </c>
      <c r="H35" s="4" t="s">
        <v>15</v>
      </c>
      <c r="I35" s="4">
        <f>_xlfn.NORM.INV(0.025,503.75,5)</f>
        <v>493.95018007729971</v>
      </c>
      <c r="K35" s="6" t="s">
        <v>17</v>
      </c>
      <c r="L35" s="6">
        <f>_xlfn.NORM.INV(0.05,503.75,5)</f>
        <v>495.52573186524262</v>
      </c>
      <c r="N35" s="5" t="s">
        <v>19</v>
      </c>
      <c r="O35" s="5">
        <f>_xlfn.NORM.INV(0.005,503.75,5)</f>
        <v>490.87085348225548</v>
      </c>
    </row>
    <row r="36" spans="1:19" x14ac:dyDescent="0.25">
      <c r="C36">
        <v>514</v>
      </c>
      <c r="H36" s="4" t="s">
        <v>16</v>
      </c>
      <c r="I36" s="4">
        <f>_xlfn.NORM.INV(0.975,503.75,5)</f>
        <v>513.54981992270029</v>
      </c>
      <c r="K36" s="6" t="s">
        <v>18</v>
      </c>
      <c r="L36" s="6">
        <f>_xlfn.NORM.INV(0.95,503.75,5)</f>
        <v>511.97426813475738</v>
      </c>
      <c r="N36" s="5" t="s">
        <v>20</v>
      </c>
      <c r="O36" s="5">
        <f>_xlfn.NORM.INV(0.995,503.75,5)</f>
        <v>516.62914651774452</v>
      </c>
    </row>
    <row r="37" spans="1:19" x14ac:dyDescent="0.25">
      <c r="B37" t="s">
        <v>10</v>
      </c>
      <c r="C37">
        <f>AVERAGE(C21:C36)</f>
        <v>503.75</v>
      </c>
    </row>
    <row r="38" spans="1:19" x14ac:dyDescent="0.25">
      <c r="B38" t="s">
        <v>11</v>
      </c>
      <c r="C38">
        <v>5</v>
      </c>
    </row>
    <row r="40" spans="1:19" x14ac:dyDescent="0.25">
      <c r="A40" s="12" t="s">
        <v>23</v>
      </c>
      <c r="E40" t="s">
        <v>12</v>
      </c>
      <c r="F40" t="s">
        <v>3</v>
      </c>
      <c r="O40" s="12" t="s">
        <v>27</v>
      </c>
      <c r="R40" t="s">
        <v>12</v>
      </c>
      <c r="S40" t="s">
        <v>3</v>
      </c>
    </row>
    <row r="41" spans="1:19" x14ac:dyDescent="0.25">
      <c r="B41" t="s">
        <v>10</v>
      </c>
      <c r="C41">
        <v>160</v>
      </c>
      <c r="E41">
        <f>E42-100</f>
        <v>-140</v>
      </c>
      <c r="F41" s="8">
        <f>_xlfn.NORM.DIST(E41,160,100,0)</f>
        <v>4.4318484119380074E-5</v>
      </c>
      <c r="P41">
        <v>682</v>
      </c>
      <c r="R41">
        <f>R42-66.08</f>
        <v>412.15999999999997</v>
      </c>
      <c r="S41" s="7">
        <f>_xlfn.NORM.DIST(R41,610.4,66.08,0)</f>
        <v>6.7067923909473477E-5</v>
      </c>
    </row>
    <row r="42" spans="1:19" x14ac:dyDescent="0.25">
      <c r="B42" t="s">
        <v>11</v>
      </c>
      <c r="C42">
        <v>100</v>
      </c>
      <c r="E42">
        <f>E43-100</f>
        <v>-40</v>
      </c>
      <c r="F42">
        <f t="shared" ref="F42:F47" si="2">_xlfn.NORM.DIST(E42,160,100,0)</f>
        <v>5.3990966513188055E-4</v>
      </c>
      <c r="P42">
        <v>553</v>
      </c>
      <c r="R42">
        <f>R43-66.08</f>
        <v>478.23999999999995</v>
      </c>
      <c r="S42">
        <f t="shared" ref="S42:S47" si="3">_xlfn.NORM.DIST(R42,610.4,66.08,0)</f>
        <v>8.1705457798407998E-4</v>
      </c>
    </row>
    <row r="43" spans="1:19" x14ac:dyDescent="0.25">
      <c r="B43" t="s">
        <v>24</v>
      </c>
      <c r="C43">
        <v>144</v>
      </c>
      <c r="E43">
        <f>E44-100</f>
        <v>60</v>
      </c>
      <c r="F43">
        <f t="shared" si="2"/>
        <v>2.4197072451914337E-3</v>
      </c>
      <c r="P43">
        <v>555</v>
      </c>
      <c r="R43">
        <f>R44-66.08</f>
        <v>544.31999999999994</v>
      </c>
      <c r="S43">
        <f t="shared" si="3"/>
        <v>3.6617845720209323E-3</v>
      </c>
    </row>
    <row r="44" spans="1:19" x14ac:dyDescent="0.25">
      <c r="E44">
        <v>160</v>
      </c>
      <c r="F44">
        <f t="shared" si="2"/>
        <v>3.9894228040143268E-3</v>
      </c>
      <c r="P44">
        <v>666</v>
      </c>
      <c r="R44">
        <v>610.4</v>
      </c>
      <c r="S44">
        <f t="shared" si="3"/>
        <v>6.0372621126124808E-3</v>
      </c>
    </row>
    <row r="45" spans="1:19" x14ac:dyDescent="0.25">
      <c r="B45" s="9" t="s">
        <v>29</v>
      </c>
      <c r="C45" s="4" t="s">
        <v>30</v>
      </c>
      <c r="E45">
        <f>E44+100</f>
        <v>260</v>
      </c>
      <c r="F45">
        <f t="shared" si="2"/>
        <v>2.4197072451914337E-3</v>
      </c>
      <c r="P45">
        <v>657</v>
      </c>
      <c r="R45">
        <f>R44+66.08</f>
        <v>676.48</v>
      </c>
      <c r="S45">
        <f t="shared" si="3"/>
        <v>3.6617845720209323E-3</v>
      </c>
    </row>
    <row r="46" spans="1:19" x14ac:dyDescent="0.25">
      <c r="B46">
        <v>1</v>
      </c>
      <c r="C46">
        <v>1</v>
      </c>
      <c r="E46">
        <f>E45+100</f>
        <v>360</v>
      </c>
      <c r="F46">
        <f t="shared" si="2"/>
        <v>5.3990966513188055E-4</v>
      </c>
      <c r="P46">
        <v>649</v>
      </c>
      <c r="R46">
        <f>R45+66.08</f>
        <v>742.56000000000006</v>
      </c>
      <c r="S46">
        <f t="shared" si="3"/>
        <v>8.1705457798407857E-4</v>
      </c>
    </row>
    <row r="47" spans="1:19" x14ac:dyDescent="0.25">
      <c r="B47">
        <v>0.95</v>
      </c>
      <c r="C47">
        <v>0.9</v>
      </c>
      <c r="E47">
        <f>E46+100</f>
        <v>460</v>
      </c>
      <c r="F47">
        <f t="shared" si="2"/>
        <v>4.4318484119380074E-5</v>
      </c>
      <c r="P47">
        <v>522</v>
      </c>
      <c r="R47">
        <f>R46+66.08</f>
        <v>808.6400000000001</v>
      </c>
      <c r="S47">
        <f t="shared" si="3"/>
        <v>6.7067923909473124E-5</v>
      </c>
    </row>
    <row r="48" spans="1:19" x14ac:dyDescent="0.25">
      <c r="B48">
        <f>B46-B47</f>
        <v>5.0000000000000044E-2</v>
      </c>
      <c r="C48">
        <f>C46-C47</f>
        <v>9.9999999999999978E-2</v>
      </c>
      <c r="P48">
        <v>568</v>
      </c>
    </row>
    <row r="49" spans="1:19" x14ac:dyDescent="0.25">
      <c r="B49">
        <f>B48/2</f>
        <v>2.5000000000000022E-2</v>
      </c>
      <c r="C49">
        <f>C48/2</f>
        <v>4.9999999999999989E-2</v>
      </c>
      <c r="P49">
        <v>700</v>
      </c>
      <c r="R49" s="10" t="s">
        <v>29</v>
      </c>
      <c r="S49" s="11" t="s">
        <v>30</v>
      </c>
    </row>
    <row r="50" spans="1:19" x14ac:dyDescent="0.25">
      <c r="P50">
        <v>552</v>
      </c>
      <c r="R50">
        <v>1</v>
      </c>
      <c r="S50">
        <v>1</v>
      </c>
    </row>
    <row r="51" spans="1:19" x14ac:dyDescent="0.25">
      <c r="A51" s="9" t="s">
        <v>29</v>
      </c>
      <c r="B51" s="9" t="s">
        <v>25</v>
      </c>
      <c r="C51" s="9">
        <f>_xlfn.NORM.INV(0.025,160,100)</f>
        <v>-35.996398454005373</v>
      </c>
      <c r="O51" t="s">
        <v>10</v>
      </c>
      <c r="P51">
        <f>AVERAGE(P41:P50)</f>
        <v>610.4</v>
      </c>
      <c r="R51">
        <v>0.95</v>
      </c>
      <c r="S51">
        <v>0.99</v>
      </c>
    </row>
    <row r="52" spans="1:19" x14ac:dyDescent="0.25">
      <c r="B52" s="9" t="s">
        <v>26</v>
      </c>
      <c r="C52" s="9">
        <f>_xlfn.NORM.INV(0.975,160,100)</f>
        <v>355.99639845400537</v>
      </c>
      <c r="O52" t="s">
        <v>11</v>
      </c>
      <c r="P52">
        <f>_xlfn.VAR.S(P41:P50)</f>
        <v>4366.0444444444338</v>
      </c>
      <c r="R52">
        <f>R50-R51</f>
        <v>5.0000000000000044E-2</v>
      </c>
      <c r="S52">
        <f>S50-S51</f>
        <v>1.0000000000000009E-2</v>
      </c>
    </row>
    <row r="53" spans="1:19" x14ac:dyDescent="0.25">
      <c r="O53" t="s">
        <v>32</v>
      </c>
      <c r="P53">
        <f>_xlfn.STDEV.S(P41:P50)</f>
        <v>66.076050460393247</v>
      </c>
      <c r="R53">
        <f>R52/2</f>
        <v>2.5000000000000022E-2</v>
      </c>
      <c r="S53">
        <f>S52/2</f>
        <v>5.0000000000000044E-3</v>
      </c>
    </row>
    <row r="54" spans="1:19" x14ac:dyDescent="0.25">
      <c r="A54" s="4" t="s">
        <v>30</v>
      </c>
      <c r="B54" s="4" t="s">
        <v>28</v>
      </c>
      <c r="C54" s="4">
        <f>_xlfn.NORM.INV(0.05,160,100)</f>
        <v>-4.4853626951472734</v>
      </c>
    </row>
    <row r="55" spans="1:19" x14ac:dyDescent="0.25">
      <c r="B55" s="4" t="s">
        <v>31</v>
      </c>
      <c r="C55" s="4">
        <f>_xlfn.NORM.INV(0.95,160,100)</f>
        <v>324.48536269514716</v>
      </c>
    </row>
    <row r="56" spans="1:19" x14ac:dyDescent="0.25">
      <c r="Q56" s="10" t="s">
        <v>29</v>
      </c>
      <c r="R56" s="10" t="s">
        <v>34</v>
      </c>
      <c r="S56" s="10">
        <f>_xlfn.NORM.INV(0.025,610.4,66.08)</f>
        <v>480.88557990159325</v>
      </c>
    </row>
    <row r="57" spans="1:19" x14ac:dyDescent="0.25">
      <c r="A57" s="12" t="s">
        <v>37</v>
      </c>
      <c r="B57">
        <v>167</v>
      </c>
      <c r="D57" t="s">
        <v>12</v>
      </c>
      <c r="E57" t="s">
        <v>3</v>
      </c>
      <c r="R57" s="10" t="s">
        <v>33</v>
      </c>
      <c r="S57" s="10">
        <f>_xlfn.NORM.INV(0.975,610.4,66.08)</f>
        <v>739.91442009840671</v>
      </c>
    </row>
    <row r="58" spans="1:19" x14ac:dyDescent="0.25">
      <c r="B58">
        <v>167</v>
      </c>
      <c r="D58">
        <f>D59-4</f>
        <v>161</v>
      </c>
      <c r="E58">
        <f>_xlfn.NORM.DIST(D58,173,4,0)</f>
        <v>1.1079621029845019E-3</v>
      </c>
    </row>
    <row r="59" spans="1:19" x14ac:dyDescent="0.25">
      <c r="B59">
        <v>168</v>
      </c>
      <c r="D59">
        <f>D60-4</f>
        <v>165</v>
      </c>
      <c r="E59">
        <f t="shared" ref="E59:E64" si="4">_xlfn.NORM.DIST(D59,173,4,0)</f>
        <v>1.3497741628297016E-2</v>
      </c>
      <c r="Q59" s="11" t="s">
        <v>30</v>
      </c>
      <c r="R59" s="11" t="s">
        <v>36</v>
      </c>
      <c r="S59" s="11">
        <f>_xlfn.NORM.INV(0.005,610.4,66.08)</f>
        <v>440.18919962148868</v>
      </c>
    </row>
    <row r="60" spans="1:19" x14ac:dyDescent="0.25">
      <c r="B60">
        <v>168</v>
      </c>
      <c r="D60">
        <f>D61-4</f>
        <v>169</v>
      </c>
      <c r="E60">
        <f t="shared" si="4"/>
        <v>6.0492681129785841E-2</v>
      </c>
      <c r="R60" s="11" t="s">
        <v>35</v>
      </c>
      <c r="S60" s="11">
        <f>_xlfn.NORM.INV(0.995,610.4,66.08)</f>
        <v>780.61080037851127</v>
      </c>
    </row>
    <row r="61" spans="1:19" x14ac:dyDescent="0.25">
      <c r="B61">
        <v>168</v>
      </c>
      <c r="D61">
        <v>173</v>
      </c>
      <c r="E61">
        <f t="shared" si="4"/>
        <v>9.9735570100358176E-2</v>
      </c>
    </row>
    <row r="62" spans="1:19" x14ac:dyDescent="0.25">
      <c r="B62">
        <v>169</v>
      </c>
      <c r="D62">
        <f>D61+4</f>
        <v>177</v>
      </c>
      <c r="E62">
        <f t="shared" si="4"/>
        <v>6.0492681129785841E-2</v>
      </c>
    </row>
    <row r="63" spans="1:19" x14ac:dyDescent="0.25">
      <c r="B63">
        <v>171</v>
      </c>
      <c r="D63">
        <f>D62+4</f>
        <v>181</v>
      </c>
      <c r="E63">
        <f t="shared" si="4"/>
        <v>1.3497741628297016E-2</v>
      </c>
    </row>
    <row r="64" spans="1:19" x14ac:dyDescent="0.25">
      <c r="B64">
        <v>172</v>
      </c>
      <c r="D64">
        <f>D63+4</f>
        <v>185</v>
      </c>
      <c r="E64">
        <f t="shared" si="4"/>
        <v>1.1079621029845019E-3</v>
      </c>
    </row>
    <row r="65" spans="1:18" x14ac:dyDescent="0.25">
      <c r="B65">
        <v>173</v>
      </c>
    </row>
    <row r="66" spans="1:18" x14ac:dyDescent="0.25">
      <c r="B66">
        <v>175</v>
      </c>
      <c r="C66" s="11" t="s">
        <v>29</v>
      </c>
      <c r="D66" s="11" t="s">
        <v>25</v>
      </c>
      <c r="E66" s="11">
        <f>_xlfn.NORM.INV(0.025,173,4)</f>
        <v>165.16014406183979</v>
      </c>
    </row>
    <row r="67" spans="1:18" x14ac:dyDescent="0.25">
      <c r="B67">
        <v>175</v>
      </c>
      <c r="C67">
        <v>1</v>
      </c>
      <c r="D67" s="11" t="s">
        <v>26</v>
      </c>
      <c r="E67" s="11">
        <f>_xlfn.NORM.INV(0.975,173,4)</f>
        <v>180.83985593816021</v>
      </c>
    </row>
    <row r="68" spans="1:18" x14ac:dyDescent="0.25">
      <c r="B68">
        <v>175</v>
      </c>
      <c r="C68">
        <v>0.95</v>
      </c>
    </row>
    <row r="69" spans="1:18" x14ac:dyDescent="0.25">
      <c r="B69">
        <v>177</v>
      </c>
      <c r="C69">
        <f>C67-C68</f>
        <v>5.0000000000000044E-2</v>
      </c>
    </row>
    <row r="70" spans="1:18" x14ac:dyDescent="0.25">
      <c r="B70">
        <v>182</v>
      </c>
      <c r="C70">
        <f>C69/2</f>
        <v>2.5000000000000022E-2</v>
      </c>
    </row>
    <row r="71" spans="1:18" x14ac:dyDescent="0.25">
      <c r="B71">
        <v>195</v>
      </c>
    </row>
    <row r="72" spans="1:18" x14ac:dyDescent="0.25">
      <c r="A72" t="s">
        <v>38</v>
      </c>
      <c r="B72">
        <f>AVERAGE(B57:B71)</f>
        <v>173.46666666666667</v>
      </c>
    </row>
    <row r="73" spans="1:18" x14ac:dyDescent="0.25">
      <c r="A73" s="1" t="s">
        <v>39</v>
      </c>
      <c r="B73">
        <v>4</v>
      </c>
    </row>
    <row r="75" spans="1:18" x14ac:dyDescent="0.25">
      <c r="A75" s="4" t="s">
        <v>40</v>
      </c>
      <c r="B75" s="17" t="s">
        <v>12</v>
      </c>
      <c r="D75" s="17" t="s">
        <v>12</v>
      </c>
      <c r="E75" s="17" t="s">
        <v>3</v>
      </c>
      <c r="N75" s="4" t="s">
        <v>42</v>
      </c>
      <c r="Q75" s="17" t="s">
        <v>12</v>
      </c>
      <c r="R75" s="17" t="s">
        <v>3</v>
      </c>
    </row>
    <row r="76" spans="1:18" x14ac:dyDescent="0.25">
      <c r="B76" s="17">
        <v>52</v>
      </c>
      <c r="D76" s="17">
        <f>D77-6.8</f>
        <v>33.400000000000006</v>
      </c>
      <c r="E76" s="17">
        <f>_xlfn.NORM.DIST(D76,53.8,6.8,0)</f>
        <v>6.5174241352029751E-4</v>
      </c>
      <c r="O76" s="17">
        <v>7.8</v>
      </c>
      <c r="Q76" s="17">
        <f>Q77-1.1</f>
        <v>3.2000000000000006</v>
      </c>
      <c r="R76" s="17">
        <f>_xlfn.NORM.DIST(Q76,6.5,1.1,0)</f>
        <v>4.0289531017618351E-3</v>
      </c>
    </row>
    <row r="77" spans="1:18" x14ac:dyDescent="0.25">
      <c r="B77" s="17">
        <v>44</v>
      </c>
      <c r="D77" s="17">
        <f>D78-6.8</f>
        <v>40.200000000000003</v>
      </c>
      <c r="E77" s="17">
        <f t="shared" ref="E77:E82" si="5">_xlfn.NORM.DIST(D77,53.8,6.8,0)</f>
        <v>7.9398480166453164E-3</v>
      </c>
      <c r="O77" s="17">
        <v>6.5</v>
      </c>
      <c r="Q77" s="17">
        <f>Q78-1.1</f>
        <v>4.3000000000000007</v>
      </c>
      <c r="R77" s="17">
        <f t="shared" ref="R77:R82" si="6">_xlfn.NORM.DIST(Q77,6.5,1.1,0)</f>
        <v>4.9082696830171038E-2</v>
      </c>
    </row>
    <row r="78" spans="1:18" x14ac:dyDescent="0.25">
      <c r="B78" s="17">
        <v>55</v>
      </c>
      <c r="D78" s="17">
        <f>D79-6.8</f>
        <v>47</v>
      </c>
      <c r="E78" s="17">
        <f t="shared" si="5"/>
        <v>3.5583930076344625E-2</v>
      </c>
      <c r="O78" s="17">
        <v>5.4</v>
      </c>
      <c r="Q78" s="17">
        <f>Q79-1.1</f>
        <v>5.4</v>
      </c>
      <c r="R78" s="17">
        <f t="shared" si="6"/>
        <v>0.21997338592649404</v>
      </c>
    </row>
    <row r="79" spans="1:18" x14ac:dyDescent="0.25">
      <c r="B79" s="17">
        <v>44</v>
      </c>
      <c r="D79" s="17">
        <v>53.8</v>
      </c>
      <c r="E79" s="17">
        <f t="shared" si="5"/>
        <v>5.8667982411975399E-2</v>
      </c>
      <c r="O79" s="17">
        <v>7.1</v>
      </c>
      <c r="Q79" s="17">
        <v>6.5</v>
      </c>
      <c r="R79" s="17">
        <f t="shared" si="6"/>
        <v>0.36267480036493882</v>
      </c>
    </row>
    <row r="80" spans="1:18" x14ac:dyDescent="0.25">
      <c r="B80" s="17">
        <v>45</v>
      </c>
      <c r="D80" s="17">
        <f>D79+6.8</f>
        <v>60.599999999999994</v>
      </c>
      <c r="E80" s="17">
        <f t="shared" si="5"/>
        <v>3.5583930076344625E-2</v>
      </c>
      <c r="O80" s="17">
        <v>5</v>
      </c>
      <c r="Q80" s="17">
        <f>Q79+1.1</f>
        <v>7.6</v>
      </c>
      <c r="R80" s="17">
        <f t="shared" si="6"/>
        <v>0.21997338592649404</v>
      </c>
    </row>
    <row r="81" spans="1:18" x14ac:dyDescent="0.25">
      <c r="B81" s="17">
        <v>59</v>
      </c>
      <c r="D81" s="17">
        <f>D80+6.8</f>
        <v>67.399999999999991</v>
      </c>
      <c r="E81" s="17">
        <f t="shared" si="5"/>
        <v>7.9398480166453164E-3</v>
      </c>
      <c r="O81" s="17">
        <v>8.3000000000000007</v>
      </c>
      <c r="Q81" s="17">
        <f>Q80+1.1</f>
        <v>8.6999999999999993</v>
      </c>
      <c r="R81" s="17">
        <f t="shared" si="6"/>
        <v>4.9082696830171038E-2</v>
      </c>
    </row>
    <row r="82" spans="1:18" x14ac:dyDescent="0.25">
      <c r="B82" s="17">
        <v>50</v>
      </c>
      <c r="D82" s="17">
        <f>D81+6.8</f>
        <v>74.199999999999989</v>
      </c>
      <c r="E82" s="17">
        <f t="shared" si="5"/>
        <v>6.5174241352029751E-4</v>
      </c>
      <c r="O82" s="17">
        <v>5.6</v>
      </c>
      <c r="Q82" s="17">
        <f>Q81+1.1</f>
        <v>9.7999999999999989</v>
      </c>
      <c r="R82" s="17">
        <f t="shared" si="6"/>
        <v>4.0289531017618395E-3</v>
      </c>
    </row>
    <row r="83" spans="1:18" x14ac:dyDescent="0.25">
      <c r="B83" s="17">
        <v>54</v>
      </c>
      <c r="O83" s="17">
        <v>6.6</v>
      </c>
    </row>
    <row r="84" spans="1:18" x14ac:dyDescent="0.25">
      <c r="B84" s="17">
        <v>62</v>
      </c>
      <c r="C84" s="13" t="s">
        <v>29</v>
      </c>
      <c r="D84" s="13" t="s">
        <v>25</v>
      </c>
      <c r="E84" s="13">
        <f>_xlfn.NORM.INV(0.025,53.8,6.8)</f>
        <v>40.472244905127631</v>
      </c>
      <c r="O84" s="20">
        <v>6.2</v>
      </c>
      <c r="P84" s="11" t="s">
        <v>29</v>
      </c>
      <c r="Q84" s="11" t="s">
        <v>25</v>
      </c>
      <c r="R84" s="11">
        <f>_xlfn.NORM.INV(0.01,6.5,1.1)</f>
        <v>3.9410173385550751</v>
      </c>
    </row>
    <row r="85" spans="1:18" x14ac:dyDescent="0.25">
      <c r="B85" s="17">
        <v>46</v>
      </c>
      <c r="C85" s="22">
        <v>1</v>
      </c>
      <c r="D85" s="13" t="s">
        <v>26</v>
      </c>
      <c r="E85" s="13">
        <f>_xlfn.NORM.INV(0.975,53.8,6.8)</f>
        <v>67.127755094872356</v>
      </c>
      <c r="N85" s="17" t="s">
        <v>10</v>
      </c>
      <c r="O85" s="17">
        <f>AVERAGE(O76:O84)</f>
        <v>6.5000000000000018</v>
      </c>
      <c r="P85">
        <v>1</v>
      </c>
      <c r="Q85" s="11" t="s">
        <v>26</v>
      </c>
      <c r="R85" s="11">
        <f>_xlfn.NORM.INV(0.99,6.5,1.1)</f>
        <v>9.0589826614449258</v>
      </c>
    </row>
    <row r="86" spans="1:18" x14ac:dyDescent="0.25">
      <c r="B86" s="17">
        <v>54</v>
      </c>
      <c r="C86" s="22">
        <v>0.95</v>
      </c>
      <c r="N86" s="17" t="s">
        <v>41</v>
      </c>
      <c r="O86" s="17">
        <f>_xlfn.STDEV.S(O76:O84)</f>
        <v>1.0988630487917841</v>
      </c>
      <c r="P86">
        <v>0.98</v>
      </c>
    </row>
    <row r="87" spans="1:18" x14ac:dyDescent="0.25">
      <c r="B87" s="17">
        <v>58</v>
      </c>
      <c r="C87" s="22">
        <f>C85-C86</f>
        <v>5.0000000000000044E-2</v>
      </c>
      <c r="P87">
        <f>P85-P86</f>
        <v>2.0000000000000018E-2</v>
      </c>
    </row>
    <row r="88" spans="1:18" x14ac:dyDescent="0.25">
      <c r="B88" s="17">
        <v>60</v>
      </c>
      <c r="C88" s="22">
        <f>C87/2</f>
        <v>2.5000000000000022E-2</v>
      </c>
      <c r="P88">
        <f>P87/2</f>
        <v>1.0000000000000009E-2</v>
      </c>
    </row>
    <row r="89" spans="1:18" x14ac:dyDescent="0.25">
      <c r="B89" s="17">
        <v>62</v>
      </c>
    </row>
    <row r="90" spans="1:18" x14ac:dyDescent="0.25">
      <c r="B90" s="20">
        <v>63</v>
      </c>
    </row>
    <row r="91" spans="1:18" x14ac:dyDescent="0.25">
      <c r="A91" s="17" t="s">
        <v>38</v>
      </c>
      <c r="B91" s="17">
        <f>AVERAGE(B76:B90)</f>
        <v>53.866666666666667</v>
      </c>
    </row>
    <row r="92" spans="1:18" x14ac:dyDescent="0.25">
      <c r="A92" s="17" t="s">
        <v>41</v>
      </c>
      <c r="B92" s="17">
        <f>_xlfn.STDEV.S(B76:B90)</f>
        <v>6.8229305252494479</v>
      </c>
    </row>
    <row r="94" spans="1:18" x14ac:dyDescent="0.25">
      <c r="A94" t="s">
        <v>43</v>
      </c>
    </row>
    <row r="96" spans="1:18" x14ac:dyDescent="0.25">
      <c r="A96" s="14" t="s">
        <v>8</v>
      </c>
      <c r="B96" t="s">
        <v>73</v>
      </c>
      <c r="M96" t="s">
        <v>57</v>
      </c>
      <c r="N96" s="14" t="s">
        <v>9</v>
      </c>
    </row>
    <row r="97" spans="1:18" x14ac:dyDescent="0.25">
      <c r="D97" s="17" t="s">
        <v>22</v>
      </c>
      <c r="E97" s="17" t="s">
        <v>46</v>
      </c>
      <c r="Q97" s="17" t="s">
        <v>22</v>
      </c>
      <c r="R97" s="17" t="s">
        <v>46</v>
      </c>
    </row>
    <row r="98" spans="1:18" x14ac:dyDescent="0.25">
      <c r="A98" t="s">
        <v>45</v>
      </c>
      <c r="B98" s="1" t="s">
        <v>51</v>
      </c>
      <c r="C98" s="1">
        <v>6</v>
      </c>
      <c r="D98" s="17">
        <v>-3</v>
      </c>
      <c r="E98" s="17">
        <f>_xlfn.NORM.S.DIST(D98,0)</f>
        <v>4.4318484119380075E-3</v>
      </c>
      <c r="N98" t="s">
        <v>58</v>
      </c>
      <c r="O98" s="1" t="s">
        <v>51</v>
      </c>
      <c r="P98">
        <v>800</v>
      </c>
      <c r="Q98" s="17">
        <v>-3</v>
      </c>
      <c r="R98" s="17">
        <f>_xlfn.NORM.S.DIST(Q98,0)</f>
        <v>4.4318484119380075E-3</v>
      </c>
    </row>
    <row r="99" spans="1:18" x14ac:dyDescent="0.25">
      <c r="A99" t="s">
        <v>44</v>
      </c>
      <c r="B99" s="1" t="s">
        <v>52</v>
      </c>
      <c r="C99">
        <v>6</v>
      </c>
      <c r="D99" s="17">
        <v>-2</v>
      </c>
      <c r="E99" s="17">
        <f t="shared" ref="E99:E104" si="7">_xlfn.NORM.S.DIST(D99,0)</f>
        <v>5.3990966513188063E-2</v>
      </c>
      <c r="N99" t="s">
        <v>59</v>
      </c>
      <c r="O99" s="1" t="s">
        <v>52</v>
      </c>
      <c r="P99">
        <v>800</v>
      </c>
      <c r="Q99" s="17">
        <v>-2</v>
      </c>
      <c r="R99" s="17">
        <f t="shared" ref="R99:R104" si="8">_xlfn.NORM.S.DIST(Q99,0)</f>
        <v>5.3990966513188063E-2</v>
      </c>
    </row>
    <row r="100" spans="1:18" x14ac:dyDescent="0.25">
      <c r="D100" s="17">
        <v>-1</v>
      </c>
      <c r="E100" s="17">
        <f t="shared" si="7"/>
        <v>0.24197072451914337</v>
      </c>
      <c r="Q100" s="17">
        <v>-1</v>
      </c>
      <c r="R100" s="17">
        <f t="shared" si="8"/>
        <v>0.24197072451914337</v>
      </c>
    </row>
    <row r="101" spans="1:18" x14ac:dyDescent="0.25">
      <c r="A101" t="s">
        <v>47</v>
      </c>
      <c r="B101">
        <v>0.95</v>
      </c>
      <c r="D101" s="17">
        <v>0</v>
      </c>
      <c r="E101" s="17">
        <f t="shared" si="7"/>
        <v>0.3989422804014327</v>
      </c>
      <c r="N101" t="s">
        <v>47</v>
      </c>
      <c r="O101">
        <v>0.99</v>
      </c>
      <c r="Q101" s="17">
        <v>0</v>
      </c>
      <c r="R101" s="17">
        <f t="shared" si="8"/>
        <v>0.3989422804014327</v>
      </c>
    </row>
    <row r="102" spans="1:18" x14ac:dyDescent="0.25">
      <c r="A102" s="1" t="s">
        <v>48</v>
      </c>
      <c r="B102">
        <f>1-B101</f>
        <v>5.0000000000000044E-2</v>
      </c>
      <c r="D102" s="17">
        <v>1</v>
      </c>
      <c r="E102" s="17">
        <f t="shared" si="7"/>
        <v>0.24197072451914337</v>
      </c>
      <c r="N102" s="1" t="s">
        <v>48</v>
      </c>
      <c r="O102">
        <f>1-O101</f>
        <v>1.0000000000000009E-2</v>
      </c>
      <c r="Q102" s="17">
        <v>1</v>
      </c>
      <c r="R102" s="17">
        <f t="shared" si="8"/>
        <v>0.24197072451914337</v>
      </c>
    </row>
    <row r="103" spans="1:18" x14ac:dyDescent="0.25">
      <c r="D103" s="17">
        <v>2</v>
      </c>
      <c r="E103" s="17">
        <f t="shared" si="7"/>
        <v>5.3990966513188063E-2</v>
      </c>
      <c r="Q103" s="17">
        <v>2</v>
      </c>
      <c r="R103" s="17">
        <f t="shared" si="8"/>
        <v>5.3990966513188063E-2</v>
      </c>
    </row>
    <row r="104" spans="1:18" x14ac:dyDescent="0.25">
      <c r="D104" s="17">
        <v>3</v>
      </c>
      <c r="E104" s="17">
        <f t="shared" si="7"/>
        <v>4.4318484119380075E-3</v>
      </c>
      <c r="N104" t="s">
        <v>62</v>
      </c>
      <c r="O104">
        <f>_xlfn.NORM.S.INV(0.01)</f>
        <v>-2.3263478740408408</v>
      </c>
      <c r="Q104" s="17">
        <v>3</v>
      </c>
      <c r="R104" s="17">
        <f t="shared" si="8"/>
        <v>4.4318484119380075E-3</v>
      </c>
    </row>
    <row r="106" spans="1:18" x14ac:dyDescent="0.25">
      <c r="A106" t="s">
        <v>49</v>
      </c>
      <c r="B106" s="15">
        <f>_xlfn.NORM.S.INV(0.05)</f>
        <v>-1.6448536269514726</v>
      </c>
      <c r="N106" t="s">
        <v>50</v>
      </c>
      <c r="O106">
        <v>120</v>
      </c>
    </row>
    <row r="107" spans="1:18" x14ac:dyDescent="0.25">
      <c r="N107" t="s">
        <v>60</v>
      </c>
      <c r="O107">
        <v>800</v>
      </c>
    </row>
    <row r="108" spans="1:18" x14ac:dyDescent="0.25">
      <c r="N108" t="s">
        <v>61</v>
      </c>
      <c r="O108">
        <v>50</v>
      </c>
    </row>
    <row r="109" spans="1:18" x14ac:dyDescent="0.25">
      <c r="A109" t="s">
        <v>50</v>
      </c>
      <c r="B109">
        <v>2.4</v>
      </c>
      <c r="N109" t="s">
        <v>38</v>
      </c>
      <c r="O109">
        <v>750</v>
      </c>
    </row>
    <row r="110" spans="1:18" x14ac:dyDescent="0.25">
      <c r="A110" t="s">
        <v>55</v>
      </c>
      <c r="B110">
        <v>6</v>
      </c>
    </row>
    <row r="111" spans="1:18" x14ac:dyDescent="0.25">
      <c r="A111" t="s">
        <v>38</v>
      </c>
      <c r="B111">
        <v>5.6</v>
      </c>
      <c r="N111" t="s">
        <v>53</v>
      </c>
      <c r="O111">
        <f>P111/P112</f>
        <v>-2.9462782549439481</v>
      </c>
      <c r="P111">
        <f>O109-O107</f>
        <v>-50</v>
      </c>
    </row>
    <row r="112" spans="1:18" x14ac:dyDescent="0.25">
      <c r="A112" t="s">
        <v>54</v>
      </c>
      <c r="B112">
        <v>5.6</v>
      </c>
      <c r="P112">
        <f>120/P113</f>
        <v>16.970562748477139</v>
      </c>
    </row>
    <row r="113" spans="1:18" x14ac:dyDescent="0.25">
      <c r="A113" t="s">
        <v>53</v>
      </c>
      <c r="B113">
        <f>D113/D114</f>
        <v>-1.0000000000000009</v>
      </c>
      <c r="D113">
        <f>5.6-6</f>
        <v>-0.40000000000000036</v>
      </c>
      <c r="P113">
        <f>SQRT(O108)</f>
        <v>7.0710678118654755</v>
      </c>
    </row>
    <row r="114" spans="1:18" x14ac:dyDescent="0.25">
      <c r="D114">
        <f>2.4/D115</f>
        <v>0.39999999999999997</v>
      </c>
    </row>
    <row r="115" spans="1:18" x14ac:dyDescent="0.25">
      <c r="D115">
        <f>SQRT(36)</f>
        <v>6</v>
      </c>
    </row>
    <row r="116" spans="1:18" x14ac:dyDescent="0.25">
      <c r="A116" t="s">
        <v>56</v>
      </c>
    </row>
    <row r="117" spans="1:18" x14ac:dyDescent="0.25">
      <c r="N117" s="14" t="s">
        <v>27</v>
      </c>
    </row>
    <row r="118" spans="1:18" x14ac:dyDescent="0.25">
      <c r="A118" s="14" t="s">
        <v>23</v>
      </c>
    </row>
    <row r="119" spans="1:18" x14ac:dyDescent="0.25">
      <c r="D119" s="17" t="s">
        <v>22</v>
      </c>
      <c r="E119" s="17" t="s">
        <v>46</v>
      </c>
      <c r="N119" t="s">
        <v>58</v>
      </c>
      <c r="O119" s="1" t="s">
        <v>51</v>
      </c>
      <c r="Q119" s="17" t="s">
        <v>22</v>
      </c>
      <c r="R119" s="17" t="s">
        <v>46</v>
      </c>
    </row>
    <row r="120" spans="1:18" x14ac:dyDescent="0.25">
      <c r="A120" t="s">
        <v>58</v>
      </c>
      <c r="B120" s="1" t="s">
        <v>51</v>
      </c>
      <c r="C120">
        <v>2400</v>
      </c>
      <c r="D120" s="17">
        <v>-3</v>
      </c>
      <c r="E120" s="17">
        <f>_xlfn.NORM.S.DIST(D120,0)</f>
        <v>4.4318484119380075E-3</v>
      </c>
      <c r="N120" t="s">
        <v>59</v>
      </c>
      <c r="O120" s="1" t="s">
        <v>52</v>
      </c>
      <c r="Q120" s="17">
        <v>-3</v>
      </c>
      <c r="R120" s="17">
        <f>_xlfn.NORM.S.DIST(Q120,0)</f>
        <v>4.4318484119380075E-3</v>
      </c>
    </row>
    <row r="121" spans="1:18" x14ac:dyDescent="0.25">
      <c r="A121" t="s">
        <v>59</v>
      </c>
      <c r="B121" s="1" t="s">
        <v>52</v>
      </c>
      <c r="C121">
        <v>2400</v>
      </c>
      <c r="D121" s="17">
        <v>-2</v>
      </c>
      <c r="E121" s="17">
        <f t="shared" ref="E121:E126" si="9">_xlfn.NORM.S.DIST(D121,0)</f>
        <v>5.3990966513188063E-2</v>
      </c>
      <c r="N121" t="s">
        <v>47</v>
      </c>
      <c r="O121">
        <f>1-O122</f>
        <v>0.9</v>
      </c>
      <c r="Q121" s="17">
        <v>-2</v>
      </c>
      <c r="R121" s="17">
        <f t="shared" ref="R121:R126" si="10">_xlfn.NORM.S.DIST(Q121,0)</f>
        <v>5.3990966513188063E-2</v>
      </c>
    </row>
    <row r="122" spans="1:18" x14ac:dyDescent="0.25">
      <c r="A122" t="s">
        <v>47</v>
      </c>
      <c r="B122">
        <f>1-B123</f>
        <v>0.95</v>
      </c>
      <c r="D122" s="17">
        <v>-1</v>
      </c>
      <c r="E122" s="17">
        <f t="shared" si="9"/>
        <v>0.24197072451914337</v>
      </c>
      <c r="N122" s="1" t="s">
        <v>48</v>
      </c>
      <c r="O122">
        <v>0.1</v>
      </c>
      <c r="Q122" s="17">
        <v>-1</v>
      </c>
      <c r="R122" s="17">
        <f t="shared" si="10"/>
        <v>0.24197072451914337</v>
      </c>
    </row>
    <row r="123" spans="1:18" x14ac:dyDescent="0.25">
      <c r="A123" s="1" t="s">
        <v>48</v>
      </c>
      <c r="B123">
        <v>0.05</v>
      </c>
      <c r="D123" s="17">
        <v>0</v>
      </c>
      <c r="E123" s="17">
        <f t="shared" si="9"/>
        <v>0.3989422804014327</v>
      </c>
      <c r="N123" s="1" t="s">
        <v>62</v>
      </c>
      <c r="O123">
        <f>_xlfn.NORM.S.INV(0.1)</f>
        <v>-1.2815515655446006</v>
      </c>
      <c r="Q123" s="17">
        <v>0</v>
      </c>
      <c r="R123" s="17">
        <f t="shared" si="10"/>
        <v>0.3989422804014327</v>
      </c>
    </row>
    <row r="124" spans="1:18" x14ac:dyDescent="0.25">
      <c r="A124" s="1" t="s">
        <v>62</v>
      </c>
      <c r="B124">
        <f>_xlfn.NORM.S.INV(0.05)</f>
        <v>-1.6448536269514726</v>
      </c>
      <c r="D124" s="17">
        <v>1</v>
      </c>
      <c r="E124" s="17">
        <f t="shared" si="9"/>
        <v>0.24197072451914337</v>
      </c>
      <c r="N124" t="s">
        <v>60</v>
      </c>
      <c r="O124">
        <v>16</v>
      </c>
      <c r="Q124" s="17">
        <v>1</v>
      </c>
      <c r="R124" s="17">
        <f t="shared" si="10"/>
        <v>0.24197072451914337</v>
      </c>
    </row>
    <row r="125" spans="1:18" x14ac:dyDescent="0.25">
      <c r="A125" t="s">
        <v>60</v>
      </c>
      <c r="B125">
        <v>2400</v>
      </c>
      <c r="D125" s="17">
        <v>2</v>
      </c>
      <c r="E125" s="17">
        <f t="shared" si="9"/>
        <v>5.3990966513188063E-2</v>
      </c>
      <c r="N125" t="s">
        <v>41</v>
      </c>
      <c r="O125">
        <v>0.15</v>
      </c>
      <c r="Q125" s="17">
        <v>2</v>
      </c>
      <c r="R125" s="17">
        <f t="shared" si="10"/>
        <v>5.3990966513188063E-2</v>
      </c>
    </row>
    <row r="126" spans="1:18" x14ac:dyDescent="0.25">
      <c r="A126" t="s">
        <v>50</v>
      </c>
      <c r="B126">
        <v>300</v>
      </c>
      <c r="D126" s="17">
        <v>3</v>
      </c>
      <c r="E126" s="17">
        <f t="shared" si="9"/>
        <v>4.4318484119380075E-3</v>
      </c>
      <c r="N126" t="s">
        <v>38</v>
      </c>
      <c r="O126">
        <v>15.97</v>
      </c>
      <c r="Q126" s="17">
        <v>3</v>
      </c>
      <c r="R126" s="17">
        <f t="shared" si="10"/>
        <v>4.4318484119380075E-3</v>
      </c>
    </row>
    <row r="127" spans="1:18" x14ac:dyDescent="0.25">
      <c r="A127" t="s">
        <v>38</v>
      </c>
      <c r="B127">
        <v>2320</v>
      </c>
      <c r="N127" t="s">
        <v>63</v>
      </c>
      <c r="O127">
        <v>12</v>
      </c>
    </row>
    <row r="128" spans="1:18" x14ac:dyDescent="0.25">
      <c r="A128" t="s">
        <v>63</v>
      </c>
      <c r="B128">
        <v>100</v>
      </c>
    </row>
    <row r="129" spans="1:17" x14ac:dyDescent="0.25">
      <c r="N129" t="s">
        <v>53</v>
      </c>
      <c r="O129">
        <f>P129/P130</f>
        <v>-0.69282032302753616</v>
      </c>
      <c r="P129">
        <f>O126-O124</f>
        <v>-2.9999999999999361E-2</v>
      </c>
      <c r="Q129">
        <f>SQRT(O127)</f>
        <v>3.4641016151377544</v>
      </c>
    </row>
    <row r="130" spans="1:17" x14ac:dyDescent="0.25">
      <c r="A130" t="s">
        <v>66</v>
      </c>
      <c r="B130">
        <f>C130/C131</f>
        <v>-2.6666666666666665</v>
      </c>
      <c r="C130">
        <f>B127-B125</f>
        <v>-80</v>
      </c>
      <c r="D130">
        <f>SQRT(B128)</f>
        <v>10</v>
      </c>
      <c r="P130">
        <f>O125/Q129</f>
        <v>4.3301270189221933E-2</v>
      </c>
    </row>
    <row r="131" spans="1:17" x14ac:dyDescent="0.25">
      <c r="C131">
        <f>B126/D130</f>
        <v>30</v>
      </c>
    </row>
    <row r="134" spans="1:17" x14ac:dyDescent="0.25">
      <c r="A134" s="14" t="s">
        <v>37</v>
      </c>
    </row>
    <row r="136" spans="1:17" x14ac:dyDescent="0.25">
      <c r="A136" t="s">
        <v>58</v>
      </c>
      <c r="B136" s="1" t="s">
        <v>67</v>
      </c>
      <c r="C136">
        <v>3</v>
      </c>
      <c r="D136" s="17" t="s">
        <v>22</v>
      </c>
      <c r="E136" s="17" t="s">
        <v>46</v>
      </c>
    </row>
    <row r="137" spans="1:17" x14ac:dyDescent="0.25">
      <c r="A137" t="s">
        <v>59</v>
      </c>
      <c r="B137" s="1" t="s">
        <v>68</v>
      </c>
      <c r="C137">
        <v>3</v>
      </c>
      <c r="D137" s="17">
        <v>-3</v>
      </c>
      <c r="E137" s="17">
        <f>_xlfn.NORM.S.DIST(D137,0)</f>
        <v>4.4318484119380075E-3</v>
      </c>
    </row>
    <row r="138" spans="1:17" x14ac:dyDescent="0.25">
      <c r="A138" t="s">
        <v>47</v>
      </c>
      <c r="B138">
        <f>1-B139</f>
        <v>0.95</v>
      </c>
      <c r="D138" s="17">
        <v>-2</v>
      </c>
      <c r="E138" s="17">
        <f t="shared" ref="E138:E143" si="11">_xlfn.NORM.S.DIST(D138,0)</f>
        <v>5.3990966513188063E-2</v>
      </c>
    </row>
    <row r="139" spans="1:17" x14ac:dyDescent="0.25">
      <c r="A139" s="1" t="s">
        <v>48</v>
      </c>
      <c r="B139">
        <v>0.05</v>
      </c>
      <c r="D139" s="17">
        <v>-1</v>
      </c>
      <c r="E139" s="17">
        <f t="shared" si="11"/>
        <v>0.24197072451914337</v>
      </c>
    </row>
    <row r="140" spans="1:17" x14ac:dyDescent="0.25">
      <c r="A140" s="1" t="s">
        <v>62</v>
      </c>
      <c r="B140">
        <f>_xlfn.NORM.S.INV(0.95)</f>
        <v>1.6448536269514715</v>
      </c>
      <c r="D140" s="17">
        <v>0</v>
      </c>
      <c r="E140" s="17">
        <f t="shared" si="11"/>
        <v>0.3989422804014327</v>
      </c>
    </row>
    <row r="141" spans="1:17" x14ac:dyDescent="0.25">
      <c r="A141" t="s">
        <v>60</v>
      </c>
      <c r="B141">
        <v>3</v>
      </c>
      <c r="D141" s="17">
        <v>1</v>
      </c>
      <c r="E141" s="17">
        <f t="shared" si="11"/>
        <v>0.24197072451914337</v>
      </c>
    </row>
    <row r="142" spans="1:17" x14ac:dyDescent="0.25">
      <c r="A142" t="s">
        <v>50</v>
      </c>
      <c r="B142">
        <v>1</v>
      </c>
      <c r="D142" s="17">
        <v>2</v>
      </c>
      <c r="E142" s="17">
        <f t="shared" si="11"/>
        <v>5.3990966513188063E-2</v>
      </c>
    </row>
    <row r="143" spans="1:17" x14ac:dyDescent="0.25">
      <c r="A143" t="s">
        <v>38</v>
      </c>
      <c r="B143">
        <v>2.75</v>
      </c>
      <c r="D143" s="17">
        <v>3</v>
      </c>
      <c r="E143" s="17">
        <f t="shared" si="11"/>
        <v>4.4318484119380075E-3</v>
      </c>
    </row>
    <row r="144" spans="1:17" x14ac:dyDescent="0.25">
      <c r="A144" t="s">
        <v>63</v>
      </c>
      <c r="B144">
        <v>50</v>
      </c>
    </row>
    <row r="146" spans="1:19" x14ac:dyDescent="0.25">
      <c r="A146" t="s">
        <v>69</v>
      </c>
      <c r="B146">
        <f>C146/C147</f>
        <v>-1.7677669529663689</v>
      </c>
      <c r="C146">
        <f>B143-B141</f>
        <v>-0.25</v>
      </c>
      <c r="D146">
        <f>SQRT(B144)</f>
        <v>7.0710678118654755</v>
      </c>
    </row>
    <row r="147" spans="1:19" x14ac:dyDescent="0.25">
      <c r="C147">
        <f>B142/D146</f>
        <v>0.1414213562373095</v>
      </c>
    </row>
    <row r="149" spans="1:19" x14ac:dyDescent="0.25">
      <c r="A149" t="s">
        <v>70</v>
      </c>
    </row>
    <row r="152" spans="1:19" x14ac:dyDescent="0.25">
      <c r="A152" t="s">
        <v>71</v>
      </c>
    </row>
    <row r="153" spans="1:19" x14ac:dyDescent="0.25">
      <c r="Q153" s="21"/>
      <c r="R153" s="21"/>
      <c r="S153" s="21"/>
    </row>
    <row r="154" spans="1:19" x14ac:dyDescent="0.25">
      <c r="A154" s="16" t="s">
        <v>8</v>
      </c>
      <c r="E154" s="17" t="s">
        <v>12</v>
      </c>
      <c r="F154" s="17" t="s">
        <v>3</v>
      </c>
      <c r="N154" s="22"/>
      <c r="Q154" s="21"/>
      <c r="R154" s="21"/>
      <c r="S154" s="21"/>
    </row>
    <row r="155" spans="1:19" x14ac:dyDescent="0.25">
      <c r="A155" s="17" t="s">
        <v>84</v>
      </c>
      <c r="E155" s="17">
        <f t="shared" ref="E155:E156" si="12">E156-20</f>
        <v>30</v>
      </c>
      <c r="F155" s="17">
        <f>_xlfn.NORM.S.DIST(E155,0)+_xlfn.NORM.DIST(E155,90,20,0)</f>
        <v>2.2159242059690038E-4</v>
      </c>
      <c r="Q155" s="21"/>
      <c r="R155" s="21"/>
      <c r="S155" s="21"/>
    </row>
    <row r="156" spans="1:19" x14ac:dyDescent="0.25">
      <c r="A156" s="17" t="s">
        <v>58</v>
      </c>
      <c r="B156" s="18" t="s">
        <v>65</v>
      </c>
      <c r="C156" s="18" t="s">
        <v>74</v>
      </c>
      <c r="E156" s="17">
        <f t="shared" si="12"/>
        <v>50</v>
      </c>
      <c r="F156" s="17">
        <f t="shared" ref="F156:F161" si="13">_xlfn.NORM.S.DIST(E156,0)+_xlfn.NORM.DIST(E156,90,20,0)</f>
        <v>2.6995483256594031E-3</v>
      </c>
      <c r="O156" s="1"/>
      <c r="P156" s="1"/>
      <c r="Q156" s="21"/>
      <c r="R156" s="21"/>
      <c r="S156" s="21"/>
    </row>
    <row r="157" spans="1:19" x14ac:dyDescent="0.25">
      <c r="A157" s="17" t="s">
        <v>59</v>
      </c>
      <c r="B157" s="18" t="s">
        <v>64</v>
      </c>
      <c r="C157" s="18" t="s">
        <v>74</v>
      </c>
      <c r="E157" s="17">
        <f>E158-20</f>
        <v>70</v>
      </c>
      <c r="F157" s="17">
        <f t="shared" si="13"/>
        <v>1.2098536225957168E-2</v>
      </c>
      <c r="O157" s="1"/>
      <c r="P157" s="1"/>
      <c r="Q157" s="21"/>
      <c r="R157" s="21"/>
      <c r="S157" s="21"/>
    </row>
    <row r="158" spans="1:19" x14ac:dyDescent="0.25">
      <c r="E158" s="17">
        <v>90</v>
      </c>
      <c r="F158" s="17">
        <f t="shared" si="13"/>
        <v>1.9947114020071637E-2</v>
      </c>
      <c r="Q158" s="21"/>
      <c r="R158" s="21"/>
      <c r="S158" s="21"/>
    </row>
    <row r="159" spans="1:19" x14ac:dyDescent="0.25">
      <c r="A159" s="19" t="s">
        <v>85</v>
      </c>
      <c r="B159" s="17"/>
      <c r="E159" s="17">
        <f>E158+20</f>
        <v>110</v>
      </c>
      <c r="F159" s="17">
        <f t="shared" si="13"/>
        <v>1.2098536225957168E-2</v>
      </c>
      <c r="Q159" s="21"/>
      <c r="R159" s="21"/>
      <c r="S159" s="21"/>
    </row>
    <row r="160" spans="1:19" x14ac:dyDescent="0.25">
      <c r="A160" s="17" t="s">
        <v>47</v>
      </c>
      <c r="B160" s="17">
        <v>0.9</v>
      </c>
      <c r="E160" s="17">
        <f t="shared" ref="E160:E161" si="14">E159+20</f>
        <v>130</v>
      </c>
      <c r="F160" s="17">
        <f t="shared" si="13"/>
        <v>2.6995483256594031E-3</v>
      </c>
      <c r="N160" s="1"/>
      <c r="Q160" s="21"/>
      <c r="R160" s="21"/>
      <c r="S160" s="21"/>
    </row>
    <row r="161" spans="1:19" x14ac:dyDescent="0.25">
      <c r="A161" s="18" t="s">
        <v>48</v>
      </c>
      <c r="B161" s="17">
        <f>1-B160</f>
        <v>9.9999999999999978E-2</v>
      </c>
      <c r="E161" s="17">
        <f t="shared" si="14"/>
        <v>150</v>
      </c>
      <c r="F161" s="17">
        <f t="shared" si="13"/>
        <v>2.2159242059690038E-4</v>
      </c>
      <c r="Q161" s="21"/>
      <c r="R161" s="21"/>
      <c r="S161" s="21"/>
    </row>
    <row r="162" spans="1:19" x14ac:dyDescent="0.25">
      <c r="A162" s="18" t="s">
        <v>88</v>
      </c>
      <c r="B162" s="17">
        <f>B161/2</f>
        <v>4.9999999999999989E-2</v>
      </c>
    </row>
    <row r="164" spans="1:19" x14ac:dyDescent="0.25">
      <c r="A164" s="23" t="s">
        <v>86</v>
      </c>
      <c r="B164" s="17"/>
    </row>
    <row r="165" spans="1:19" x14ac:dyDescent="0.25">
      <c r="A165" s="17" t="s">
        <v>75</v>
      </c>
      <c r="B165" s="17">
        <f>_xlfn.NORM.INV(0.05,90,20)</f>
        <v>57.102927460970548</v>
      </c>
    </row>
    <row r="166" spans="1:19" x14ac:dyDescent="0.25">
      <c r="A166" s="17" t="s">
        <v>83</v>
      </c>
      <c r="B166" s="17">
        <f>_xlfn.NORM.INV(0.95,90,20)</f>
        <v>122.89707253902944</v>
      </c>
    </row>
    <row r="168" spans="1:19" x14ac:dyDescent="0.25">
      <c r="A168" s="19" t="s">
        <v>87</v>
      </c>
      <c r="B168" s="17"/>
    </row>
    <row r="169" spans="1:19" x14ac:dyDescent="0.25">
      <c r="A169" s="17" t="s">
        <v>63</v>
      </c>
      <c r="B169" s="17">
        <v>250</v>
      </c>
    </row>
    <row r="170" spans="1:19" x14ac:dyDescent="0.25">
      <c r="A170" s="17" t="s">
        <v>38</v>
      </c>
      <c r="B170" s="17">
        <v>90</v>
      </c>
    </row>
    <row r="171" spans="1:19" x14ac:dyDescent="0.25">
      <c r="A171" s="17" t="s">
        <v>79</v>
      </c>
      <c r="B171" s="17">
        <v>20</v>
      </c>
    </row>
    <row r="174" spans="1:19" x14ac:dyDescent="0.25">
      <c r="A174" s="16" t="s">
        <v>9</v>
      </c>
    </row>
    <row r="175" spans="1:19" x14ac:dyDescent="0.25">
      <c r="E175" t="s">
        <v>12</v>
      </c>
      <c r="F175" t="s">
        <v>3</v>
      </c>
    </row>
    <row r="176" spans="1:19" x14ac:dyDescent="0.25">
      <c r="A176" s="17" t="s">
        <v>58</v>
      </c>
      <c r="B176" s="18" t="s">
        <v>65</v>
      </c>
      <c r="C176" s="18" t="s">
        <v>74</v>
      </c>
      <c r="E176">
        <f t="shared" ref="E176:E177" si="15">E177-10</f>
        <v>130</v>
      </c>
      <c r="F176">
        <f>_xlfn.NORM.DIST(E176,160,10,0)</f>
        <v>4.4318484119380076E-4</v>
      </c>
    </row>
    <row r="177" spans="1:8" x14ac:dyDescent="0.25">
      <c r="A177" s="17" t="s">
        <v>59</v>
      </c>
      <c r="B177" s="18" t="s">
        <v>64</v>
      </c>
      <c r="C177" s="18" t="s">
        <v>74</v>
      </c>
      <c r="E177">
        <f t="shared" si="15"/>
        <v>140</v>
      </c>
      <c r="F177">
        <f t="shared" ref="F177:F182" si="16">_xlfn.NORM.DIST(E177,160,10,0)</f>
        <v>5.3990966513188061E-3</v>
      </c>
    </row>
    <row r="178" spans="1:8" x14ac:dyDescent="0.25">
      <c r="A178" s="17" t="s">
        <v>77</v>
      </c>
      <c r="B178" s="17"/>
      <c r="C178" s="17" t="s">
        <v>78</v>
      </c>
      <c r="D178" s="17"/>
      <c r="E178">
        <f>E179-10</f>
        <v>150</v>
      </c>
      <c r="F178">
        <f t="shared" si="16"/>
        <v>2.4197072451914336E-2</v>
      </c>
    </row>
    <row r="179" spans="1:8" x14ac:dyDescent="0.25">
      <c r="A179" s="17" t="s">
        <v>47</v>
      </c>
      <c r="B179" s="17">
        <v>0.95</v>
      </c>
      <c r="C179" s="17" t="s">
        <v>47</v>
      </c>
      <c r="D179" s="17">
        <v>0.9</v>
      </c>
      <c r="E179">
        <v>160</v>
      </c>
      <c r="F179">
        <f t="shared" si="16"/>
        <v>3.9894228040143274E-2</v>
      </c>
    </row>
    <row r="180" spans="1:8" x14ac:dyDescent="0.25">
      <c r="A180" s="18" t="s">
        <v>48</v>
      </c>
      <c r="B180" s="17">
        <v>0.05</v>
      </c>
      <c r="C180" s="18" t="s">
        <v>48</v>
      </c>
      <c r="D180" s="17">
        <v>0.1</v>
      </c>
      <c r="E180">
        <f>E179+10</f>
        <v>170</v>
      </c>
      <c r="F180">
        <f t="shared" si="16"/>
        <v>2.4197072451914336E-2</v>
      </c>
    </row>
    <row r="181" spans="1:8" x14ac:dyDescent="0.25">
      <c r="B181">
        <f>B180/2</f>
        <v>2.5000000000000001E-2</v>
      </c>
      <c r="D181">
        <f>D180/2</f>
        <v>0.05</v>
      </c>
      <c r="E181">
        <f t="shared" ref="E181:E182" si="17">E180+10</f>
        <v>180</v>
      </c>
      <c r="F181">
        <f t="shared" si="16"/>
        <v>5.3990966513188061E-3</v>
      </c>
    </row>
    <row r="182" spans="1:8" x14ac:dyDescent="0.25">
      <c r="A182" s="17" t="s">
        <v>90</v>
      </c>
      <c r="B182" s="17">
        <f>_xlfn.NORM.INV(0.025,160,10)</f>
        <v>140.40036015459947</v>
      </c>
      <c r="C182" s="17" t="s">
        <v>28</v>
      </c>
      <c r="D182" s="17">
        <f>_xlfn.NORM.INV(0.05,160,10)</f>
        <v>143.55146373048527</v>
      </c>
      <c r="E182">
        <f t="shared" si="17"/>
        <v>190</v>
      </c>
      <c r="F182">
        <f t="shared" si="16"/>
        <v>4.4318484119380076E-4</v>
      </c>
    </row>
    <row r="183" spans="1:8" x14ac:dyDescent="0.25">
      <c r="A183" s="19" t="s">
        <v>91</v>
      </c>
      <c r="B183" s="17">
        <f>_xlfn.NORM.INV(0.975,160,10)</f>
        <v>179.59963984540053</v>
      </c>
      <c r="C183" s="17" t="s">
        <v>31</v>
      </c>
      <c r="D183" s="17">
        <f>_xlfn.NORM.INV(0.95,160,10)</f>
        <v>176.4485362695147</v>
      </c>
    </row>
    <row r="185" spans="1:8" x14ac:dyDescent="0.25">
      <c r="A185" s="17" t="s">
        <v>38</v>
      </c>
      <c r="B185" s="17">
        <v>160</v>
      </c>
    </row>
    <row r="186" spans="1:8" x14ac:dyDescent="0.25">
      <c r="A186" s="17" t="s">
        <v>63</v>
      </c>
      <c r="B186" s="17">
        <v>144</v>
      </c>
    </row>
    <row r="187" spans="1:8" x14ac:dyDescent="0.25">
      <c r="A187" s="17" t="s">
        <v>80</v>
      </c>
      <c r="B187" s="17">
        <v>100</v>
      </c>
    </row>
    <row r="188" spans="1:8" x14ac:dyDescent="0.25">
      <c r="A188" s="17" t="s">
        <v>79</v>
      </c>
      <c r="B188" s="17">
        <f>SQRT(B187)</f>
        <v>10</v>
      </c>
    </row>
    <row r="191" spans="1:8" x14ac:dyDescent="0.25">
      <c r="A191" s="16" t="s">
        <v>27</v>
      </c>
      <c r="B191" s="17" t="s">
        <v>12</v>
      </c>
      <c r="C191" s="17" t="s">
        <v>81</v>
      </c>
      <c r="D191" s="17">
        <f>AVERAGE(B192:B207)</f>
        <v>104</v>
      </c>
      <c r="E191" s="17" t="s">
        <v>82</v>
      </c>
      <c r="F191" s="17"/>
      <c r="G191" s="17" t="s">
        <v>22</v>
      </c>
      <c r="H191" s="17" t="s">
        <v>46</v>
      </c>
    </row>
    <row r="192" spans="1:8" x14ac:dyDescent="0.25">
      <c r="B192" s="17">
        <v>95</v>
      </c>
      <c r="C192" s="17" t="s">
        <v>76</v>
      </c>
      <c r="D192" s="17">
        <f>_xlfn.STDEV.S(B192:B207)</f>
        <v>5.4650404085117854</v>
      </c>
      <c r="E192" s="17" t="s">
        <v>47</v>
      </c>
      <c r="F192" s="17">
        <v>0.95</v>
      </c>
      <c r="G192" s="17">
        <v>-3</v>
      </c>
      <c r="H192" s="17">
        <f>_xlfn.NORM.S.DIST(G192,0)</f>
        <v>4.4318484119380075E-3</v>
      </c>
    </row>
    <row r="193" spans="2:8" x14ac:dyDescent="0.25">
      <c r="B193" s="17">
        <v>108</v>
      </c>
      <c r="C193" s="17" t="s">
        <v>80</v>
      </c>
      <c r="D193" s="17">
        <v>25</v>
      </c>
      <c r="E193" s="18" t="s">
        <v>48</v>
      </c>
      <c r="F193" s="17">
        <v>0.05</v>
      </c>
      <c r="G193" s="17">
        <v>-2</v>
      </c>
      <c r="H193" s="17">
        <f t="shared" ref="H193:H198" si="18">_xlfn.NORM.S.DIST(G193,0)</f>
        <v>5.3990966513188063E-2</v>
      </c>
    </row>
    <row r="194" spans="2:8" x14ac:dyDescent="0.25">
      <c r="B194" s="17">
        <v>97</v>
      </c>
      <c r="C194" s="17" t="s">
        <v>79</v>
      </c>
      <c r="D194" s="17">
        <f>SQRT(D193)</f>
        <v>5</v>
      </c>
      <c r="G194" s="17">
        <v>-1</v>
      </c>
      <c r="H194" s="17">
        <f t="shared" si="18"/>
        <v>0.24197072451914337</v>
      </c>
    </row>
    <row r="195" spans="2:8" x14ac:dyDescent="0.25">
      <c r="B195" s="17">
        <v>112</v>
      </c>
      <c r="C195" s="19" t="s">
        <v>63</v>
      </c>
      <c r="D195" s="17">
        <v>16</v>
      </c>
      <c r="G195" s="17">
        <v>0</v>
      </c>
      <c r="H195" s="17">
        <f t="shared" si="18"/>
        <v>0.3989422804014327</v>
      </c>
    </row>
    <row r="196" spans="2:8" x14ac:dyDescent="0.25">
      <c r="B196" s="17">
        <v>99</v>
      </c>
      <c r="C196" s="19" t="s">
        <v>89</v>
      </c>
      <c r="D196" s="17">
        <f>AVERAGE(B192:B207)</f>
        <v>104</v>
      </c>
      <c r="G196" s="17">
        <v>1</v>
      </c>
      <c r="H196" s="17">
        <f t="shared" si="18"/>
        <v>0.24197072451914337</v>
      </c>
    </row>
    <row r="197" spans="2:8" x14ac:dyDescent="0.25">
      <c r="B197" s="17">
        <v>106</v>
      </c>
      <c r="G197" s="17">
        <v>2</v>
      </c>
      <c r="H197" s="17">
        <f t="shared" si="18"/>
        <v>5.3990966513188063E-2</v>
      </c>
    </row>
    <row r="198" spans="2:8" x14ac:dyDescent="0.25">
      <c r="B198" s="17">
        <v>105</v>
      </c>
      <c r="G198" s="17">
        <v>3</v>
      </c>
      <c r="H198" s="17">
        <f t="shared" si="18"/>
        <v>4.4318484119380075E-3</v>
      </c>
    </row>
    <row r="199" spans="2:8" x14ac:dyDescent="0.25">
      <c r="B199" s="17">
        <v>100</v>
      </c>
      <c r="D199" s="17" t="s">
        <v>25</v>
      </c>
      <c r="E199" s="17">
        <f>_xlfn.NORM.S.INV(0.025)</f>
        <v>-1.9599639845400538</v>
      </c>
    </row>
    <row r="200" spans="2:8" x14ac:dyDescent="0.25">
      <c r="B200" s="17">
        <v>99</v>
      </c>
      <c r="D200" s="17" t="s">
        <v>26</v>
      </c>
      <c r="E200" s="17">
        <f>_xlfn.NORM.S.INV(0.975)</f>
        <v>1.9599639845400536</v>
      </c>
    </row>
    <row r="201" spans="2:8" x14ac:dyDescent="0.25">
      <c r="B201" s="17">
        <v>98</v>
      </c>
    </row>
    <row r="202" spans="2:8" x14ac:dyDescent="0.25">
      <c r="B202" s="17">
        <v>104</v>
      </c>
    </row>
    <row r="203" spans="2:8" x14ac:dyDescent="0.25">
      <c r="B203" s="17">
        <v>110</v>
      </c>
    </row>
    <row r="204" spans="2:8" x14ac:dyDescent="0.25">
      <c r="B204" s="17">
        <v>107</v>
      </c>
    </row>
    <row r="205" spans="2:8" x14ac:dyDescent="0.25">
      <c r="B205" s="17">
        <v>111</v>
      </c>
    </row>
    <row r="206" spans="2:8" x14ac:dyDescent="0.25">
      <c r="B206" s="17">
        <v>103</v>
      </c>
    </row>
    <row r="207" spans="2:8" x14ac:dyDescent="0.25">
      <c r="B207" s="17">
        <v>110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Sibello</dc:creator>
  <cp:lastModifiedBy>Gino Sibello</cp:lastModifiedBy>
  <dcterms:created xsi:type="dcterms:W3CDTF">2015-06-05T18:19:34Z</dcterms:created>
  <dcterms:modified xsi:type="dcterms:W3CDTF">2021-11-16T22:40:48Z</dcterms:modified>
</cp:coreProperties>
</file>