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onz Enterprises\Phoenix Aviation Consulting\TRAX\ANI Exercises\"/>
    </mc:Choice>
  </mc:AlternateContent>
  <xr:revisionPtr revIDLastSave="0" documentId="13_ncr:1_{ED21FF5E-17D0-4005-A195-1E67B3188DFE}" xr6:coauthVersionLast="45" xr6:coauthVersionMax="45" xr10:uidLastSave="{00000000-0000-0000-0000-000000000000}"/>
  <bookViews>
    <workbookView xWindow="-96" yWindow="-96" windowWidth="23232" windowHeight="12552" xr2:uid="{7B94E318-E544-48F3-ACF7-30AC6E84C924}"/>
  </bookViews>
  <sheets>
    <sheet name="Exercise Data" sheetId="6" r:id="rId1"/>
    <sheet name="Initial Segment" sheetId="1" r:id="rId2"/>
    <sheet name="Intermediate Segment" sheetId="5" r:id="rId3"/>
    <sheet name="Final Segment" sheetId="3" r:id="rId4"/>
    <sheet name="Unit Conver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5" i="5" l="1"/>
  <c r="L18" i="1" l="1"/>
  <c r="V17" i="5" l="1"/>
  <c r="V16" i="5"/>
  <c r="V15" i="5"/>
  <c r="V14" i="5"/>
  <c r="V13" i="5"/>
  <c r="V12" i="5"/>
  <c r="V11" i="5"/>
  <c r="V10" i="5"/>
  <c r="V9" i="5"/>
  <c r="V8" i="5"/>
  <c r="U17" i="5"/>
  <c r="U16" i="5"/>
  <c r="U15" i="5"/>
  <c r="U14" i="5"/>
  <c r="U13" i="5"/>
  <c r="U12" i="5"/>
  <c r="U11" i="5"/>
  <c r="U10" i="5"/>
  <c r="U9" i="5"/>
  <c r="U8" i="5"/>
  <c r="L29" i="5" l="1"/>
  <c r="N15" i="3"/>
  <c r="M16" i="1" l="1"/>
  <c r="C90" i="5"/>
  <c r="D8" i="1" l="1"/>
  <c r="F8" i="1"/>
  <c r="D9" i="1"/>
  <c r="F7" i="1"/>
  <c r="D9" i="4" l="1"/>
  <c r="F9" i="4"/>
  <c r="F8" i="4"/>
  <c r="R19" i="1" l="1"/>
  <c r="M23" i="3"/>
  <c r="F19" i="4" l="1"/>
  <c r="D19" i="4"/>
  <c r="R28" i="4"/>
  <c r="O28" i="4"/>
  <c r="R27" i="4"/>
  <c r="O27" i="4"/>
  <c r="R26" i="4"/>
  <c r="O26" i="4"/>
  <c r="J44" i="4" l="1"/>
  <c r="G44" i="4"/>
  <c r="D44" i="4"/>
  <c r="J37" i="4"/>
  <c r="G37" i="4"/>
  <c r="D37" i="4"/>
  <c r="J30" i="4"/>
  <c r="G30" i="4"/>
  <c r="D30" i="4"/>
  <c r="U18" i="4" l="1"/>
  <c r="V14" i="4"/>
  <c r="X14" i="4" s="1"/>
  <c r="N14" i="4"/>
  <c r="P14" i="4" s="1"/>
  <c r="AH32" i="5"/>
  <c r="AG32" i="5"/>
  <c r="AF32" i="5"/>
  <c r="AE32" i="5"/>
  <c r="AD32" i="5"/>
  <c r="AC32" i="5"/>
  <c r="AB32" i="5"/>
  <c r="AA32" i="5"/>
  <c r="Z32" i="5"/>
  <c r="Y32" i="5"/>
  <c r="AH31" i="5"/>
  <c r="AG31" i="5"/>
  <c r="AF31" i="5"/>
  <c r="AE31" i="5"/>
  <c r="AD31" i="5"/>
  <c r="AC31" i="5"/>
  <c r="AB31" i="5"/>
  <c r="AA31" i="5"/>
  <c r="Z31" i="5"/>
  <c r="Y31" i="5"/>
  <c r="H17" i="5"/>
  <c r="G17" i="5"/>
  <c r="F17" i="5"/>
  <c r="D17" i="5"/>
  <c r="AM14" i="5" s="1"/>
  <c r="H16" i="5"/>
  <c r="G16" i="5"/>
  <c r="F16" i="5"/>
  <c r="D41" i="5" s="1"/>
  <c r="D16" i="5"/>
  <c r="AL14" i="5" s="1"/>
  <c r="H15" i="5"/>
  <c r="G15" i="5"/>
  <c r="F15" i="5"/>
  <c r="D40" i="5" s="1"/>
  <c r="D15" i="5"/>
  <c r="AK14" i="5" s="1"/>
  <c r="H14" i="5"/>
  <c r="G14" i="5"/>
  <c r="F14" i="5"/>
  <c r="D14" i="5"/>
  <c r="AJ14" i="5" s="1"/>
  <c r="H13" i="5"/>
  <c r="G13" i="5"/>
  <c r="F13" i="5"/>
  <c r="D38" i="5" s="1"/>
  <c r="D13" i="5"/>
  <c r="AI14" i="5" s="1"/>
  <c r="H12" i="5"/>
  <c r="G12" i="5"/>
  <c r="F12" i="5"/>
  <c r="D37" i="5" s="1"/>
  <c r="D12" i="5"/>
  <c r="AH14" i="5" s="1"/>
  <c r="H11" i="5"/>
  <c r="G11" i="5"/>
  <c r="F11" i="5"/>
  <c r="D36" i="5" s="1"/>
  <c r="D11" i="5"/>
  <c r="AG14" i="5" s="1"/>
  <c r="H10" i="5"/>
  <c r="G10" i="5"/>
  <c r="F10" i="5"/>
  <c r="D10" i="5"/>
  <c r="AF14" i="5" s="1"/>
  <c r="H9" i="5"/>
  <c r="G9" i="5"/>
  <c r="F9" i="5"/>
  <c r="D34" i="5" s="1"/>
  <c r="D9" i="5"/>
  <c r="AE14" i="5" s="1"/>
  <c r="H8" i="5"/>
  <c r="G8" i="5"/>
  <c r="F8" i="5"/>
  <c r="D8" i="5"/>
  <c r="U16" i="4"/>
  <c r="D10" i="4"/>
  <c r="F10" i="4" s="1"/>
  <c r="G62" i="3"/>
  <c r="D62" i="3"/>
  <c r="O45" i="3"/>
  <c r="O44" i="3"/>
  <c r="F23" i="3"/>
  <c r="U23" i="3" s="1"/>
  <c r="D23" i="3"/>
  <c r="U21" i="3"/>
  <c r="M21" i="3"/>
  <c r="AD14" i="5" l="1"/>
  <c r="F14" i="6"/>
  <c r="L28" i="5" s="1"/>
  <c r="F13" i="6"/>
  <c r="M16" i="4"/>
  <c r="M20" i="4" s="1"/>
  <c r="U20" i="4"/>
  <c r="D35" i="5"/>
  <c r="D39" i="5"/>
  <c r="D42" i="5"/>
  <c r="D33" i="5"/>
  <c r="D12" i="4"/>
  <c r="D11" i="4"/>
  <c r="F11" i="4" s="1"/>
  <c r="D13" i="4" l="1"/>
  <c r="F13" i="4" s="1"/>
  <c r="F12" i="4"/>
  <c r="D25" i="1" l="1"/>
  <c r="S25" i="1"/>
  <c r="L25" i="1"/>
  <c r="S23" i="1"/>
  <c r="L23" i="1"/>
  <c r="D12" i="1"/>
  <c r="S21" i="1"/>
  <c r="U21" i="1" s="1"/>
  <c r="M20" i="1"/>
  <c r="F9" i="1"/>
  <c r="O20" i="1" l="1"/>
  <c r="N27" i="1"/>
  <c r="I15" i="5"/>
  <c r="I9" i="5"/>
  <c r="I10" i="5"/>
  <c r="I11" i="5"/>
  <c r="I12" i="5"/>
  <c r="I13" i="5"/>
  <c r="I14" i="5"/>
  <c r="I16" i="5"/>
  <c r="I17" i="5"/>
  <c r="I8" i="5"/>
  <c r="H27" i="5"/>
  <c r="U27" i="1"/>
  <c r="F17" i="1" s="1"/>
  <c r="F21" i="1" s="1"/>
  <c r="D10" i="1"/>
  <c r="J11" i="5" l="1"/>
  <c r="L11" i="5" s="1"/>
  <c r="E36" i="5"/>
  <c r="K11" i="5"/>
  <c r="K17" i="5"/>
  <c r="E42" i="5"/>
  <c r="J17" i="5"/>
  <c r="L17" i="5" s="1"/>
  <c r="E39" i="5"/>
  <c r="J14" i="5"/>
  <c r="L14" i="5" s="1"/>
  <c r="K14" i="5"/>
  <c r="E35" i="5"/>
  <c r="K10" i="5"/>
  <c r="J10" i="5"/>
  <c r="L10" i="5" s="1"/>
  <c r="E33" i="5"/>
  <c r="K8" i="5"/>
  <c r="J8" i="5"/>
  <c r="L8" i="5" s="1"/>
  <c r="J16" i="5"/>
  <c r="L16" i="5" s="1"/>
  <c r="E41" i="5"/>
  <c r="K16" i="5"/>
  <c r="K13" i="5"/>
  <c r="E38" i="5"/>
  <c r="J13" i="5"/>
  <c r="L13" i="5" s="1"/>
  <c r="J9" i="5"/>
  <c r="L9" i="5" s="1"/>
  <c r="E34" i="5"/>
  <c r="K9" i="5"/>
  <c r="K12" i="5"/>
  <c r="E37" i="5"/>
  <c r="J12" i="5"/>
  <c r="L12" i="5" s="1"/>
  <c r="J15" i="5"/>
  <c r="L15" i="5" s="1"/>
  <c r="E40" i="5"/>
  <c r="K15" i="5"/>
  <c r="D17" i="1"/>
  <c r="D21" i="1" s="1"/>
  <c r="D27" i="1" s="1"/>
  <c r="F10" i="1"/>
  <c r="E8" i="5" l="1"/>
  <c r="AL15" i="5"/>
  <c r="E10" i="5"/>
  <c r="AI15" i="5"/>
  <c r="E17" i="5"/>
  <c r="E15" i="5"/>
  <c r="AJ15" i="5"/>
  <c r="E14" i="5"/>
  <c r="H28" i="5"/>
  <c r="AF15" i="5"/>
  <c r="AM15" i="5"/>
  <c r="AK15" i="5"/>
  <c r="E9" i="5"/>
  <c r="E16" i="5"/>
  <c r="AH15" i="5"/>
  <c r="AG15" i="5"/>
  <c r="E11" i="5"/>
  <c r="D30" i="1"/>
  <c r="E12" i="5"/>
  <c r="E13" i="5"/>
  <c r="AE15" i="5"/>
  <c r="AD15" i="5"/>
  <c r="AH12" i="5"/>
  <c r="AG12" i="5"/>
  <c r="AF12" i="5"/>
  <c r="AE12" i="5"/>
  <c r="AD12" i="5"/>
  <c r="AM12" i="5"/>
  <c r="AL12" i="5"/>
  <c r="AK12" i="5"/>
  <c r="AJ12" i="5"/>
  <c r="AI12" i="5"/>
  <c r="R11" i="5"/>
  <c r="M11" i="5"/>
  <c r="N11" i="5" s="1"/>
  <c r="Q11" i="5" s="1"/>
  <c r="R14" i="5"/>
  <c r="M14" i="5"/>
  <c r="N14" i="5" s="1"/>
  <c r="Q14" i="5" s="1"/>
  <c r="M15" i="5"/>
  <c r="N15" i="5" s="1"/>
  <c r="Q15" i="5" s="1"/>
  <c r="R15" i="5"/>
  <c r="R13" i="5"/>
  <c r="M13" i="5"/>
  <c r="N13" i="5" s="1"/>
  <c r="Q13" i="5" s="1"/>
  <c r="R16" i="5"/>
  <c r="M16" i="5"/>
  <c r="N16" i="5" s="1"/>
  <c r="Q16" i="5" s="1"/>
  <c r="R12" i="5"/>
  <c r="M12" i="5"/>
  <c r="N12" i="5" s="1"/>
  <c r="Q12" i="5" s="1"/>
  <c r="M8" i="5"/>
  <c r="N8" i="5" s="1"/>
  <c r="Q8" i="5" s="1"/>
  <c r="R8" i="5"/>
  <c r="M17" i="5"/>
  <c r="N17" i="5" s="1"/>
  <c r="Q17" i="5" s="1"/>
  <c r="R17" i="5"/>
  <c r="R9" i="5"/>
  <c r="M9" i="5"/>
  <c r="N9" i="5" s="1"/>
  <c r="Q9" i="5" s="1"/>
  <c r="M10" i="5"/>
  <c r="N10" i="5" s="1"/>
  <c r="Q10" i="5" s="1"/>
  <c r="R10" i="5"/>
  <c r="D32" i="1" l="1"/>
  <c r="D34" i="1" s="1"/>
  <c r="O12" i="5"/>
  <c r="O16" i="5"/>
  <c r="O17" i="5"/>
  <c r="AH29" i="5" s="1"/>
  <c r="AH39" i="5" s="1"/>
  <c r="O13" i="5"/>
  <c r="AD29" i="5" s="1"/>
  <c r="AD39" i="5" s="1"/>
  <c r="O11" i="5"/>
  <c r="AB29" i="5" s="1"/>
  <c r="AB39" i="5" s="1"/>
  <c r="O8" i="5"/>
  <c r="Y29" i="5" s="1"/>
  <c r="Y39" i="5" s="1"/>
  <c r="O9" i="5"/>
  <c r="Z29" i="5" s="1"/>
  <c r="O14" i="5"/>
  <c r="AE29" i="5" s="1"/>
  <c r="AE39" i="5" s="1"/>
  <c r="O10" i="5"/>
  <c r="AA29" i="5" s="1"/>
  <c r="O15" i="5"/>
  <c r="AF29" i="5" s="1"/>
  <c r="AF39" i="5" s="1"/>
  <c r="AG29" i="5"/>
  <c r="AG39" i="5" s="1"/>
  <c r="S16" i="5"/>
  <c r="P13" i="5"/>
  <c r="AD34" i="5"/>
  <c r="P14" i="5"/>
  <c r="AE34" i="5"/>
  <c r="P16" i="5"/>
  <c r="AG34" i="5"/>
  <c r="S17" i="5"/>
  <c r="P15" i="5"/>
  <c r="AF34" i="5"/>
  <c r="P12" i="5"/>
  <c r="AC34" i="5"/>
  <c r="P17" i="5"/>
  <c r="AH34" i="5"/>
  <c r="P9" i="5"/>
  <c r="Z34" i="5"/>
  <c r="P8" i="5"/>
  <c r="Y34" i="5"/>
  <c r="AC29" i="5"/>
  <c r="AC39" i="5" s="1"/>
  <c r="S12" i="5"/>
  <c r="P11" i="5"/>
  <c r="AB34" i="5"/>
  <c r="P10" i="5"/>
  <c r="AA34" i="5"/>
  <c r="D33" i="1" l="1"/>
  <c r="S13" i="5"/>
  <c r="S11" i="5"/>
  <c r="S14" i="5"/>
  <c r="S15" i="5"/>
  <c r="S8" i="5"/>
  <c r="AB30" i="5"/>
  <c r="AB33" i="5" s="1"/>
  <c r="AE30" i="5"/>
  <c r="AE33" i="5" s="1"/>
  <c r="Y30" i="5"/>
  <c r="Y33" i="5" s="1"/>
  <c r="AH30" i="5"/>
  <c r="AH33" i="5" s="1"/>
  <c r="AD30" i="5"/>
  <c r="AD33" i="5" s="1"/>
  <c r="AF30" i="5"/>
  <c r="AF33" i="5" s="1"/>
  <c r="AG30" i="5"/>
  <c r="AG33" i="5" s="1"/>
  <c r="AC30" i="5"/>
  <c r="AC33" i="5" s="1"/>
  <c r="H26" i="5"/>
  <c r="AJ13" i="5"/>
  <c r="AJ16" i="5" s="1"/>
  <c r="AI13" i="5"/>
  <c r="AI16" i="5" s="1"/>
  <c r="AH13" i="5"/>
  <c r="AH16" i="5" s="1"/>
  <c r="AG13" i="5"/>
  <c r="AG16" i="5" s="1"/>
  <c r="AF13" i="5"/>
  <c r="AF16" i="5" s="1"/>
  <c r="AL13" i="5"/>
  <c r="AL16" i="5" s="1"/>
  <c r="AE13" i="5"/>
  <c r="AE16" i="5" s="1"/>
  <c r="AD13" i="5"/>
  <c r="AD16" i="5" s="1"/>
  <c r="AK13" i="5"/>
  <c r="AK16" i="5" s="1"/>
  <c r="AM13" i="5"/>
  <c r="AM16" i="5" s="1"/>
  <c r="F33" i="5" l="1"/>
  <c r="H33" i="5" s="1"/>
  <c r="F42" i="5"/>
  <c r="H42" i="5" s="1"/>
  <c r="F41" i="5"/>
  <c r="H41" i="5" s="1"/>
  <c r="F34" i="5"/>
  <c r="H34" i="5" s="1"/>
  <c r="F40" i="5"/>
  <c r="H40" i="5" s="1"/>
  <c r="F39" i="5"/>
  <c r="H39" i="5" s="1"/>
  <c r="F38" i="5"/>
  <c r="H38" i="5" s="1"/>
  <c r="F37" i="5"/>
  <c r="H37" i="5" s="1"/>
  <c r="F35" i="5"/>
  <c r="H35" i="5" s="1"/>
  <c r="F36" i="5"/>
  <c r="H36" i="5" s="1"/>
  <c r="Z28" i="5"/>
  <c r="Y28" i="5"/>
  <c r="AA28" i="5"/>
  <c r="AG28" i="5"/>
  <c r="AB28" i="5"/>
  <c r="AC28" i="5"/>
  <c r="AH28" i="5"/>
  <c r="AF28" i="5"/>
  <c r="AD28" i="5"/>
  <c r="AE28" i="5"/>
  <c r="F50" i="5" l="1"/>
  <c r="F51" i="5" s="1"/>
  <c r="J50" i="5"/>
  <c r="J51" i="5" s="1"/>
  <c r="I50" i="5"/>
  <c r="I51" i="5" s="1"/>
  <c r="D50" i="5"/>
  <c r="E50" i="5"/>
  <c r="E51" i="5" s="1"/>
  <c r="D60" i="5"/>
  <c r="E60" i="5" s="1"/>
  <c r="K50" i="5"/>
  <c r="K51" i="5" s="1"/>
  <c r="H50" i="5"/>
  <c r="L50" i="5"/>
  <c r="L51" i="5" s="1"/>
  <c r="G50" i="5"/>
  <c r="G51" i="5" s="1"/>
  <c r="C50" i="5"/>
  <c r="D58" i="5"/>
  <c r="E58" i="5" s="1"/>
  <c r="H51" i="5"/>
  <c r="Z30" i="5"/>
  <c r="Z33" i="5" s="1"/>
  <c r="AA30" i="5"/>
  <c r="AA33" i="5" s="1"/>
  <c r="AH35" i="5"/>
  <c r="T17" i="5"/>
  <c r="AG35" i="5"/>
  <c r="T16" i="5"/>
  <c r="AF35" i="5"/>
  <c r="T15" i="5"/>
  <c r="AE35" i="5"/>
  <c r="T14" i="5"/>
  <c r="AD35" i="5"/>
  <c r="T13" i="5"/>
  <c r="AC35" i="5"/>
  <c r="T12" i="5"/>
  <c r="AB35" i="5"/>
  <c r="T11" i="5"/>
  <c r="Y35" i="5"/>
  <c r="T8" i="5"/>
  <c r="C66" i="5"/>
  <c r="C59" i="5"/>
  <c r="C67" i="5"/>
  <c r="C65" i="5"/>
  <c r="C61" i="5"/>
  <c r="C64" i="5"/>
  <c r="C60" i="5"/>
  <c r="C62" i="5"/>
  <c r="C58" i="5"/>
  <c r="C63" i="5"/>
  <c r="AC37" i="5" l="1"/>
  <c r="AC38" i="5" s="1"/>
  <c r="D62" i="5" s="1"/>
  <c r="E62" i="5" s="1"/>
  <c r="AC36" i="5"/>
  <c r="AD37" i="5"/>
  <c r="AD38" i="5" s="1"/>
  <c r="D63" i="5" s="1"/>
  <c r="E63" i="5" s="1"/>
  <c r="AD36" i="5"/>
  <c r="AE37" i="5"/>
  <c r="AE38" i="5" s="1"/>
  <c r="D64" i="5" s="1"/>
  <c r="E64" i="5" s="1"/>
  <c r="AE36" i="5"/>
  <c r="AF37" i="5"/>
  <c r="AF38" i="5" s="1"/>
  <c r="D65" i="5" s="1"/>
  <c r="E65" i="5" s="1"/>
  <c r="AF36" i="5"/>
  <c r="AG37" i="5"/>
  <c r="AG38" i="5" s="1"/>
  <c r="D66" i="5" s="1"/>
  <c r="E66" i="5" s="1"/>
  <c r="AG36" i="5"/>
  <c r="AB37" i="5"/>
  <c r="AB38" i="5" s="1"/>
  <c r="D61" i="5" s="1"/>
  <c r="E61" i="5" s="1"/>
  <c r="AB36" i="5"/>
  <c r="AH37" i="5"/>
  <c r="AH38" i="5" s="1"/>
  <c r="D67" i="5" s="1"/>
  <c r="E67" i="5" s="1"/>
  <c r="AH36" i="5"/>
  <c r="Y37" i="5"/>
  <c r="Y38" i="5" s="1"/>
  <c r="Y36" i="5"/>
  <c r="S10" i="5"/>
  <c r="T10" i="5" s="1"/>
  <c r="AA35" i="5"/>
  <c r="AA36" i="5" s="1"/>
  <c r="S9" i="5"/>
  <c r="T9" i="5" s="1"/>
  <c r="Z35" i="5"/>
  <c r="D83" i="5"/>
  <c r="E83" i="5" s="1"/>
  <c r="D74" i="5"/>
  <c r="D51" i="5"/>
  <c r="D76" i="5"/>
  <c r="E76" i="5" s="1"/>
  <c r="C51" i="5"/>
  <c r="D81" i="5" l="1"/>
  <c r="E81" i="5" s="1"/>
  <c r="D80" i="5"/>
  <c r="E80" i="5" s="1"/>
  <c r="D79" i="5"/>
  <c r="E79" i="5" s="1"/>
  <c r="D78" i="5"/>
  <c r="E78" i="5" s="1"/>
  <c r="D82" i="5"/>
  <c r="E82" i="5" s="1"/>
  <c r="D77" i="5"/>
  <c r="E77" i="5" s="1"/>
  <c r="Z37" i="5"/>
  <c r="Z38" i="5" s="1"/>
  <c r="Z36" i="5"/>
  <c r="E74" i="5"/>
  <c r="AA37" i="5"/>
  <c r="AA38" i="5" s="1"/>
  <c r="AA39" i="5" s="1"/>
  <c r="Z39" i="5" l="1"/>
  <c r="D59" i="5"/>
  <c r="C91" i="5" s="1"/>
  <c r="E59" i="5" l="1"/>
  <c r="E75" i="5" l="1"/>
  <c r="F86" i="5"/>
  <c r="D86" i="5" s="1"/>
  <c r="E90" i="5" s="1"/>
  <c r="D90" i="5"/>
  <c r="D91" i="5"/>
  <c r="F90" i="5" l="1"/>
  <c r="G90" i="5" s="1"/>
  <c r="E91" i="5"/>
  <c r="F91" i="5" s="1"/>
  <c r="G91" i="5" s="1"/>
  <c r="I91" i="5" s="1"/>
  <c r="F11" i="3"/>
  <c r="H91" i="5" l="1"/>
  <c r="D11" i="3"/>
  <c r="F22" i="3"/>
  <c r="U17" i="3"/>
  <c r="V19" i="3" s="1"/>
  <c r="I90" i="5"/>
  <c r="H90" i="5"/>
  <c r="X19" i="3" l="1"/>
  <c r="U25" i="3"/>
  <c r="F24" i="3" s="1"/>
  <c r="D22" i="3"/>
  <c r="M17" i="3"/>
  <c r="N19" i="3" s="1"/>
  <c r="M25" i="3" l="1"/>
  <c r="D24" i="3" s="1"/>
  <c r="P19" i="3"/>
  <c r="F25" i="3"/>
  <c r="F27" i="3" s="1"/>
  <c r="D48" i="3"/>
  <c r="G61" i="3" l="1"/>
  <c r="G63" i="3" s="1"/>
  <c r="C55" i="3"/>
  <c r="D47" i="3"/>
  <c r="D25" i="3"/>
  <c r="D27" i="3" s="1"/>
  <c r="D61" i="3" l="1"/>
  <c r="D63" i="3" s="1"/>
  <c r="D69" i="3" s="1"/>
  <c r="F69" i="3" s="1"/>
  <c r="C54" i="3"/>
  <c r="D32" i="3"/>
  <c r="D31" i="3"/>
  <c r="D34" i="3" s="1"/>
  <c r="D36" i="3" l="1"/>
  <c r="D35" i="3"/>
  <c r="E54" i="3"/>
  <c r="D68" i="3"/>
  <c r="D72" i="3" l="1"/>
  <c r="F72" i="3" s="1"/>
  <c r="D73" i="3"/>
  <c r="F73" i="3" s="1"/>
  <c r="D74" i="3"/>
  <c r="F74" i="3" s="1"/>
  <c r="D71" i="3"/>
  <c r="F71" i="3" s="1"/>
  <c r="F68" i="3"/>
</calcChain>
</file>

<file path=xl/sharedStrings.xml><?xml version="1.0" encoding="utf-8"?>
<sst xmlns="http://schemas.openxmlformats.org/spreadsheetml/2006/main" count="605" uniqueCount="292">
  <si>
    <t>Data</t>
  </si>
  <si>
    <t>Conversion</t>
  </si>
  <si>
    <t>Value to convert</t>
  </si>
  <si>
    <t>Final value</t>
  </si>
  <si>
    <t>MAPt</t>
  </si>
  <si>
    <t>VOR</t>
  </si>
  <si>
    <t>If defined by a navaid there are no tolerance requirements</t>
  </si>
  <si>
    <t>AD elevation</t>
  </si>
  <si>
    <t>ft</t>
  </si>
  <si>
    <t>metres</t>
  </si>
  <si>
    <t>Convert IAS to TAS (SI units)</t>
  </si>
  <si>
    <t>Convert IAS to TAS (non SI units)</t>
  </si>
  <si>
    <t>Final approach OCA</t>
  </si>
  <si>
    <t>NM</t>
  </si>
  <si>
    <r>
      <t>TAS = IAS * 171233 * [(288</t>
    </r>
    <r>
      <rPr>
        <sz val="11"/>
        <color theme="1"/>
        <rFont val="Calibri"/>
        <family val="2"/>
      </rPr>
      <t>±VAR) - 0.006496H] ½ / (288 -0.006496H)2.628</t>
    </r>
  </si>
  <si>
    <r>
      <t>TAS = IAS * 171233 * [(288</t>
    </r>
    <r>
      <rPr>
        <sz val="11"/>
        <color theme="1"/>
        <rFont val="Calibri"/>
        <family val="2"/>
      </rPr>
      <t>±VAR) - 0.00198H] ½ / (288 - 0.00198H)2.628</t>
    </r>
  </si>
  <si>
    <t>km/h</t>
  </si>
  <si>
    <t>A/C category</t>
  </si>
  <si>
    <t>D</t>
  </si>
  <si>
    <t>Kts</t>
  </si>
  <si>
    <t>Calculate VAR</t>
  </si>
  <si>
    <t>ISA at sea level</t>
  </si>
  <si>
    <t>°C</t>
  </si>
  <si>
    <t>Lapse rate per 1000 meters</t>
  </si>
  <si>
    <t>Lapse rate per 1000ft</t>
  </si>
  <si>
    <t>Initial Segment Calculations</t>
  </si>
  <si>
    <t>H is</t>
  </si>
  <si>
    <t>meters</t>
  </si>
  <si>
    <t>At MAPt</t>
  </si>
  <si>
    <t>°</t>
  </si>
  <si>
    <t>Semi-width</t>
  </si>
  <si>
    <t>nm</t>
  </si>
  <si>
    <t>ISA temperature at</t>
  </si>
  <si>
    <t>meters is</t>
  </si>
  <si>
    <t>ft is</t>
  </si>
  <si>
    <t>Secondary area width</t>
  </si>
  <si>
    <t>Navaid tracking tolerance</t>
  </si>
  <si>
    <t>VAR is</t>
  </si>
  <si>
    <t>Temperature variation about ISA</t>
  </si>
  <si>
    <t>Distance from MAPt to SOC</t>
  </si>
  <si>
    <t>IAS is</t>
  </si>
  <si>
    <t>kts</t>
  </si>
  <si>
    <r>
      <t>IAS</t>
    </r>
    <r>
      <rPr>
        <sz val="8"/>
        <color theme="1"/>
        <rFont val="Calibri"/>
        <family val="2"/>
        <scheme val="minor"/>
      </rPr>
      <t>max</t>
    </r>
  </si>
  <si>
    <t>From table I-4-1-1</t>
  </si>
  <si>
    <t>TAS is</t>
  </si>
  <si>
    <t>TAS</t>
  </si>
  <si>
    <t>Tailwind</t>
  </si>
  <si>
    <t>GS</t>
  </si>
  <si>
    <t>Reaction time</t>
  </si>
  <si>
    <t>seconds</t>
  </si>
  <si>
    <t>Travelling time</t>
  </si>
  <si>
    <t>Total time</t>
  </si>
  <si>
    <t>Obstacles MAPt to SOC</t>
  </si>
  <si>
    <t>m</t>
  </si>
  <si>
    <t>Calculate widths at SOC</t>
  </si>
  <si>
    <t>MOC</t>
  </si>
  <si>
    <t>Distance from MAPt</t>
  </si>
  <si>
    <t>Vegetation</t>
  </si>
  <si>
    <t>Primary area width</t>
  </si>
  <si>
    <t>Intermediate Segment Calculations</t>
  </si>
  <si>
    <t>Nominal gradient</t>
  </si>
  <si>
    <t>Primary area MOC</t>
  </si>
  <si>
    <t>Perpendicular distance between obstacle and secondary area edge</t>
  </si>
  <si>
    <t>Semi-width (primary + secondary widths) at SOC</t>
  </si>
  <si>
    <t>Semi-width (primary + secondary widths) at MAPt</t>
  </si>
  <si>
    <t>c</t>
  </si>
  <si>
    <t>Distance between MAPt and SOC</t>
  </si>
  <si>
    <t>Distance of obstacle from centreline</t>
  </si>
  <si>
    <t>Protection area width at obstacle</t>
  </si>
  <si>
    <t>Distance from SOC</t>
  </si>
  <si>
    <t>Elevation</t>
  </si>
  <si>
    <r>
      <t>O</t>
    </r>
    <r>
      <rPr>
        <sz val="8"/>
        <color theme="1"/>
        <rFont val="Calibri"/>
        <family val="2"/>
        <scheme val="minor"/>
      </rPr>
      <t>1</t>
    </r>
  </si>
  <si>
    <r>
      <t>O</t>
    </r>
    <r>
      <rPr>
        <sz val="8"/>
        <color theme="1"/>
        <rFont val="Calibri"/>
        <family val="2"/>
        <scheme val="minor"/>
      </rPr>
      <t>2</t>
    </r>
  </si>
  <si>
    <r>
      <t>O</t>
    </r>
    <r>
      <rPr>
        <sz val="8"/>
        <color theme="1"/>
        <rFont val="Calibri"/>
        <family val="2"/>
        <scheme val="minor"/>
      </rPr>
      <t>3</t>
    </r>
  </si>
  <si>
    <r>
      <t>O</t>
    </r>
    <r>
      <rPr>
        <sz val="8"/>
        <color theme="1"/>
        <rFont val="Calibri"/>
        <family val="2"/>
        <scheme val="minor"/>
      </rPr>
      <t>4</t>
    </r>
  </si>
  <si>
    <r>
      <t>O</t>
    </r>
    <r>
      <rPr>
        <sz val="8"/>
        <color theme="1"/>
        <rFont val="Calibri"/>
        <family val="2"/>
        <scheme val="minor"/>
      </rPr>
      <t>5</t>
    </r>
  </si>
  <si>
    <r>
      <t>O</t>
    </r>
    <r>
      <rPr>
        <sz val="8"/>
        <color theme="1"/>
        <rFont val="Calibri"/>
        <family val="2"/>
        <scheme val="minor"/>
      </rPr>
      <t>6</t>
    </r>
  </si>
  <si>
    <r>
      <t>O</t>
    </r>
    <r>
      <rPr>
        <sz val="8"/>
        <color theme="1"/>
        <rFont val="Calibri"/>
        <family val="2"/>
        <scheme val="minor"/>
      </rPr>
      <t>7</t>
    </r>
  </si>
  <si>
    <r>
      <t>O</t>
    </r>
    <r>
      <rPr>
        <sz val="8"/>
        <color theme="1"/>
        <rFont val="Calibri"/>
        <family val="2"/>
        <scheme val="minor"/>
      </rPr>
      <t>8</t>
    </r>
  </si>
  <si>
    <r>
      <t>O</t>
    </r>
    <r>
      <rPr>
        <sz val="8"/>
        <color theme="1"/>
        <rFont val="Calibri"/>
        <family val="2"/>
        <scheme val="minor"/>
      </rPr>
      <t>9</t>
    </r>
  </si>
  <si>
    <r>
      <t>O</t>
    </r>
    <r>
      <rPr>
        <sz val="8"/>
        <color theme="1"/>
        <rFont val="Calibri"/>
        <family val="2"/>
        <scheme val="minor"/>
      </rPr>
      <t>10</t>
    </r>
  </si>
  <si>
    <t>Distance from centreline</t>
  </si>
  <si>
    <t>Side</t>
  </si>
  <si>
    <t>R</t>
  </si>
  <si>
    <t>L</t>
  </si>
  <si>
    <r>
      <t>d</t>
    </r>
    <r>
      <rPr>
        <sz val="8"/>
        <color theme="1"/>
        <rFont val="Calibri"/>
        <family val="2"/>
        <scheme val="minor"/>
      </rPr>
      <t>o</t>
    </r>
  </si>
  <si>
    <r>
      <t>d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cos(tan-1((W</t>
    </r>
    <r>
      <rPr>
        <sz val="8"/>
        <color theme="1"/>
        <rFont val="Calibri"/>
        <family val="2"/>
        <scheme val="minor"/>
      </rPr>
      <t>SOC</t>
    </r>
    <r>
      <rPr>
        <sz val="11"/>
        <color theme="1"/>
        <rFont val="Calibri"/>
        <family val="2"/>
        <scheme val="minor"/>
      </rPr>
      <t xml:space="preserve"> - W</t>
    </r>
    <r>
      <rPr>
        <sz val="8"/>
        <color theme="1"/>
        <rFont val="Calibri"/>
        <family val="2"/>
        <scheme val="minor"/>
      </rPr>
      <t>MAPt</t>
    </r>
    <r>
      <rPr>
        <sz val="11"/>
        <color theme="1"/>
        <rFont val="Calibri"/>
        <family val="2"/>
        <scheme val="minor"/>
      </rPr>
      <t>)/c)) x (D</t>
    </r>
    <r>
      <rPr>
        <sz val="8"/>
        <color theme="1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 xml:space="preserve"> - W</t>
    </r>
    <r>
      <rPr>
        <sz val="8"/>
        <color theme="1"/>
        <rFont val="Calibri"/>
        <family val="2"/>
        <scheme val="minor"/>
      </rPr>
      <t>obs</t>
    </r>
    <r>
      <rPr>
        <sz val="11"/>
        <color theme="1"/>
        <rFont val="Calibri"/>
        <family val="2"/>
        <scheme val="minor"/>
      </rPr>
      <t>)</t>
    </r>
  </si>
  <si>
    <r>
      <t>W</t>
    </r>
    <r>
      <rPr>
        <sz val="8"/>
        <color theme="1"/>
        <rFont val="Calibri"/>
        <family val="2"/>
        <scheme val="minor"/>
      </rPr>
      <t>SOC</t>
    </r>
  </si>
  <si>
    <r>
      <t>W</t>
    </r>
    <r>
      <rPr>
        <sz val="8"/>
        <color theme="1"/>
        <rFont val="Calibri"/>
        <family val="2"/>
        <scheme val="minor"/>
      </rPr>
      <t>MAPt</t>
    </r>
  </si>
  <si>
    <r>
      <t>D</t>
    </r>
    <r>
      <rPr>
        <sz val="8"/>
        <color theme="1"/>
        <rFont val="Calibri"/>
        <family val="2"/>
        <scheme val="minor"/>
      </rPr>
      <t>obs</t>
    </r>
  </si>
  <si>
    <r>
      <t>W</t>
    </r>
    <r>
      <rPr>
        <sz val="8"/>
        <color theme="1"/>
        <rFont val="Calibri"/>
        <family val="2"/>
        <scheme val="minor"/>
      </rPr>
      <t>obs</t>
    </r>
  </si>
  <si>
    <t>Obstacle</t>
  </si>
  <si>
    <t>Distance from primary area edge</t>
  </si>
  <si>
    <t>Distance from secondary area edge</t>
  </si>
  <si>
    <t>Inside primary area?</t>
  </si>
  <si>
    <t>Y</t>
  </si>
  <si>
    <t>Inside secondary area?</t>
  </si>
  <si>
    <t>Units</t>
  </si>
  <si>
    <t>Primary area width (1/2 of semi-width)</t>
  </si>
  <si>
    <t>All vaues in metres</t>
  </si>
  <si>
    <t>Outside protected area?</t>
  </si>
  <si>
    <r>
      <t>W</t>
    </r>
    <r>
      <rPr>
        <sz val="8"/>
        <color theme="1"/>
        <rFont val="Calibri"/>
        <family val="2"/>
        <scheme val="minor"/>
      </rPr>
      <t>sp</t>
    </r>
    <r>
      <rPr>
        <sz val="12"/>
        <color theme="1"/>
        <rFont val="Calibri"/>
        <family val="2"/>
        <scheme val="minor"/>
      </rPr>
      <t xml:space="preserve"> = W</t>
    </r>
    <r>
      <rPr>
        <sz val="8"/>
        <color theme="1"/>
        <rFont val="Calibri"/>
        <family val="2"/>
        <scheme val="minor"/>
      </rPr>
      <t>s1</t>
    </r>
    <r>
      <rPr>
        <sz val="12"/>
        <color theme="1"/>
        <rFont val="Calibri"/>
        <family val="2"/>
        <scheme val="minor"/>
      </rPr>
      <t xml:space="preserve"> + D</t>
    </r>
    <r>
      <rPr>
        <sz val="8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/ L *(W</t>
    </r>
    <r>
      <rPr>
        <sz val="8"/>
        <color theme="1"/>
        <rFont val="Calibri"/>
        <family val="2"/>
        <scheme val="minor"/>
      </rPr>
      <t>s2</t>
    </r>
    <r>
      <rPr>
        <sz val="12"/>
        <color theme="1"/>
        <rFont val="Calibri"/>
        <family val="2"/>
        <scheme val="minor"/>
      </rPr>
      <t xml:space="preserve"> - W</t>
    </r>
    <r>
      <rPr>
        <sz val="8"/>
        <color theme="1"/>
        <rFont val="Calibri"/>
        <family val="2"/>
        <scheme val="minor"/>
      </rPr>
      <t>s1</t>
    </r>
    <r>
      <rPr>
        <sz val="12"/>
        <color theme="1"/>
        <rFont val="Calibri"/>
        <family val="2"/>
        <scheme val="minor"/>
      </rPr>
      <t>)</t>
    </r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</si>
  <si>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</si>
  <si>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</si>
  <si>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</si>
  <si>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</si>
  <si>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</si>
  <si>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</si>
  <si>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</si>
  <si>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</si>
  <si>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</si>
  <si>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</si>
  <si>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r>
      <t>W</t>
    </r>
    <r>
      <rPr>
        <sz val="8"/>
        <color theme="1"/>
        <rFont val="Calibri"/>
        <family val="2"/>
        <scheme val="minor"/>
      </rPr>
      <t>s1</t>
    </r>
  </si>
  <si>
    <t>width of secondary area at MAPt</t>
  </si>
  <si>
    <r>
      <t>W</t>
    </r>
    <r>
      <rPr>
        <sz val="8"/>
        <color theme="1"/>
        <rFont val="Calibri"/>
        <family val="2"/>
        <scheme val="minor"/>
      </rPr>
      <t>s2</t>
    </r>
  </si>
  <si>
    <r>
      <t>D</t>
    </r>
    <r>
      <rPr>
        <sz val="8"/>
        <color theme="1"/>
        <rFont val="Calibri"/>
        <family val="2"/>
        <scheme val="minor"/>
      </rPr>
      <t>p</t>
    </r>
  </si>
  <si>
    <t>distance between two fixes, measured along nominal track</t>
  </si>
  <si>
    <r>
      <t>W</t>
    </r>
    <r>
      <rPr>
        <sz val="8"/>
        <color theme="1"/>
        <rFont val="Calibri"/>
        <family val="2"/>
        <scheme val="minor"/>
      </rPr>
      <t>sp</t>
    </r>
  </si>
  <si>
    <t>width of secondary area at a point p</t>
  </si>
  <si>
    <t>Calculate secondary area MOC</t>
  </si>
  <si>
    <r>
      <t>MOC</t>
    </r>
    <r>
      <rPr>
        <sz val="8"/>
        <color theme="1"/>
        <rFont val="Calibri"/>
        <family val="2"/>
        <scheme val="minor"/>
      </rPr>
      <t>sy</t>
    </r>
    <r>
      <rPr>
        <sz val="11"/>
        <color theme="1"/>
        <rFont val="Calibri"/>
        <family val="2"/>
        <scheme val="minor"/>
      </rPr>
      <t xml:space="preserve"> = MOC</t>
    </r>
    <r>
      <rPr>
        <sz val="8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* (1 - Y / W</t>
    </r>
    <r>
      <rPr>
        <sz val="8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</t>
    </r>
  </si>
  <si>
    <r>
      <t>MOC</t>
    </r>
    <r>
      <rPr>
        <sz val="8"/>
        <color theme="1"/>
        <rFont val="Calibri"/>
        <family val="2"/>
        <scheme val="minor"/>
      </rPr>
      <t>p</t>
    </r>
  </si>
  <si>
    <t>MOC in primary area</t>
  </si>
  <si>
    <r>
      <t>MOC</t>
    </r>
    <r>
      <rPr>
        <sz val="8"/>
        <color theme="1"/>
        <rFont val="Calibri"/>
        <family val="2"/>
        <scheme val="minor"/>
      </rPr>
      <t>sy</t>
    </r>
  </si>
  <si>
    <t>MOC in secondary area for obstacle at distance Y from outer edge of primary area</t>
  </si>
  <si>
    <r>
      <t>W</t>
    </r>
    <r>
      <rPr>
        <sz val="8"/>
        <color theme="1"/>
        <rFont val="Calibri"/>
        <family val="2"/>
        <scheme val="minor"/>
      </rPr>
      <t>s</t>
    </r>
  </si>
  <si>
    <t>Width of secondary area</t>
  </si>
  <si>
    <t>Distance of obstacle from the edge of the primary area, measured perpendicularly to the nominal track</t>
  </si>
  <si>
    <r>
      <t>MOC</t>
    </r>
    <r>
      <rPr>
        <sz val="8"/>
        <color theme="1"/>
        <rFont val="Calibri"/>
        <family val="2"/>
        <scheme val="minor"/>
      </rPr>
      <t>30</t>
    </r>
  </si>
  <si>
    <r>
      <t>MOC</t>
    </r>
    <r>
      <rPr>
        <sz val="8"/>
        <color theme="1"/>
        <rFont val="Calibri"/>
        <family val="2"/>
        <scheme val="minor"/>
      </rPr>
      <t>sy30</t>
    </r>
  </si>
  <si>
    <t>Obstacle Elevation</t>
  </si>
  <si>
    <r>
      <t>Obstacle MOCA</t>
    </r>
    <r>
      <rPr>
        <sz val="8"/>
        <color theme="1"/>
        <rFont val="Calibri"/>
        <family val="2"/>
        <scheme val="minor"/>
      </rPr>
      <t>30</t>
    </r>
  </si>
  <si>
    <t>Controlling MOCA</t>
  </si>
  <si>
    <t>distance of point p from MAPt, measured along nominal track</t>
  </si>
  <si>
    <t>width of secondary area at second fix (SOC)</t>
  </si>
  <si>
    <t>Calculate secondary area width at a given point 'p'</t>
  </si>
  <si>
    <t>Conversions</t>
  </si>
  <si>
    <t>Vegetation MOC</t>
  </si>
  <si>
    <t>MAPt/SOC distance c</t>
  </si>
  <si>
    <r>
      <t>TNA</t>
    </r>
    <r>
      <rPr>
        <sz val="8"/>
        <color theme="1"/>
        <rFont val="Calibri"/>
        <family val="2"/>
        <scheme val="minor"/>
      </rPr>
      <t>1</t>
    </r>
  </si>
  <si>
    <t>MOCA outside protection areas (m)</t>
  </si>
  <si>
    <t>m to ft</t>
  </si>
  <si>
    <t>ft to m</t>
  </si>
  <si>
    <t>nm to m</t>
  </si>
  <si>
    <t>m to nm</t>
  </si>
  <si>
    <t>kts to km/h</t>
  </si>
  <si>
    <t>km/h to kts</t>
  </si>
  <si>
    <t>Nominal gradient MOCA (m)</t>
  </si>
  <si>
    <t>w</t>
  </si>
  <si>
    <t>Controlling MOCA (m)</t>
  </si>
  <si>
    <t>Secondary area MOC</t>
  </si>
  <si>
    <t>MOC outside protected area</t>
  </si>
  <si>
    <t>?</t>
  </si>
  <si>
    <r>
      <t>TNA</t>
    </r>
    <r>
      <rPr>
        <sz val="8"/>
        <color theme="1"/>
        <rFont val="Calibri"/>
        <family val="2"/>
        <scheme val="minor"/>
      </rPr>
      <t>2</t>
    </r>
  </si>
  <si>
    <r>
      <t>TNA</t>
    </r>
    <r>
      <rPr>
        <sz val="8"/>
        <color theme="1"/>
        <rFont val="Calibri"/>
        <family val="2"/>
        <scheme val="minor"/>
      </rPr>
      <t>3</t>
    </r>
  </si>
  <si>
    <r>
      <t>TNA</t>
    </r>
    <r>
      <rPr>
        <sz val="8"/>
        <color theme="1"/>
        <rFont val="Calibri"/>
        <family val="2"/>
        <scheme val="minor"/>
      </rPr>
      <t>4</t>
    </r>
  </si>
  <si>
    <r>
      <t>TNA</t>
    </r>
    <r>
      <rPr>
        <sz val="8"/>
        <color theme="1"/>
        <rFont val="Calibri"/>
        <family val="2"/>
        <scheme val="minor"/>
      </rPr>
      <t>5</t>
    </r>
  </si>
  <si>
    <r>
      <t>TNA</t>
    </r>
    <r>
      <rPr>
        <sz val="8"/>
        <color theme="1"/>
        <rFont val="Calibri"/>
        <family val="2"/>
        <scheme val="minor"/>
      </rPr>
      <t>6</t>
    </r>
  </si>
  <si>
    <r>
      <t>TNA</t>
    </r>
    <r>
      <rPr>
        <sz val="8"/>
        <color theme="1"/>
        <rFont val="Calibri"/>
        <family val="2"/>
        <scheme val="minor"/>
      </rPr>
      <t>7</t>
    </r>
  </si>
  <si>
    <r>
      <t>TNA</t>
    </r>
    <r>
      <rPr>
        <sz val="8"/>
        <color theme="1"/>
        <rFont val="Calibri"/>
        <family val="2"/>
        <scheme val="minor"/>
      </rPr>
      <t>8</t>
    </r>
  </si>
  <si>
    <r>
      <t>TNA</t>
    </r>
    <r>
      <rPr>
        <sz val="8"/>
        <color theme="1"/>
        <rFont val="Calibri"/>
        <family val="2"/>
        <scheme val="minor"/>
      </rPr>
      <t>9</t>
    </r>
  </si>
  <si>
    <r>
      <t>TNA</t>
    </r>
    <r>
      <rPr>
        <sz val="8"/>
        <color theme="1"/>
        <rFont val="Calibri"/>
        <family val="2"/>
        <scheme val="minor"/>
      </rPr>
      <t>10</t>
    </r>
  </si>
  <si>
    <t>TNA outside protected area</t>
  </si>
  <si>
    <r>
      <t>TNA = Obs elevation + MOC - (d</t>
    </r>
    <r>
      <rPr>
        <sz val="8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x gradient)</t>
    </r>
  </si>
  <si>
    <t>TNA inside protected area</t>
  </si>
  <si>
    <t>TNA = Obs elevation + MOC</t>
  </si>
  <si>
    <t>Minimum gradient required to clear obstacles within protected areas</t>
  </si>
  <si>
    <t>Gradient = (controlling MOCA - initial OCA) / distance from SOC</t>
  </si>
  <si>
    <t>Gradient</t>
  </si>
  <si>
    <t>Revised OCA for nominal 2.5% gradient</t>
  </si>
  <si>
    <t>Revised OCA m</t>
  </si>
  <si>
    <t>Revised OCA ft</t>
  </si>
  <si>
    <t>OCA = controlling MOCA - (nominal gradient x distance from SOC)</t>
  </si>
  <si>
    <t>Convert IAS to TAS (SI units) at TNA</t>
  </si>
  <si>
    <t>Convert IAS to TAS (non SI units) at TNA</t>
  </si>
  <si>
    <t>TNA</t>
  </si>
  <si>
    <t>feet</t>
  </si>
  <si>
    <t>Temperature above ISA</t>
  </si>
  <si>
    <t>Angle of Bank α</t>
  </si>
  <si>
    <t>s</t>
  </si>
  <si>
    <t>AoB completion time</t>
  </si>
  <si>
    <t>Wind speed</t>
  </si>
  <si>
    <t>IAS</t>
  </si>
  <si>
    <t>Calculate the latest turn point (LTP)</t>
  </si>
  <si>
    <t>TAS at TNA</t>
  </si>
  <si>
    <t>GS at TNA</t>
  </si>
  <si>
    <t>Distance travelled in c seconds</t>
  </si>
  <si>
    <t>Calculate the wind effect during the turn</t>
  </si>
  <si>
    <t>Using bounding circles</t>
  </si>
  <si>
    <r>
      <t>R = (6355 * tan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 / (</t>
    </r>
    <r>
      <rPr>
        <sz val="11"/>
        <color theme="1"/>
        <rFont val="Calibri"/>
        <family val="2"/>
      </rPr>
      <t>π * V)</t>
    </r>
  </si>
  <si>
    <t>V in km/h</t>
  </si>
  <si>
    <t>Rate of Turn</t>
  </si>
  <si>
    <t>°/s</t>
  </si>
  <si>
    <r>
      <t>R = (3431 * tan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 / (</t>
    </r>
    <r>
      <rPr>
        <sz val="11"/>
        <color theme="1"/>
        <rFont val="Calibri"/>
        <family val="2"/>
      </rPr>
      <t>π * V)</t>
    </r>
  </si>
  <si>
    <t>V in Kts</t>
  </si>
  <si>
    <r>
      <t xml:space="preserve">Calculate Rate of Turn in </t>
    </r>
    <r>
      <rPr>
        <b/>
        <sz val="12"/>
        <color theme="1"/>
        <rFont val="Calibri"/>
        <family val="2"/>
      </rPr>
      <t>°/s</t>
    </r>
  </si>
  <si>
    <r>
      <t>If either of these is &gt; 3</t>
    </r>
    <r>
      <rPr>
        <sz val="11"/>
        <color theme="1"/>
        <rFont val="Calibri"/>
        <family val="2"/>
      </rPr>
      <t>°/s then use 3°/s.</t>
    </r>
  </si>
  <si>
    <t>Calculate Radius of Turn</t>
  </si>
  <si>
    <r>
      <t xml:space="preserve">r = V / (20 *  </t>
    </r>
    <r>
      <rPr>
        <sz val="11"/>
        <color theme="1"/>
        <rFont val="Calibri"/>
        <family val="2"/>
      </rPr>
      <t>π * R)</t>
    </r>
  </si>
  <si>
    <t>in km if km/h used, or in NM if Kts is used.</t>
  </si>
  <si>
    <t>km</t>
  </si>
  <si>
    <t>Calculate Wind Effect</t>
  </si>
  <si>
    <r>
      <t>E</t>
    </r>
    <r>
      <rPr>
        <sz val="8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= (</t>
    </r>
    <r>
      <rPr>
        <sz val="11"/>
        <color theme="1"/>
        <rFont val="Calibri"/>
        <family val="2"/>
      </rPr>
      <t>ϴ / R) * (w / 3600)</t>
    </r>
  </si>
  <si>
    <t>ϴ</t>
  </si>
  <si>
    <r>
      <t xml:space="preserve">Angle of Turn </t>
    </r>
    <r>
      <rPr>
        <sz val="11"/>
        <color theme="1"/>
        <rFont val="Calibri"/>
        <family val="2"/>
      </rPr>
      <t>°</t>
    </r>
  </si>
  <si>
    <r>
      <t xml:space="preserve">Rate of Turn </t>
    </r>
    <r>
      <rPr>
        <sz val="11"/>
        <color theme="1"/>
        <rFont val="Calibri"/>
        <family val="2"/>
      </rPr>
      <t>°/s</t>
    </r>
  </si>
  <si>
    <t>Wind Speed km/h</t>
  </si>
  <si>
    <t>Wind Speed kts</t>
  </si>
  <si>
    <r>
      <t>E</t>
    </r>
    <r>
      <rPr>
        <sz val="8"/>
        <color theme="1"/>
        <rFont val="Calibri"/>
        <family val="2"/>
        <scheme val="minor"/>
      </rPr>
      <t>90</t>
    </r>
  </si>
  <si>
    <t>Wind Effect km</t>
  </si>
  <si>
    <t>Wind Effect NM</t>
  </si>
  <si>
    <r>
      <t>Bounding circles are every 90</t>
    </r>
    <r>
      <rPr>
        <sz val="11"/>
        <color theme="1"/>
        <rFont val="Calibri"/>
        <family val="2"/>
      </rPr>
      <t>°</t>
    </r>
  </si>
  <si>
    <r>
      <t>Use E</t>
    </r>
    <r>
      <rPr>
        <sz val="8"/>
        <color theme="1"/>
        <rFont val="Calibri"/>
        <family val="2"/>
        <scheme val="minor"/>
      </rPr>
      <t xml:space="preserve">ϴ </t>
    </r>
    <r>
      <rPr>
        <sz val="11"/>
        <color theme="1"/>
        <rFont val="Calibri"/>
        <family val="2"/>
        <scheme val="minor"/>
      </rPr>
      <t>from above.</t>
    </r>
  </si>
  <si>
    <r>
      <t>Radius at 0</t>
    </r>
    <r>
      <rPr>
        <sz val="11"/>
        <color theme="1"/>
        <rFont val="Calibri"/>
        <family val="2"/>
      </rPr>
      <t>°</t>
    </r>
  </si>
  <si>
    <r>
      <t>E</t>
    </r>
    <r>
      <rPr>
        <sz val="8"/>
        <color theme="1"/>
        <rFont val="Calibri"/>
        <family val="2"/>
      </rPr>
      <t>ϴ</t>
    </r>
  </si>
  <si>
    <r>
      <t>r at 0</t>
    </r>
    <r>
      <rPr>
        <sz val="11"/>
        <color theme="1"/>
        <rFont val="Calibri"/>
        <family val="2"/>
      </rPr>
      <t>°</t>
    </r>
  </si>
  <si>
    <t>r at 90°</t>
  </si>
  <si>
    <t>r at 180°</t>
  </si>
  <si>
    <t>r at 270°</t>
  </si>
  <si>
    <t>The same bounding circles are used on the inner part of the protection area at the LPT to provide the remaining guidance for the turn.</t>
  </si>
  <si>
    <t>A tangent is drawn from both sets of bounding circles to close off the outer boundary.</t>
  </si>
  <si>
    <t>The outer secondary area is extended to meet the bounding circles.</t>
  </si>
  <si>
    <t>At the end of the inner bounding circles a nominal track is drawn to the FRI VOR</t>
  </si>
  <si>
    <r>
      <t>At a point P on the bounding circle a 15</t>
    </r>
    <r>
      <rPr>
        <sz val="11"/>
        <color theme="1"/>
        <rFont val="Calibri"/>
        <family val="2"/>
      </rPr>
      <t>° splay is drawn towards the tracking VOR</t>
    </r>
  </si>
  <si>
    <t>From the tracking VOR the protection areas are drawn on the outer side and back along the nominal track</t>
  </si>
  <si>
    <r>
      <t>These intersect the 15</t>
    </r>
    <r>
      <rPr>
        <sz val="11"/>
        <color theme="1"/>
        <rFont val="Calibri"/>
        <family val="2"/>
      </rPr>
      <t>° splay</t>
    </r>
  </si>
  <si>
    <t>From the outer side of the MAPt, a line towards the tracking VOR is drawn</t>
  </si>
  <si>
    <t>From this point, a 15° splay is drawn on the outer side</t>
  </si>
  <si>
    <r>
      <t>From the tracking VOR, the outer protection areas are drawn towards the MAPt. These intersect the 15</t>
    </r>
    <r>
      <rPr>
        <sz val="11"/>
        <color theme="1"/>
        <rFont val="Calibri"/>
        <family val="2"/>
      </rPr>
      <t>° splay</t>
    </r>
  </si>
  <si>
    <t>Calculate TAS for a given rate of turn</t>
  </si>
  <si>
    <t>Final Segment Calculations</t>
  </si>
  <si>
    <t>All values in metres</t>
  </si>
  <si>
    <t>Obstacle Calculations</t>
  </si>
  <si>
    <t>Calculations for obstacles in the secondary area</t>
  </si>
  <si>
    <t>Exercise Data</t>
  </si>
  <si>
    <t>This is the latest TP</t>
  </si>
  <si>
    <t>Sine</t>
  </si>
  <si>
    <r>
      <t>sin</t>
    </r>
    <r>
      <rPr>
        <sz val="11"/>
        <color theme="1"/>
        <rFont val="Calibri"/>
        <family val="2"/>
      </rPr>
      <t>α = opp / hyp</t>
    </r>
  </si>
  <si>
    <t>hyp</t>
  </si>
  <si>
    <t>opp</t>
  </si>
  <si>
    <t>α</t>
  </si>
  <si>
    <t>Cosine</t>
  </si>
  <si>
    <r>
      <t>cos</t>
    </r>
    <r>
      <rPr>
        <sz val="11"/>
        <color theme="1"/>
        <rFont val="Calibri"/>
        <family val="2"/>
      </rPr>
      <t>α = adj / hyp</t>
    </r>
  </si>
  <si>
    <t>adj</t>
  </si>
  <si>
    <t>Tangent</t>
  </si>
  <si>
    <t>Cotangent</t>
  </si>
  <si>
    <r>
      <t>tan</t>
    </r>
    <r>
      <rPr>
        <sz val="11"/>
        <color theme="1"/>
        <rFont val="Calibri"/>
        <family val="2"/>
      </rPr>
      <t>α = opp / adj</t>
    </r>
  </si>
  <si>
    <r>
      <t>cot</t>
    </r>
    <r>
      <rPr>
        <sz val="11"/>
        <color theme="1"/>
        <rFont val="Calibri"/>
        <family val="2"/>
      </rPr>
      <t>α = 1 / tanα</t>
    </r>
  </si>
  <si>
    <t>Angles</t>
  </si>
  <si>
    <t>OCA using nominal gradient</t>
  </si>
  <si>
    <t>Distance from SOC to TNA</t>
  </si>
  <si>
    <t>Distance from MAPt to TNA</t>
  </si>
  <si>
    <t>Cells in yellow require input</t>
  </si>
  <si>
    <t>Cells in white have a fixed input</t>
  </si>
  <si>
    <t>Cells in green are calculated values. No input required</t>
  </si>
  <si>
    <t>%</t>
  </si>
  <si>
    <t>Distance travelled in x seconds</t>
  </si>
  <si>
    <t>Time (s)</t>
  </si>
  <si>
    <t>Distance</t>
  </si>
  <si>
    <t>Obstacles based on MAPt and nominal track</t>
  </si>
  <si>
    <t>Start of turn is based on reaching the TNA using the nominal gradient.</t>
  </si>
  <si>
    <t>Total width</t>
  </si>
  <si>
    <t>Obstacle within protected area</t>
  </si>
  <si>
    <t>Semi-width at TNA</t>
  </si>
  <si>
    <t>Lapse rate per 1000m</t>
  </si>
  <si>
    <t>Seconary area required gradient</t>
  </si>
  <si>
    <t>ANI Exercise 1</t>
  </si>
  <si>
    <t>Missed Approach Segment with a TNA</t>
  </si>
  <si>
    <t>NOTE: -ve values show how far within that area the obstacle is located.</t>
  </si>
  <si>
    <t>Secondary area MOCA (m)</t>
  </si>
  <si>
    <t>Primary area MOCA (m)</t>
  </si>
  <si>
    <t>Obstacles</t>
  </si>
  <si>
    <t>Nominal (2.5%) gradient MOCA</t>
  </si>
  <si>
    <r>
      <t>MOCA</t>
    </r>
    <r>
      <rPr>
        <sz val="8"/>
        <color theme="1"/>
        <rFont val="Calibri"/>
        <family val="2"/>
        <scheme val="minor"/>
      </rPr>
      <t>nominal</t>
    </r>
    <r>
      <rPr>
        <sz val="11"/>
        <color theme="1"/>
        <rFont val="Calibri"/>
        <family val="2"/>
        <scheme val="minor"/>
      </rPr>
      <t xml:space="preserve"> &gt; MOCA</t>
    </r>
    <r>
      <rPr>
        <sz val="8"/>
        <color theme="1"/>
        <rFont val="Calibri"/>
        <family val="2"/>
        <scheme val="minor"/>
      </rPr>
      <t>obs</t>
    </r>
  </si>
  <si>
    <t>NOTE: 'OUTSIDE' means obstacle is outside the secondary area and therefore there will be no secondary area required gradient. The gradient is shown as ----.</t>
  </si>
  <si>
    <t>TNA for obstacles outside the protected area</t>
  </si>
  <si>
    <t>Obstacles outside protected area</t>
  </si>
  <si>
    <r>
      <t>Calculate distance d</t>
    </r>
    <r>
      <rPr>
        <sz val="8"/>
        <color theme="1"/>
        <rFont val="Calibri"/>
        <family val="2"/>
        <scheme val="minor"/>
      </rPr>
      <t>o</t>
    </r>
  </si>
  <si>
    <t>Protected area TNA ft</t>
  </si>
  <si>
    <t>Applicable TNA ft</t>
  </si>
  <si>
    <t>NOTE: The bounding circles technique has been used in this exercise.</t>
  </si>
  <si>
    <t>NOTE: Distances are calculated using the OCA and TNA difference in ft and converted to m.</t>
  </si>
  <si>
    <t xml:space="preserve">NOTE: Required gradient is calculated using the OCA and controlling MOCA values in ft rather than m since these values are rounded up and must be achieved. </t>
  </si>
  <si>
    <t>Initial OCA m</t>
  </si>
  <si>
    <t>Initial OCA ft</t>
  </si>
  <si>
    <t>Obstacle Information</t>
  </si>
  <si>
    <t>All work produced by Andy Fonseca, Phoenix Aviation Consulting.</t>
  </si>
  <si>
    <t>No part of this file or accompanying AutoCAD or Word files may be reproduced without prior permission.</t>
  </si>
  <si>
    <t>Calculate widths at LTP</t>
  </si>
  <si>
    <t>Obstacle cleared by 50m MOC</t>
  </si>
  <si>
    <t>TNA within protected area ft</t>
  </si>
  <si>
    <t>NOTE: Values include 45m for vegetation MOC.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</si>
</sst>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"/>
    <numFmt numFmtId="166" formatCode="0.000"/>
    <numFmt numFmtId="167" formatCode="0.000000"/>
    <numFmt numFmtId="168" formatCode="0.00000"/>
    <numFmt numFmtId="169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vertical="center"/>
    </xf>
    <xf numFmtId="0" fontId="0" fillId="5" borderId="0" xfId="0" quotePrefix="1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6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164" fontId="0" fillId="2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68" fontId="0" fillId="4" borderId="1" xfId="0" applyNumberFormat="1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Border="1" applyAlignment="1">
      <alignment vertical="center" wrapText="1"/>
    </xf>
    <xf numFmtId="2" fontId="0" fillId="5" borderId="0" xfId="0" applyNumberFormat="1" applyFill="1" applyBorder="1" applyAlignment="1">
      <alignment horizontal="center" vertical="center"/>
    </xf>
    <xf numFmtId="0" fontId="0" fillId="5" borderId="4" xfId="0" quotePrefix="1" applyFill="1" applyBorder="1" applyAlignment="1">
      <alignment horizontal="left" vertical="top" wrapText="1"/>
    </xf>
    <xf numFmtId="1" fontId="0" fillId="4" borderId="1" xfId="0" quotePrefix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D5B9-6DB4-4434-81B8-F2B71740BC9E}">
  <dimension ref="B3:L33"/>
  <sheetViews>
    <sheetView showGridLines="0" tabSelected="1" workbookViewId="0"/>
  </sheetViews>
  <sheetFormatPr defaultRowHeight="14.4" x14ac:dyDescent="0.55000000000000004"/>
  <cols>
    <col min="3" max="3" width="13.578125" customWidth="1"/>
    <col min="4" max="4" width="13.3671875" customWidth="1"/>
    <col min="5" max="5" width="14.15625" customWidth="1"/>
    <col min="6" max="6" width="7.83984375" customWidth="1"/>
    <col min="7" max="7" width="11.26171875" customWidth="1"/>
    <col min="12" max="12" width="46" bestFit="1" customWidth="1"/>
  </cols>
  <sheetData>
    <row r="3" spans="2:12" ht="38.4" x14ac:dyDescent="0.55000000000000004">
      <c r="B3" s="27" t="s">
        <v>266</v>
      </c>
    </row>
    <row r="4" spans="2:12" ht="38.4" x14ac:dyDescent="0.55000000000000004">
      <c r="B4" s="27" t="s">
        <v>267</v>
      </c>
      <c r="C4" s="2"/>
      <c r="D4" s="2"/>
      <c r="E4" s="2"/>
      <c r="F4" s="2"/>
      <c r="G4" s="2"/>
      <c r="H4" s="2"/>
      <c r="I4" s="2"/>
    </row>
    <row r="5" spans="2:12" ht="15.6" x14ac:dyDescent="0.55000000000000004">
      <c r="B5" s="16"/>
      <c r="C5" s="2"/>
      <c r="D5" s="2"/>
      <c r="E5" s="2"/>
      <c r="F5" s="2"/>
      <c r="G5" s="2"/>
      <c r="H5" s="2"/>
      <c r="I5" s="2"/>
    </row>
    <row r="6" spans="2:12" x14ac:dyDescent="0.55000000000000004">
      <c r="B6" s="83" t="s">
        <v>286</v>
      </c>
      <c r="C6" s="2"/>
      <c r="D6" s="2"/>
      <c r="E6" s="2"/>
      <c r="F6" s="2"/>
      <c r="G6" s="2"/>
      <c r="H6" s="2"/>
      <c r="I6" s="2"/>
    </row>
    <row r="7" spans="2:12" x14ac:dyDescent="0.55000000000000004">
      <c r="B7" s="83" t="s">
        <v>287</v>
      </c>
      <c r="C7" s="2"/>
      <c r="D7" s="2"/>
      <c r="E7" s="2"/>
      <c r="F7" s="2"/>
      <c r="G7" s="2"/>
      <c r="H7" s="2"/>
      <c r="I7" s="2"/>
    </row>
    <row r="8" spans="2:12" x14ac:dyDescent="0.55000000000000004">
      <c r="B8" s="2"/>
      <c r="C8" s="2"/>
      <c r="D8" s="2"/>
      <c r="E8" s="2"/>
      <c r="F8" s="2"/>
      <c r="G8" s="2"/>
      <c r="H8" s="2"/>
      <c r="I8" s="2"/>
    </row>
    <row r="9" spans="2:12" ht="15.6" x14ac:dyDescent="0.55000000000000004">
      <c r="B9" s="2"/>
      <c r="C9" s="16" t="s">
        <v>234</v>
      </c>
      <c r="D9" s="2"/>
      <c r="E9" s="2"/>
      <c r="F9" s="2"/>
      <c r="G9" s="2"/>
      <c r="H9" s="2"/>
      <c r="I9" s="2"/>
      <c r="L9" s="57" t="s">
        <v>252</v>
      </c>
    </row>
    <row r="10" spans="2:12" x14ac:dyDescent="0.55000000000000004">
      <c r="B10" s="2"/>
      <c r="H10" s="2"/>
      <c r="I10" s="2"/>
      <c r="L10" s="55" t="s">
        <v>253</v>
      </c>
    </row>
    <row r="11" spans="2:12" x14ac:dyDescent="0.55000000000000004">
      <c r="B11" s="2"/>
      <c r="C11" s="3" t="s">
        <v>4</v>
      </c>
      <c r="D11" s="5" t="s">
        <v>5</v>
      </c>
      <c r="E11" s="2" t="s">
        <v>6</v>
      </c>
      <c r="F11" s="2"/>
      <c r="G11" s="2"/>
      <c r="H11" s="2"/>
      <c r="I11" s="2"/>
      <c r="L11" s="56" t="s">
        <v>254</v>
      </c>
    </row>
    <row r="12" spans="2:12" x14ac:dyDescent="0.55000000000000004">
      <c r="B12" s="2"/>
      <c r="C12" s="2"/>
      <c r="D12" s="2"/>
      <c r="E12" s="2"/>
      <c r="F12" s="2"/>
      <c r="G12" s="2"/>
      <c r="H12" s="2"/>
      <c r="I12" s="2"/>
    </row>
    <row r="13" spans="2:12" x14ac:dyDescent="0.55000000000000004">
      <c r="B13" s="2"/>
      <c r="C13" s="42" t="s">
        <v>7</v>
      </c>
      <c r="D13" s="5">
        <v>1000</v>
      </c>
      <c r="E13" s="2" t="s">
        <v>8</v>
      </c>
      <c r="F13" s="23">
        <f>D13*'Unit Conversion'!D8</f>
        <v>304.8</v>
      </c>
      <c r="G13" s="2" t="s">
        <v>53</v>
      </c>
      <c r="H13" s="2"/>
      <c r="I13" s="2"/>
    </row>
    <row r="14" spans="2:12" ht="28.8" x14ac:dyDescent="0.55000000000000004">
      <c r="B14" s="2"/>
      <c r="C14" s="43" t="s">
        <v>12</v>
      </c>
      <c r="D14" s="5">
        <v>1300</v>
      </c>
      <c r="E14" s="2" t="s">
        <v>8</v>
      </c>
      <c r="F14" s="23">
        <f>D14*'Unit Conversion'!D8</f>
        <v>396.24</v>
      </c>
      <c r="G14" s="2" t="s">
        <v>53</v>
      </c>
      <c r="H14" s="2"/>
      <c r="I14" s="2"/>
    </row>
    <row r="15" spans="2:12" x14ac:dyDescent="0.55000000000000004">
      <c r="B15" s="2"/>
      <c r="C15" s="2"/>
      <c r="D15" s="2"/>
      <c r="E15" s="2"/>
      <c r="F15" s="2"/>
      <c r="G15" s="2"/>
      <c r="H15" s="2"/>
      <c r="I15" s="2"/>
    </row>
    <row r="16" spans="2:12" x14ac:dyDescent="0.55000000000000004">
      <c r="C16" s="3" t="s">
        <v>17</v>
      </c>
      <c r="D16" s="5" t="s">
        <v>18</v>
      </c>
      <c r="E16" s="2"/>
      <c r="F16" s="2"/>
      <c r="G16" s="2"/>
    </row>
    <row r="20" spans="3:7" x14ac:dyDescent="0.55000000000000004">
      <c r="C20" s="29" t="s">
        <v>285</v>
      </c>
    </row>
    <row r="21" spans="3:7" x14ac:dyDescent="0.55000000000000004">
      <c r="C21" s="2" t="s">
        <v>259</v>
      </c>
    </row>
    <row r="22" spans="3:7" x14ac:dyDescent="0.55000000000000004">
      <c r="C22" s="2" t="s">
        <v>99</v>
      </c>
      <c r="D22" s="2"/>
      <c r="F22" s="2"/>
      <c r="G22" s="2"/>
    </row>
    <row r="23" spans="3:7" ht="28.8" x14ac:dyDescent="0.55000000000000004">
      <c r="C23" s="8"/>
      <c r="D23" s="14" t="s">
        <v>56</v>
      </c>
      <c r="E23" s="14" t="s">
        <v>81</v>
      </c>
      <c r="F23" s="14" t="s">
        <v>82</v>
      </c>
      <c r="G23" s="14" t="s">
        <v>70</v>
      </c>
    </row>
    <row r="24" spans="3:7" x14ac:dyDescent="0.55000000000000004">
      <c r="C24" s="82" t="s">
        <v>71</v>
      </c>
      <c r="D24" s="5">
        <v>8600</v>
      </c>
      <c r="E24" s="5">
        <v>6300</v>
      </c>
      <c r="F24" s="5" t="s">
        <v>83</v>
      </c>
      <c r="G24" s="5">
        <v>882</v>
      </c>
    </row>
    <row r="25" spans="3:7" x14ac:dyDescent="0.55000000000000004">
      <c r="C25" s="82" t="s">
        <v>72</v>
      </c>
      <c r="D25" s="5">
        <v>16200</v>
      </c>
      <c r="E25" s="5">
        <v>2200</v>
      </c>
      <c r="F25" s="5" t="s">
        <v>84</v>
      </c>
      <c r="G25" s="5">
        <v>795</v>
      </c>
    </row>
    <row r="26" spans="3:7" x14ac:dyDescent="0.55000000000000004">
      <c r="C26" s="82" t="s">
        <v>73</v>
      </c>
      <c r="D26" s="5">
        <v>25500</v>
      </c>
      <c r="E26" s="5">
        <v>3100</v>
      </c>
      <c r="F26" s="5" t="s">
        <v>84</v>
      </c>
      <c r="G26" s="5">
        <v>3776</v>
      </c>
    </row>
    <row r="27" spans="3:7" x14ac:dyDescent="0.55000000000000004">
      <c r="C27" s="82" t="s">
        <v>74</v>
      </c>
      <c r="D27" s="5"/>
      <c r="E27" s="5"/>
      <c r="F27" s="5"/>
      <c r="G27" s="5"/>
    </row>
    <row r="28" spans="3:7" x14ac:dyDescent="0.55000000000000004">
      <c r="C28" s="82" t="s">
        <v>75</v>
      </c>
      <c r="D28" s="5"/>
      <c r="E28" s="5"/>
      <c r="F28" s="5"/>
      <c r="G28" s="5"/>
    </row>
    <row r="29" spans="3:7" x14ac:dyDescent="0.55000000000000004">
      <c r="C29" s="82" t="s">
        <v>76</v>
      </c>
      <c r="D29" s="5"/>
      <c r="E29" s="5"/>
      <c r="F29" s="5"/>
      <c r="G29" s="5"/>
    </row>
    <row r="30" spans="3:7" x14ac:dyDescent="0.55000000000000004">
      <c r="C30" s="82" t="s">
        <v>77</v>
      </c>
      <c r="D30" s="5"/>
      <c r="E30" s="5"/>
      <c r="F30" s="5"/>
      <c r="G30" s="5"/>
    </row>
    <row r="31" spans="3:7" x14ac:dyDescent="0.55000000000000004">
      <c r="C31" s="82" t="s">
        <v>78</v>
      </c>
      <c r="D31" s="5"/>
      <c r="E31" s="5"/>
      <c r="F31" s="5"/>
      <c r="G31" s="5"/>
    </row>
    <row r="32" spans="3:7" x14ac:dyDescent="0.55000000000000004">
      <c r="C32" s="82" t="s">
        <v>79</v>
      </c>
      <c r="D32" s="5"/>
      <c r="E32" s="5"/>
      <c r="F32" s="5"/>
      <c r="G32" s="5"/>
    </row>
    <row r="33" spans="3:7" x14ac:dyDescent="0.55000000000000004">
      <c r="C33" s="82" t="s">
        <v>80</v>
      </c>
      <c r="D33" s="5"/>
      <c r="E33" s="5"/>
      <c r="F33" s="5"/>
      <c r="G3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3A77-16E6-4FD7-8FAF-C3F2FBF0B50D}">
  <dimension ref="C4:AI34"/>
  <sheetViews>
    <sheetView showGridLines="0" topLeftCell="A4" workbookViewId="0">
      <selection activeCell="A4" sqref="A4"/>
    </sheetView>
  </sheetViews>
  <sheetFormatPr defaultRowHeight="14.4" x14ac:dyDescent="0.55000000000000004"/>
  <cols>
    <col min="1" max="1" width="8.83984375" style="2"/>
    <col min="2" max="2" width="18.7890625" style="2" customWidth="1"/>
    <col min="3" max="3" width="13.1015625" style="2" bestFit="1" customWidth="1"/>
    <col min="4" max="4" width="13.62890625" style="2" customWidth="1"/>
    <col min="5" max="5" width="15.3125" style="2" customWidth="1"/>
    <col min="6" max="6" width="16.62890625" style="8" customWidth="1"/>
    <col min="7" max="7" width="13.89453125" style="2" bestFit="1" customWidth="1"/>
    <col min="8" max="9" width="8.83984375" style="2"/>
    <col min="10" max="10" width="12.9453125" style="2" bestFit="1" customWidth="1"/>
    <col min="11" max="11" width="11.68359375" style="2" bestFit="1" customWidth="1"/>
    <col min="12" max="12" width="14.41796875" style="2" bestFit="1" customWidth="1"/>
    <col min="13" max="13" width="11.68359375" style="2" bestFit="1" customWidth="1"/>
    <col min="14" max="14" width="10.41796875" style="2" customWidth="1"/>
    <col min="15" max="15" width="11.734375" style="2" customWidth="1"/>
    <col min="16" max="16" width="12" style="2" customWidth="1"/>
    <col min="17" max="17" width="13.1015625" style="2" customWidth="1"/>
    <col min="18" max="18" width="16.62890625" style="2" bestFit="1" customWidth="1"/>
    <col min="19" max="19" width="17.3125" style="2" customWidth="1"/>
    <col min="20" max="20" width="19.05078125" style="2" customWidth="1"/>
    <col min="21" max="21" width="16.68359375" style="2" customWidth="1"/>
    <col min="22" max="22" width="15.20703125" style="2" customWidth="1"/>
    <col min="23" max="23" width="15.1015625" style="2" customWidth="1"/>
    <col min="24" max="24" width="14.15625" style="2" customWidth="1"/>
    <col min="25" max="25" width="12.15625" style="2" customWidth="1"/>
    <col min="26" max="26" width="12.41796875" style="2" customWidth="1"/>
    <col min="27" max="16384" width="8.83984375" style="2"/>
  </cols>
  <sheetData>
    <row r="4" spans="3:25" ht="25.8" x14ac:dyDescent="0.55000000000000004">
      <c r="C4" s="26" t="s">
        <v>25</v>
      </c>
    </row>
    <row r="6" spans="3:25" x14ac:dyDescent="0.55000000000000004">
      <c r="C6" s="29" t="s">
        <v>28</v>
      </c>
      <c r="Y6" s="8"/>
    </row>
    <row r="7" spans="3:25" x14ac:dyDescent="0.55000000000000004">
      <c r="C7" s="65" t="s">
        <v>261</v>
      </c>
      <c r="D7" s="6">
        <v>2</v>
      </c>
      <c r="E7" s="2" t="s">
        <v>31</v>
      </c>
      <c r="F7" s="6">
        <f>D7*'Unit Conversion'!D10</f>
        <v>3704</v>
      </c>
      <c r="G7" s="2" t="s">
        <v>53</v>
      </c>
      <c r="Y7" s="8"/>
    </row>
    <row r="8" spans="3:25" x14ac:dyDescent="0.55000000000000004">
      <c r="C8" s="65" t="s">
        <v>30</v>
      </c>
      <c r="D8" s="6">
        <f>D7/2</f>
        <v>1</v>
      </c>
      <c r="E8" s="2" t="s">
        <v>31</v>
      </c>
      <c r="F8" s="6">
        <f>F7/2</f>
        <v>1852</v>
      </c>
      <c r="G8" s="2" t="s">
        <v>53</v>
      </c>
      <c r="Y8" s="8"/>
    </row>
    <row r="9" spans="3:25" ht="28.8" x14ac:dyDescent="0.55000000000000004">
      <c r="C9" s="10" t="s">
        <v>58</v>
      </c>
      <c r="D9" s="6">
        <f>IF('Exercise Data'!D11="VOR",1,1.2)</f>
        <v>1</v>
      </c>
      <c r="E9" s="2" t="s">
        <v>31</v>
      </c>
      <c r="F9" s="6">
        <f>D9*'Unit Conversion'!D10</f>
        <v>1852</v>
      </c>
      <c r="G9" s="2" t="s">
        <v>53</v>
      </c>
      <c r="Y9" s="8"/>
    </row>
    <row r="10" spans="3:25" ht="28.8" x14ac:dyDescent="0.55000000000000004">
      <c r="C10" s="10" t="s">
        <v>35</v>
      </c>
      <c r="D10" s="6">
        <f>D9/2</f>
        <v>0.5</v>
      </c>
      <c r="E10" s="2" t="s">
        <v>31</v>
      </c>
      <c r="F10" s="6">
        <f>F9/2</f>
        <v>926</v>
      </c>
      <c r="G10" s="2" t="s">
        <v>53</v>
      </c>
      <c r="Y10" s="8"/>
    </row>
    <row r="11" spans="3:25" x14ac:dyDescent="0.55000000000000004">
      <c r="Y11" s="8"/>
    </row>
    <row r="12" spans="3:25" ht="28.8" x14ac:dyDescent="0.55000000000000004">
      <c r="C12" s="10" t="s">
        <v>36</v>
      </c>
      <c r="D12" s="6">
        <f>IF('Exercise Data'!D11="VOR",7.8,10.3)</f>
        <v>7.8</v>
      </c>
      <c r="E12" s="11" t="s">
        <v>29</v>
      </c>
      <c r="K12" s="16" t="s">
        <v>10</v>
      </c>
      <c r="O12" s="8"/>
      <c r="Q12" s="90" t="s">
        <v>11</v>
      </c>
      <c r="R12" s="90"/>
      <c r="S12" s="90"/>
      <c r="T12" s="90"/>
      <c r="Y12" s="8"/>
    </row>
    <row r="13" spans="3:25" x14ac:dyDescent="0.55000000000000004">
      <c r="K13" s="2" t="s">
        <v>14</v>
      </c>
      <c r="Q13" s="88" t="s">
        <v>15</v>
      </c>
      <c r="R13" s="88"/>
      <c r="S13" s="88"/>
      <c r="T13" s="88"/>
      <c r="U13" s="88"/>
      <c r="V13" s="88"/>
      <c r="W13" s="88"/>
      <c r="Y13" s="8"/>
    </row>
    <row r="14" spans="3:25" x14ac:dyDescent="0.55000000000000004">
      <c r="C14" s="29" t="s">
        <v>39</v>
      </c>
      <c r="Y14" s="8"/>
    </row>
    <row r="15" spans="3:25" x14ac:dyDescent="0.55000000000000004">
      <c r="K15" s="18" t="s">
        <v>21</v>
      </c>
      <c r="L15" s="8"/>
      <c r="M15" s="8">
        <v>15</v>
      </c>
      <c r="N15" s="19" t="s">
        <v>22</v>
      </c>
      <c r="O15" s="8"/>
      <c r="P15" s="8"/>
      <c r="Q15" s="2" t="s">
        <v>20</v>
      </c>
      <c r="Y15" s="8"/>
    </row>
    <row r="16" spans="3:25" x14ac:dyDescent="0.55000000000000004">
      <c r="C16" s="3" t="s">
        <v>42</v>
      </c>
      <c r="D16" s="5">
        <v>345</v>
      </c>
      <c r="E16" s="2" t="s">
        <v>16</v>
      </c>
      <c r="F16" s="5">
        <v>185</v>
      </c>
      <c r="G16" s="2" t="s">
        <v>41</v>
      </c>
      <c r="H16" s="2" t="s">
        <v>43</v>
      </c>
      <c r="K16" s="18" t="s">
        <v>23</v>
      </c>
      <c r="L16" s="18"/>
      <c r="M16" s="8">
        <f>S17*'Unit Conversion'!D9</f>
        <v>6.4960629921259834</v>
      </c>
      <c r="N16" s="19" t="s">
        <v>22</v>
      </c>
      <c r="O16" s="8"/>
      <c r="P16" s="8"/>
      <c r="Q16" s="18" t="s">
        <v>21</v>
      </c>
      <c r="R16" s="8"/>
      <c r="S16" s="8">
        <v>15</v>
      </c>
      <c r="T16" s="19" t="s">
        <v>22</v>
      </c>
      <c r="U16" s="8"/>
      <c r="V16" s="8"/>
      <c r="W16" s="8"/>
      <c r="Y16" s="8"/>
    </row>
    <row r="17" spans="3:35" x14ac:dyDescent="0.55000000000000004">
      <c r="C17" s="3" t="s">
        <v>45</v>
      </c>
      <c r="D17" s="23">
        <f>N27</f>
        <v>359.16539883738221</v>
      </c>
      <c r="E17" s="2" t="s">
        <v>16</v>
      </c>
      <c r="F17" s="23">
        <f>U27</f>
        <v>192.59593850700205</v>
      </c>
      <c r="G17" s="2" t="s">
        <v>41</v>
      </c>
      <c r="K17" s="18"/>
      <c r="L17" s="8"/>
      <c r="M17" s="8"/>
      <c r="N17" s="19"/>
      <c r="O17" s="8"/>
      <c r="P17" s="8"/>
      <c r="Q17" s="88" t="s">
        <v>24</v>
      </c>
      <c r="R17" s="88"/>
      <c r="S17" s="8">
        <v>1.98</v>
      </c>
      <c r="T17" s="19" t="s">
        <v>22</v>
      </c>
      <c r="U17" s="8"/>
      <c r="V17" s="8"/>
      <c r="W17" s="8"/>
      <c r="AG17" s="8"/>
    </row>
    <row r="18" spans="3:35" x14ac:dyDescent="0.55000000000000004">
      <c r="K18" s="52" t="s">
        <v>26</v>
      </c>
      <c r="L18" s="23">
        <f>'Exercise Data'!F13</f>
        <v>304.8</v>
      </c>
      <c r="M18" s="8" t="s">
        <v>27</v>
      </c>
      <c r="N18" s="8"/>
      <c r="O18" s="8"/>
      <c r="P18" s="8"/>
      <c r="Q18" s="18"/>
      <c r="R18" s="8"/>
      <c r="S18" s="8"/>
      <c r="T18" s="19"/>
      <c r="U18" s="8"/>
      <c r="V18" s="8"/>
      <c r="W18" s="8"/>
      <c r="AG18" s="8"/>
    </row>
    <row r="19" spans="3:35" x14ac:dyDescent="0.55000000000000004">
      <c r="C19" s="3" t="s">
        <v>46</v>
      </c>
      <c r="D19" s="12">
        <v>19</v>
      </c>
      <c r="E19" s="2" t="s">
        <v>16</v>
      </c>
      <c r="F19" s="12">
        <v>10</v>
      </c>
      <c r="G19" s="2" t="s">
        <v>41</v>
      </c>
      <c r="K19" s="18"/>
      <c r="L19" s="8"/>
      <c r="M19" s="8"/>
      <c r="N19" s="8"/>
      <c r="O19" s="8"/>
      <c r="P19" s="8"/>
      <c r="Q19" s="8" t="s">
        <v>26</v>
      </c>
      <c r="R19" s="6">
        <f>'Exercise Data'!D13</f>
        <v>1000</v>
      </c>
      <c r="S19" s="8" t="s">
        <v>8</v>
      </c>
      <c r="T19" s="8"/>
      <c r="U19" s="8"/>
      <c r="V19" s="8"/>
      <c r="W19" s="8"/>
      <c r="AG19" s="19"/>
    </row>
    <row r="20" spans="3:35" x14ac:dyDescent="0.55000000000000004">
      <c r="K20" s="18" t="s">
        <v>32</v>
      </c>
      <c r="L20" s="28"/>
      <c r="M20" s="23">
        <f>L18</f>
        <v>304.8</v>
      </c>
      <c r="N20" s="8" t="s">
        <v>33</v>
      </c>
      <c r="O20" s="23">
        <f>M15-(M20*M16/1000)</f>
        <v>13.02</v>
      </c>
      <c r="P20" s="19" t="s">
        <v>22</v>
      </c>
      <c r="Q20" s="18"/>
      <c r="R20" s="8"/>
      <c r="S20" s="8"/>
      <c r="T20" s="8"/>
      <c r="U20" s="8"/>
      <c r="V20" s="8"/>
      <c r="W20" s="8"/>
      <c r="AG20" s="8"/>
    </row>
    <row r="21" spans="3:35" x14ac:dyDescent="0.55000000000000004">
      <c r="C21" s="3" t="s">
        <v>47</v>
      </c>
      <c r="D21" s="23">
        <f>D17+D19</f>
        <v>378.16539883738221</v>
      </c>
      <c r="E21" s="2" t="s">
        <v>16</v>
      </c>
      <c r="F21" s="23">
        <f>F17+F19</f>
        <v>202.59593850700205</v>
      </c>
      <c r="G21" s="2" t="s">
        <v>41</v>
      </c>
      <c r="J21" s="18"/>
      <c r="K21" s="8"/>
      <c r="L21" s="8"/>
      <c r="M21" s="8"/>
      <c r="N21" s="8"/>
      <c r="O21" s="8"/>
      <c r="P21" s="8"/>
      <c r="Q21" s="88" t="s">
        <v>32</v>
      </c>
      <c r="R21" s="89"/>
      <c r="S21" s="6">
        <f>R19</f>
        <v>1000</v>
      </c>
      <c r="T21" s="8" t="s">
        <v>34</v>
      </c>
      <c r="U21" s="6">
        <f>S16-(S21*S17/1000)</f>
        <v>13.02</v>
      </c>
      <c r="V21" s="19" t="s">
        <v>22</v>
      </c>
      <c r="AF21" s="8"/>
    </row>
    <row r="22" spans="3:35" x14ac:dyDescent="0.55000000000000004">
      <c r="K22" s="20"/>
      <c r="L22" s="21"/>
      <c r="M22" s="22"/>
      <c r="N22" s="21"/>
      <c r="O22" s="21"/>
      <c r="P22" s="21"/>
      <c r="Q22" s="8"/>
      <c r="R22" s="18"/>
      <c r="S22" s="8"/>
      <c r="T22" s="8"/>
      <c r="U22" s="8"/>
      <c r="V22" s="8"/>
      <c r="W22" s="8"/>
      <c r="AG22" s="8"/>
    </row>
    <row r="23" spans="3:35" x14ac:dyDescent="0.55000000000000004">
      <c r="C23" s="3" t="s">
        <v>48</v>
      </c>
      <c r="D23" s="12">
        <v>3</v>
      </c>
      <c r="E23" s="2" t="s">
        <v>49</v>
      </c>
      <c r="K23" s="18" t="s">
        <v>37</v>
      </c>
      <c r="L23" s="23">
        <f>M15</f>
        <v>15</v>
      </c>
      <c r="M23" s="19" t="s">
        <v>22</v>
      </c>
      <c r="N23" s="18" t="s">
        <v>38</v>
      </c>
      <c r="O23" s="18"/>
      <c r="P23" s="18"/>
      <c r="Q23" s="21"/>
      <c r="R23" s="2" t="s">
        <v>37</v>
      </c>
      <c r="S23" s="6">
        <f>S16</f>
        <v>15</v>
      </c>
      <c r="T23" s="19" t="s">
        <v>22</v>
      </c>
      <c r="U23" s="18" t="s">
        <v>38</v>
      </c>
      <c r="V23" s="18"/>
      <c r="W23" s="21"/>
      <c r="AG23" s="8"/>
    </row>
    <row r="24" spans="3:35" x14ac:dyDescent="0.55000000000000004">
      <c r="C24" s="3" t="s">
        <v>50</v>
      </c>
      <c r="D24" s="12">
        <v>15</v>
      </c>
      <c r="E24" s="2" t="s">
        <v>49</v>
      </c>
      <c r="K24" s="8"/>
      <c r="L24" s="8"/>
      <c r="M24" s="8"/>
      <c r="N24" s="8"/>
      <c r="O24" s="8"/>
      <c r="P24" s="8"/>
      <c r="Q24" s="8"/>
      <c r="S24" s="8"/>
      <c r="T24" s="8"/>
      <c r="U24" s="8"/>
      <c r="V24" s="8"/>
      <c r="W24" s="18"/>
      <c r="AG24" s="8"/>
      <c r="AH24" s="8"/>
      <c r="AI24" s="8"/>
    </row>
    <row r="25" spans="3:35" x14ac:dyDescent="0.55000000000000004">
      <c r="C25" s="3" t="s">
        <v>51</v>
      </c>
      <c r="D25" s="6">
        <f>D23+D24</f>
        <v>18</v>
      </c>
      <c r="E25" s="2" t="s">
        <v>49</v>
      </c>
      <c r="K25" s="52" t="s">
        <v>40</v>
      </c>
      <c r="L25" s="23">
        <f>D16</f>
        <v>345</v>
      </c>
      <c r="M25" s="8" t="s">
        <v>16</v>
      </c>
      <c r="N25" s="8"/>
      <c r="O25" s="8"/>
      <c r="P25" s="8"/>
      <c r="Q25" s="8"/>
      <c r="R25" s="2" t="s">
        <v>40</v>
      </c>
      <c r="S25" s="6">
        <f>F16</f>
        <v>185</v>
      </c>
      <c r="T25" s="8" t="s">
        <v>41</v>
      </c>
      <c r="U25" s="8"/>
      <c r="V25" s="8"/>
      <c r="W25" s="8"/>
      <c r="AA25" s="8"/>
    </row>
    <row r="26" spans="3:35" x14ac:dyDescent="0.55000000000000004"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3:35" ht="28.8" x14ac:dyDescent="0.55000000000000004">
      <c r="C27" s="10" t="s">
        <v>138</v>
      </c>
      <c r="D27" s="23">
        <f>D21*D25/3.6</f>
        <v>1890.8269941869112</v>
      </c>
      <c r="E27" s="2" t="s">
        <v>53</v>
      </c>
      <c r="M27" s="8" t="s">
        <v>44</v>
      </c>
      <c r="N27" s="23">
        <f>L25*171233*POWER(((288+L23)-(M16/1000*M20)),0.5)/POWER((288-(M16/1000*M20)),2.628)</f>
        <v>359.16539883738221</v>
      </c>
      <c r="O27" s="8" t="s">
        <v>16</v>
      </c>
      <c r="P27" s="8"/>
      <c r="Q27" s="8"/>
      <c r="R27" s="8"/>
      <c r="S27" s="8"/>
      <c r="T27" s="8" t="s">
        <v>44</v>
      </c>
      <c r="U27" s="23">
        <f>S25*171233*POWER(((288+S23)-(0.00198*S21)),0.5)/POWER((288-0.00198*S21),2.628)</f>
        <v>192.59593850700205</v>
      </c>
      <c r="V27" s="8" t="s">
        <v>41</v>
      </c>
      <c r="W27" s="8"/>
    </row>
    <row r="28" spans="3:35" x14ac:dyDescent="0.55000000000000004">
      <c r="Q28" s="8"/>
      <c r="W28" s="8"/>
    </row>
    <row r="29" spans="3:35" x14ac:dyDescent="0.55000000000000004">
      <c r="C29" s="29" t="s">
        <v>54</v>
      </c>
      <c r="H29" s="29" t="s">
        <v>52</v>
      </c>
    </row>
    <row r="30" spans="3:35" ht="28.8" x14ac:dyDescent="0.55000000000000004">
      <c r="C30" s="10" t="s">
        <v>56</v>
      </c>
      <c r="D30" s="23">
        <f>D27</f>
        <v>1890.8269941869112</v>
      </c>
      <c r="E30" s="2" t="s">
        <v>53</v>
      </c>
      <c r="H30" s="2" t="s">
        <v>55</v>
      </c>
      <c r="I30" s="4">
        <v>75</v>
      </c>
      <c r="J30" s="2" t="s">
        <v>53</v>
      </c>
    </row>
    <row r="31" spans="3:35" x14ac:dyDescent="0.55000000000000004">
      <c r="H31" s="2" t="s">
        <v>57</v>
      </c>
      <c r="I31" s="4">
        <v>45</v>
      </c>
      <c r="J31" s="2" t="s">
        <v>53</v>
      </c>
    </row>
    <row r="32" spans="3:35" x14ac:dyDescent="0.55000000000000004">
      <c r="C32" s="10" t="s">
        <v>30</v>
      </c>
      <c r="D32" s="23">
        <f>F8+(D30*TAN(IF('Exercise Data'!D11="VOR",RADIANS(7.8),RADIANS(10.3))))</f>
        <v>2111.0110797195407</v>
      </c>
      <c r="E32" s="2" t="s">
        <v>53</v>
      </c>
    </row>
    <row r="33" spans="3:5" ht="28.8" x14ac:dyDescent="0.55000000000000004">
      <c r="C33" s="10" t="s">
        <v>58</v>
      </c>
      <c r="D33" s="23">
        <f>D32/2</f>
        <v>1055.5055398597704</v>
      </c>
      <c r="E33" s="2" t="s">
        <v>53</v>
      </c>
    </row>
    <row r="34" spans="3:5" ht="28.8" x14ac:dyDescent="0.55000000000000004">
      <c r="C34" s="10" t="s">
        <v>35</v>
      </c>
      <c r="D34" s="23">
        <f>D32/2</f>
        <v>1055.5055398597704</v>
      </c>
      <c r="E34" s="2" t="s">
        <v>53</v>
      </c>
    </row>
  </sheetData>
  <mergeCells count="4">
    <mergeCell ref="Q21:R21"/>
    <mergeCell ref="Q12:T12"/>
    <mergeCell ref="Q13:W13"/>
    <mergeCell ref="Q17:R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B9A-2B6B-45A6-BB3C-0093A90818E5}">
  <dimension ref="C4:AN93"/>
  <sheetViews>
    <sheetView showGridLines="0" zoomScaleNormal="100" workbookViewId="0"/>
  </sheetViews>
  <sheetFormatPr defaultRowHeight="14.4" x14ac:dyDescent="0.55000000000000004"/>
  <cols>
    <col min="1" max="2" width="8.83984375" style="2"/>
    <col min="3" max="3" width="16.26171875" style="2" customWidth="1"/>
    <col min="4" max="4" width="13.3671875" style="2" bestFit="1" customWidth="1"/>
    <col min="5" max="5" width="13.1015625" style="2" bestFit="1" customWidth="1"/>
    <col min="6" max="6" width="12.41796875" style="2" customWidth="1"/>
    <col min="7" max="7" width="12.15625" style="2" bestFit="1" customWidth="1"/>
    <col min="8" max="8" width="14.68359375" style="2" customWidth="1"/>
    <col min="9" max="9" width="17.41796875" style="2" customWidth="1"/>
    <col min="10" max="10" width="14.1015625" style="2" customWidth="1"/>
    <col min="11" max="11" width="18" style="2" customWidth="1"/>
    <col min="12" max="12" width="16.15625" style="2" customWidth="1"/>
    <col min="13" max="13" width="13.83984375" style="2" customWidth="1"/>
    <col min="14" max="14" width="14.734375" style="2" customWidth="1"/>
    <col min="15" max="15" width="10.734375" style="2" customWidth="1"/>
    <col min="16" max="16" width="17.15625" style="2" customWidth="1"/>
    <col min="17" max="17" width="17.47265625" style="2" customWidth="1"/>
    <col min="18" max="18" width="12.68359375" style="2" customWidth="1"/>
    <col min="19" max="19" width="16.578125" style="2" customWidth="1"/>
    <col min="20" max="20" width="11.89453125" style="2" customWidth="1"/>
    <col min="21" max="22" width="13.9453125" style="2" customWidth="1"/>
    <col min="23" max="23" width="14.734375" style="2" customWidth="1"/>
    <col min="24" max="24" width="15.41796875" style="2" customWidth="1"/>
    <col min="25" max="25" width="12.734375" style="2" customWidth="1"/>
    <col min="26" max="26" width="9.9453125" style="2" customWidth="1"/>
    <col min="27" max="27" width="11" style="2" customWidth="1"/>
    <col min="28" max="28" width="10.5234375" style="2" customWidth="1"/>
    <col min="29" max="34" width="13.3671875" style="2" bestFit="1" customWidth="1"/>
    <col min="35" max="40" width="10.578125" style="2" bestFit="1" customWidth="1"/>
    <col min="41" max="16384" width="8.83984375" style="2"/>
  </cols>
  <sheetData>
    <row r="4" spans="3:40" ht="25.8" x14ac:dyDescent="0.55000000000000004">
      <c r="C4" s="26" t="s">
        <v>59</v>
      </c>
    </row>
    <row r="6" spans="3:40" x14ac:dyDescent="0.55000000000000004">
      <c r="C6" s="29" t="s">
        <v>232</v>
      </c>
      <c r="F6" s="2" t="s">
        <v>231</v>
      </c>
    </row>
    <row r="7" spans="3:40" ht="43.2" x14ac:dyDescent="0.55000000000000004">
      <c r="D7" s="14" t="s">
        <v>56</v>
      </c>
      <c r="E7" s="14" t="s">
        <v>69</v>
      </c>
      <c r="F7" s="14" t="s">
        <v>81</v>
      </c>
      <c r="G7" s="14" t="s">
        <v>82</v>
      </c>
      <c r="H7" s="14" t="s">
        <v>70</v>
      </c>
      <c r="I7" s="14" t="s">
        <v>30</v>
      </c>
      <c r="J7" s="15" t="s">
        <v>98</v>
      </c>
      <c r="K7" s="15" t="s">
        <v>35</v>
      </c>
      <c r="L7" s="15" t="s">
        <v>92</v>
      </c>
      <c r="M7" s="15" t="s">
        <v>94</v>
      </c>
      <c r="N7" s="15" t="s">
        <v>93</v>
      </c>
      <c r="O7" s="15" t="s">
        <v>96</v>
      </c>
      <c r="P7" s="15" t="s">
        <v>147</v>
      </c>
      <c r="Q7" s="15" t="s">
        <v>140</v>
      </c>
      <c r="R7" s="15" t="s">
        <v>270</v>
      </c>
      <c r="S7" s="15" t="s">
        <v>269</v>
      </c>
      <c r="T7" s="15" t="s">
        <v>149</v>
      </c>
      <c r="U7" s="15" t="s">
        <v>289</v>
      </c>
      <c r="V7" s="15" t="s">
        <v>290</v>
      </c>
      <c r="X7" s="75" t="s">
        <v>233</v>
      </c>
    </row>
    <row r="8" spans="3:40" x14ac:dyDescent="0.55000000000000004">
      <c r="C8" s="24" t="s">
        <v>71</v>
      </c>
      <c r="D8" s="6">
        <f>'Exercise Data'!D24</f>
        <v>8600</v>
      </c>
      <c r="E8" s="23">
        <f>D8-'Initial Segment'!D27</f>
        <v>6709.1730058130888</v>
      </c>
      <c r="F8" s="6">
        <f>'Exercise Data'!E24</f>
        <v>6300</v>
      </c>
      <c r="G8" s="6" t="str">
        <f>'Exercise Data'!F24</f>
        <v>R</v>
      </c>
      <c r="H8" s="6">
        <f>'Exercise Data'!G24</f>
        <v>882</v>
      </c>
      <c r="I8" s="23">
        <f>'Initial Segment'!F8+(D8*TAN(RADIANS('Initial Segment'!D12)))</f>
        <v>3030.0534614939274</v>
      </c>
      <c r="J8" s="23">
        <f>I8/2</f>
        <v>1515.0267307469637</v>
      </c>
      <c r="K8" s="23">
        <f>I8/2</f>
        <v>1515.0267307469637</v>
      </c>
      <c r="L8" s="23">
        <f t="shared" ref="L8:L17" si="0">F8-J8</f>
        <v>4784.9732692530361</v>
      </c>
      <c r="M8" s="23" t="str">
        <f t="shared" ref="M8:M17" si="1">IF(L8&lt;0,"YES","NO")</f>
        <v>NO</v>
      </c>
      <c r="N8" s="23">
        <f>IF(M8="NO",F8-I8)</f>
        <v>3269.9465385060726</v>
      </c>
      <c r="O8" s="6" t="str">
        <f>IF(N8&gt;0,"NO","YES")</f>
        <v>NO</v>
      </c>
      <c r="P8" s="23">
        <f>'Exercise Data'!F14+(E8*L23)</f>
        <v>563.96932514532728</v>
      </c>
      <c r="Q8" s="6">
        <f>IF(N8&gt;0,H8+L26+L27,"N/A")</f>
        <v>977</v>
      </c>
      <c r="R8" s="6" t="str">
        <f t="shared" ref="R8:R17" si="2">IF(L8&lt;0,H8+30,"N/A")</f>
        <v>N/A</v>
      </c>
      <c r="S8" s="6" t="str">
        <f>IF(O8="NO","N/A",Y33)</f>
        <v>N/A</v>
      </c>
      <c r="T8" s="23">
        <f t="shared" ref="T8:T17" si="3">MAX(P8,Q8,R8,S8)</f>
        <v>977</v>
      </c>
      <c r="U8" s="23">
        <f>H8+L27+L26</f>
        <v>977</v>
      </c>
      <c r="V8" s="7" t="str">
        <f>IF(N8&lt;0,ROUNDUP(U8*'Unit Conversion'!D9,-2),"N/A")</f>
        <v>N/A</v>
      </c>
    </row>
    <row r="9" spans="3:40" ht="15.6" x14ac:dyDescent="0.55000000000000004">
      <c r="C9" s="24" t="s">
        <v>72</v>
      </c>
      <c r="D9" s="6">
        <f>'Exercise Data'!D25</f>
        <v>16200</v>
      </c>
      <c r="E9" s="23">
        <f>D9-'Initial Segment'!D27</f>
        <v>14309.173005813089</v>
      </c>
      <c r="F9" s="6">
        <f>'Exercise Data'!E25</f>
        <v>2200</v>
      </c>
      <c r="G9" s="6" t="str">
        <f>'Exercise Data'!F25</f>
        <v>L</v>
      </c>
      <c r="H9" s="6">
        <f>'Exercise Data'!G25</f>
        <v>795</v>
      </c>
      <c r="I9" s="23">
        <f>'Initial Segment'!F8+(D9*TAN(RADIANS('Initial Segment'!D12)))</f>
        <v>4071.1239623490264</v>
      </c>
      <c r="J9" s="23">
        <f t="shared" ref="J9:J17" si="4">I9/2</f>
        <v>2035.5619811745132</v>
      </c>
      <c r="K9" s="23">
        <f t="shared" ref="K9:K17" si="5">I9/2</f>
        <v>2035.5619811745132</v>
      </c>
      <c r="L9" s="23">
        <f t="shared" si="0"/>
        <v>164.43801882548678</v>
      </c>
      <c r="M9" s="23" t="str">
        <f t="shared" si="1"/>
        <v>NO</v>
      </c>
      <c r="N9" s="23">
        <f t="shared" ref="N9:N17" si="6">IF(M9="NO",F9-I9)</f>
        <v>-1871.1239623490264</v>
      </c>
      <c r="O9" s="6" t="str">
        <f t="shared" ref="O9:O17" si="7">IF(N9&gt;0,"NO","YES")</f>
        <v>YES</v>
      </c>
      <c r="P9" s="23">
        <f>'Exercise Data'!F14+(E9*L23)</f>
        <v>753.96932514532728</v>
      </c>
      <c r="Q9" s="6" t="str">
        <f>IF(N9&gt;0,H9+L26+L27,"N/A")</f>
        <v>N/A</v>
      </c>
      <c r="R9" s="6" t="str">
        <f t="shared" si="2"/>
        <v>N/A</v>
      </c>
      <c r="S9" s="23">
        <f>IF(O9="NO","N/A",Z33)</f>
        <v>867.57652156486131</v>
      </c>
      <c r="T9" s="23">
        <f t="shared" si="3"/>
        <v>867.57652156486131</v>
      </c>
      <c r="U9" s="23">
        <f>H9+L27+L26</f>
        <v>890</v>
      </c>
      <c r="V9" s="7">
        <f>IF(N9&lt;0,ROUNDUP(U9*'Unit Conversion'!D9,-2),"N/A")</f>
        <v>3000</v>
      </c>
      <c r="X9" s="16" t="s">
        <v>135</v>
      </c>
    </row>
    <row r="10" spans="3:40" ht="15.6" x14ac:dyDescent="0.55000000000000004">
      <c r="C10" s="24" t="s">
        <v>73</v>
      </c>
      <c r="D10" s="6">
        <f>'Exercise Data'!D26</f>
        <v>25500</v>
      </c>
      <c r="E10" s="23">
        <f>D10-'Initial Segment'!D27</f>
        <v>23609.173005813089</v>
      </c>
      <c r="F10" s="6">
        <f>'Exercise Data'!E26</f>
        <v>3100</v>
      </c>
      <c r="G10" s="6" t="str">
        <f>'Exercise Data'!F26</f>
        <v>L</v>
      </c>
      <c r="H10" s="6">
        <f>'Exercise Data'!G26</f>
        <v>3776</v>
      </c>
      <c r="I10" s="23">
        <f>'Initial Segment'!F8+(D10*TAN(RADIANS('Initial Segment'!D12)))</f>
        <v>5345.0654962901335</v>
      </c>
      <c r="J10" s="23">
        <f t="shared" si="4"/>
        <v>2672.5327481450668</v>
      </c>
      <c r="K10" s="23">
        <f t="shared" si="5"/>
        <v>2672.5327481450668</v>
      </c>
      <c r="L10" s="23">
        <f t="shared" si="0"/>
        <v>427.46725185493324</v>
      </c>
      <c r="M10" s="23" t="str">
        <f t="shared" si="1"/>
        <v>NO</v>
      </c>
      <c r="N10" s="23">
        <f t="shared" si="6"/>
        <v>-2245.0654962901335</v>
      </c>
      <c r="O10" s="6" t="str">
        <f t="shared" si="7"/>
        <v>YES</v>
      </c>
      <c r="P10" s="23">
        <f>'Exercise Data'!F14+(E10*L23)</f>
        <v>986.46932514532728</v>
      </c>
      <c r="Q10" s="6" t="str">
        <f>IF(N10&gt;0,H10+L26+L27,"N/A")</f>
        <v>N/A</v>
      </c>
      <c r="R10" s="6" t="str">
        <f t="shared" si="2"/>
        <v>N/A</v>
      </c>
      <c r="S10" s="23">
        <f>IF(O10="NO","N/A",AA33)</f>
        <v>3846.2015489559299</v>
      </c>
      <c r="T10" s="23">
        <f t="shared" si="3"/>
        <v>3846.2015489559299</v>
      </c>
      <c r="U10" s="23">
        <f>H10+L27+L26</f>
        <v>3871</v>
      </c>
      <c r="V10" s="7">
        <f>IF(N10&lt;0,ROUNDUP(U10*'Unit Conversion'!D9,-2),"N/A")</f>
        <v>12800</v>
      </c>
      <c r="X10" s="72" t="s">
        <v>101</v>
      </c>
      <c r="AD10" s="91" t="s">
        <v>271</v>
      </c>
      <c r="AE10" s="91"/>
      <c r="AF10" s="91"/>
      <c r="AG10" s="91"/>
      <c r="AH10" s="91"/>
      <c r="AI10" s="91"/>
      <c r="AJ10" s="91"/>
      <c r="AK10" s="91"/>
      <c r="AL10" s="91"/>
      <c r="AM10" s="91"/>
    </row>
    <row r="11" spans="3:40" ht="15.6" x14ac:dyDescent="0.55000000000000004">
      <c r="C11" s="24" t="s">
        <v>74</v>
      </c>
      <c r="D11" s="6">
        <f>'Exercise Data'!D27</f>
        <v>0</v>
      </c>
      <c r="E11" s="23">
        <f>D11-'Initial Segment'!D27</f>
        <v>-1890.8269941869112</v>
      </c>
      <c r="F11" s="6">
        <f>'Exercise Data'!E27</f>
        <v>0</v>
      </c>
      <c r="G11" s="6">
        <f>'Exercise Data'!F27</f>
        <v>0</v>
      </c>
      <c r="H11" s="6">
        <f>'Exercise Data'!G27</f>
        <v>0</v>
      </c>
      <c r="I11" s="23">
        <f>'Initial Segment'!F8+(D11*TAN(RADIANS('Initial Segment'!D12)))</f>
        <v>1852</v>
      </c>
      <c r="J11" s="23">
        <f t="shared" si="4"/>
        <v>926</v>
      </c>
      <c r="K11" s="23">
        <f t="shared" si="5"/>
        <v>926</v>
      </c>
      <c r="L11" s="23">
        <f t="shared" si="0"/>
        <v>-926</v>
      </c>
      <c r="M11" s="23" t="str">
        <f t="shared" si="1"/>
        <v>YES</v>
      </c>
      <c r="N11" s="23" t="b">
        <f t="shared" si="6"/>
        <v>0</v>
      </c>
      <c r="O11" s="6" t="str">
        <f t="shared" si="7"/>
        <v>NO</v>
      </c>
      <c r="P11" s="23">
        <f>'Exercise Data'!F14+(E11*L23)</f>
        <v>348.96932514532722</v>
      </c>
      <c r="Q11" s="6">
        <f>IF(N11&gt;0,H11+L26+L27,"N/A")</f>
        <v>95</v>
      </c>
      <c r="R11" s="6">
        <f t="shared" si="2"/>
        <v>30</v>
      </c>
      <c r="S11" s="6" t="str">
        <f>IF(O11="NO","N/A",AB33)</f>
        <v>N/A</v>
      </c>
      <c r="T11" s="23">
        <f t="shared" si="3"/>
        <v>348.96932514532722</v>
      </c>
      <c r="U11" s="23">
        <f>H11+L27+L26</f>
        <v>95</v>
      </c>
      <c r="V11" s="7" t="str">
        <f>IF(N11&lt;0,ROUNDUP(U11*'Unit Conversion'!D9,-2),"N/A")</f>
        <v>N/A</v>
      </c>
      <c r="X11" s="16"/>
      <c r="AD11" s="1" t="s">
        <v>102</v>
      </c>
      <c r="AE11" s="1" t="s">
        <v>103</v>
      </c>
      <c r="AF11" s="1" t="s">
        <v>104</v>
      </c>
      <c r="AG11" s="1" t="s">
        <v>105</v>
      </c>
      <c r="AH11" s="1" t="s">
        <v>106</v>
      </c>
      <c r="AI11" s="1" t="s">
        <v>107</v>
      </c>
      <c r="AJ11" s="1" t="s">
        <v>108</v>
      </c>
      <c r="AK11" s="1" t="s">
        <v>109</v>
      </c>
      <c r="AL11" s="1" t="s">
        <v>110</v>
      </c>
      <c r="AM11" s="1" t="s">
        <v>111</v>
      </c>
    </row>
    <row r="12" spans="3:40" x14ac:dyDescent="0.55000000000000004">
      <c r="C12" s="24" t="s">
        <v>75</v>
      </c>
      <c r="D12" s="6">
        <f>'Exercise Data'!D28</f>
        <v>0</v>
      </c>
      <c r="E12" s="23">
        <f>D12-'Initial Segment'!D27</f>
        <v>-1890.8269941869112</v>
      </c>
      <c r="F12" s="6">
        <f>'Exercise Data'!E28</f>
        <v>0</v>
      </c>
      <c r="G12" s="6">
        <f>'Exercise Data'!F28</f>
        <v>0</v>
      </c>
      <c r="H12" s="6">
        <f>'Exercise Data'!G28</f>
        <v>0</v>
      </c>
      <c r="I12" s="23">
        <f>'Initial Segment'!F8+(D12*TAN(RADIANS('Initial Segment'!D12)))</f>
        <v>1852</v>
      </c>
      <c r="J12" s="23">
        <f t="shared" si="4"/>
        <v>926</v>
      </c>
      <c r="K12" s="23">
        <f t="shared" si="5"/>
        <v>926</v>
      </c>
      <c r="L12" s="23">
        <f t="shared" si="0"/>
        <v>-926</v>
      </c>
      <c r="M12" s="23" t="str">
        <f t="shared" si="1"/>
        <v>YES</v>
      </c>
      <c r="N12" s="23" t="b">
        <f t="shared" si="6"/>
        <v>0</v>
      </c>
      <c r="O12" s="6" t="str">
        <f t="shared" si="7"/>
        <v>NO</v>
      </c>
      <c r="P12" s="23">
        <f>'Exercise Data'!F14+(E12*L23)</f>
        <v>348.96932514532722</v>
      </c>
      <c r="Q12" s="6">
        <f>IF(N12&gt;0,H12+L26+L27,"N/A")</f>
        <v>95</v>
      </c>
      <c r="R12" s="6">
        <f t="shared" si="2"/>
        <v>30</v>
      </c>
      <c r="S12" s="6" t="str">
        <f>IF(O12="NO","N/A",AC33)</f>
        <v>N/A</v>
      </c>
      <c r="T12" s="23">
        <f t="shared" si="3"/>
        <v>348.96932514532722</v>
      </c>
      <c r="U12" s="23">
        <f>H12+L27+L26</f>
        <v>95</v>
      </c>
      <c r="V12" s="7" t="str">
        <f>IF(N12&lt;0,ROUNDUP(U12*'Unit Conversion'!D9,-2),"N/A")</f>
        <v>N/A</v>
      </c>
      <c r="X12" s="66" t="s">
        <v>112</v>
      </c>
      <c r="Y12" s="66" t="s">
        <v>113</v>
      </c>
      <c r="Z12" s="66"/>
      <c r="AA12" s="66"/>
      <c r="AB12" s="66"/>
      <c r="AD12" s="23">
        <f>'Initial Segment'!F10</f>
        <v>926</v>
      </c>
      <c r="AE12" s="23">
        <f>'Initial Segment'!F10</f>
        <v>926</v>
      </c>
      <c r="AF12" s="23">
        <f>'Initial Segment'!F10</f>
        <v>926</v>
      </c>
      <c r="AG12" s="23">
        <f>'Initial Segment'!F10</f>
        <v>926</v>
      </c>
      <c r="AH12" s="23">
        <f>'Initial Segment'!F10</f>
        <v>926</v>
      </c>
      <c r="AI12" s="23">
        <f>'Initial Segment'!F10</f>
        <v>926</v>
      </c>
      <c r="AJ12" s="23">
        <f>'Initial Segment'!F10</f>
        <v>926</v>
      </c>
      <c r="AK12" s="23">
        <f>'Initial Segment'!F10</f>
        <v>926</v>
      </c>
      <c r="AL12" s="23">
        <f>'Initial Segment'!F10</f>
        <v>926</v>
      </c>
      <c r="AM12" s="23">
        <f>'Initial Segment'!F10</f>
        <v>926</v>
      </c>
      <c r="AN12" s="2" t="s">
        <v>53</v>
      </c>
    </row>
    <row r="13" spans="3:40" x14ac:dyDescent="0.55000000000000004">
      <c r="C13" s="24" t="s">
        <v>76</v>
      </c>
      <c r="D13" s="6">
        <f>'Exercise Data'!D29</f>
        <v>0</v>
      </c>
      <c r="E13" s="23">
        <f>D13-'Initial Segment'!D27</f>
        <v>-1890.8269941869112</v>
      </c>
      <c r="F13" s="6">
        <f>'Exercise Data'!E29</f>
        <v>0</v>
      </c>
      <c r="G13" s="6">
        <f>'Exercise Data'!F29</f>
        <v>0</v>
      </c>
      <c r="H13" s="6">
        <f>'Exercise Data'!G29</f>
        <v>0</v>
      </c>
      <c r="I13" s="23">
        <f>'Initial Segment'!F8+(D13*TAN(RADIANS('Initial Segment'!D12)))</f>
        <v>1852</v>
      </c>
      <c r="J13" s="23">
        <f t="shared" si="4"/>
        <v>926</v>
      </c>
      <c r="K13" s="23">
        <f t="shared" si="5"/>
        <v>926</v>
      </c>
      <c r="L13" s="23">
        <f t="shared" si="0"/>
        <v>-926</v>
      </c>
      <c r="M13" s="23" t="str">
        <f t="shared" si="1"/>
        <v>YES</v>
      </c>
      <c r="N13" s="23" t="b">
        <f t="shared" si="6"/>
        <v>0</v>
      </c>
      <c r="O13" s="6" t="str">
        <f t="shared" si="7"/>
        <v>NO</v>
      </c>
      <c r="P13" s="23">
        <f>'Exercise Data'!F14+(E13*L23)</f>
        <v>348.96932514532722</v>
      </c>
      <c r="Q13" s="6">
        <f>IF(N13&gt;0,H13+L26+L27,"N/A")</f>
        <v>95</v>
      </c>
      <c r="R13" s="6">
        <f t="shared" si="2"/>
        <v>30</v>
      </c>
      <c r="S13" s="6" t="str">
        <f>IF(O13="NO","N/A",AD33)</f>
        <v>N/A</v>
      </c>
      <c r="T13" s="23">
        <f t="shared" si="3"/>
        <v>348.96932514532722</v>
      </c>
      <c r="U13" s="23">
        <f>H13+L27+L26</f>
        <v>95</v>
      </c>
      <c r="V13" s="7" t="str">
        <f>IF(N13&lt;0,ROUNDUP(U13*'Unit Conversion'!D9,-2),"N/A")</f>
        <v>N/A</v>
      </c>
      <c r="X13" s="66" t="s">
        <v>114</v>
      </c>
      <c r="Y13" s="66" t="s">
        <v>134</v>
      </c>
      <c r="Z13" s="66"/>
      <c r="AA13" s="66"/>
      <c r="AB13" s="66"/>
      <c r="AD13" s="23">
        <f>'Initial Segment'!D34</f>
        <v>1055.5055398597704</v>
      </c>
      <c r="AE13" s="23">
        <f>'Initial Segment'!D34</f>
        <v>1055.5055398597704</v>
      </c>
      <c r="AF13" s="23">
        <f>'Initial Segment'!D34</f>
        <v>1055.5055398597704</v>
      </c>
      <c r="AG13" s="23">
        <f>'Initial Segment'!D34</f>
        <v>1055.5055398597704</v>
      </c>
      <c r="AH13" s="23">
        <f>'Initial Segment'!D34</f>
        <v>1055.5055398597704</v>
      </c>
      <c r="AI13" s="23">
        <f>'Initial Segment'!D34</f>
        <v>1055.5055398597704</v>
      </c>
      <c r="AJ13" s="23">
        <f>'Initial Segment'!D34</f>
        <v>1055.5055398597704</v>
      </c>
      <c r="AK13" s="23">
        <f>'Initial Segment'!D34</f>
        <v>1055.5055398597704</v>
      </c>
      <c r="AL13" s="23">
        <f>'Initial Segment'!D34</f>
        <v>1055.5055398597704</v>
      </c>
      <c r="AM13" s="23">
        <f>'Initial Segment'!D34</f>
        <v>1055.5055398597704</v>
      </c>
      <c r="AN13" s="2" t="s">
        <v>53</v>
      </c>
    </row>
    <row r="14" spans="3:40" x14ac:dyDescent="0.55000000000000004">
      <c r="C14" s="24" t="s">
        <v>77</v>
      </c>
      <c r="D14" s="6">
        <f>'Exercise Data'!D30</f>
        <v>0</v>
      </c>
      <c r="E14" s="23">
        <f>D14-'Initial Segment'!D27</f>
        <v>-1890.8269941869112</v>
      </c>
      <c r="F14" s="6">
        <f>'Exercise Data'!E30</f>
        <v>0</v>
      </c>
      <c r="G14" s="6">
        <f>'Exercise Data'!F30</f>
        <v>0</v>
      </c>
      <c r="H14" s="6">
        <f>'Exercise Data'!G30</f>
        <v>0</v>
      </c>
      <c r="I14" s="23">
        <f>'Initial Segment'!F8+(D14*TAN(RADIANS('Initial Segment'!D12)))</f>
        <v>1852</v>
      </c>
      <c r="J14" s="23">
        <f t="shared" si="4"/>
        <v>926</v>
      </c>
      <c r="K14" s="23">
        <f t="shared" si="5"/>
        <v>926</v>
      </c>
      <c r="L14" s="23">
        <f t="shared" si="0"/>
        <v>-926</v>
      </c>
      <c r="M14" s="23" t="str">
        <f t="shared" si="1"/>
        <v>YES</v>
      </c>
      <c r="N14" s="23" t="b">
        <f t="shared" si="6"/>
        <v>0</v>
      </c>
      <c r="O14" s="6" t="str">
        <f t="shared" si="7"/>
        <v>NO</v>
      </c>
      <c r="P14" s="23">
        <f>'Exercise Data'!F14+(E14*L23)</f>
        <v>348.96932514532722</v>
      </c>
      <c r="Q14" s="6">
        <f>IF(N14&gt;0,H14+L26+L27,"N/A")</f>
        <v>95</v>
      </c>
      <c r="R14" s="6">
        <f t="shared" si="2"/>
        <v>30</v>
      </c>
      <c r="S14" s="6" t="str">
        <f>IF(O14="NO","N/A",AE33)</f>
        <v>N/A</v>
      </c>
      <c r="T14" s="23">
        <f t="shared" si="3"/>
        <v>348.96932514532722</v>
      </c>
      <c r="U14" s="23">
        <f>H14+L27+L26</f>
        <v>95</v>
      </c>
      <c r="V14" s="7" t="str">
        <f>IF(N14&lt;0,ROUNDUP(U14*'Unit Conversion'!D9,-2),"N/A")</f>
        <v>N/A</v>
      </c>
      <c r="X14" s="66" t="s">
        <v>115</v>
      </c>
      <c r="Y14" s="66" t="s">
        <v>133</v>
      </c>
      <c r="AD14" s="23">
        <f>'Intermediate Segment'!D8</f>
        <v>8600</v>
      </c>
      <c r="AE14" s="23">
        <f>'Intermediate Segment'!D9</f>
        <v>16200</v>
      </c>
      <c r="AF14" s="23">
        <f>'Intermediate Segment'!D10</f>
        <v>25500</v>
      </c>
      <c r="AG14" s="23">
        <f>'Intermediate Segment'!D11</f>
        <v>0</v>
      </c>
      <c r="AH14" s="23">
        <f>'Intermediate Segment'!D12</f>
        <v>0</v>
      </c>
      <c r="AI14" s="23">
        <f>'Intermediate Segment'!D13</f>
        <v>0</v>
      </c>
      <c r="AJ14" s="23">
        <f>'Intermediate Segment'!D14</f>
        <v>0</v>
      </c>
      <c r="AK14" s="23">
        <f>'Intermediate Segment'!D15</f>
        <v>0</v>
      </c>
      <c r="AL14" s="23">
        <f>'Intermediate Segment'!D16</f>
        <v>0</v>
      </c>
      <c r="AM14" s="23">
        <f>'Intermediate Segment'!D17</f>
        <v>0</v>
      </c>
      <c r="AN14" s="2" t="s">
        <v>53</v>
      </c>
    </row>
    <row r="15" spans="3:40" x14ac:dyDescent="0.55000000000000004">
      <c r="C15" s="24" t="s">
        <v>78</v>
      </c>
      <c r="D15" s="6">
        <f>'Exercise Data'!D31</f>
        <v>0</v>
      </c>
      <c r="E15" s="23">
        <f>D15-'Initial Segment'!D27</f>
        <v>-1890.8269941869112</v>
      </c>
      <c r="F15" s="6">
        <f>'Exercise Data'!E31</f>
        <v>0</v>
      </c>
      <c r="G15" s="6">
        <f>'Exercise Data'!F31</f>
        <v>0</v>
      </c>
      <c r="H15" s="6">
        <f>'Exercise Data'!G31</f>
        <v>0</v>
      </c>
      <c r="I15" s="23">
        <f>'Initial Segment'!F8+(D15*TAN(RADIANS('Initial Segment'!D12)))</f>
        <v>1852</v>
      </c>
      <c r="J15" s="23">
        <f t="shared" si="4"/>
        <v>926</v>
      </c>
      <c r="K15" s="23">
        <f t="shared" si="5"/>
        <v>926</v>
      </c>
      <c r="L15" s="23">
        <f t="shared" si="0"/>
        <v>-926</v>
      </c>
      <c r="M15" s="23" t="str">
        <f t="shared" si="1"/>
        <v>YES</v>
      </c>
      <c r="N15" s="23" t="b">
        <f t="shared" si="6"/>
        <v>0</v>
      </c>
      <c r="O15" s="6" t="str">
        <f t="shared" si="7"/>
        <v>NO</v>
      </c>
      <c r="P15" s="23">
        <f>'Exercise Data'!F14+(E15*L23)</f>
        <v>348.96932514532722</v>
      </c>
      <c r="Q15" s="6">
        <f>IF(N15&gt;0,H15+L26+L27,"N/A")</f>
        <v>95</v>
      </c>
      <c r="R15" s="6">
        <f t="shared" si="2"/>
        <v>30</v>
      </c>
      <c r="S15" s="6" t="str">
        <f>IF(O15="NO","N/A",AF33)</f>
        <v>N/A</v>
      </c>
      <c r="T15" s="23">
        <f t="shared" si="3"/>
        <v>348.96932514532722</v>
      </c>
      <c r="U15" s="23">
        <f>H15+L27+L26</f>
        <v>95</v>
      </c>
      <c r="V15" s="7" t="str">
        <f>IF(N15&lt;0,ROUNDUP(U15*'Unit Conversion'!D9,-2),"N/A")</f>
        <v>N/A</v>
      </c>
      <c r="X15" s="66" t="s">
        <v>84</v>
      </c>
      <c r="Y15" s="66" t="s">
        <v>116</v>
      </c>
      <c r="AD15" s="23">
        <f>'Initial Segment'!D27</f>
        <v>1890.8269941869112</v>
      </c>
      <c r="AE15" s="23">
        <f>'Initial Segment'!D27</f>
        <v>1890.8269941869112</v>
      </c>
      <c r="AF15" s="23">
        <f>'Initial Segment'!D27</f>
        <v>1890.8269941869112</v>
      </c>
      <c r="AG15" s="23">
        <f>'Initial Segment'!D27</f>
        <v>1890.8269941869112</v>
      </c>
      <c r="AH15" s="23">
        <f>'Initial Segment'!D27</f>
        <v>1890.8269941869112</v>
      </c>
      <c r="AI15" s="23">
        <f>'Initial Segment'!D27</f>
        <v>1890.8269941869112</v>
      </c>
      <c r="AJ15" s="23">
        <f>'Initial Segment'!D27</f>
        <v>1890.8269941869112</v>
      </c>
      <c r="AK15" s="23">
        <f>'Initial Segment'!D27</f>
        <v>1890.8269941869112</v>
      </c>
      <c r="AL15" s="23">
        <f>'Initial Segment'!D27</f>
        <v>1890.8269941869112</v>
      </c>
      <c r="AM15" s="23">
        <f>'Initial Segment'!D27</f>
        <v>1890.8269941869112</v>
      </c>
      <c r="AN15" s="2" t="s">
        <v>53</v>
      </c>
    </row>
    <row r="16" spans="3:40" x14ac:dyDescent="0.55000000000000004">
      <c r="C16" s="24" t="s">
        <v>79</v>
      </c>
      <c r="D16" s="6">
        <f>'Exercise Data'!D32</f>
        <v>0</v>
      </c>
      <c r="E16" s="23">
        <f>D16-'Initial Segment'!D27</f>
        <v>-1890.8269941869112</v>
      </c>
      <c r="F16" s="6">
        <f>'Exercise Data'!E32</f>
        <v>0</v>
      </c>
      <c r="G16" s="6">
        <f>'Exercise Data'!F32</f>
        <v>0</v>
      </c>
      <c r="H16" s="6">
        <f>'Exercise Data'!G32</f>
        <v>0</v>
      </c>
      <c r="I16" s="23">
        <f>'Initial Segment'!F8+(D16*TAN(RADIANS('Initial Segment'!D12)))</f>
        <v>1852</v>
      </c>
      <c r="J16" s="23">
        <f t="shared" si="4"/>
        <v>926</v>
      </c>
      <c r="K16" s="23">
        <f t="shared" si="5"/>
        <v>926</v>
      </c>
      <c r="L16" s="23">
        <f t="shared" si="0"/>
        <v>-926</v>
      </c>
      <c r="M16" s="23" t="str">
        <f t="shared" si="1"/>
        <v>YES</v>
      </c>
      <c r="N16" s="23" t="b">
        <f t="shared" si="6"/>
        <v>0</v>
      </c>
      <c r="O16" s="6" t="str">
        <f t="shared" si="7"/>
        <v>NO</v>
      </c>
      <c r="P16" s="23">
        <f>'Exercise Data'!F14+(E16*L23)</f>
        <v>348.96932514532722</v>
      </c>
      <c r="Q16" s="6">
        <f>IF(N16&gt;0,H16+L26+L27,"N/A")</f>
        <v>95</v>
      </c>
      <c r="R16" s="6">
        <f t="shared" si="2"/>
        <v>30</v>
      </c>
      <c r="S16" s="6" t="str">
        <f>IF(O16="NO","N/A",AG33)</f>
        <v>N/A</v>
      </c>
      <c r="T16" s="23">
        <f t="shared" si="3"/>
        <v>348.96932514532722</v>
      </c>
      <c r="U16" s="23">
        <f>H16+L27+L26</f>
        <v>95</v>
      </c>
      <c r="V16" s="7" t="str">
        <f>IF(N16&lt;0,ROUNDUP(U16*'Unit Conversion'!D9,-2),"N/A")</f>
        <v>N/A</v>
      </c>
      <c r="X16" s="66" t="s">
        <v>117</v>
      </c>
      <c r="Y16" s="2" t="s">
        <v>118</v>
      </c>
      <c r="AD16" s="23">
        <f t="shared" ref="AD16:AM16" si="8">AD12+(AD14/AD15)*(AD13-AD12)</f>
        <v>1515.0267307469639</v>
      </c>
      <c r="AE16" s="23">
        <f t="shared" si="8"/>
        <v>2035.5619811745137</v>
      </c>
      <c r="AF16" s="23">
        <f t="shared" si="8"/>
        <v>2672.5327481450677</v>
      </c>
      <c r="AG16" s="23">
        <f t="shared" si="8"/>
        <v>926</v>
      </c>
      <c r="AH16" s="23">
        <f t="shared" si="8"/>
        <v>926</v>
      </c>
      <c r="AI16" s="23">
        <f t="shared" si="8"/>
        <v>926</v>
      </c>
      <c r="AJ16" s="23">
        <f t="shared" si="8"/>
        <v>926</v>
      </c>
      <c r="AK16" s="23">
        <f t="shared" si="8"/>
        <v>926</v>
      </c>
      <c r="AL16" s="23">
        <f t="shared" si="8"/>
        <v>926</v>
      </c>
      <c r="AM16" s="23">
        <f t="shared" si="8"/>
        <v>926</v>
      </c>
      <c r="AN16" s="2" t="s">
        <v>53</v>
      </c>
    </row>
    <row r="17" spans="3:35" x14ac:dyDescent="0.55000000000000004">
      <c r="C17" s="24" t="s">
        <v>80</v>
      </c>
      <c r="D17" s="6">
        <f>'Exercise Data'!D33</f>
        <v>0</v>
      </c>
      <c r="E17" s="23">
        <f>D17-'Initial Segment'!D27</f>
        <v>-1890.8269941869112</v>
      </c>
      <c r="F17" s="6">
        <f>'Exercise Data'!E33</f>
        <v>0</v>
      </c>
      <c r="G17" s="6">
        <f>'Exercise Data'!F33</f>
        <v>0</v>
      </c>
      <c r="H17" s="6">
        <f>'Exercise Data'!G33</f>
        <v>0</v>
      </c>
      <c r="I17" s="23">
        <f>'Initial Segment'!F8+(D17*TAN(RADIANS('Initial Segment'!D12)))</f>
        <v>1852</v>
      </c>
      <c r="J17" s="23">
        <f t="shared" si="4"/>
        <v>926</v>
      </c>
      <c r="K17" s="23">
        <f t="shared" si="5"/>
        <v>926</v>
      </c>
      <c r="L17" s="23">
        <f t="shared" si="0"/>
        <v>-926</v>
      </c>
      <c r="M17" s="23" t="str">
        <f t="shared" si="1"/>
        <v>YES</v>
      </c>
      <c r="N17" s="71" t="b">
        <f t="shared" si="6"/>
        <v>0</v>
      </c>
      <c r="O17" s="6" t="str">
        <f t="shared" si="7"/>
        <v>NO</v>
      </c>
      <c r="P17" s="23">
        <f>'Exercise Data'!F14+(E17*L23)</f>
        <v>348.96932514532722</v>
      </c>
      <c r="Q17" s="6">
        <f>IF(N17&gt;0,H17+L26+L27,"N/A")</f>
        <v>95</v>
      </c>
      <c r="R17" s="6">
        <f t="shared" si="2"/>
        <v>30</v>
      </c>
      <c r="S17" s="6" t="str">
        <f>IF(O17="NO","N/A",AH33)</f>
        <v>N/A</v>
      </c>
      <c r="T17" s="23">
        <f t="shared" si="3"/>
        <v>348.96932514532722</v>
      </c>
      <c r="U17" s="23">
        <f>H17+L27+L26</f>
        <v>95</v>
      </c>
      <c r="V17" s="7" t="str">
        <f>IF(N17&lt;0,ROUNDUP(U17*'Unit Conversion'!D9,-2),"N/A")</f>
        <v>N/A</v>
      </c>
    </row>
    <row r="18" spans="3:35" ht="72" x14ac:dyDescent="0.55000000000000004">
      <c r="L18" s="31" t="s">
        <v>268</v>
      </c>
      <c r="M18" s="30"/>
      <c r="N18" s="31" t="s">
        <v>268</v>
      </c>
      <c r="Q18" s="86" t="s">
        <v>291</v>
      </c>
      <c r="U18" s="44"/>
      <c r="V18" s="44"/>
      <c r="X18" s="73" t="s">
        <v>119</v>
      </c>
      <c r="Y18" s="66"/>
    </row>
    <row r="19" spans="3:35" x14ac:dyDescent="0.55000000000000004">
      <c r="S19" s="30"/>
      <c r="T19" s="30"/>
      <c r="U19" s="44"/>
      <c r="V19" s="44"/>
      <c r="X19" s="66" t="s">
        <v>120</v>
      </c>
      <c r="Y19" s="66"/>
    </row>
    <row r="20" spans="3:35" ht="15.6" x14ac:dyDescent="0.55000000000000004">
      <c r="C20" s="16" t="s">
        <v>276</v>
      </c>
      <c r="S20" s="30"/>
      <c r="T20" s="30"/>
      <c r="U20" s="44"/>
      <c r="V20" s="44"/>
      <c r="X20" s="66"/>
      <c r="Y20" s="66"/>
    </row>
    <row r="21" spans="3:35" x14ac:dyDescent="0.55000000000000004">
      <c r="X21" s="66" t="s">
        <v>121</v>
      </c>
      <c r="Y21" s="66" t="s">
        <v>122</v>
      </c>
    </row>
    <row r="22" spans="3:35" x14ac:dyDescent="0.55000000000000004">
      <c r="C22" s="76" t="s">
        <v>277</v>
      </c>
      <c r="X22" s="66" t="s">
        <v>123</v>
      </c>
      <c r="Y22" s="66" t="s">
        <v>124</v>
      </c>
    </row>
    <row r="23" spans="3:35" x14ac:dyDescent="0.55000000000000004">
      <c r="C23" s="2" t="s">
        <v>86</v>
      </c>
      <c r="K23" s="10" t="s">
        <v>60</v>
      </c>
      <c r="L23" s="13">
        <v>2.5000000000000001E-2</v>
      </c>
      <c r="X23" s="66" t="s">
        <v>125</v>
      </c>
      <c r="Y23" s="66" t="s">
        <v>126</v>
      </c>
    </row>
    <row r="24" spans="3:35" x14ac:dyDescent="0.55000000000000004">
      <c r="K24" s="10" t="s">
        <v>61</v>
      </c>
      <c r="L24" s="4">
        <v>30</v>
      </c>
      <c r="M24" s="2" t="s">
        <v>53</v>
      </c>
      <c r="X24" s="66" t="s">
        <v>95</v>
      </c>
      <c r="Y24" s="66" t="s">
        <v>127</v>
      </c>
    </row>
    <row r="25" spans="3:35" x14ac:dyDescent="0.55000000000000004">
      <c r="C25" s="2" t="s">
        <v>85</v>
      </c>
      <c r="D25" s="2" t="s">
        <v>62</v>
      </c>
      <c r="K25" s="10" t="s">
        <v>150</v>
      </c>
      <c r="L25" s="4" t="s">
        <v>152</v>
      </c>
      <c r="M25" s="2" t="s">
        <v>53</v>
      </c>
      <c r="X25" s="66"/>
      <c r="Y25" s="66"/>
    </row>
    <row r="26" spans="3:35" ht="28.8" x14ac:dyDescent="0.55000000000000004">
      <c r="C26" s="2" t="s">
        <v>87</v>
      </c>
      <c r="D26" s="2" t="s">
        <v>63</v>
      </c>
      <c r="H26" s="23">
        <f>'Initial Segment'!D34+('Initial Segment'!D32/2)</f>
        <v>2111.0110797195407</v>
      </c>
      <c r="I26" s="2" t="s">
        <v>53</v>
      </c>
      <c r="K26" s="10" t="s">
        <v>151</v>
      </c>
      <c r="L26" s="4">
        <v>50</v>
      </c>
      <c r="M26" s="2" t="s">
        <v>53</v>
      </c>
      <c r="X26" s="3" t="s">
        <v>271</v>
      </c>
      <c r="Y26" s="1" t="s">
        <v>102</v>
      </c>
      <c r="Z26" s="1" t="s">
        <v>103</v>
      </c>
      <c r="AA26" s="1" t="s">
        <v>104</v>
      </c>
      <c r="AB26" s="1" t="s">
        <v>105</v>
      </c>
      <c r="AC26" s="1" t="s">
        <v>106</v>
      </c>
      <c r="AD26" s="1" t="s">
        <v>107</v>
      </c>
      <c r="AE26" s="1" t="s">
        <v>108</v>
      </c>
      <c r="AF26" s="1" t="s">
        <v>109</v>
      </c>
      <c r="AG26" s="1" t="s">
        <v>110</v>
      </c>
      <c r="AH26" s="1" t="s">
        <v>111</v>
      </c>
    </row>
    <row r="27" spans="3:35" x14ac:dyDescent="0.55000000000000004">
      <c r="C27" s="2" t="s">
        <v>88</v>
      </c>
      <c r="D27" s="2" t="s">
        <v>64</v>
      </c>
      <c r="H27" s="23">
        <f>'Initial Segment'!F9</f>
        <v>1852</v>
      </c>
      <c r="I27" s="2" t="s">
        <v>53</v>
      </c>
      <c r="K27" s="3" t="s">
        <v>137</v>
      </c>
      <c r="L27" s="4">
        <v>45</v>
      </c>
      <c r="M27" s="2" t="s">
        <v>53</v>
      </c>
      <c r="X27" s="32" t="s">
        <v>128</v>
      </c>
      <c r="Y27" s="4">
        <v>30</v>
      </c>
      <c r="Z27" s="4">
        <v>30</v>
      </c>
      <c r="AA27" s="4">
        <v>30</v>
      </c>
      <c r="AB27" s="4">
        <v>30</v>
      </c>
      <c r="AC27" s="4">
        <v>30</v>
      </c>
      <c r="AD27" s="4">
        <v>30</v>
      </c>
      <c r="AE27" s="4">
        <v>30</v>
      </c>
      <c r="AF27" s="4">
        <v>30</v>
      </c>
      <c r="AG27" s="4">
        <v>30</v>
      </c>
      <c r="AH27" s="4">
        <v>30</v>
      </c>
      <c r="AI27" s="2" t="s">
        <v>53</v>
      </c>
    </row>
    <row r="28" spans="3:35" x14ac:dyDescent="0.55000000000000004">
      <c r="C28" s="2" t="s">
        <v>65</v>
      </c>
      <c r="D28" s="2" t="s">
        <v>66</v>
      </c>
      <c r="H28" s="70">
        <f>'Initial Segment'!D27</f>
        <v>1890.8269941869112</v>
      </c>
      <c r="I28" s="2" t="s">
        <v>53</v>
      </c>
      <c r="K28" s="3" t="s">
        <v>283</v>
      </c>
      <c r="L28" s="23">
        <f>'Exercise Data'!F14</f>
        <v>396.24</v>
      </c>
      <c r="M28" s="2" t="s">
        <v>53</v>
      </c>
      <c r="X28" s="32" t="s">
        <v>125</v>
      </c>
      <c r="Y28" s="23">
        <f t="shared" ref="Y28:AH28" si="9">AD16</f>
        <v>1515.0267307469639</v>
      </c>
      <c r="Z28" s="23">
        <f t="shared" si="9"/>
        <v>2035.5619811745137</v>
      </c>
      <c r="AA28" s="23">
        <f t="shared" si="9"/>
        <v>2672.5327481450677</v>
      </c>
      <c r="AB28" s="23">
        <f t="shared" si="9"/>
        <v>926</v>
      </c>
      <c r="AC28" s="23">
        <f t="shared" si="9"/>
        <v>926</v>
      </c>
      <c r="AD28" s="23">
        <f t="shared" si="9"/>
        <v>926</v>
      </c>
      <c r="AE28" s="23">
        <f t="shared" si="9"/>
        <v>926</v>
      </c>
      <c r="AF28" s="23">
        <f t="shared" si="9"/>
        <v>926</v>
      </c>
      <c r="AG28" s="23">
        <f t="shared" si="9"/>
        <v>926</v>
      </c>
      <c r="AH28" s="23">
        <f t="shared" si="9"/>
        <v>926</v>
      </c>
      <c r="AI28" s="2" t="s">
        <v>53</v>
      </c>
    </row>
    <row r="29" spans="3:35" x14ac:dyDescent="0.55000000000000004">
      <c r="C29" s="2" t="s">
        <v>89</v>
      </c>
      <c r="D29" s="2" t="s">
        <v>67</v>
      </c>
      <c r="K29" s="3" t="s">
        <v>284</v>
      </c>
      <c r="L29" s="7">
        <f>'Exercise Data'!D14</f>
        <v>1300</v>
      </c>
      <c r="X29" s="32" t="s">
        <v>95</v>
      </c>
      <c r="Y29" s="23" t="str">
        <f>IF(O8="YES",L8,"OUTSIDE")</f>
        <v>OUTSIDE</v>
      </c>
      <c r="Z29" s="23">
        <f>IF(O9="YES",L9,"OUTSIDE")</f>
        <v>164.43801882548678</v>
      </c>
      <c r="AA29" s="23">
        <f>IF(O10="YES",L10,"OUTSIDE")</f>
        <v>427.46725185493324</v>
      </c>
      <c r="AB29" s="23" t="str">
        <f>IF(O11="YES",L11,"OUTSIDE")</f>
        <v>OUTSIDE</v>
      </c>
      <c r="AC29" s="23" t="str">
        <f>IF(O12="YES",L12,"OUTSIDE")</f>
        <v>OUTSIDE</v>
      </c>
      <c r="AD29" s="23" t="str">
        <f>IF(O13="YES",L13,"OUTSIDE")</f>
        <v>OUTSIDE</v>
      </c>
      <c r="AE29" s="23" t="str">
        <f>IF(O14="YES",L14,"OUTSIDE")</f>
        <v>OUTSIDE</v>
      </c>
      <c r="AF29" s="23" t="str">
        <f>IF(O15="YES",L15,"OUTSIDE")</f>
        <v>OUTSIDE</v>
      </c>
      <c r="AG29" s="23" t="str">
        <f>IF(O16="YES",L16,"OUTSIDE")</f>
        <v>OUTSIDE</v>
      </c>
      <c r="AH29" s="23" t="str">
        <f>IF(O17="YES",L17,"OUTSIDE")</f>
        <v>OUTSIDE</v>
      </c>
      <c r="AI29" s="2" t="s">
        <v>53</v>
      </c>
    </row>
    <row r="30" spans="3:35" x14ac:dyDescent="0.55000000000000004">
      <c r="C30" s="2" t="s">
        <v>90</v>
      </c>
      <c r="D30" s="2" t="s">
        <v>68</v>
      </c>
      <c r="X30" s="32" t="s">
        <v>129</v>
      </c>
      <c r="Y30" s="23" t="str">
        <f t="shared" ref="Y30:AH30" si="10">IF(Y29="OUTSIDE","OUTSIDE",Y27*(1-(Y29/Y28)))</f>
        <v>OUTSIDE</v>
      </c>
      <c r="Z30" s="23">
        <f t="shared" si="10"/>
        <v>27.57652156486132</v>
      </c>
      <c r="AA30" s="23">
        <f t="shared" si="10"/>
        <v>25.20154895592999</v>
      </c>
      <c r="AB30" s="23" t="str">
        <f t="shared" si="10"/>
        <v>OUTSIDE</v>
      </c>
      <c r="AC30" s="23" t="str">
        <f t="shared" si="10"/>
        <v>OUTSIDE</v>
      </c>
      <c r="AD30" s="23" t="str">
        <f t="shared" si="10"/>
        <v>OUTSIDE</v>
      </c>
      <c r="AE30" s="23" t="str">
        <f t="shared" si="10"/>
        <v>OUTSIDE</v>
      </c>
      <c r="AF30" s="23" t="str">
        <f t="shared" si="10"/>
        <v>OUTSIDE</v>
      </c>
      <c r="AG30" s="23" t="str">
        <f t="shared" si="10"/>
        <v>OUTSIDE</v>
      </c>
      <c r="AH30" s="23" t="str">
        <f t="shared" si="10"/>
        <v>OUTSIDE</v>
      </c>
      <c r="AI30" s="2" t="s">
        <v>53</v>
      </c>
    </row>
    <row r="31" spans="3:35" x14ac:dyDescent="0.55000000000000004">
      <c r="X31" s="32" t="s">
        <v>57</v>
      </c>
      <c r="Y31" s="23">
        <f>'Intermediate Segment'!L27</f>
        <v>45</v>
      </c>
      <c r="Z31" s="23">
        <f>'Intermediate Segment'!L27</f>
        <v>45</v>
      </c>
      <c r="AA31" s="23">
        <f>'Intermediate Segment'!L27</f>
        <v>45</v>
      </c>
      <c r="AB31" s="23">
        <f>'Intermediate Segment'!L27</f>
        <v>45</v>
      </c>
      <c r="AC31" s="23">
        <f>'Intermediate Segment'!L27</f>
        <v>45</v>
      </c>
      <c r="AD31" s="23">
        <f>'Intermediate Segment'!L27</f>
        <v>45</v>
      </c>
      <c r="AE31" s="23">
        <f>'Intermediate Segment'!L27</f>
        <v>45</v>
      </c>
      <c r="AF31" s="23">
        <f>'Intermediate Segment'!L27</f>
        <v>45</v>
      </c>
      <c r="AG31" s="23">
        <f>'Intermediate Segment'!L27</f>
        <v>45</v>
      </c>
      <c r="AH31" s="23">
        <f>'Intermediate Segment'!L27</f>
        <v>45</v>
      </c>
      <c r="AI31" s="2" t="s">
        <v>53</v>
      </c>
    </row>
    <row r="32" spans="3:35" ht="28.8" x14ac:dyDescent="0.55000000000000004">
      <c r="C32" s="1" t="s">
        <v>91</v>
      </c>
      <c r="D32" s="1" t="s">
        <v>89</v>
      </c>
      <c r="E32" s="1" t="s">
        <v>90</v>
      </c>
      <c r="F32" s="1" t="s">
        <v>85</v>
      </c>
      <c r="H32" s="15" t="s">
        <v>100</v>
      </c>
      <c r="X32" s="32" t="s">
        <v>130</v>
      </c>
      <c r="Y32" s="23">
        <f>'Exercise Data'!G24</f>
        <v>882</v>
      </c>
      <c r="Z32" s="23">
        <f>'Exercise Data'!G25</f>
        <v>795</v>
      </c>
      <c r="AA32" s="23">
        <f>'Exercise Data'!G26</f>
        <v>3776</v>
      </c>
      <c r="AB32" s="23">
        <f>'Exercise Data'!G27</f>
        <v>0</v>
      </c>
      <c r="AC32" s="23">
        <f>'Exercise Data'!G28</f>
        <v>0</v>
      </c>
      <c r="AD32" s="23">
        <f>'Exercise Data'!G29</f>
        <v>0</v>
      </c>
      <c r="AE32" s="23">
        <f>'Exercise Data'!G30</f>
        <v>0</v>
      </c>
      <c r="AF32" s="23">
        <f>'Exercise Data'!G31</f>
        <v>0</v>
      </c>
      <c r="AG32" s="23">
        <f>'Exercise Data'!G32</f>
        <v>0</v>
      </c>
      <c r="AH32" s="23">
        <f>'Exercise Data'!G33</f>
        <v>0</v>
      </c>
      <c r="AI32" s="2" t="s">
        <v>53</v>
      </c>
    </row>
    <row r="33" spans="3:35" x14ac:dyDescent="0.55000000000000004">
      <c r="C33" s="1" t="s">
        <v>71</v>
      </c>
      <c r="D33" s="6">
        <f t="shared" ref="D33:D42" si="11">F8</f>
        <v>6300</v>
      </c>
      <c r="E33" s="23">
        <f>I8</f>
        <v>3030.0534614939274</v>
      </c>
      <c r="F33" s="23">
        <f>(F8-E33)*COS(ATAN((H26-H27)/H28))</f>
        <v>3239.6924714819634</v>
      </c>
      <c r="G33" s="2" t="s">
        <v>53</v>
      </c>
      <c r="H33" s="6" t="str">
        <f t="shared" ref="H33:H42" si="12">IF(F33&gt;0,"YES","NO")</f>
        <v>YES</v>
      </c>
      <c r="X33" s="32" t="s">
        <v>131</v>
      </c>
      <c r="Y33" s="23">
        <f t="shared" ref="Y33:AH33" si="13">SUM(Y30:Y32)</f>
        <v>927</v>
      </c>
      <c r="Z33" s="23">
        <f t="shared" si="13"/>
        <v>867.57652156486131</v>
      </c>
      <c r="AA33" s="23">
        <f t="shared" si="13"/>
        <v>3846.2015489559299</v>
      </c>
      <c r="AB33" s="23">
        <f t="shared" si="13"/>
        <v>45</v>
      </c>
      <c r="AC33" s="23">
        <f t="shared" si="13"/>
        <v>45</v>
      </c>
      <c r="AD33" s="23">
        <f t="shared" si="13"/>
        <v>45</v>
      </c>
      <c r="AE33" s="23">
        <f t="shared" si="13"/>
        <v>45</v>
      </c>
      <c r="AF33" s="23">
        <f t="shared" si="13"/>
        <v>45</v>
      </c>
      <c r="AG33" s="23">
        <f t="shared" si="13"/>
        <v>45</v>
      </c>
      <c r="AH33" s="23">
        <f t="shared" si="13"/>
        <v>45</v>
      </c>
      <c r="AI33" s="2" t="s">
        <v>53</v>
      </c>
    </row>
    <row r="34" spans="3:35" ht="28.8" x14ac:dyDescent="0.55000000000000004">
      <c r="C34" s="1" t="s">
        <v>72</v>
      </c>
      <c r="D34" s="6">
        <f t="shared" si="11"/>
        <v>2200</v>
      </c>
      <c r="E34" s="23">
        <f t="shared" ref="E34:E42" si="14">I9</f>
        <v>4071.1239623490264</v>
      </c>
      <c r="F34" s="23">
        <f>(F9-E33)*COS(ATAN((H26-H27)/H28))</f>
        <v>-822.37367445095515</v>
      </c>
      <c r="G34" s="2" t="s">
        <v>53</v>
      </c>
      <c r="H34" s="6" t="str">
        <f t="shared" si="12"/>
        <v>NO</v>
      </c>
      <c r="X34" s="32" t="s">
        <v>272</v>
      </c>
      <c r="Y34" s="23">
        <f>L28+(E8*L23)</f>
        <v>563.96932514532728</v>
      </c>
      <c r="Z34" s="23">
        <f>L28+(E9*L23)</f>
        <v>753.96932514532728</v>
      </c>
      <c r="AA34" s="23">
        <f>L28+(E10*L23)</f>
        <v>986.46932514532728</v>
      </c>
      <c r="AB34" s="23">
        <f>L28+(E11*L23)</f>
        <v>348.96932514532722</v>
      </c>
      <c r="AC34" s="23">
        <f>L28+(E12*L23)</f>
        <v>348.96932514532722</v>
      </c>
      <c r="AD34" s="23">
        <f>L28+(E13*L23)</f>
        <v>348.96932514532722</v>
      </c>
      <c r="AE34" s="23">
        <f>L28+(E14*L23)</f>
        <v>348.96932514532722</v>
      </c>
      <c r="AF34" s="23">
        <f>L28+(E15*L23)</f>
        <v>348.96932514532722</v>
      </c>
      <c r="AG34" s="23">
        <f>L28+(E16*L23)</f>
        <v>348.96932514532722</v>
      </c>
      <c r="AH34" s="23">
        <f>L28+(E17*L23)</f>
        <v>348.96932514532722</v>
      </c>
      <c r="AI34" s="2" t="s">
        <v>53</v>
      </c>
    </row>
    <row r="35" spans="3:35" ht="28.8" x14ac:dyDescent="0.55000000000000004">
      <c r="C35" s="1" t="s">
        <v>73</v>
      </c>
      <c r="D35" s="6">
        <f t="shared" si="11"/>
        <v>3100</v>
      </c>
      <c r="E35" s="23">
        <f t="shared" si="14"/>
        <v>5345.0654962901335</v>
      </c>
      <c r="F35" s="23">
        <f>(F10-E33)*COS(ATAN((H26-H27)/H28))</f>
        <v>69.299381973344055</v>
      </c>
      <c r="G35" s="2" t="s">
        <v>53</v>
      </c>
      <c r="H35" s="6" t="str">
        <f t="shared" si="12"/>
        <v>YES</v>
      </c>
      <c r="X35" s="32" t="s">
        <v>273</v>
      </c>
      <c r="Y35" s="23" t="str">
        <f t="shared" ref="Y35:AH35" si="15">IF(Y34&gt;Y33,"YES","NO")</f>
        <v>NO</v>
      </c>
      <c r="Z35" s="23" t="str">
        <f t="shared" si="15"/>
        <v>NO</v>
      </c>
      <c r="AA35" s="23" t="str">
        <f t="shared" si="15"/>
        <v>NO</v>
      </c>
      <c r="AB35" s="23" t="str">
        <f t="shared" si="15"/>
        <v>YES</v>
      </c>
      <c r="AC35" s="23" t="str">
        <f t="shared" si="15"/>
        <v>YES</v>
      </c>
      <c r="AD35" s="23" t="str">
        <f t="shared" si="15"/>
        <v>YES</v>
      </c>
      <c r="AE35" s="23" t="str">
        <f t="shared" si="15"/>
        <v>YES</v>
      </c>
      <c r="AF35" s="23" t="str">
        <f t="shared" si="15"/>
        <v>YES</v>
      </c>
      <c r="AG35" s="23" t="str">
        <f t="shared" si="15"/>
        <v>YES</v>
      </c>
      <c r="AH35" s="23" t="str">
        <f t="shared" si="15"/>
        <v>YES</v>
      </c>
    </row>
    <row r="36" spans="3:35" x14ac:dyDescent="0.55000000000000004">
      <c r="C36" s="1" t="s">
        <v>74</v>
      </c>
      <c r="D36" s="6">
        <f t="shared" si="11"/>
        <v>0</v>
      </c>
      <c r="E36" s="23">
        <f t="shared" si="14"/>
        <v>1852</v>
      </c>
      <c r="F36" s="23">
        <f>(F11-E33)*COS(ATAN((H26-H27)/H28))</f>
        <v>-3002.0189234881309</v>
      </c>
      <c r="G36" s="2" t="s">
        <v>53</v>
      </c>
      <c r="H36" s="6" t="str">
        <f t="shared" si="12"/>
        <v>NO</v>
      </c>
      <c r="X36" s="92" t="s">
        <v>132</v>
      </c>
      <c r="Y36" s="68" t="str">
        <f t="shared" ref="Y36:AH36" si="16">IF(Y35="NO","OBSTACLE","NOMINAL")</f>
        <v>OBSTACLE</v>
      </c>
      <c r="Z36" s="68" t="str">
        <f t="shared" si="16"/>
        <v>OBSTACLE</v>
      </c>
      <c r="AA36" s="68" t="str">
        <f t="shared" si="16"/>
        <v>OBSTACLE</v>
      </c>
      <c r="AB36" s="68" t="str">
        <f t="shared" si="16"/>
        <v>NOMINAL</v>
      </c>
      <c r="AC36" s="68" t="str">
        <f t="shared" si="16"/>
        <v>NOMINAL</v>
      </c>
      <c r="AD36" s="68" t="str">
        <f t="shared" si="16"/>
        <v>NOMINAL</v>
      </c>
      <c r="AE36" s="68" t="str">
        <f t="shared" si="16"/>
        <v>NOMINAL</v>
      </c>
      <c r="AF36" s="68" t="str">
        <f t="shared" si="16"/>
        <v>NOMINAL</v>
      </c>
      <c r="AG36" s="68" t="str">
        <f t="shared" si="16"/>
        <v>NOMINAL</v>
      </c>
      <c r="AH36" s="68" t="str">
        <f t="shared" si="16"/>
        <v>NOMINAL</v>
      </c>
    </row>
    <row r="37" spans="3:35" x14ac:dyDescent="0.55000000000000004">
      <c r="C37" s="1" t="s">
        <v>75</v>
      </c>
      <c r="D37" s="6">
        <f t="shared" si="11"/>
        <v>0</v>
      </c>
      <c r="E37" s="23">
        <f t="shared" si="14"/>
        <v>1852</v>
      </c>
      <c r="F37" s="23">
        <f>(F12-E33)*COS(ATAN((H26-H27)/H28))</f>
        <v>-3002.0189234881309</v>
      </c>
      <c r="G37" s="2" t="s">
        <v>53</v>
      </c>
      <c r="H37" s="6" t="str">
        <f t="shared" si="12"/>
        <v>NO</v>
      </c>
      <c r="X37" s="93"/>
      <c r="Y37" s="68">
        <f t="shared" ref="Y37:AH37" si="17">IF(Y35="NO",Y33,Y34)</f>
        <v>927</v>
      </c>
      <c r="Z37" s="68">
        <f t="shared" si="17"/>
        <v>867.57652156486131</v>
      </c>
      <c r="AA37" s="68">
        <f t="shared" si="17"/>
        <v>3846.2015489559299</v>
      </c>
      <c r="AB37" s="68">
        <f t="shared" si="17"/>
        <v>348.96932514532722</v>
      </c>
      <c r="AC37" s="68">
        <f t="shared" si="17"/>
        <v>348.96932514532722</v>
      </c>
      <c r="AD37" s="68">
        <f t="shared" si="17"/>
        <v>348.96932514532722</v>
      </c>
      <c r="AE37" s="68">
        <f t="shared" si="17"/>
        <v>348.96932514532722</v>
      </c>
      <c r="AF37" s="68">
        <f t="shared" si="17"/>
        <v>348.96932514532722</v>
      </c>
      <c r="AG37" s="68">
        <f t="shared" si="17"/>
        <v>348.96932514532722</v>
      </c>
      <c r="AH37" s="68">
        <f t="shared" si="17"/>
        <v>348.96932514532722</v>
      </c>
      <c r="AI37" s="2" t="s">
        <v>53</v>
      </c>
    </row>
    <row r="38" spans="3:35" x14ac:dyDescent="0.55000000000000004">
      <c r="C38" s="1" t="s">
        <v>76</v>
      </c>
      <c r="D38" s="6">
        <f t="shared" si="11"/>
        <v>0</v>
      </c>
      <c r="E38" s="23">
        <f t="shared" si="14"/>
        <v>1852</v>
      </c>
      <c r="F38" s="23">
        <f>(F13-E33)*COS(ATAN((H26-H27)/H28))</f>
        <v>-3002.0189234881309</v>
      </c>
      <c r="G38" s="2" t="s">
        <v>53</v>
      </c>
      <c r="H38" s="6" t="str">
        <f t="shared" si="12"/>
        <v>NO</v>
      </c>
      <c r="X38" s="94"/>
      <c r="Y38" s="79">
        <f>ROUNDUP(Y37*'Unit Conversion'!D9,-2)</f>
        <v>3100</v>
      </c>
      <c r="Z38" s="79">
        <f>ROUNDUP(Z37*'Unit Conversion'!D9,-2)</f>
        <v>2900</v>
      </c>
      <c r="AA38" s="79">
        <f>ROUNDUP(AA37*'Unit Conversion'!D9,-2)</f>
        <v>12700</v>
      </c>
      <c r="AB38" s="79">
        <f>ROUNDUP(AB37*'Unit Conversion'!D9,-2)</f>
        <v>1200</v>
      </c>
      <c r="AC38" s="79">
        <f>ROUNDUP(AC37*'Unit Conversion'!D9,-2)</f>
        <v>1200</v>
      </c>
      <c r="AD38" s="79">
        <f>ROUNDUP(AD37*'Unit Conversion'!D9,-2)</f>
        <v>1200</v>
      </c>
      <c r="AE38" s="79">
        <f>ROUNDUP(AE37*'Unit Conversion'!D9,-2)</f>
        <v>1200</v>
      </c>
      <c r="AF38" s="79">
        <f>ROUNDUP(AF37*'Unit Conversion'!D9,-2)</f>
        <v>1200</v>
      </c>
      <c r="AG38" s="79">
        <f>ROUNDUP(AG37*'Unit Conversion'!D9,-2)</f>
        <v>1200</v>
      </c>
      <c r="AH38" s="79">
        <f>ROUNDUP(AH37*'Unit Conversion'!D9,-2)</f>
        <v>1200</v>
      </c>
      <c r="AI38" s="2" t="s">
        <v>8</v>
      </c>
    </row>
    <row r="39" spans="3:35" ht="28.8" x14ac:dyDescent="0.55000000000000004">
      <c r="C39" s="1" t="s">
        <v>77</v>
      </c>
      <c r="D39" s="6">
        <f t="shared" si="11"/>
        <v>0</v>
      </c>
      <c r="E39" s="23">
        <f t="shared" si="14"/>
        <v>1852</v>
      </c>
      <c r="F39" s="23">
        <f>(F14-E33)*COS(ATAN((H26-H27)/H28))</f>
        <v>-3002.0189234881309</v>
      </c>
      <c r="G39" s="2" t="s">
        <v>53</v>
      </c>
      <c r="H39" s="6" t="str">
        <f t="shared" si="12"/>
        <v>NO</v>
      </c>
      <c r="X39" s="32" t="s">
        <v>265</v>
      </c>
      <c r="Y39" s="9" t="str">
        <f>IF(Y29="outside","----",(Y38-L29)/(D9*'Unit Conversion'!D9))</f>
        <v>----</v>
      </c>
      <c r="Z39" s="9">
        <f>IF(Z29="outside","----",(Z38-L29)/(E9*'Unit Conversion'!D9))</f>
        <v>3.4081634193805645E-2</v>
      </c>
      <c r="AA39" s="9">
        <f>IF(AA29="outside","----",(AA38-L29)/(E10*'Unit Conversion'!D9))</f>
        <v>0.14717669268400249</v>
      </c>
      <c r="AB39" s="9" t="str">
        <f>IF(AB29="outside","----",(AB38-L29)/(E11*'Unit Conversion'!D9))</f>
        <v>----</v>
      </c>
      <c r="AC39" s="9" t="str">
        <f>IF(AC29="outside","----",(AC38-L29)/(E12*'Unit Conversion'!D9))</f>
        <v>----</v>
      </c>
      <c r="AD39" s="9" t="str">
        <f>IF(AD29="outside","----",(AD38-L29)/(E13*'Unit Conversion'!D9))</f>
        <v>----</v>
      </c>
      <c r="AE39" s="9" t="str">
        <f>IF(AE29="outside","----",(AE38-L29)/(E14*'Unit Conversion'!D9))</f>
        <v>----</v>
      </c>
      <c r="AF39" s="9" t="str">
        <f>IF(AF29="outside","----",(AF38-L29)/(E15*'Unit Conversion'!D9))</f>
        <v>----</v>
      </c>
      <c r="AG39" s="9" t="str">
        <f>IF(AG29="outside","----",(AG38-L29)/(E16*'Unit Conversion'!D9))</f>
        <v>----</v>
      </c>
      <c r="AH39" s="9" t="str">
        <f>IF(AH29="outside","----",(AH38-L29)/(E17*'Unit Conversion'!D9))</f>
        <v>----</v>
      </c>
    </row>
    <row r="40" spans="3:35" x14ac:dyDescent="0.55000000000000004">
      <c r="C40" s="1" t="s">
        <v>78</v>
      </c>
      <c r="D40" s="6">
        <f t="shared" si="11"/>
        <v>0</v>
      </c>
      <c r="E40" s="23">
        <f t="shared" si="14"/>
        <v>1852</v>
      </c>
      <c r="F40" s="23">
        <f>(F15-E33)*COS(ATAN((H26-H27)/H28))</f>
        <v>-3002.0189234881309</v>
      </c>
      <c r="G40" s="2" t="s">
        <v>53</v>
      </c>
      <c r="H40" s="6" t="str">
        <f t="shared" si="12"/>
        <v>NO</v>
      </c>
    </row>
    <row r="41" spans="3:35" x14ac:dyDescent="0.55000000000000004">
      <c r="C41" s="1" t="s">
        <v>79</v>
      </c>
      <c r="D41" s="6">
        <f t="shared" si="11"/>
        <v>0</v>
      </c>
      <c r="E41" s="23">
        <f t="shared" si="14"/>
        <v>1852</v>
      </c>
      <c r="F41" s="23">
        <f>(F16-E33)*COS(ATAN((H26-H27)/H28))</f>
        <v>-3002.0189234881309</v>
      </c>
      <c r="G41" s="2" t="s">
        <v>53</v>
      </c>
      <c r="H41" s="6" t="str">
        <f t="shared" si="12"/>
        <v>NO</v>
      </c>
      <c r="X41" s="51"/>
      <c r="Y41" s="51"/>
      <c r="Z41" s="51"/>
      <c r="AA41" s="51"/>
      <c r="AB41" s="51"/>
    </row>
    <row r="42" spans="3:35" x14ac:dyDescent="0.55000000000000004">
      <c r="C42" s="1" t="s">
        <v>80</v>
      </c>
      <c r="D42" s="6">
        <f t="shared" si="11"/>
        <v>0</v>
      </c>
      <c r="E42" s="23">
        <f t="shared" si="14"/>
        <v>1852</v>
      </c>
      <c r="F42" s="23">
        <f>(F17-E33)*COS(ATAN((H26-H27)/H28))</f>
        <v>-3002.0189234881309</v>
      </c>
      <c r="G42" s="2" t="s">
        <v>53</v>
      </c>
      <c r="H42" s="6" t="str">
        <f t="shared" si="12"/>
        <v>NO</v>
      </c>
      <c r="X42" s="74" t="s">
        <v>274</v>
      </c>
      <c r="Y42" s="46"/>
      <c r="Z42" s="51"/>
      <c r="AA42" s="51"/>
      <c r="AB42" s="51"/>
    </row>
    <row r="43" spans="3:35" x14ac:dyDescent="0.55000000000000004">
      <c r="X43" s="2" t="s">
        <v>282</v>
      </c>
    </row>
    <row r="45" spans="3:35" ht="15.6" x14ac:dyDescent="0.55000000000000004">
      <c r="C45" s="16" t="s">
        <v>275</v>
      </c>
    </row>
    <row r="46" spans="3:35" x14ac:dyDescent="0.55000000000000004">
      <c r="C46" s="2" t="s">
        <v>162</v>
      </c>
      <c r="F46" s="2" t="s">
        <v>164</v>
      </c>
    </row>
    <row r="47" spans="3:35" x14ac:dyDescent="0.55000000000000004">
      <c r="C47" s="2" t="s">
        <v>163</v>
      </c>
      <c r="F47" s="2" t="s">
        <v>165</v>
      </c>
    </row>
    <row r="49" spans="3:13" x14ac:dyDescent="0.55000000000000004">
      <c r="C49" s="1" t="s">
        <v>139</v>
      </c>
      <c r="D49" s="1" t="s">
        <v>153</v>
      </c>
      <c r="E49" s="1" t="s">
        <v>154</v>
      </c>
      <c r="F49" s="1" t="s">
        <v>155</v>
      </c>
      <c r="G49" s="1" t="s">
        <v>156</v>
      </c>
      <c r="H49" s="1" t="s">
        <v>157</v>
      </c>
      <c r="I49" s="1" t="s">
        <v>158</v>
      </c>
      <c r="J49" s="1" t="s">
        <v>159</v>
      </c>
      <c r="K49" s="1" t="s">
        <v>160</v>
      </c>
      <c r="L49" s="1" t="s">
        <v>161</v>
      </c>
    </row>
    <row r="50" spans="3:13" x14ac:dyDescent="0.55000000000000004">
      <c r="C50" s="23">
        <f>IF(H33="YES",H8+L26-(F33*L23),U8)</f>
        <v>851.00768821295094</v>
      </c>
      <c r="D50" s="23">
        <f>IF(H34="YES",H9+L26-(F34*L23),U9)</f>
        <v>890</v>
      </c>
      <c r="E50" s="23">
        <f>IF(H35="YES",H10+L26-(F35*L23),U10)</f>
        <v>3824.2675154506665</v>
      </c>
      <c r="F50" s="23">
        <f>IF(H36="YES",H11+L26-(F36*L23),U11)</f>
        <v>95</v>
      </c>
      <c r="G50" s="23">
        <f>IF(H37="YES",H12+L26-(F37*L23),U12)</f>
        <v>95</v>
      </c>
      <c r="H50" s="23">
        <f>IF(H38="YES",H13+L26-(F38*L23),U13)</f>
        <v>95</v>
      </c>
      <c r="I50" s="23">
        <f>IF(H39="YES",H14+L26-(F39*L23),U14)</f>
        <v>95</v>
      </c>
      <c r="J50" s="23">
        <f>IF(H40="YES",H15+L26-(F40*L23),U15)</f>
        <v>95</v>
      </c>
      <c r="K50" s="23">
        <f>IF(H41="YES",H16+L26-(F41*L23),U16)</f>
        <v>95</v>
      </c>
      <c r="L50" s="23">
        <f>IF(H42="YES",H17+L26-(F42*L23),U17)</f>
        <v>95</v>
      </c>
      <c r="M50" s="2" t="s">
        <v>53</v>
      </c>
    </row>
    <row r="51" spans="3:13" x14ac:dyDescent="0.55000000000000004">
      <c r="C51" s="6">
        <f>ROUNDUP(C50*'Unit Conversion'!D9,-2)</f>
        <v>2800</v>
      </c>
      <c r="D51" s="6">
        <f>ROUNDUP(D50*'Unit Conversion'!D9,-2)</f>
        <v>3000</v>
      </c>
      <c r="E51" s="6">
        <f>ROUNDUP(E50*'Unit Conversion'!D9,-2)</f>
        <v>12600</v>
      </c>
      <c r="F51" s="6">
        <f>ROUNDUP(F50*'Unit Conversion'!D9,-2)</f>
        <v>400</v>
      </c>
      <c r="G51" s="6">
        <f>ROUNDUP(G50*'Unit Conversion'!D9,-2)</f>
        <v>400</v>
      </c>
      <c r="H51" s="6">
        <f>ROUNDUP(H50*'Unit Conversion'!D9,-2)</f>
        <v>400</v>
      </c>
      <c r="I51" s="6">
        <f>ROUNDUP(I50*'Unit Conversion'!D9,-2)</f>
        <v>400</v>
      </c>
      <c r="J51" s="6">
        <f>ROUNDUP(J50*'Unit Conversion'!D9,-2)</f>
        <v>400</v>
      </c>
      <c r="K51" s="6">
        <f>ROUNDUP(K50*'Unit Conversion'!D9,-2)</f>
        <v>400</v>
      </c>
      <c r="L51" s="6">
        <f>ROUNDUP(L50*'Unit Conversion'!D9,-2)</f>
        <v>400</v>
      </c>
      <c r="M51" s="2" t="s">
        <v>8</v>
      </c>
    </row>
    <row r="54" spans="3:13" x14ac:dyDescent="0.55000000000000004">
      <c r="C54" s="29" t="s">
        <v>166</v>
      </c>
    </row>
    <row r="55" spans="3:13" x14ac:dyDescent="0.55000000000000004">
      <c r="C55" s="2" t="s">
        <v>167</v>
      </c>
    </row>
    <row r="57" spans="3:13" ht="28.8" x14ac:dyDescent="0.55000000000000004">
      <c r="C57" s="15" t="s">
        <v>262</v>
      </c>
      <c r="D57" s="1" t="s">
        <v>168</v>
      </c>
      <c r="E57" s="15" t="s">
        <v>278</v>
      </c>
    </row>
    <row r="58" spans="3:13" x14ac:dyDescent="0.55000000000000004">
      <c r="C58" s="1" t="str">
        <f t="shared" ref="C58:C67" si="18">IF(H33="NO",C33,"---")</f>
        <v>---</v>
      </c>
      <c r="D58" s="9" t="str">
        <f>IF(H33="NO",((Y38-'Exercise Data'!D14)/(E8*'Unit Conversion'!D9)),"---")</f>
        <v>---</v>
      </c>
      <c r="E58" s="7" t="str">
        <f>IF(D58&gt;0,V8,"---")</f>
        <v>N/A</v>
      </c>
    </row>
    <row r="59" spans="3:13" x14ac:dyDescent="0.55000000000000004">
      <c r="C59" s="1" t="str">
        <f t="shared" si="18"/>
        <v>O2</v>
      </c>
      <c r="D59" s="9">
        <f>IF(H34="NO",((Z38-'Exercise Data'!D14)/(E9*'Unit Conversion'!D9)),"---")</f>
        <v>3.4081634193805645E-2</v>
      </c>
      <c r="E59" s="7">
        <f>IF(D59&gt;0,V9,"---")</f>
        <v>3000</v>
      </c>
    </row>
    <row r="60" spans="3:13" x14ac:dyDescent="0.55000000000000004">
      <c r="C60" s="1" t="str">
        <f t="shared" si="18"/>
        <v>---</v>
      </c>
      <c r="D60" s="9" t="str">
        <f>IF(H35="NO",((AA38-'Exercise Data'!D14)/(E10*'Unit Conversion'!D9)),"---")</f>
        <v>---</v>
      </c>
      <c r="E60" s="7">
        <f t="shared" ref="E60:E67" si="19">IF(D60&gt;0,V10,"---")</f>
        <v>12800</v>
      </c>
    </row>
    <row r="61" spans="3:13" x14ac:dyDescent="0.55000000000000004">
      <c r="C61" s="1" t="str">
        <f t="shared" si="18"/>
        <v>O4</v>
      </c>
      <c r="D61" s="9">
        <f>IF(H36="NO",((AB38-'Exercise Data'!D14)/(E11*'Unit Conversion'!D9)),"---")</f>
        <v>1.6119930640776017E-2</v>
      </c>
      <c r="E61" s="7" t="str">
        <f t="shared" si="19"/>
        <v>N/A</v>
      </c>
    </row>
    <row r="62" spans="3:13" x14ac:dyDescent="0.55000000000000004">
      <c r="C62" s="1" t="str">
        <f t="shared" si="18"/>
        <v>O5</v>
      </c>
      <c r="D62" s="9">
        <f>IF(H37="NO",((AC38-'Exercise Data'!D14)/(E12*'Unit Conversion'!D9)),"---")</f>
        <v>1.6119930640776017E-2</v>
      </c>
      <c r="E62" s="7" t="str">
        <f t="shared" si="19"/>
        <v>N/A</v>
      </c>
    </row>
    <row r="63" spans="3:13" x14ac:dyDescent="0.55000000000000004">
      <c r="C63" s="1" t="str">
        <f t="shared" si="18"/>
        <v>O6</v>
      </c>
      <c r="D63" s="9">
        <f>IF(H38="NO",((AD38-'Exercise Data'!D14)/(E13*'Unit Conversion'!D9)),"---")</f>
        <v>1.6119930640776017E-2</v>
      </c>
      <c r="E63" s="7" t="str">
        <f t="shared" si="19"/>
        <v>N/A</v>
      </c>
    </row>
    <row r="64" spans="3:13" x14ac:dyDescent="0.55000000000000004">
      <c r="C64" s="1" t="str">
        <f t="shared" si="18"/>
        <v>O7</v>
      </c>
      <c r="D64" s="9">
        <f>IF(H39="NO",((AE38-'Exercise Data'!D14)/(E14*'Unit Conversion'!D9)),"---")</f>
        <v>1.6119930640776017E-2</v>
      </c>
      <c r="E64" s="7" t="str">
        <f t="shared" si="19"/>
        <v>N/A</v>
      </c>
    </row>
    <row r="65" spans="3:5" x14ac:dyDescent="0.55000000000000004">
      <c r="C65" s="1" t="str">
        <f t="shared" si="18"/>
        <v>O8</v>
      </c>
      <c r="D65" s="9">
        <f>IF(H40="NO",((AF38-'Exercise Data'!D14)/(E15*'Unit Conversion'!D9)),"---")</f>
        <v>1.6119930640776017E-2</v>
      </c>
      <c r="E65" s="7" t="str">
        <f t="shared" si="19"/>
        <v>N/A</v>
      </c>
    </row>
    <row r="66" spans="3:5" x14ac:dyDescent="0.55000000000000004">
      <c r="C66" s="1" t="str">
        <f t="shared" si="18"/>
        <v>O9</v>
      </c>
      <c r="D66" s="9">
        <f>IF(H41="NO",((AG38-'Exercise Data'!D14)/(E16*'Unit Conversion'!D9)),"---")</f>
        <v>1.6119930640776017E-2</v>
      </c>
      <c r="E66" s="7" t="str">
        <f t="shared" si="19"/>
        <v>N/A</v>
      </c>
    </row>
    <row r="67" spans="3:5" x14ac:dyDescent="0.55000000000000004">
      <c r="C67" s="1" t="str">
        <f t="shared" si="18"/>
        <v>O10</v>
      </c>
      <c r="D67" s="9">
        <f>IF(H42="NO",((AH38-'Exercise Data'!D14)/(E17*'Unit Conversion'!D9)),"---")</f>
        <v>1.6119930640776017E-2</v>
      </c>
      <c r="E67" s="7" t="str">
        <f t="shared" si="19"/>
        <v>N/A</v>
      </c>
    </row>
    <row r="70" spans="3:5" x14ac:dyDescent="0.55000000000000004">
      <c r="C70" s="29" t="s">
        <v>169</v>
      </c>
    </row>
    <row r="71" spans="3:5" x14ac:dyDescent="0.55000000000000004">
      <c r="C71" s="2" t="s">
        <v>172</v>
      </c>
    </row>
    <row r="73" spans="3:5" x14ac:dyDescent="0.55000000000000004">
      <c r="C73" s="1" t="s">
        <v>91</v>
      </c>
      <c r="D73" s="15" t="s">
        <v>170</v>
      </c>
      <c r="E73" s="1" t="s">
        <v>171</v>
      </c>
    </row>
    <row r="74" spans="3:5" x14ac:dyDescent="0.55000000000000004">
      <c r="C74" s="1" t="s">
        <v>71</v>
      </c>
      <c r="D74" s="6" t="str">
        <f>IF(D58="---","---",T8-(L23/E8))</f>
        <v>---</v>
      </c>
      <c r="E74" s="6" t="str">
        <f>IF(D74="---","---",ROUNDUP(D74*'Unit Conversion'!D9,-1))</f>
        <v>---</v>
      </c>
    </row>
    <row r="75" spans="3:5" x14ac:dyDescent="0.55000000000000004">
      <c r="C75" s="1" t="s">
        <v>72</v>
      </c>
      <c r="D75" s="23">
        <f>IF(D59="---","---",(T9-(L23*E9)))</f>
        <v>509.84719641953404</v>
      </c>
      <c r="E75" s="6">
        <f>IF(D75="---","---",ROUNDUP(D75*'Unit Conversion'!D9,-1))</f>
        <v>1680</v>
      </c>
    </row>
    <row r="76" spans="3:5" x14ac:dyDescent="0.55000000000000004">
      <c r="C76" s="1" t="s">
        <v>73</v>
      </c>
      <c r="D76" s="6" t="str">
        <f>IF(D60="---","---",(T10-(L23*E10)))</f>
        <v>---</v>
      </c>
      <c r="E76" s="6" t="str">
        <f>IF(D76="---","---",ROUNDUP(D76*'Unit Conversion'!D9,-1))</f>
        <v>---</v>
      </c>
    </row>
    <row r="77" spans="3:5" x14ac:dyDescent="0.55000000000000004">
      <c r="C77" s="1" t="s">
        <v>74</v>
      </c>
      <c r="D77" s="23">
        <f>IF(D61="---","---",(T11-(L23*E11)))</f>
        <v>396.24</v>
      </c>
      <c r="E77" s="6">
        <f>IF(D77="---","---",ROUNDUP(D77*'Unit Conversion'!D9,-1))</f>
        <v>1300</v>
      </c>
    </row>
    <row r="78" spans="3:5" x14ac:dyDescent="0.55000000000000004">
      <c r="C78" s="1" t="s">
        <v>75</v>
      </c>
      <c r="D78" s="23">
        <f>IF(D62="---","---",(T12-(L23*E12)))</f>
        <v>396.24</v>
      </c>
      <c r="E78" s="6">
        <f>IF(D78="---","---",ROUNDUP(D78*'Unit Conversion'!D9,-1))</f>
        <v>1300</v>
      </c>
    </row>
    <row r="79" spans="3:5" x14ac:dyDescent="0.55000000000000004">
      <c r="C79" s="1" t="s">
        <v>76</v>
      </c>
      <c r="D79" s="23">
        <f>IF(D63="---","---",(T13-(L23*E13)))</f>
        <v>396.24</v>
      </c>
      <c r="E79" s="6">
        <f>IF(D79="---","---",ROUNDUP(D79*'Unit Conversion'!D9,-1))</f>
        <v>1300</v>
      </c>
    </row>
    <row r="80" spans="3:5" x14ac:dyDescent="0.55000000000000004">
      <c r="C80" s="1" t="s">
        <v>77</v>
      </c>
      <c r="D80" s="23">
        <f>IF(D64="---","---",(T14-(L23*E14)))</f>
        <v>396.24</v>
      </c>
      <c r="E80" s="6">
        <f>IF(D80="---","---",ROUNDUP(D80*'Unit Conversion'!D9,-1))</f>
        <v>1300</v>
      </c>
    </row>
    <row r="81" spans="3:10" x14ac:dyDescent="0.55000000000000004">
      <c r="C81" s="1" t="s">
        <v>78</v>
      </c>
      <c r="D81" s="23">
        <f>IF(D65="---","---",(T15-(L23*E15)))</f>
        <v>396.24</v>
      </c>
      <c r="E81" s="6">
        <f>IF(D81="---","---",ROUNDUP(D81*'Unit Conversion'!D9,-1))</f>
        <v>1300</v>
      </c>
    </row>
    <row r="82" spans="3:10" x14ac:dyDescent="0.55000000000000004">
      <c r="C82" s="1" t="s">
        <v>79</v>
      </c>
      <c r="D82" s="23">
        <f>IF(D66="---","---",(T16-(L23*E16)))</f>
        <v>396.24</v>
      </c>
      <c r="E82" s="6">
        <f>IF(D82="---","---",ROUNDUP(D82*'Unit Conversion'!D9,-1))</f>
        <v>1300</v>
      </c>
    </row>
    <row r="83" spans="3:10" x14ac:dyDescent="0.55000000000000004">
      <c r="C83" s="1" t="s">
        <v>80</v>
      </c>
      <c r="D83" s="23">
        <f>IF(D67="---","---",(T17-(L23*E17)))</f>
        <v>396.24</v>
      </c>
      <c r="E83" s="6">
        <f>IF(D83="---","---",ROUNDUP(D83*'Unit Conversion'!D9,-1))</f>
        <v>1300</v>
      </c>
    </row>
    <row r="86" spans="3:10" ht="28.8" x14ac:dyDescent="0.55000000000000004">
      <c r="C86" s="15" t="s">
        <v>249</v>
      </c>
      <c r="D86" s="6">
        <f>ROUNDUP((F86*'Unit Conversion'!D9),-1)</f>
        <v>1680</v>
      </c>
      <c r="E86" s="2" t="s">
        <v>8</v>
      </c>
      <c r="F86" s="23">
        <f>MAX(D74:D83)</f>
        <v>509.84719641953404</v>
      </c>
      <c r="G86" s="2" t="s">
        <v>53</v>
      </c>
    </row>
    <row r="89" spans="3:10" ht="28.8" x14ac:dyDescent="0.55000000000000004">
      <c r="C89" s="77" t="s">
        <v>168</v>
      </c>
      <c r="D89" s="78" t="s">
        <v>279</v>
      </c>
      <c r="E89" s="78" t="s">
        <v>250</v>
      </c>
      <c r="F89" s="78" t="s">
        <v>251</v>
      </c>
      <c r="G89" s="78" t="s">
        <v>263</v>
      </c>
      <c r="H89" s="78" t="s">
        <v>58</v>
      </c>
      <c r="I89" s="78" t="s">
        <v>35</v>
      </c>
    </row>
    <row r="90" spans="3:10" x14ac:dyDescent="0.55000000000000004">
      <c r="C90" s="54">
        <f>L23</f>
        <v>2.5000000000000001E-2</v>
      </c>
      <c r="D90" s="87">
        <f>E59</f>
        <v>3000</v>
      </c>
      <c r="E90" s="23">
        <f>(D90-D86)*'Unit Conversion'!D8/C90</f>
        <v>16093.44</v>
      </c>
      <c r="F90" s="23">
        <f>E90+'Initial Segment'!D30</f>
        <v>17984.26699418691</v>
      </c>
      <c r="G90" s="23">
        <f>'Initial Segment'!F8+(F90*TAN(IF('Exercise Data'!D11="VOR",RADIANS(7.8),RADIANS(10.3))))</f>
        <v>4315.5381377828926</v>
      </c>
      <c r="H90" s="23">
        <f>G90</f>
        <v>4315.5381377828926</v>
      </c>
      <c r="I90" s="23">
        <f>G90/2</f>
        <v>2157.7690688914463</v>
      </c>
      <c r="J90" s="2" t="s">
        <v>53</v>
      </c>
    </row>
    <row r="91" spans="3:10" x14ac:dyDescent="0.55000000000000004">
      <c r="C91" s="54">
        <f>MAX(D58:D67)</f>
        <v>3.4081634193805645E-2</v>
      </c>
      <c r="D91" s="7">
        <f>E59</f>
        <v>3000</v>
      </c>
      <c r="E91" s="23">
        <f>(D91-L29)*'Unit Conversion'!D8/C91</f>
        <v>15203.496318676407</v>
      </c>
      <c r="F91" s="23">
        <f>E91+'Initial Segment'!D30</f>
        <v>17094.323312863318</v>
      </c>
      <c r="G91" s="23">
        <f>'Initial Segment'!F8+(F91*TAN(IF('Exercise Data'!D11="VOR",RADIANS(7.8),RADIANS(10.3))))</f>
        <v>4193.6310175133694</v>
      </c>
      <c r="H91" s="23">
        <f>G91</f>
        <v>4193.6310175133694</v>
      </c>
      <c r="I91" s="23">
        <f>G91/2</f>
        <v>2096.8155087566847</v>
      </c>
      <c r="J91" s="2" t="s">
        <v>53</v>
      </c>
    </row>
    <row r="93" spans="3:10" x14ac:dyDescent="0.55000000000000004">
      <c r="C93" s="2" t="s">
        <v>281</v>
      </c>
    </row>
  </sheetData>
  <mergeCells count="2">
    <mergeCell ref="AD10:AM10"/>
    <mergeCell ref="X36:X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85E3-A37C-48E3-9CBC-99181A03BE4A}">
  <dimension ref="C3:Z86"/>
  <sheetViews>
    <sheetView showGridLines="0" workbookViewId="0"/>
  </sheetViews>
  <sheetFormatPr defaultRowHeight="14.4" x14ac:dyDescent="0.55000000000000004"/>
  <cols>
    <col min="1" max="2" width="8.83984375" style="2"/>
    <col min="3" max="3" width="16.68359375" style="2" customWidth="1"/>
    <col min="4" max="4" width="15.20703125" style="2" bestFit="1" customWidth="1"/>
    <col min="5" max="5" width="13.20703125" style="2" bestFit="1" customWidth="1"/>
    <col min="6" max="6" width="15.20703125" style="2" bestFit="1" customWidth="1"/>
    <col min="7" max="7" width="11.15625" style="2" bestFit="1" customWidth="1"/>
    <col min="8" max="9" width="11.26171875" style="2" bestFit="1" customWidth="1"/>
    <col min="10" max="10" width="10.734375" style="2" bestFit="1" customWidth="1"/>
    <col min="11" max="11" width="8.83984375" style="2"/>
    <col min="12" max="12" width="10.734375" style="2" bestFit="1" customWidth="1"/>
    <col min="13" max="13" width="12.3125" style="2" customWidth="1"/>
    <col min="14" max="14" width="8.83984375" style="2"/>
    <col min="15" max="15" width="13.20703125" style="2" bestFit="1" customWidth="1"/>
    <col min="16" max="16" width="11.15625" style="2" bestFit="1" customWidth="1"/>
    <col min="17" max="16384" width="8.83984375" style="2"/>
  </cols>
  <sheetData>
    <row r="3" spans="3:26" ht="25.8" x14ac:dyDescent="0.55000000000000004">
      <c r="C3" s="26" t="s">
        <v>230</v>
      </c>
    </row>
    <row r="4" spans="3:26" s="76" customFormat="1" x14ac:dyDescent="0.55000000000000004">
      <c r="C4" s="29"/>
    </row>
    <row r="5" spans="3:26" s="76" customFormat="1" x14ac:dyDescent="0.55000000000000004">
      <c r="C5" s="76" t="s">
        <v>280</v>
      </c>
    </row>
    <row r="7" spans="3:26" ht="15.6" x14ac:dyDescent="0.55000000000000004">
      <c r="C7" s="16" t="s">
        <v>0</v>
      </c>
    </row>
    <row r="8" spans="3:26" x14ac:dyDescent="0.55000000000000004">
      <c r="C8" s="2" t="s">
        <v>260</v>
      </c>
    </row>
    <row r="10" spans="3:26" ht="15.6" x14ac:dyDescent="0.55000000000000004">
      <c r="L10" s="49" t="s">
        <v>173</v>
      </c>
      <c r="M10" s="49"/>
      <c r="N10" s="49"/>
      <c r="S10" s="8"/>
      <c r="T10" s="49" t="s">
        <v>174</v>
      </c>
      <c r="U10" s="49"/>
      <c r="V10" s="49"/>
      <c r="W10" s="49"/>
    </row>
    <row r="11" spans="3:26" x14ac:dyDescent="0.55000000000000004">
      <c r="C11" s="3" t="s">
        <v>175</v>
      </c>
      <c r="D11" s="23">
        <f>F11*'Unit Conversion'!D8</f>
        <v>914.40000000000009</v>
      </c>
      <c r="E11" s="2" t="s">
        <v>9</v>
      </c>
      <c r="F11" s="7">
        <f>'Intermediate Segment'!D91</f>
        <v>3000</v>
      </c>
      <c r="G11" s="2" t="s">
        <v>176</v>
      </c>
      <c r="L11" s="18" t="s">
        <v>14</v>
      </c>
      <c r="M11" s="18"/>
      <c r="N11" s="18"/>
      <c r="O11" s="18"/>
      <c r="P11" s="18"/>
      <c r="Q11" s="18"/>
      <c r="R11" s="18"/>
      <c r="S11" s="8"/>
      <c r="T11" s="18" t="s">
        <v>15</v>
      </c>
      <c r="U11" s="18"/>
      <c r="V11" s="18"/>
      <c r="W11" s="18"/>
      <c r="X11" s="18"/>
      <c r="Y11" s="18"/>
      <c r="Z11" s="18"/>
    </row>
    <row r="12" spans="3:26" ht="28.8" x14ac:dyDescent="0.55000000000000004">
      <c r="C12" s="10" t="s">
        <v>177</v>
      </c>
      <c r="D12" s="4">
        <v>15</v>
      </c>
      <c r="E12" s="11" t="s">
        <v>29</v>
      </c>
      <c r="F12" s="8"/>
      <c r="S12" s="8"/>
    </row>
    <row r="13" spans="3:26" x14ac:dyDescent="0.55000000000000004">
      <c r="C13" s="3" t="s">
        <v>178</v>
      </c>
      <c r="D13" s="4">
        <v>15</v>
      </c>
      <c r="E13" s="50" t="s">
        <v>29</v>
      </c>
      <c r="L13" s="2" t="s">
        <v>20</v>
      </c>
      <c r="S13" s="8"/>
      <c r="T13" s="2" t="s">
        <v>20</v>
      </c>
    </row>
    <row r="14" spans="3:26" x14ac:dyDescent="0.55000000000000004">
      <c r="C14" s="3" t="s">
        <v>48</v>
      </c>
      <c r="D14" s="4">
        <v>3</v>
      </c>
      <c r="E14" s="2" t="s">
        <v>179</v>
      </c>
      <c r="F14" s="8"/>
      <c r="L14" s="18" t="s">
        <v>21</v>
      </c>
      <c r="M14" s="8"/>
      <c r="N14" s="8">
        <v>15</v>
      </c>
      <c r="O14" s="19" t="s">
        <v>22</v>
      </c>
      <c r="P14" s="8"/>
      <c r="Q14" s="8"/>
      <c r="R14" s="8"/>
      <c r="S14" s="8"/>
      <c r="T14" s="18" t="s">
        <v>21</v>
      </c>
      <c r="U14" s="8"/>
      <c r="V14" s="8">
        <v>15</v>
      </c>
      <c r="W14" s="19" t="s">
        <v>22</v>
      </c>
      <c r="X14" s="8"/>
      <c r="Y14" s="8"/>
      <c r="Z14" s="8"/>
    </row>
    <row r="15" spans="3:26" ht="28.8" x14ac:dyDescent="0.55000000000000004">
      <c r="C15" s="10" t="s">
        <v>180</v>
      </c>
      <c r="D15" s="4">
        <v>3</v>
      </c>
      <c r="E15" s="2" t="s">
        <v>179</v>
      </c>
      <c r="F15" s="8"/>
      <c r="L15" s="18" t="s">
        <v>23</v>
      </c>
      <c r="M15" s="18"/>
      <c r="N15" s="8">
        <f>V15*'Unit Conversion'!D9</f>
        <v>6.4960629921259834</v>
      </c>
      <c r="O15" s="19" t="s">
        <v>22</v>
      </c>
      <c r="P15" s="8"/>
      <c r="Q15" s="8"/>
      <c r="R15" s="8"/>
      <c r="S15" s="8"/>
      <c r="T15" s="18" t="s">
        <v>24</v>
      </c>
      <c r="U15" s="18"/>
      <c r="V15" s="8">
        <v>1.98</v>
      </c>
      <c r="W15" s="19" t="s">
        <v>22</v>
      </c>
      <c r="X15" s="8"/>
      <c r="Y15" s="8"/>
      <c r="Z15" s="8"/>
    </row>
    <row r="16" spans="3:26" x14ac:dyDescent="0.55000000000000004">
      <c r="C16" s="3" t="s">
        <v>181</v>
      </c>
      <c r="D16" s="4">
        <v>56</v>
      </c>
      <c r="E16" s="2" t="s">
        <v>16</v>
      </c>
      <c r="F16" s="4">
        <v>30</v>
      </c>
      <c r="G16" s="2" t="s">
        <v>41</v>
      </c>
      <c r="L16" s="18"/>
      <c r="M16" s="8"/>
      <c r="N16" s="8"/>
      <c r="O16" s="19"/>
      <c r="P16" s="8"/>
      <c r="Q16" s="8"/>
      <c r="R16" s="8"/>
      <c r="S16" s="8"/>
      <c r="T16" s="18"/>
      <c r="U16" s="8"/>
      <c r="V16" s="8"/>
      <c r="W16" s="19"/>
      <c r="X16" s="8"/>
      <c r="Y16" s="8"/>
      <c r="Z16" s="8"/>
    </row>
    <row r="17" spans="3:26" x14ac:dyDescent="0.55000000000000004">
      <c r="L17" s="8" t="s">
        <v>26</v>
      </c>
      <c r="M17" s="23">
        <f>D11</f>
        <v>914.40000000000009</v>
      </c>
      <c r="N17" s="8" t="s">
        <v>27</v>
      </c>
      <c r="O17" s="8"/>
      <c r="P17" s="8"/>
      <c r="Q17" s="8"/>
      <c r="R17" s="8"/>
      <c r="S17" s="8"/>
      <c r="T17" s="8" t="s">
        <v>26</v>
      </c>
      <c r="U17" s="6">
        <f>F11</f>
        <v>3000</v>
      </c>
      <c r="V17" s="8" t="s">
        <v>8</v>
      </c>
      <c r="W17" s="8"/>
      <c r="X17" s="8"/>
      <c r="Y17" s="8"/>
      <c r="Z17" s="8"/>
    </row>
    <row r="18" spans="3:26" x14ac:dyDescent="0.55000000000000004">
      <c r="C18" s="3" t="s">
        <v>182</v>
      </c>
      <c r="D18" s="5">
        <v>490</v>
      </c>
      <c r="E18" s="2" t="s">
        <v>16</v>
      </c>
      <c r="F18" s="5">
        <v>265</v>
      </c>
      <c r="G18" s="2" t="s">
        <v>41</v>
      </c>
      <c r="H18" s="2" t="s">
        <v>17</v>
      </c>
      <c r="I18" s="5" t="s">
        <v>18</v>
      </c>
      <c r="L18" s="18"/>
      <c r="M18" s="8"/>
      <c r="N18" s="8"/>
      <c r="O18" s="8"/>
      <c r="P18" s="8"/>
      <c r="Q18" s="8"/>
      <c r="R18" s="8"/>
      <c r="S18" s="8"/>
      <c r="T18" s="18"/>
      <c r="U18" s="8"/>
      <c r="V18" s="8"/>
      <c r="W18" s="8"/>
      <c r="X18" s="8"/>
      <c r="Y18" s="8"/>
      <c r="Z18" s="8"/>
    </row>
    <row r="19" spans="3:26" x14ac:dyDescent="0.55000000000000004">
      <c r="L19" s="18" t="s">
        <v>32</v>
      </c>
      <c r="M19" s="18"/>
      <c r="N19" s="23">
        <f>M17</f>
        <v>914.40000000000009</v>
      </c>
      <c r="O19" s="8" t="s">
        <v>33</v>
      </c>
      <c r="P19" s="23">
        <f>N14-(N19*N15/1000)</f>
        <v>9.0599999999999987</v>
      </c>
      <c r="Q19" s="19" t="s">
        <v>22</v>
      </c>
      <c r="R19" s="8"/>
      <c r="S19" s="8"/>
      <c r="T19" s="18" t="s">
        <v>32</v>
      </c>
      <c r="U19" s="18"/>
      <c r="V19" s="6">
        <f>U17</f>
        <v>3000</v>
      </c>
      <c r="W19" s="8" t="s">
        <v>34</v>
      </c>
      <c r="X19" s="6">
        <f>V14-(V19*V15/1000)</f>
        <v>9.0599999999999987</v>
      </c>
      <c r="Y19" s="19" t="s">
        <v>22</v>
      </c>
      <c r="Z19" s="8"/>
    </row>
    <row r="20" spans="3:26" x14ac:dyDescent="0.55000000000000004">
      <c r="C20" s="29" t="s">
        <v>183</v>
      </c>
      <c r="L20" s="18"/>
      <c r="M20" s="8"/>
      <c r="N20" s="8"/>
      <c r="O20" s="8"/>
      <c r="P20" s="8"/>
      <c r="Q20" s="8"/>
      <c r="R20" s="8"/>
      <c r="S20" s="8"/>
      <c r="T20" s="18"/>
      <c r="U20" s="8"/>
      <c r="V20" s="8"/>
      <c r="W20" s="8"/>
      <c r="X20" s="8"/>
      <c r="Y20" s="8"/>
      <c r="Z20" s="8"/>
    </row>
    <row r="21" spans="3:26" x14ac:dyDescent="0.55000000000000004">
      <c r="L21" s="18" t="s">
        <v>37</v>
      </c>
      <c r="M21" s="6">
        <f>D12</f>
        <v>15</v>
      </c>
      <c r="N21" s="19" t="s">
        <v>22</v>
      </c>
      <c r="O21" s="18" t="s">
        <v>38</v>
      </c>
      <c r="P21" s="18"/>
      <c r="Q21" s="18"/>
      <c r="R21" s="8"/>
      <c r="S21" s="8"/>
      <c r="T21" s="18" t="s">
        <v>37</v>
      </c>
      <c r="U21" s="6">
        <f>D12</f>
        <v>15</v>
      </c>
      <c r="V21" s="19" t="s">
        <v>22</v>
      </c>
      <c r="W21" s="18" t="s">
        <v>38</v>
      </c>
      <c r="X21" s="18"/>
      <c r="Y21" s="18"/>
      <c r="Z21" s="8"/>
    </row>
    <row r="22" spans="3:26" x14ac:dyDescent="0.55000000000000004">
      <c r="C22" s="3" t="s">
        <v>175</v>
      </c>
      <c r="D22" s="23">
        <f>D11</f>
        <v>914.40000000000009</v>
      </c>
      <c r="E22" s="2" t="s">
        <v>9</v>
      </c>
      <c r="F22" s="23">
        <f>F11</f>
        <v>3000</v>
      </c>
      <c r="G22" s="2" t="s">
        <v>176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3:26" x14ac:dyDescent="0.55000000000000004">
      <c r="C23" s="3" t="s">
        <v>182</v>
      </c>
      <c r="D23" s="23">
        <f>D18</f>
        <v>490</v>
      </c>
      <c r="E23" s="2" t="s">
        <v>16</v>
      </c>
      <c r="F23" s="23">
        <f>F18</f>
        <v>265</v>
      </c>
      <c r="G23" s="2" t="s">
        <v>41</v>
      </c>
      <c r="L23" s="8" t="s">
        <v>40</v>
      </c>
      <c r="M23" s="7">
        <f>D18</f>
        <v>490</v>
      </c>
      <c r="N23" s="8" t="s">
        <v>16</v>
      </c>
      <c r="O23" s="8"/>
      <c r="P23" s="8"/>
      <c r="Q23" s="8"/>
      <c r="R23" s="8"/>
      <c r="S23" s="8"/>
      <c r="T23" s="8" t="s">
        <v>40</v>
      </c>
      <c r="U23" s="6">
        <f>F23</f>
        <v>265</v>
      </c>
      <c r="V23" s="8" t="s">
        <v>41</v>
      </c>
      <c r="W23" s="8"/>
      <c r="X23" s="8"/>
      <c r="Y23" s="8"/>
      <c r="Z23" s="8"/>
    </row>
    <row r="24" spans="3:26" x14ac:dyDescent="0.55000000000000004">
      <c r="C24" s="3" t="s">
        <v>184</v>
      </c>
      <c r="D24" s="23">
        <f>M25</f>
        <v>525.66391814592851</v>
      </c>
      <c r="E24" s="2" t="s">
        <v>16</v>
      </c>
      <c r="F24" s="23">
        <f>U25</f>
        <v>284.2876292013695</v>
      </c>
      <c r="G24" s="2" t="s">
        <v>41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3:26" x14ac:dyDescent="0.55000000000000004">
      <c r="C25" s="3" t="s">
        <v>185</v>
      </c>
      <c r="D25" s="23">
        <f>D24+D16</f>
        <v>581.66391814592851</v>
      </c>
      <c r="E25" s="2" t="s">
        <v>16</v>
      </c>
      <c r="F25" s="23">
        <f>F24+F16</f>
        <v>314.2876292013695</v>
      </c>
      <c r="G25" s="2" t="s">
        <v>41</v>
      </c>
      <c r="L25" s="8" t="s">
        <v>44</v>
      </c>
      <c r="M25" s="23">
        <f>M23*171233*POWER(((288+M21)-(N15/1000*N19)),0.5)/POWER((288-(N15/1000*N19)),2.628)</f>
        <v>525.66391814592851</v>
      </c>
      <c r="N25" s="8" t="s">
        <v>16</v>
      </c>
      <c r="O25" s="8"/>
      <c r="P25" s="8"/>
      <c r="Q25" s="8"/>
      <c r="R25" s="8"/>
      <c r="S25" s="8"/>
      <c r="T25" s="8" t="s">
        <v>44</v>
      </c>
      <c r="U25" s="23">
        <f>U23*171233*POWER(((288+U21)-(0.00198*V19)),0.5)/POWER((288-0.00198*V19),2.628)</f>
        <v>284.2876292013695</v>
      </c>
      <c r="V25" s="8" t="s">
        <v>41</v>
      </c>
      <c r="W25" s="8"/>
      <c r="X25" s="8"/>
      <c r="Y25" s="8"/>
      <c r="Z25" s="8"/>
    </row>
    <row r="26" spans="3:26" x14ac:dyDescent="0.55000000000000004">
      <c r="D26" s="67"/>
      <c r="F26" s="67"/>
      <c r="Z26" s="8"/>
    </row>
    <row r="27" spans="3:26" ht="28.8" x14ac:dyDescent="0.55000000000000004">
      <c r="C27" s="10" t="s">
        <v>186</v>
      </c>
      <c r="D27" s="23">
        <f>D25*((D14+D15)/3.6)</f>
        <v>969.4398635765474</v>
      </c>
      <c r="E27" s="2" t="s">
        <v>9</v>
      </c>
      <c r="F27" s="23">
        <f>F25*((D14+D15)/3600)</f>
        <v>0.52381271533561591</v>
      </c>
      <c r="G27" s="2" t="s">
        <v>31</v>
      </c>
      <c r="H27" s="2" t="s">
        <v>235</v>
      </c>
    </row>
    <row r="28" spans="3:26" x14ac:dyDescent="0.55000000000000004">
      <c r="L28" s="45"/>
      <c r="M28" s="45"/>
      <c r="N28" s="45"/>
      <c r="O28" s="45"/>
      <c r="P28" s="51"/>
    </row>
    <row r="29" spans="3:26" x14ac:dyDescent="0.55000000000000004">
      <c r="C29" s="29" t="s">
        <v>288</v>
      </c>
      <c r="L29" s="45"/>
      <c r="M29" s="45"/>
      <c r="N29" s="45"/>
      <c r="O29" s="45"/>
      <c r="P29" s="51"/>
    </row>
    <row r="30" spans="3:26" x14ac:dyDescent="0.55000000000000004">
      <c r="L30" s="45"/>
      <c r="M30" s="45"/>
      <c r="N30" s="45"/>
      <c r="O30" s="45"/>
      <c r="P30" s="51"/>
    </row>
    <row r="31" spans="3:26" x14ac:dyDescent="0.55000000000000004">
      <c r="C31" s="10" t="s">
        <v>56</v>
      </c>
      <c r="D31" s="23">
        <f>'Initial Segment'!D30+'Intermediate Segment'!E90+'Final Segment'!D27</f>
        <v>18953.706857763456</v>
      </c>
      <c r="E31" s="2" t="s">
        <v>53</v>
      </c>
      <c r="L31" s="45"/>
      <c r="M31" s="45"/>
      <c r="N31" s="45"/>
      <c r="O31" s="45"/>
      <c r="P31" s="51"/>
    </row>
    <row r="32" spans="3:26" x14ac:dyDescent="0.55000000000000004">
      <c r="C32" s="10" t="s">
        <v>69</v>
      </c>
      <c r="D32" s="23">
        <f>'Intermediate Segment'!E91+'Final Segment'!D27</f>
        <v>16172.936182252954</v>
      </c>
      <c r="E32" s="2" t="s">
        <v>53</v>
      </c>
      <c r="L32" s="45"/>
      <c r="M32" s="45"/>
      <c r="N32" s="45"/>
      <c r="O32" s="45"/>
      <c r="P32" s="51"/>
    </row>
    <row r="33" spans="3:16" x14ac:dyDescent="0.55000000000000004">
      <c r="L33" s="45"/>
      <c r="M33" s="45"/>
      <c r="N33" s="45"/>
      <c r="O33" s="45"/>
      <c r="P33" s="51"/>
    </row>
    <row r="34" spans="3:16" x14ac:dyDescent="0.55000000000000004">
      <c r="C34" s="10" t="s">
        <v>30</v>
      </c>
      <c r="D34" s="23">
        <f>'Initial Segment'!F8+(D31*TAN(IF('Exercise Data'!D11="VOR",RADIANS(7.8),RADIANS(10.3))))</f>
        <v>4448.3348804569105</v>
      </c>
      <c r="E34" s="2" t="s">
        <v>53</v>
      </c>
      <c r="L34" s="45"/>
      <c r="M34" s="45"/>
      <c r="N34" s="45"/>
      <c r="O34" s="45"/>
      <c r="P34" s="51"/>
    </row>
    <row r="35" spans="3:16" x14ac:dyDescent="0.55000000000000004">
      <c r="C35" s="10" t="s">
        <v>58</v>
      </c>
      <c r="D35" s="23">
        <f>D34/2</f>
        <v>2224.1674402284552</v>
      </c>
      <c r="E35" s="2" t="s">
        <v>53</v>
      </c>
      <c r="L35" s="45"/>
      <c r="M35" s="45"/>
      <c r="N35" s="45"/>
      <c r="O35" s="45"/>
      <c r="P35" s="51"/>
    </row>
    <row r="36" spans="3:16" ht="28.8" x14ac:dyDescent="0.55000000000000004">
      <c r="C36" s="10" t="s">
        <v>35</v>
      </c>
      <c r="D36" s="23">
        <f>D34/2</f>
        <v>2224.1674402284552</v>
      </c>
      <c r="E36" s="2" t="s">
        <v>53</v>
      </c>
      <c r="L36" s="45"/>
      <c r="M36" s="45"/>
      <c r="N36" s="45"/>
      <c r="O36" s="45"/>
      <c r="P36" s="51"/>
    </row>
    <row r="37" spans="3:16" x14ac:dyDescent="0.55000000000000004">
      <c r="C37" s="84"/>
      <c r="D37" s="85"/>
      <c r="L37" s="45"/>
      <c r="M37" s="45"/>
      <c r="N37" s="45"/>
      <c r="O37" s="45"/>
      <c r="P37" s="51"/>
    </row>
    <row r="38" spans="3:16" x14ac:dyDescent="0.55000000000000004">
      <c r="C38" s="29" t="s">
        <v>187</v>
      </c>
      <c r="L38" s="51"/>
      <c r="M38" s="45"/>
      <c r="N38" s="45"/>
      <c r="O38" s="45"/>
      <c r="P38" s="51"/>
    </row>
    <row r="39" spans="3:16" x14ac:dyDescent="0.55000000000000004">
      <c r="L39" s="51"/>
      <c r="M39" s="45"/>
      <c r="N39" s="45"/>
      <c r="O39" s="45"/>
      <c r="P39" s="51"/>
    </row>
    <row r="40" spans="3:16" x14ac:dyDescent="0.55000000000000004">
      <c r="C40" s="2" t="s">
        <v>188</v>
      </c>
      <c r="L40" s="51"/>
      <c r="M40" s="45"/>
      <c r="N40" s="45"/>
      <c r="O40" s="45"/>
      <c r="P40" s="51"/>
    </row>
    <row r="41" spans="3:16" x14ac:dyDescent="0.55000000000000004">
      <c r="L41" s="51"/>
      <c r="M41" s="45"/>
      <c r="N41" s="45"/>
      <c r="O41" s="45"/>
      <c r="P41" s="51"/>
    </row>
    <row r="42" spans="3:16" ht="15.6" x14ac:dyDescent="0.55000000000000004">
      <c r="C42" s="2" t="s">
        <v>189</v>
      </c>
      <c r="F42" s="2" t="s">
        <v>190</v>
      </c>
      <c r="L42" s="16" t="s">
        <v>229</v>
      </c>
      <c r="N42" s="45"/>
      <c r="O42" s="45"/>
      <c r="P42" s="51"/>
    </row>
    <row r="43" spans="3:16" x14ac:dyDescent="0.55000000000000004">
      <c r="C43" s="2" t="s">
        <v>193</v>
      </c>
      <c r="F43" s="2" t="s">
        <v>194</v>
      </c>
      <c r="N43" s="45"/>
      <c r="O43" s="2" t="s">
        <v>45</v>
      </c>
    </row>
    <row r="44" spans="3:16" x14ac:dyDescent="0.55000000000000004">
      <c r="L44" s="2" t="s">
        <v>191</v>
      </c>
      <c r="M44" s="5">
        <v>3</v>
      </c>
      <c r="N44" s="2" t="s">
        <v>192</v>
      </c>
      <c r="O44" s="23">
        <f>(6355*TAN(RADIANS(D13))/(PI()*M44))</f>
        <v>180.674507663497</v>
      </c>
      <c r="P44" s="2" t="s">
        <v>16</v>
      </c>
    </row>
    <row r="45" spans="3:16" ht="15.6" x14ac:dyDescent="0.55000000000000004">
      <c r="C45" s="16" t="s">
        <v>195</v>
      </c>
      <c r="O45" s="23">
        <f>(3431*TAN(RADIANS(D13))/(PI()*M44))</f>
        <v>97.54433293366769</v>
      </c>
      <c r="P45" s="2" t="s">
        <v>19</v>
      </c>
    </row>
    <row r="46" spans="3:16" x14ac:dyDescent="0.55000000000000004">
      <c r="C46" s="2" t="s">
        <v>191</v>
      </c>
    </row>
    <row r="47" spans="3:16" x14ac:dyDescent="0.55000000000000004">
      <c r="C47" s="2" t="s">
        <v>16</v>
      </c>
      <c r="D47" s="23">
        <f>IF((6355*TAN(RADIANS(D13))/(PI()*D24))&gt;3,3,(6355*TAN(RADIANS(D13))/(PI()*D24)))</f>
        <v>1.0311217952760854</v>
      </c>
      <c r="E47" s="2" t="s">
        <v>192</v>
      </c>
      <c r="F47" s="2" t="s">
        <v>196</v>
      </c>
    </row>
    <row r="48" spans="3:16" x14ac:dyDescent="0.55000000000000004">
      <c r="C48" s="2" t="s">
        <v>19</v>
      </c>
      <c r="D48" s="23">
        <f>IF((3431*TAN(RADIANS(D13))/(PI()*F24))&gt;3,3,(3431*TAN(RADIANS(D13))/(PI()*F24)))</f>
        <v>1.029355373721599</v>
      </c>
      <c r="E48" s="2" t="s">
        <v>192</v>
      </c>
    </row>
    <row r="50" spans="3:8" ht="15.6" x14ac:dyDescent="0.55000000000000004">
      <c r="C50" s="16" t="s">
        <v>197</v>
      </c>
    </row>
    <row r="52" spans="3:8" x14ac:dyDescent="0.55000000000000004">
      <c r="C52" s="2" t="s">
        <v>198</v>
      </c>
      <c r="E52" s="2" t="s">
        <v>199</v>
      </c>
    </row>
    <row r="54" spans="3:8" x14ac:dyDescent="0.55000000000000004">
      <c r="C54" s="38">
        <f>D24/(20*PI()*D47)</f>
        <v>8.1136885439975863</v>
      </c>
      <c r="D54" s="2" t="s">
        <v>200</v>
      </c>
      <c r="E54" s="80">
        <f>C54*1000</f>
        <v>8113.6885439975867</v>
      </c>
      <c r="F54" s="2" t="s">
        <v>53</v>
      </c>
    </row>
    <row r="55" spans="3:8" x14ac:dyDescent="0.55000000000000004">
      <c r="C55" s="38">
        <f>F24/(20*PI()*D48)</f>
        <v>4.3955452705987472</v>
      </c>
      <c r="D55" s="2" t="s">
        <v>13</v>
      </c>
    </row>
    <row r="57" spans="3:8" ht="15.6" x14ac:dyDescent="0.55000000000000004">
      <c r="C57" s="16" t="s">
        <v>201</v>
      </c>
    </row>
    <row r="58" spans="3:8" x14ac:dyDescent="0.55000000000000004">
      <c r="C58" s="2" t="s">
        <v>202</v>
      </c>
    </row>
    <row r="60" spans="3:8" x14ac:dyDescent="0.55000000000000004">
      <c r="C60" s="50" t="s">
        <v>203</v>
      </c>
      <c r="D60" s="12">
        <v>90</v>
      </c>
      <c r="E60" s="2" t="s">
        <v>204</v>
      </c>
      <c r="G60" s="12">
        <v>90</v>
      </c>
      <c r="H60" s="2" t="s">
        <v>204</v>
      </c>
    </row>
    <row r="61" spans="3:8" x14ac:dyDescent="0.55000000000000004">
      <c r="C61" s="50" t="s">
        <v>83</v>
      </c>
      <c r="D61" s="23">
        <f>D47</f>
        <v>1.0311217952760854</v>
      </c>
      <c r="E61" s="2" t="s">
        <v>205</v>
      </c>
      <c r="G61" s="23">
        <f>D48</f>
        <v>1.029355373721599</v>
      </c>
      <c r="H61" s="2" t="s">
        <v>205</v>
      </c>
    </row>
    <row r="62" spans="3:8" x14ac:dyDescent="0.55000000000000004">
      <c r="C62" s="50" t="s">
        <v>148</v>
      </c>
      <c r="D62" s="6">
        <f>D16</f>
        <v>56</v>
      </c>
      <c r="E62" s="2" t="s">
        <v>206</v>
      </c>
      <c r="G62" s="6">
        <f>F16</f>
        <v>30</v>
      </c>
      <c r="H62" s="2" t="s">
        <v>207</v>
      </c>
    </row>
    <row r="63" spans="3:8" x14ac:dyDescent="0.55000000000000004">
      <c r="C63" s="2" t="s">
        <v>208</v>
      </c>
      <c r="D63" s="23">
        <f>(D60/D61)*(D62/3600)</f>
        <v>1.3577445520149698</v>
      </c>
      <c r="E63" s="2" t="s">
        <v>209</v>
      </c>
      <c r="G63" s="23">
        <f>(G60/G61)*(G62/3600)</f>
        <v>0.72861134176470144</v>
      </c>
      <c r="H63" s="2" t="s">
        <v>210</v>
      </c>
    </row>
    <row r="65" spans="3:7" x14ac:dyDescent="0.55000000000000004">
      <c r="C65" s="2" t="s">
        <v>211</v>
      </c>
    </row>
    <row r="67" spans="3:7" x14ac:dyDescent="0.55000000000000004">
      <c r="C67" s="2" t="s">
        <v>212</v>
      </c>
    </row>
    <row r="68" spans="3:7" x14ac:dyDescent="0.55000000000000004">
      <c r="C68" s="2" t="s">
        <v>213</v>
      </c>
      <c r="D68" s="38">
        <f>C54</f>
        <v>8.1136885439975863</v>
      </c>
      <c r="E68" s="2" t="s">
        <v>200</v>
      </c>
      <c r="F68" s="23">
        <f>D68*1000</f>
        <v>8113.6885439975867</v>
      </c>
      <c r="G68" s="2" t="s">
        <v>53</v>
      </c>
    </row>
    <row r="69" spans="3:7" x14ac:dyDescent="0.55000000000000004">
      <c r="C69" s="2" t="s">
        <v>214</v>
      </c>
      <c r="D69" s="38">
        <f>D63</f>
        <v>1.3577445520149698</v>
      </c>
      <c r="E69" s="2" t="s">
        <v>200</v>
      </c>
      <c r="F69" s="81">
        <f>D69*1000</f>
        <v>1357.7445520149697</v>
      </c>
      <c r="G69" s="2" t="s">
        <v>53</v>
      </c>
    </row>
    <row r="70" spans="3:7" x14ac:dyDescent="0.55000000000000004">
      <c r="D70" s="69"/>
      <c r="F70" s="67"/>
    </row>
    <row r="71" spans="3:7" x14ac:dyDescent="0.55000000000000004">
      <c r="C71" s="42" t="s">
        <v>215</v>
      </c>
      <c r="D71" s="38">
        <f>SQRT(POWER(D68,2)+POWER(D69,2))</f>
        <v>8.2265066740095705</v>
      </c>
      <c r="E71" s="2" t="s">
        <v>200</v>
      </c>
      <c r="F71" s="23">
        <f>D71*1000</f>
        <v>8226.5066740095699</v>
      </c>
      <c r="G71" s="2" t="s">
        <v>53</v>
      </c>
    </row>
    <row r="72" spans="3:7" x14ac:dyDescent="0.55000000000000004">
      <c r="C72" s="42" t="s">
        <v>216</v>
      </c>
      <c r="D72" s="38">
        <f>D68+D69</f>
        <v>9.4714330960125555</v>
      </c>
      <c r="E72" s="2" t="s">
        <v>200</v>
      </c>
      <c r="F72" s="23">
        <f>D72*1000</f>
        <v>9471.4330960125553</v>
      </c>
      <c r="G72" s="2" t="s">
        <v>53</v>
      </c>
    </row>
    <row r="73" spans="3:7" x14ac:dyDescent="0.55000000000000004">
      <c r="C73" s="42" t="s">
        <v>217</v>
      </c>
      <c r="D73" s="38">
        <f>D68+(2*D69)</f>
        <v>10.829177648027526</v>
      </c>
      <c r="E73" s="2" t="s">
        <v>200</v>
      </c>
      <c r="F73" s="23">
        <f>D73*1000</f>
        <v>10829.177648027526</v>
      </c>
      <c r="G73" s="2" t="s">
        <v>53</v>
      </c>
    </row>
    <row r="74" spans="3:7" x14ac:dyDescent="0.55000000000000004">
      <c r="C74" s="42" t="s">
        <v>218</v>
      </c>
      <c r="D74" s="38">
        <f>D68+(3*D69)</f>
        <v>12.186922200042495</v>
      </c>
      <c r="E74" s="2" t="s">
        <v>200</v>
      </c>
      <c r="F74" s="23">
        <f>D74*1000</f>
        <v>12186.922200042496</v>
      </c>
      <c r="G74" s="2" t="s">
        <v>53</v>
      </c>
    </row>
    <row r="76" spans="3:7" x14ac:dyDescent="0.55000000000000004">
      <c r="C76" s="17" t="s">
        <v>219</v>
      </c>
    </row>
    <row r="77" spans="3:7" x14ac:dyDescent="0.55000000000000004">
      <c r="C77" s="17" t="s">
        <v>220</v>
      </c>
    </row>
    <row r="78" spans="3:7" x14ac:dyDescent="0.55000000000000004">
      <c r="C78" s="17" t="s">
        <v>221</v>
      </c>
    </row>
    <row r="79" spans="3:7" x14ac:dyDescent="0.55000000000000004">
      <c r="C79" s="17" t="s">
        <v>222</v>
      </c>
    </row>
    <row r="80" spans="3:7" x14ac:dyDescent="0.55000000000000004">
      <c r="C80" s="17" t="s">
        <v>223</v>
      </c>
    </row>
    <row r="81" spans="3:3" x14ac:dyDescent="0.55000000000000004">
      <c r="C81" s="17" t="s">
        <v>224</v>
      </c>
    </row>
    <row r="82" spans="3:3" x14ac:dyDescent="0.55000000000000004">
      <c r="C82" s="17" t="s">
        <v>225</v>
      </c>
    </row>
    <row r="84" spans="3:3" x14ac:dyDescent="0.55000000000000004">
      <c r="C84" s="17" t="s">
        <v>226</v>
      </c>
    </row>
    <row r="85" spans="3:3" x14ac:dyDescent="0.55000000000000004">
      <c r="C85" s="17" t="s">
        <v>227</v>
      </c>
    </row>
    <row r="86" spans="3:3" x14ac:dyDescent="0.55000000000000004">
      <c r="C86" s="17" t="s">
        <v>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65C9-85B0-4E54-B85C-F180E9AB6D16}">
  <dimension ref="C4:Z44"/>
  <sheetViews>
    <sheetView showGridLines="0" workbookViewId="0"/>
  </sheetViews>
  <sheetFormatPr defaultRowHeight="14.4" x14ac:dyDescent="0.55000000000000004"/>
  <cols>
    <col min="2" max="2" width="10.83984375" bestFit="1" customWidth="1"/>
    <col min="3" max="3" width="11.68359375" bestFit="1" customWidth="1"/>
    <col min="4" max="4" width="14.41796875" bestFit="1" customWidth="1"/>
    <col min="5" max="5" width="11.9453125" customWidth="1"/>
    <col min="6" max="6" width="9" bestFit="1" customWidth="1"/>
    <col min="13" max="13" width="11.15625" customWidth="1"/>
  </cols>
  <sheetData>
    <row r="4" spans="3:26" ht="25.8" x14ac:dyDescent="0.55000000000000004">
      <c r="C4" s="26" t="s">
        <v>136</v>
      </c>
      <c r="D4" s="2"/>
      <c r="E4" s="2"/>
      <c r="F4" s="2"/>
    </row>
    <row r="5" spans="3:26" ht="15.6" x14ac:dyDescent="0.6">
      <c r="L5" s="40" t="s">
        <v>173</v>
      </c>
      <c r="M5" s="40"/>
      <c r="N5" s="40"/>
      <c r="S5" s="35"/>
      <c r="T5" s="40" t="s">
        <v>174</v>
      </c>
      <c r="U5" s="40"/>
      <c r="V5" s="40"/>
      <c r="W5" s="40"/>
    </row>
    <row r="6" spans="3:26" x14ac:dyDescent="0.55000000000000004">
      <c r="L6" s="36" t="s">
        <v>14</v>
      </c>
      <c r="M6" s="36"/>
      <c r="N6" s="36"/>
      <c r="O6" s="36"/>
      <c r="P6" s="36"/>
      <c r="Q6" s="36"/>
      <c r="R6" s="36"/>
      <c r="S6" s="35"/>
      <c r="T6" s="36" t="s">
        <v>15</v>
      </c>
      <c r="U6" s="36"/>
      <c r="V6" s="36"/>
      <c r="W6" s="36"/>
      <c r="X6" s="36"/>
      <c r="Y6" s="36"/>
      <c r="Z6" s="36"/>
    </row>
    <row r="7" spans="3:26" ht="28.8" x14ac:dyDescent="0.55000000000000004">
      <c r="C7" s="1" t="s">
        <v>97</v>
      </c>
      <c r="D7" s="1" t="s">
        <v>1</v>
      </c>
      <c r="E7" s="15" t="s">
        <v>2</v>
      </c>
      <c r="F7" s="1" t="s">
        <v>3</v>
      </c>
      <c r="G7" s="2"/>
      <c r="S7" s="35"/>
    </row>
    <row r="8" spans="3:26" x14ac:dyDescent="0.55000000000000004">
      <c r="C8" s="3" t="s">
        <v>142</v>
      </c>
      <c r="D8" s="4">
        <v>0.30480000000000002</v>
      </c>
      <c r="E8" s="5"/>
      <c r="F8" s="6">
        <f>D8*E8</f>
        <v>0</v>
      </c>
      <c r="G8" s="2" t="s">
        <v>53</v>
      </c>
      <c r="L8" t="s">
        <v>20</v>
      </c>
      <c r="S8" s="35"/>
      <c r="T8" t="s">
        <v>20</v>
      </c>
    </row>
    <row r="9" spans="3:26" x14ac:dyDescent="0.55000000000000004">
      <c r="C9" s="3" t="s">
        <v>141</v>
      </c>
      <c r="D9" s="4">
        <f>1/D8</f>
        <v>3.280839895013123</v>
      </c>
      <c r="E9" s="5"/>
      <c r="F9" s="6">
        <f>D9*E9</f>
        <v>0</v>
      </c>
      <c r="G9" s="2" t="s">
        <v>8</v>
      </c>
      <c r="L9" s="36" t="s">
        <v>21</v>
      </c>
      <c r="M9" s="35"/>
      <c r="N9" s="35">
        <v>15</v>
      </c>
      <c r="O9" s="37" t="s">
        <v>22</v>
      </c>
      <c r="P9" s="35"/>
      <c r="Q9" s="35"/>
      <c r="R9" s="35"/>
      <c r="S9" s="35"/>
      <c r="T9" s="36" t="s">
        <v>21</v>
      </c>
      <c r="U9" s="35"/>
      <c r="V9" s="35">
        <v>15</v>
      </c>
      <c r="W9" s="37" t="s">
        <v>22</v>
      </c>
      <c r="X9" s="35"/>
      <c r="Y9" s="35"/>
      <c r="Z9" s="35"/>
    </row>
    <row r="10" spans="3:26" x14ac:dyDescent="0.55000000000000004">
      <c r="C10" s="3" t="s">
        <v>143</v>
      </c>
      <c r="D10" s="4">
        <f>1852</f>
        <v>1852</v>
      </c>
      <c r="E10" s="5"/>
      <c r="F10" s="6">
        <f t="shared" ref="F10:F13" si="0">E10*D10</f>
        <v>0</v>
      </c>
      <c r="G10" s="2" t="s">
        <v>53</v>
      </c>
      <c r="L10" s="36" t="s">
        <v>264</v>
      </c>
      <c r="M10" s="36"/>
      <c r="N10" s="35">
        <v>6.49</v>
      </c>
      <c r="O10" s="37" t="s">
        <v>22</v>
      </c>
      <c r="P10" s="35"/>
      <c r="Q10" s="35"/>
      <c r="R10" s="35"/>
      <c r="S10" s="35"/>
      <c r="T10" s="36" t="s">
        <v>24</v>
      </c>
      <c r="U10" s="36"/>
      <c r="V10" s="35">
        <v>1.98</v>
      </c>
      <c r="W10" s="37" t="s">
        <v>22</v>
      </c>
      <c r="X10" s="35"/>
      <c r="Y10" s="35"/>
      <c r="Z10" s="35"/>
    </row>
    <row r="11" spans="3:26" x14ac:dyDescent="0.55000000000000004">
      <c r="C11" s="3" t="s">
        <v>144</v>
      </c>
      <c r="D11" s="4">
        <f>1/D10</f>
        <v>5.3995680345572358E-4</v>
      </c>
      <c r="E11" s="5"/>
      <c r="F11" s="6">
        <f t="shared" si="0"/>
        <v>0</v>
      </c>
      <c r="G11" s="2" t="s">
        <v>31</v>
      </c>
      <c r="L11" s="36"/>
      <c r="M11" s="35"/>
      <c r="N11" s="35"/>
      <c r="O11" s="37"/>
      <c r="P11" s="35"/>
      <c r="Q11" s="35"/>
      <c r="R11" s="35"/>
      <c r="S11" s="35"/>
      <c r="T11" s="36"/>
      <c r="U11" s="35"/>
      <c r="V11" s="35"/>
      <c r="W11" s="37"/>
      <c r="X11" s="35"/>
      <c r="Y11" s="35"/>
      <c r="Z11" s="35"/>
    </row>
    <row r="12" spans="3:26" x14ac:dyDescent="0.55000000000000004">
      <c r="C12" s="3" t="s">
        <v>145</v>
      </c>
      <c r="D12" s="4">
        <f>D10/1000</f>
        <v>1.8520000000000001</v>
      </c>
      <c r="E12" s="5"/>
      <c r="F12" s="6">
        <f t="shared" si="0"/>
        <v>0</v>
      </c>
      <c r="G12" s="2" t="s">
        <v>16</v>
      </c>
      <c r="L12" s="35" t="s">
        <v>26</v>
      </c>
      <c r="M12" s="47"/>
      <c r="N12" s="35" t="s">
        <v>27</v>
      </c>
      <c r="O12" s="35"/>
      <c r="P12" s="35"/>
      <c r="Q12" s="35"/>
      <c r="R12" s="35"/>
      <c r="S12" s="35"/>
      <c r="T12" s="35" t="s">
        <v>26</v>
      </c>
      <c r="U12" s="34"/>
      <c r="V12" s="35" t="s">
        <v>8</v>
      </c>
      <c r="W12" s="35"/>
      <c r="X12" s="35"/>
      <c r="Y12" s="35"/>
      <c r="Z12" s="35"/>
    </row>
    <row r="13" spans="3:26" x14ac:dyDescent="0.55000000000000004">
      <c r="C13" s="3" t="s">
        <v>146</v>
      </c>
      <c r="D13" s="4">
        <f>1/D12</f>
        <v>0.5399568034557235</v>
      </c>
      <c r="E13" s="5"/>
      <c r="F13" s="6">
        <f t="shared" si="0"/>
        <v>0</v>
      </c>
      <c r="G13" s="2" t="s">
        <v>41</v>
      </c>
      <c r="L13" s="36"/>
      <c r="M13" s="35"/>
      <c r="N13" s="35"/>
      <c r="O13" s="35"/>
      <c r="P13" s="35"/>
      <c r="Q13" s="35"/>
      <c r="R13" s="35"/>
      <c r="S13" s="35"/>
      <c r="T13" s="36"/>
      <c r="U13" s="35"/>
      <c r="V13" s="35"/>
      <c r="W13" s="35"/>
      <c r="X13" s="35"/>
      <c r="Y13" s="35"/>
      <c r="Z13" s="35"/>
    </row>
    <row r="14" spans="3:26" x14ac:dyDescent="0.55000000000000004">
      <c r="C14" s="2"/>
      <c r="D14" s="2"/>
      <c r="E14" s="2"/>
      <c r="F14" s="2"/>
      <c r="G14" s="2"/>
      <c r="L14" s="36" t="s">
        <v>32</v>
      </c>
      <c r="M14" s="36"/>
      <c r="N14" s="33">
        <f>M12</f>
        <v>0</v>
      </c>
      <c r="O14" s="35" t="s">
        <v>33</v>
      </c>
      <c r="P14" s="33">
        <f>N9-(N14*N10/1000)</f>
        <v>15</v>
      </c>
      <c r="Q14" s="37" t="s">
        <v>22</v>
      </c>
      <c r="R14" s="35"/>
      <c r="S14" s="35"/>
      <c r="T14" s="36" t="s">
        <v>32</v>
      </c>
      <c r="U14" s="36"/>
      <c r="V14" s="33">
        <f>U12</f>
        <v>0</v>
      </c>
      <c r="W14" s="35" t="s">
        <v>34</v>
      </c>
      <c r="X14" s="33">
        <f>V9-(V14*V10/1000)</f>
        <v>15</v>
      </c>
      <c r="Y14" s="37" t="s">
        <v>22</v>
      </c>
      <c r="Z14" s="35"/>
    </row>
    <row r="15" spans="3:26" x14ac:dyDescent="0.55000000000000004">
      <c r="C15" s="41"/>
      <c r="D15" s="45"/>
      <c r="E15" s="48"/>
      <c r="F15" s="2"/>
      <c r="G15" s="2"/>
      <c r="L15" s="36"/>
      <c r="M15" s="35"/>
      <c r="N15" s="35"/>
      <c r="O15" s="35"/>
      <c r="P15" s="35"/>
      <c r="Q15" s="35"/>
      <c r="R15" s="35"/>
      <c r="S15" s="35"/>
      <c r="T15" s="36"/>
      <c r="U15" s="35"/>
      <c r="V15" s="35"/>
      <c r="W15" s="35"/>
      <c r="X15" s="35"/>
      <c r="Y15" s="35"/>
      <c r="Z15" s="35"/>
    </row>
    <row r="16" spans="3:26" x14ac:dyDescent="0.55000000000000004">
      <c r="C16" s="53" t="s">
        <v>256</v>
      </c>
      <c r="D16" s="8"/>
      <c r="L16" s="36" t="s">
        <v>37</v>
      </c>
      <c r="M16" s="33">
        <f>D8</f>
        <v>0.30480000000000002</v>
      </c>
      <c r="N16" s="37" t="s">
        <v>22</v>
      </c>
      <c r="O16" s="36" t="s">
        <v>38</v>
      </c>
      <c r="P16" s="36"/>
      <c r="Q16" s="36"/>
      <c r="R16" s="35"/>
      <c r="S16" s="35"/>
      <c r="T16" s="36" t="s">
        <v>37</v>
      </c>
      <c r="U16" s="33">
        <f>D8</f>
        <v>0.30480000000000002</v>
      </c>
      <c r="V16" s="37" t="s">
        <v>22</v>
      </c>
      <c r="W16" s="36" t="s">
        <v>38</v>
      </c>
      <c r="X16" s="36"/>
      <c r="Y16" s="36"/>
      <c r="Z16" s="35"/>
    </row>
    <row r="17" spans="3:26" x14ac:dyDescent="0.55000000000000004">
      <c r="C17" s="62" t="s">
        <v>45</v>
      </c>
      <c r="D17" s="5"/>
      <c r="E17" s="25" t="s">
        <v>16</v>
      </c>
      <c r="F17" s="5"/>
      <c r="G17" s="25" t="s">
        <v>41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3:26" x14ac:dyDescent="0.55000000000000004">
      <c r="C18" s="62" t="s">
        <v>257</v>
      </c>
      <c r="D18" s="5"/>
      <c r="E18" s="25" t="s">
        <v>49</v>
      </c>
      <c r="F18" s="5"/>
      <c r="G18" s="25" t="s">
        <v>49</v>
      </c>
      <c r="L18" s="35" t="s">
        <v>40</v>
      </c>
      <c r="M18" s="33">
        <v>410</v>
      </c>
      <c r="N18" s="35" t="s">
        <v>16</v>
      </c>
      <c r="O18" s="35"/>
      <c r="P18" s="35"/>
      <c r="Q18" s="35"/>
      <c r="R18" s="35"/>
      <c r="S18" s="35"/>
      <c r="T18" s="35" t="s">
        <v>40</v>
      </c>
      <c r="U18" s="33">
        <f>F18</f>
        <v>0</v>
      </c>
      <c r="V18" s="35" t="s">
        <v>41</v>
      </c>
      <c r="W18" s="35"/>
      <c r="X18" s="35"/>
      <c r="Y18" s="35"/>
      <c r="Z18" s="35"/>
    </row>
    <row r="19" spans="3:26" x14ac:dyDescent="0.55000000000000004">
      <c r="C19" s="62" t="s">
        <v>258</v>
      </c>
      <c r="D19" s="6">
        <f>D17*D18/3600</f>
        <v>0</v>
      </c>
      <c r="E19" s="25" t="s">
        <v>200</v>
      </c>
      <c r="F19" s="6">
        <f>F17*F18/3600</f>
        <v>0</v>
      </c>
      <c r="G19" s="25" t="s">
        <v>31</v>
      </c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3:26" x14ac:dyDescent="0.55000000000000004">
      <c r="L20" s="35" t="s">
        <v>44</v>
      </c>
      <c r="M20" s="39">
        <f>M18*171233*POWER(((288+M16)-(0.006496*N14)),0.5)/POWER((288-0.006496*N14),2.628)</f>
        <v>410.21713863765001</v>
      </c>
      <c r="N20" s="35" t="s">
        <v>16</v>
      </c>
      <c r="O20" s="35"/>
      <c r="P20" s="35"/>
      <c r="Q20" s="35"/>
      <c r="R20" s="35"/>
      <c r="S20" s="35"/>
      <c r="T20" s="35" t="s">
        <v>44</v>
      </c>
      <c r="U20" s="39">
        <f>U18*171233*POWER(((288+U16)-(0.00198*V14)),0.5)/POWER((288-0.00198*V14),2.628)</f>
        <v>0</v>
      </c>
      <c r="V20" s="35" t="s">
        <v>41</v>
      </c>
      <c r="W20" s="35"/>
      <c r="X20" s="35"/>
      <c r="Y20" s="35"/>
      <c r="Z20" s="35"/>
    </row>
    <row r="21" spans="3:26" x14ac:dyDescent="0.55000000000000004">
      <c r="Z21" s="35"/>
    </row>
    <row r="24" spans="3:26" x14ac:dyDescent="0.55000000000000004">
      <c r="C24" s="53" t="s">
        <v>248</v>
      </c>
    </row>
    <row r="25" spans="3:26" x14ac:dyDescent="0.55000000000000004">
      <c r="C25" s="2" t="s">
        <v>236</v>
      </c>
      <c r="D25" s="2"/>
      <c r="E25" s="2"/>
      <c r="F25" s="2"/>
      <c r="G25" s="2"/>
      <c r="H25" s="2"/>
      <c r="I25" s="2"/>
      <c r="J25" s="2"/>
      <c r="K25" s="2"/>
      <c r="L25" s="2"/>
      <c r="N25" s="1" t="s">
        <v>255</v>
      </c>
      <c r="O25" s="58" t="s">
        <v>29</v>
      </c>
      <c r="P25" s="8"/>
      <c r="Q25" s="58" t="s">
        <v>29</v>
      </c>
      <c r="R25" s="58" t="s">
        <v>255</v>
      </c>
    </row>
    <row r="26" spans="3:26" x14ac:dyDescent="0.55000000000000004">
      <c r="C26" s="2" t="s">
        <v>237</v>
      </c>
      <c r="D26" s="2"/>
      <c r="E26" s="2"/>
      <c r="F26" s="2"/>
      <c r="G26" s="2"/>
      <c r="H26" s="2"/>
      <c r="I26" s="2"/>
      <c r="J26" s="2"/>
      <c r="K26" s="2"/>
      <c r="L26" s="2"/>
      <c r="N26" s="61">
        <v>2.5000000000000001E-2</v>
      </c>
      <c r="O26" s="64">
        <f>DEGREES(ATAN(N26))</f>
        <v>1.4320961841646465</v>
      </c>
      <c r="P26" s="8"/>
      <c r="Q26" s="59"/>
      <c r="R26" s="9">
        <f>TAN(RADIANS(Q26))</f>
        <v>0</v>
      </c>
    </row>
    <row r="27" spans="3:26" x14ac:dyDescent="0.55000000000000004">
      <c r="C27" s="2"/>
      <c r="D27" s="2"/>
      <c r="E27" s="2"/>
      <c r="F27" s="2"/>
      <c r="G27" s="2"/>
      <c r="H27" s="2"/>
      <c r="I27" s="2"/>
      <c r="J27" s="2"/>
      <c r="K27" s="2"/>
      <c r="L27" s="2"/>
      <c r="N27" s="60"/>
      <c r="O27" s="64">
        <f t="shared" ref="O27:O28" si="1">DEGREES(ATAN(N27))</f>
        <v>0</v>
      </c>
      <c r="Q27" s="59"/>
      <c r="R27" s="9">
        <f t="shared" ref="R27:R28" si="2">TAN(RADIANS(Q27))</f>
        <v>0</v>
      </c>
    </row>
    <row r="28" spans="3:26" x14ac:dyDescent="0.55000000000000004">
      <c r="C28" s="4" t="s">
        <v>238</v>
      </c>
      <c r="D28" s="5"/>
      <c r="E28" s="8"/>
      <c r="F28" s="4" t="s">
        <v>239</v>
      </c>
      <c r="G28" s="5"/>
      <c r="H28" s="8"/>
      <c r="I28" s="4" t="s">
        <v>239</v>
      </c>
      <c r="J28" s="5"/>
      <c r="K28" s="2"/>
      <c r="L28" s="2"/>
      <c r="N28" s="60"/>
      <c r="O28" s="64">
        <f t="shared" si="1"/>
        <v>0</v>
      </c>
      <c r="Q28" s="59"/>
      <c r="R28" s="9">
        <f t="shared" si="2"/>
        <v>0</v>
      </c>
    </row>
    <row r="29" spans="3:26" x14ac:dyDescent="0.55000000000000004">
      <c r="C29" s="63" t="s">
        <v>240</v>
      </c>
      <c r="D29" s="5"/>
      <c r="E29" s="8"/>
      <c r="F29" s="63" t="s">
        <v>240</v>
      </c>
      <c r="G29" s="5"/>
      <c r="H29" s="8"/>
      <c r="I29" s="4" t="s">
        <v>238</v>
      </c>
      <c r="J29" s="5"/>
      <c r="K29" s="2"/>
      <c r="L29" s="2"/>
      <c r="M29" s="2"/>
      <c r="N29" s="2"/>
    </row>
    <row r="30" spans="3:26" x14ac:dyDescent="0.55000000000000004">
      <c r="C30" s="63" t="s">
        <v>239</v>
      </c>
      <c r="D30" s="6">
        <f>D28*SIN(RADIANS(D29))</f>
        <v>0</v>
      </c>
      <c r="E30" s="8"/>
      <c r="F30" s="63" t="s">
        <v>238</v>
      </c>
      <c r="G30" s="6" t="e">
        <f>G28/SIN(RADIANS(G29))</f>
        <v>#DIV/0!</v>
      </c>
      <c r="H30" s="8"/>
      <c r="I30" s="63" t="s">
        <v>240</v>
      </c>
      <c r="J30" s="6" t="e">
        <f>DEGREES(ASIN(J28/J29))</f>
        <v>#DIV/0!</v>
      </c>
      <c r="K30" s="2"/>
      <c r="L30" s="2"/>
      <c r="M30" s="2"/>
      <c r="N30" s="2"/>
    </row>
    <row r="31" spans="3:26" x14ac:dyDescent="0.55000000000000004">
      <c r="C31" s="8"/>
      <c r="D31" s="8"/>
      <c r="E31" s="8"/>
      <c r="F31" s="8"/>
      <c r="G31" s="8"/>
      <c r="H31" s="8"/>
      <c r="I31" s="8"/>
      <c r="J31" s="8"/>
      <c r="K31" s="2"/>
      <c r="L31" s="2"/>
      <c r="M31" s="2"/>
      <c r="N31" s="2"/>
    </row>
    <row r="32" spans="3:26" x14ac:dyDescent="0.55000000000000004">
      <c r="C32" s="25" t="s">
        <v>241</v>
      </c>
      <c r="D32" s="8"/>
      <c r="E32" s="8"/>
      <c r="F32" s="8"/>
      <c r="G32" s="8"/>
      <c r="H32" s="8"/>
      <c r="I32" s="8"/>
      <c r="J32" s="8"/>
      <c r="K32" s="2"/>
      <c r="L32" s="2"/>
      <c r="M32" s="2"/>
      <c r="N32" s="2"/>
    </row>
    <row r="33" spans="3:14" x14ac:dyDescent="0.55000000000000004">
      <c r="C33" s="25" t="s">
        <v>242</v>
      </c>
      <c r="D33" s="8"/>
      <c r="E33" s="8"/>
      <c r="F33" s="8"/>
      <c r="G33" s="8"/>
      <c r="H33" s="8"/>
      <c r="I33" s="8"/>
      <c r="J33" s="8"/>
      <c r="K33" s="2"/>
      <c r="L33" s="2"/>
      <c r="M33" s="2"/>
      <c r="N33" s="2"/>
    </row>
    <row r="34" spans="3:14" x14ac:dyDescent="0.55000000000000004">
      <c r="C34" s="8"/>
      <c r="D34" s="8"/>
      <c r="E34" s="8"/>
      <c r="F34" s="8"/>
      <c r="G34" s="8"/>
      <c r="H34" s="8"/>
      <c r="I34" s="8"/>
      <c r="J34" s="8"/>
      <c r="K34" s="2"/>
      <c r="L34" s="2"/>
      <c r="M34" s="2"/>
      <c r="N34" s="2"/>
    </row>
    <row r="35" spans="3:14" x14ac:dyDescent="0.55000000000000004">
      <c r="C35" s="4" t="s">
        <v>238</v>
      </c>
      <c r="D35" s="5"/>
      <c r="E35" s="8"/>
      <c r="F35" s="4" t="s">
        <v>243</v>
      </c>
      <c r="G35" s="5"/>
      <c r="H35" s="8"/>
      <c r="I35" s="4" t="s">
        <v>243</v>
      </c>
      <c r="J35" s="5"/>
      <c r="K35" s="2"/>
      <c r="L35" s="2"/>
      <c r="M35" s="2"/>
      <c r="N35" s="2"/>
    </row>
    <row r="36" spans="3:14" x14ac:dyDescent="0.55000000000000004">
      <c r="C36" s="63" t="s">
        <v>240</v>
      </c>
      <c r="D36" s="5"/>
      <c r="E36" s="8"/>
      <c r="F36" s="63" t="s">
        <v>240</v>
      </c>
      <c r="G36" s="5"/>
      <c r="H36" s="8"/>
      <c r="I36" s="4" t="s">
        <v>238</v>
      </c>
      <c r="J36" s="5"/>
      <c r="K36" s="2"/>
      <c r="L36" s="2"/>
      <c r="M36" s="2"/>
      <c r="N36" s="2"/>
    </row>
    <row r="37" spans="3:14" x14ac:dyDescent="0.55000000000000004">
      <c r="C37" s="63" t="s">
        <v>243</v>
      </c>
      <c r="D37" s="6">
        <f>D35*COS(RADIANS(D36))</f>
        <v>0</v>
      </c>
      <c r="E37" s="8"/>
      <c r="F37" s="63" t="s">
        <v>238</v>
      </c>
      <c r="G37" s="6">
        <f>G35/COS(RADIANS(G36))</f>
        <v>0</v>
      </c>
      <c r="H37" s="8"/>
      <c r="I37" s="63" t="s">
        <v>240</v>
      </c>
      <c r="J37" s="6" t="e">
        <f>DEGREES(ACOS(J35/J36))</f>
        <v>#DIV/0!</v>
      </c>
      <c r="K37" s="2"/>
      <c r="L37" s="2"/>
      <c r="M37" s="2"/>
      <c r="N37" s="2"/>
    </row>
    <row r="38" spans="3:14" x14ac:dyDescent="0.55000000000000004">
      <c r="C38" s="8"/>
      <c r="D38" s="8"/>
      <c r="E38" s="8"/>
      <c r="F38" s="8"/>
      <c r="G38" s="8"/>
      <c r="H38" s="8"/>
      <c r="I38" s="8"/>
      <c r="J38" s="8"/>
      <c r="K38" s="2"/>
      <c r="L38" s="2"/>
      <c r="M38" s="2"/>
      <c r="N38" s="2"/>
    </row>
    <row r="39" spans="3:14" x14ac:dyDescent="0.55000000000000004">
      <c r="C39" s="25" t="s">
        <v>244</v>
      </c>
      <c r="D39" s="8"/>
      <c r="E39" s="8"/>
      <c r="F39" s="8"/>
      <c r="G39" s="8"/>
      <c r="H39" s="8"/>
      <c r="I39" s="8"/>
      <c r="J39" s="8"/>
      <c r="K39" s="2"/>
      <c r="L39" s="2"/>
      <c r="M39" s="2" t="s">
        <v>245</v>
      </c>
      <c r="N39" s="2"/>
    </row>
    <row r="40" spans="3:14" x14ac:dyDescent="0.55000000000000004">
      <c r="C40" s="25" t="s">
        <v>246</v>
      </c>
      <c r="D40" s="8"/>
      <c r="E40" s="8"/>
      <c r="F40" s="8"/>
      <c r="G40" s="8"/>
      <c r="H40" s="8"/>
      <c r="I40" s="8"/>
      <c r="J40" s="8"/>
      <c r="K40" s="2"/>
      <c r="L40" s="2"/>
      <c r="M40" s="2" t="s">
        <v>247</v>
      </c>
      <c r="N40" s="2"/>
    </row>
    <row r="41" spans="3:14" x14ac:dyDescent="0.55000000000000004">
      <c r="C41" s="8"/>
      <c r="D41" s="8"/>
      <c r="E41" s="8"/>
      <c r="F41" s="8"/>
      <c r="G41" s="8"/>
      <c r="H41" s="8"/>
      <c r="I41" s="8"/>
      <c r="J41" s="8"/>
      <c r="K41" s="2"/>
      <c r="L41" s="2"/>
      <c r="M41" s="2"/>
      <c r="N41" s="2"/>
    </row>
    <row r="42" spans="3:14" x14ac:dyDescent="0.55000000000000004">
      <c r="C42" s="4" t="s">
        <v>243</v>
      </c>
      <c r="D42" s="5"/>
      <c r="E42" s="8"/>
      <c r="F42" s="4" t="s">
        <v>239</v>
      </c>
      <c r="G42" s="5"/>
      <c r="H42" s="8"/>
      <c r="I42" s="4" t="s">
        <v>239</v>
      </c>
      <c r="J42" s="5"/>
      <c r="K42" s="2"/>
      <c r="L42" s="2"/>
      <c r="M42" s="2"/>
      <c r="N42" s="2"/>
    </row>
    <row r="43" spans="3:14" x14ac:dyDescent="0.55000000000000004">
      <c r="C43" s="63" t="s">
        <v>240</v>
      </c>
      <c r="D43" s="5"/>
      <c r="E43" s="8"/>
      <c r="F43" s="63" t="s">
        <v>240</v>
      </c>
      <c r="G43" s="5"/>
      <c r="H43" s="8"/>
      <c r="I43" s="4" t="s">
        <v>243</v>
      </c>
      <c r="J43" s="5"/>
      <c r="K43" s="2"/>
      <c r="L43" s="2"/>
      <c r="M43" s="2"/>
      <c r="N43" s="2"/>
    </row>
    <row r="44" spans="3:14" x14ac:dyDescent="0.55000000000000004">
      <c r="C44" s="63" t="s">
        <v>239</v>
      </c>
      <c r="D44" s="6">
        <f>D42*TAN(RADIANS(D43))</f>
        <v>0</v>
      </c>
      <c r="E44" s="8"/>
      <c r="F44" s="63" t="s">
        <v>243</v>
      </c>
      <c r="G44" s="6" t="e">
        <f>G42/TAN(RADIANS(G43))</f>
        <v>#DIV/0!</v>
      </c>
      <c r="H44" s="8"/>
      <c r="I44" s="63" t="s">
        <v>240</v>
      </c>
      <c r="J44" s="6" t="e">
        <f>DEGREES(ATAN(J42/J43))</f>
        <v>#DIV/0!</v>
      </c>
      <c r="K44" s="2"/>
      <c r="L44" s="2"/>
      <c r="M44" s="2"/>
      <c r="N4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Data</vt:lpstr>
      <vt:lpstr>Initial Segment</vt:lpstr>
      <vt:lpstr>Intermediate Segment</vt:lpstr>
      <vt:lpstr>Final Segment</vt:lpstr>
      <vt:lpstr>Unit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Fonseca</dc:creator>
  <cp:lastModifiedBy>Andy Fonseca</cp:lastModifiedBy>
  <dcterms:created xsi:type="dcterms:W3CDTF">2020-08-24T14:56:33Z</dcterms:created>
  <dcterms:modified xsi:type="dcterms:W3CDTF">2020-09-18T10:59:47Z</dcterms:modified>
</cp:coreProperties>
</file>