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 firstSheet="12" activeTab="12"/>
  </bookViews>
  <sheets>
    <sheet name="ფორმა N1" sheetId="44" r:id="rId1"/>
    <sheet name="ფორმა N2" sheetId="3" r:id="rId2"/>
    <sheet name="ფორმა N3" sheetId="7" r:id="rId3"/>
    <sheet name="ფორმა N4" sheetId="45" r:id="rId4"/>
    <sheet name="ფორმა N4.1" sheetId="46" r:id="rId5"/>
    <sheet name="ფორმა 4.2" sheetId="47" r:id="rId6"/>
    <sheet name="ფორმა N5" sheetId="42" r:id="rId7"/>
    <sheet name="ფორმა N5.1" sheetId="27" r:id="rId8"/>
    <sheet name="ფორმა 5.2" sheetId="29" r:id="rId9"/>
    <sheet name="ფორმა N5.3" sheetId="30" r:id="rId10"/>
    <sheet name="ფორმა 5.4" sheetId="34" r:id="rId11"/>
    <sheet name="ფორმა 5.5" sheetId="43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</sheets>
  <externalReferences>
    <externalReference r:id="rId26"/>
    <externalReference r:id="rId27"/>
    <externalReference r:id="rId28"/>
  </externalReferences>
  <definedNames>
    <definedName name="_xlnm._FilterDatabase" localSheetId="19" hidden="1">'ფორმა 9.4'!$A$7:$K$7</definedName>
    <definedName name="_xlnm._FilterDatabase" localSheetId="22" hidden="1">'ფორმა N 9.7'!$A$8:$L$130</definedName>
    <definedName name="_xlnm._FilterDatabase" localSheetId="0" hidden="1">'ფორმა N1'!$A$11:$L$11</definedName>
    <definedName name="_xlnm._FilterDatabase" localSheetId="1" hidden="1">'ფორმა N2'!$A$8:$K$8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6" hidden="1">'ფორმა N5'!$A$8:$D$11</definedName>
    <definedName name="_xlnm._FilterDatabase" localSheetId="7" hidden="1">'ფორმა N5.1'!$B$9:$D$24</definedName>
    <definedName name="Date" localSheetId="5">#REF!</definedName>
    <definedName name="Date" localSheetId="10">#REF!</definedName>
    <definedName name="Date" localSheetId="11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6">#REF!</definedName>
    <definedName name="Date" localSheetId="7">#REF!</definedName>
    <definedName name="Date" localSheetId="23">#REF!</definedName>
    <definedName name="Date">#REF!</definedName>
    <definedName name="_xlnm.Print_Area" localSheetId="10">'ფორმა 5.4'!$A$1:$H$46</definedName>
    <definedName name="_xlnm.Print_Area" localSheetId="11">'ფორმა 5.5'!$A$1:$L$31</definedName>
    <definedName name="_xlnm.Print_Area" localSheetId="20">'ფორმა 9.5'!$A$1:$L$159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9.7'!$A$1:$I$142</definedName>
    <definedName name="_xlnm.Print_Area" localSheetId="0">'ფორმა N1'!$A$1:$L$98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N4'!$A$1:$E$89</definedName>
    <definedName name="_xlnm.Print_Area" localSheetId="4">'ფორმა N4.1'!$A$1:$E$38</definedName>
    <definedName name="_xlnm.Print_Area" localSheetId="6">'ფორმა N5'!$A$1:$D$86</definedName>
    <definedName name="_xlnm.Print_Area" localSheetId="12">'ფორმა N7'!$A$1:$E$90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/>
</workbook>
</file>

<file path=xl/calcChain.xml><?xml version="1.0" encoding="utf-8"?>
<calcChain xmlns="http://schemas.openxmlformats.org/spreadsheetml/2006/main">
  <c r="I132" i="35" l="1"/>
  <c r="D47" i="12"/>
  <c r="C44" i="45"/>
  <c r="D32" i="12"/>
  <c r="D27" i="12"/>
  <c r="D42" i="42"/>
  <c r="C52" i="42" l="1"/>
  <c r="C20" i="45"/>
  <c r="D26" i="45"/>
  <c r="C23" i="45"/>
  <c r="D52" i="42"/>
  <c r="D20" i="45"/>
  <c r="D36" i="12"/>
  <c r="C16" i="7"/>
  <c r="D16" i="7"/>
  <c r="C27" i="12"/>
  <c r="C47" i="12"/>
  <c r="C36" i="12"/>
  <c r="C32" i="12"/>
  <c r="I12" i="9" l="1"/>
  <c r="C12" i="45"/>
  <c r="AI45" i="12" l="1"/>
  <c r="AI47" i="12" l="1"/>
  <c r="V52" i="42"/>
  <c r="AD26" i="12"/>
  <c r="Z48" i="42" l="1"/>
  <c r="AH49" i="45"/>
  <c r="Z52" i="42" l="1"/>
  <c r="G10" i="18"/>
  <c r="G11" i="18" s="1"/>
  <c r="AD67" i="12"/>
  <c r="AD64" i="12" s="1"/>
  <c r="AD47" i="12"/>
  <c r="AD45" i="12" s="1"/>
  <c r="AD34" i="12"/>
  <c r="AD28" i="12"/>
  <c r="AD27" i="12"/>
  <c r="D47" i="42"/>
  <c r="H11" i="42"/>
  <c r="H12" i="42"/>
  <c r="H15" i="42"/>
  <c r="H16" i="42"/>
  <c r="H18" i="42"/>
  <c r="H19" i="42"/>
  <c r="H20" i="42"/>
  <c r="H21" i="42"/>
  <c r="H22" i="42"/>
  <c r="H24" i="42"/>
  <c r="H25" i="42"/>
  <c r="H26" i="42"/>
  <c r="H27" i="42"/>
  <c r="H28" i="42"/>
  <c r="H29" i="42"/>
  <c r="H30" i="42"/>
  <c r="H31" i="42"/>
  <c r="H33" i="42"/>
  <c r="H34" i="42"/>
  <c r="H35" i="42"/>
  <c r="H37" i="42"/>
  <c r="H38" i="42"/>
  <c r="H39" i="42"/>
  <c r="H40" i="42"/>
  <c r="H42" i="42"/>
  <c r="H43" i="42"/>
  <c r="H44" i="42"/>
  <c r="H45" i="42"/>
  <c r="H46" i="42"/>
  <c r="H49" i="42"/>
  <c r="H50" i="42"/>
  <c r="H51" i="42"/>
  <c r="H55" i="42"/>
  <c r="H56" i="42"/>
  <c r="H57" i="42"/>
  <c r="H59" i="42"/>
  <c r="H60" i="42"/>
  <c r="H61" i="42"/>
  <c r="H62" i="42"/>
  <c r="H63" i="42"/>
  <c r="H65" i="42"/>
  <c r="H66" i="42"/>
  <c r="H67" i="42"/>
  <c r="H68" i="42"/>
  <c r="H69" i="42"/>
  <c r="H70" i="42"/>
  <c r="H71" i="42"/>
  <c r="H73" i="42"/>
  <c r="H74" i="42"/>
  <c r="H75" i="42"/>
  <c r="G11" i="42"/>
  <c r="G12" i="42"/>
  <c r="G15" i="42"/>
  <c r="G16" i="42"/>
  <c r="G18" i="42"/>
  <c r="G19" i="42"/>
  <c r="G20" i="42"/>
  <c r="G21" i="42"/>
  <c r="G22" i="42"/>
  <c r="G24" i="42"/>
  <c r="G25" i="42"/>
  <c r="G26" i="42"/>
  <c r="G27" i="42"/>
  <c r="G28" i="42"/>
  <c r="G29" i="42"/>
  <c r="G30" i="42"/>
  <c r="G31" i="42"/>
  <c r="G33" i="42"/>
  <c r="G34" i="42"/>
  <c r="G35" i="42"/>
  <c r="G37" i="42"/>
  <c r="G38" i="42"/>
  <c r="G39" i="42"/>
  <c r="G40" i="42"/>
  <c r="G41" i="42"/>
  <c r="G42" i="42"/>
  <c r="G43" i="42"/>
  <c r="G44" i="42"/>
  <c r="G45" i="42"/>
  <c r="G46" i="42"/>
  <c r="G48" i="42"/>
  <c r="G49" i="42"/>
  <c r="G50" i="42"/>
  <c r="G51" i="42"/>
  <c r="G55" i="42"/>
  <c r="G56" i="42"/>
  <c r="G57" i="42"/>
  <c r="G59" i="42"/>
  <c r="G60" i="42"/>
  <c r="G61" i="42"/>
  <c r="G62" i="42"/>
  <c r="G63" i="42"/>
  <c r="G64" i="42"/>
  <c r="G65" i="42"/>
  <c r="G66" i="42"/>
  <c r="G67" i="42"/>
  <c r="G68" i="42"/>
  <c r="G69" i="42"/>
  <c r="G70" i="42"/>
  <c r="G71" i="42"/>
  <c r="G73" i="42"/>
  <c r="G74" i="42"/>
  <c r="G75" i="42"/>
  <c r="Z72" i="42"/>
  <c r="Y72" i="42"/>
  <c r="Z64" i="42"/>
  <c r="Z58" i="42"/>
  <c r="Y58" i="42"/>
  <c r="Z53" i="42"/>
  <c r="Y53" i="42"/>
  <c r="Z47" i="42"/>
  <c r="Y47" i="42"/>
  <c r="Z36" i="42"/>
  <c r="Y36" i="42"/>
  <c r="Z32" i="42"/>
  <c r="Y32" i="42"/>
  <c r="Z23" i="42"/>
  <c r="Z17" i="42" s="1"/>
  <c r="Y23" i="42"/>
  <c r="Y17" i="42" s="1"/>
  <c r="Z14" i="42"/>
  <c r="Z13" i="42" s="1"/>
  <c r="Y14" i="42"/>
  <c r="Z10" i="42"/>
  <c r="Y10" i="42"/>
  <c r="U13" i="45"/>
  <c r="U14" i="45"/>
  <c r="U17" i="45"/>
  <c r="U18" i="45"/>
  <c r="U20" i="45"/>
  <c r="U21" i="45"/>
  <c r="U22" i="45"/>
  <c r="U23" i="45"/>
  <c r="U24" i="45"/>
  <c r="U27" i="45"/>
  <c r="U28" i="45"/>
  <c r="U29" i="45"/>
  <c r="U30" i="45"/>
  <c r="U31" i="45"/>
  <c r="U32" i="45"/>
  <c r="U33" i="45"/>
  <c r="U35" i="45"/>
  <c r="U36" i="45"/>
  <c r="U37" i="45"/>
  <c r="U39" i="45"/>
  <c r="U40" i="45"/>
  <c r="U41" i="45"/>
  <c r="U42" i="45"/>
  <c r="U43" i="45"/>
  <c r="U44" i="45"/>
  <c r="U45" i="45"/>
  <c r="U46" i="45"/>
  <c r="U47" i="45"/>
  <c r="U50" i="45"/>
  <c r="U51" i="45"/>
  <c r="U52" i="45"/>
  <c r="U53" i="45"/>
  <c r="U55" i="45"/>
  <c r="U56" i="45"/>
  <c r="U57" i="45"/>
  <c r="U58" i="45"/>
  <c r="U60" i="45"/>
  <c r="U61" i="45"/>
  <c r="U62" i="45"/>
  <c r="U63" i="45"/>
  <c r="U64" i="45"/>
  <c r="U66" i="45"/>
  <c r="U67" i="45"/>
  <c r="U68" i="45"/>
  <c r="U69" i="45"/>
  <c r="U70" i="45"/>
  <c r="U71" i="45"/>
  <c r="U72" i="45"/>
  <c r="U73" i="45"/>
  <c r="U75" i="45"/>
  <c r="U76" i="45"/>
  <c r="U77" i="45"/>
  <c r="T13" i="45"/>
  <c r="T14" i="45"/>
  <c r="T17" i="45"/>
  <c r="T18" i="45"/>
  <c r="T20" i="45"/>
  <c r="T21" i="45"/>
  <c r="T22" i="45"/>
  <c r="T24" i="45"/>
  <c r="T28" i="45"/>
  <c r="T29" i="45"/>
  <c r="T30" i="45"/>
  <c r="T31" i="45"/>
  <c r="T32" i="45"/>
  <c r="T33" i="45"/>
  <c r="T35" i="45"/>
  <c r="T36" i="45"/>
  <c r="T37" i="45"/>
  <c r="T39" i="45"/>
  <c r="T40" i="45"/>
  <c r="T41" i="45"/>
  <c r="T42" i="45"/>
  <c r="T43" i="45"/>
  <c r="T44" i="45"/>
  <c r="T45" i="45"/>
  <c r="T46" i="45"/>
  <c r="T47" i="45"/>
  <c r="T50" i="45"/>
  <c r="T51" i="45"/>
  <c r="T52" i="45"/>
  <c r="T53" i="45"/>
  <c r="T55" i="45"/>
  <c r="T56" i="45"/>
  <c r="T57" i="45"/>
  <c r="T58" i="45"/>
  <c r="T60" i="45"/>
  <c r="T61" i="45"/>
  <c r="T62" i="45"/>
  <c r="T63" i="45"/>
  <c r="T64" i="45"/>
  <c r="T65" i="45"/>
  <c r="T66" i="45"/>
  <c r="T67" i="45"/>
  <c r="T68" i="45"/>
  <c r="T69" i="45"/>
  <c r="T70" i="45"/>
  <c r="T71" i="45"/>
  <c r="T72" i="45"/>
  <c r="T73" i="45"/>
  <c r="T74" i="45"/>
  <c r="T75" i="45"/>
  <c r="T76" i="45"/>
  <c r="T77" i="45"/>
  <c r="AH74" i="45"/>
  <c r="AH65" i="45"/>
  <c r="AH59" i="45"/>
  <c r="AG59" i="45"/>
  <c r="AH54" i="45"/>
  <c r="AG54" i="45"/>
  <c r="AH48" i="45"/>
  <c r="AG48" i="45"/>
  <c r="AH38" i="45"/>
  <c r="AG38" i="45"/>
  <c r="AH34" i="45"/>
  <c r="AG34" i="45"/>
  <c r="AH25" i="45"/>
  <c r="AG25" i="45"/>
  <c r="AG19" i="45" s="1"/>
  <c r="AG23" i="45"/>
  <c r="AH19" i="45"/>
  <c r="AH15" i="45" s="1"/>
  <c r="AH16" i="45"/>
  <c r="AG16" i="45"/>
  <c r="AH12" i="45"/>
  <c r="AG12" i="45"/>
  <c r="H11" i="7"/>
  <c r="H13" i="7"/>
  <c r="H14" i="7"/>
  <c r="H17" i="7"/>
  <c r="H19" i="7"/>
  <c r="H20" i="7"/>
  <c r="H21" i="7"/>
  <c r="H22" i="7"/>
  <c r="H23" i="7"/>
  <c r="H24" i="7"/>
  <c r="H27" i="7"/>
  <c r="H28" i="7"/>
  <c r="H29" i="7"/>
  <c r="H30" i="7"/>
  <c r="G11" i="7"/>
  <c r="G13" i="7"/>
  <c r="G14" i="7"/>
  <c r="G17" i="7"/>
  <c r="G19" i="7"/>
  <c r="G20" i="7"/>
  <c r="G21" i="7"/>
  <c r="G22" i="7"/>
  <c r="G23" i="7"/>
  <c r="G24" i="7"/>
  <c r="G27" i="7"/>
  <c r="G28" i="7"/>
  <c r="G29" i="7"/>
  <c r="G30" i="7"/>
  <c r="V26" i="7"/>
  <c r="U26" i="7"/>
  <c r="V25" i="7"/>
  <c r="U25" i="7"/>
  <c r="V18" i="7"/>
  <c r="U18" i="7"/>
  <c r="V15" i="7"/>
  <c r="U15" i="7"/>
  <c r="V12" i="7"/>
  <c r="U12" i="7"/>
  <c r="V10" i="7"/>
  <c r="V9" i="7" s="1"/>
  <c r="U10" i="7"/>
  <c r="U9" i="7" s="1"/>
  <c r="W47" i="12"/>
  <c r="AB64" i="12"/>
  <c r="AB47" i="12"/>
  <c r="AB45" i="12" s="1"/>
  <c r="AB34" i="12"/>
  <c r="AB28" i="12"/>
  <c r="AB27" i="12"/>
  <c r="AB11" i="12" s="1"/>
  <c r="AB10" i="12" s="1"/>
  <c r="Q72" i="42"/>
  <c r="P72" i="42"/>
  <c r="Q64" i="42"/>
  <c r="Q58" i="42"/>
  <c r="P58" i="42"/>
  <c r="Q53" i="42"/>
  <c r="P53" i="42"/>
  <c r="Q47" i="42"/>
  <c r="P47" i="42"/>
  <c r="Q36" i="42"/>
  <c r="P36" i="42"/>
  <c r="Q32" i="42"/>
  <c r="P32" i="42"/>
  <c r="Q23" i="42"/>
  <c r="Q17" i="42" s="1"/>
  <c r="P23" i="42"/>
  <c r="P17" i="42" s="1"/>
  <c r="Q14" i="42"/>
  <c r="Q13" i="42" s="1"/>
  <c r="P14" i="42"/>
  <c r="P13" i="42" s="1"/>
  <c r="Q10" i="42"/>
  <c r="P10" i="42"/>
  <c r="T72" i="42"/>
  <c r="S72" i="42"/>
  <c r="T64" i="42"/>
  <c r="T58" i="42"/>
  <c r="S58" i="42"/>
  <c r="T53" i="42"/>
  <c r="S53" i="42"/>
  <c r="S52" i="42"/>
  <c r="G52" i="42" s="1"/>
  <c r="T47" i="42"/>
  <c r="S47" i="42"/>
  <c r="T41" i="42"/>
  <c r="T36" i="42" s="1"/>
  <c r="S36" i="42"/>
  <c r="T32" i="42"/>
  <c r="S32" i="42"/>
  <c r="T23" i="42"/>
  <c r="S23" i="42"/>
  <c r="S17" i="42" s="1"/>
  <c r="T17" i="42"/>
  <c r="T14" i="42"/>
  <c r="S14" i="42"/>
  <c r="T10" i="42"/>
  <c r="S10" i="42"/>
  <c r="W72" i="42"/>
  <c r="V72" i="42"/>
  <c r="W64" i="42"/>
  <c r="W58" i="42"/>
  <c r="V58" i="42"/>
  <c r="W54" i="42"/>
  <c r="W53" i="42" s="1"/>
  <c r="V54" i="42"/>
  <c r="V53" i="42" s="1"/>
  <c r="W52" i="42"/>
  <c r="H52" i="42" s="1"/>
  <c r="W48" i="42"/>
  <c r="W47" i="42" s="1"/>
  <c r="V47" i="42"/>
  <c r="W36" i="42"/>
  <c r="V36" i="42"/>
  <c r="W32" i="42"/>
  <c r="V32" i="42"/>
  <c r="W23" i="42"/>
  <c r="W17" i="42" s="1"/>
  <c r="V23" i="42"/>
  <c r="V17" i="42" s="1"/>
  <c r="W14" i="42"/>
  <c r="V14" i="42"/>
  <c r="W10" i="42"/>
  <c r="V10" i="42"/>
  <c r="AB74" i="45"/>
  <c r="AB65" i="45"/>
  <c r="AB59" i="45"/>
  <c r="AA59" i="45"/>
  <c r="AB54" i="45"/>
  <c r="AA54" i="45"/>
  <c r="AB48" i="45"/>
  <c r="AA48" i="45"/>
  <c r="AB38" i="45"/>
  <c r="AA38" i="45"/>
  <c r="AB34" i="45"/>
  <c r="AA34" i="45"/>
  <c r="AB25" i="45"/>
  <c r="AB19" i="45" s="1"/>
  <c r="AA25" i="45"/>
  <c r="AA23" i="45"/>
  <c r="AB16" i="45"/>
  <c r="AA16" i="45"/>
  <c r="AB12" i="45"/>
  <c r="AA12" i="45"/>
  <c r="Y74" i="45"/>
  <c r="Y65" i="45"/>
  <c r="Y59" i="45"/>
  <c r="X59" i="45"/>
  <c r="Y54" i="45"/>
  <c r="X54" i="45"/>
  <c r="X49" i="45"/>
  <c r="X48" i="45" s="1"/>
  <c r="Y48" i="45"/>
  <c r="Y38" i="45"/>
  <c r="X38" i="45"/>
  <c r="Y34" i="45"/>
  <c r="X34" i="45"/>
  <c r="Y25" i="45"/>
  <c r="Y19" i="45" s="1"/>
  <c r="X25" i="45"/>
  <c r="X23" i="45"/>
  <c r="Y16" i="45"/>
  <c r="X16" i="45"/>
  <c r="Y12" i="45"/>
  <c r="X12" i="45"/>
  <c r="AE74" i="45"/>
  <c r="AE65" i="45"/>
  <c r="AE59" i="45"/>
  <c r="AD59" i="45"/>
  <c r="AE54" i="45"/>
  <c r="AD54" i="45"/>
  <c r="AE49" i="45"/>
  <c r="AE48" i="45" s="1"/>
  <c r="AD49" i="45"/>
  <c r="AD48" i="45" s="1"/>
  <c r="AE38" i="45"/>
  <c r="AD38" i="45"/>
  <c r="AE34" i="45"/>
  <c r="AD34" i="45"/>
  <c r="AD27" i="45"/>
  <c r="T27" i="45" s="1"/>
  <c r="AE26" i="45"/>
  <c r="U26" i="45" s="1"/>
  <c r="AD26" i="45"/>
  <c r="AD25" i="45" s="1"/>
  <c r="AE25" i="45"/>
  <c r="AE19" i="45" s="1"/>
  <c r="AD23" i="45"/>
  <c r="AE16" i="45"/>
  <c r="AD16" i="45"/>
  <c r="AE12" i="45"/>
  <c r="AD12" i="45"/>
  <c r="P26" i="7"/>
  <c r="P25" i="7" s="1"/>
  <c r="O26" i="7"/>
  <c r="O25" i="7" s="1"/>
  <c r="P18" i="7"/>
  <c r="O18" i="7"/>
  <c r="P15" i="7"/>
  <c r="O15" i="7"/>
  <c r="P12" i="7"/>
  <c r="O12" i="7"/>
  <c r="M26" i="7"/>
  <c r="H26" i="7" s="1"/>
  <c r="L26" i="7"/>
  <c r="L25" i="7" s="1"/>
  <c r="G25" i="7" s="1"/>
  <c r="M18" i="7"/>
  <c r="H18" i="7" s="1"/>
  <c r="L18" i="7"/>
  <c r="G18" i="7" s="1"/>
  <c r="M15" i="7"/>
  <c r="H15" i="7" s="1"/>
  <c r="L15" i="7"/>
  <c r="G15" i="7" s="1"/>
  <c r="M12" i="7"/>
  <c r="H12" i="7" s="1"/>
  <c r="L12" i="7"/>
  <c r="G12" i="7" s="1"/>
  <c r="S26" i="7"/>
  <c r="S25" i="7" s="1"/>
  <c r="R26" i="7"/>
  <c r="R25" i="7" s="1"/>
  <c r="S18" i="7"/>
  <c r="R18" i="7"/>
  <c r="S16" i="7"/>
  <c r="S15" i="7" s="1"/>
  <c r="R16" i="7"/>
  <c r="R15" i="7" s="1"/>
  <c r="S12" i="7"/>
  <c r="R12" i="7"/>
  <c r="H11" i="3"/>
  <c r="H13" i="3"/>
  <c r="H14" i="3"/>
  <c r="H16" i="3"/>
  <c r="H17" i="3"/>
  <c r="H19" i="3"/>
  <c r="H20" i="3"/>
  <c r="H21" i="3"/>
  <c r="H22" i="3"/>
  <c r="H23" i="3"/>
  <c r="H24" i="3"/>
  <c r="H27" i="3"/>
  <c r="H28" i="3"/>
  <c r="H29" i="3"/>
  <c r="H30" i="3"/>
  <c r="G11" i="3"/>
  <c r="G13" i="3"/>
  <c r="G14" i="3"/>
  <c r="G16" i="3"/>
  <c r="G17" i="3"/>
  <c r="G19" i="3"/>
  <c r="G20" i="3"/>
  <c r="G21" i="3"/>
  <c r="G22" i="3"/>
  <c r="G23" i="3"/>
  <c r="G24" i="3"/>
  <c r="G27" i="3"/>
  <c r="G28" i="3"/>
  <c r="G29" i="3"/>
  <c r="G30" i="3"/>
  <c r="W26" i="3"/>
  <c r="W25" i="3" s="1"/>
  <c r="V26" i="3"/>
  <c r="V25" i="3" s="1"/>
  <c r="W18" i="3"/>
  <c r="V18" i="3"/>
  <c r="W15" i="3"/>
  <c r="V15" i="3"/>
  <c r="W12" i="3"/>
  <c r="V12" i="3"/>
  <c r="V10" i="3"/>
  <c r="V9" i="3" s="1"/>
  <c r="T26" i="3"/>
  <c r="T25" i="3" s="1"/>
  <c r="S26" i="3"/>
  <c r="S25" i="3" s="1"/>
  <c r="T18" i="3"/>
  <c r="S18" i="3"/>
  <c r="T15" i="3"/>
  <c r="S15" i="3"/>
  <c r="T12" i="3"/>
  <c r="S12" i="3"/>
  <c r="S10" i="3" s="1"/>
  <c r="S9" i="3" s="1"/>
  <c r="T10" i="3"/>
  <c r="Q26" i="3"/>
  <c r="H26" i="3" s="1"/>
  <c r="P26" i="3"/>
  <c r="P25" i="3" s="1"/>
  <c r="G25" i="3" s="1"/>
  <c r="Q25" i="3"/>
  <c r="Q18" i="3"/>
  <c r="H18" i="3" s="1"/>
  <c r="P18" i="3"/>
  <c r="G18" i="3" s="1"/>
  <c r="Q15" i="3"/>
  <c r="H15" i="3" s="1"/>
  <c r="P15" i="3"/>
  <c r="G15" i="3" s="1"/>
  <c r="Q12" i="3"/>
  <c r="H12" i="3" s="1"/>
  <c r="P12" i="3"/>
  <c r="Q10" i="3"/>
  <c r="Q9" i="3" s="1"/>
  <c r="H25" i="3" l="1"/>
  <c r="P10" i="3"/>
  <c r="G10" i="3" s="1"/>
  <c r="G26" i="3"/>
  <c r="T16" i="45"/>
  <c r="U38" i="45"/>
  <c r="U54" i="45"/>
  <c r="U74" i="45"/>
  <c r="G10" i="42"/>
  <c r="G17" i="42"/>
  <c r="G36" i="42"/>
  <c r="G53" i="42"/>
  <c r="H64" i="42"/>
  <c r="H16" i="7"/>
  <c r="T9" i="3"/>
  <c r="H9" i="3" s="1"/>
  <c r="W10" i="3"/>
  <c r="S10" i="7"/>
  <c r="M10" i="7"/>
  <c r="O10" i="7"/>
  <c r="U16" i="45"/>
  <c r="T34" i="45"/>
  <c r="T59" i="45"/>
  <c r="H10" i="42"/>
  <c r="H17" i="42"/>
  <c r="H36" i="42"/>
  <c r="H53" i="42"/>
  <c r="G72" i="42"/>
  <c r="G26" i="7"/>
  <c r="Y13" i="42"/>
  <c r="Y9" i="42" s="1"/>
  <c r="AD11" i="12"/>
  <c r="AD10" i="12" s="1"/>
  <c r="G12" i="3"/>
  <c r="H10" i="3"/>
  <c r="M25" i="7"/>
  <c r="H25" i="7" s="1"/>
  <c r="T12" i="45"/>
  <c r="X19" i="45"/>
  <c r="U34" i="45"/>
  <c r="T48" i="45"/>
  <c r="U59" i="45"/>
  <c r="G32" i="42"/>
  <c r="G47" i="42"/>
  <c r="G58" i="42"/>
  <c r="H72" i="42"/>
  <c r="AB44" i="12"/>
  <c r="U12" i="45"/>
  <c r="T25" i="45"/>
  <c r="T38" i="45"/>
  <c r="T54" i="45"/>
  <c r="U65" i="45"/>
  <c r="V13" i="42"/>
  <c r="V9" i="42" s="1"/>
  <c r="H32" i="42"/>
  <c r="H47" i="42"/>
  <c r="H58" i="42"/>
  <c r="G16" i="7"/>
  <c r="AH11" i="45"/>
  <c r="AD19" i="45"/>
  <c r="AD15" i="45" s="1"/>
  <c r="AD11" i="45" s="1"/>
  <c r="Y15" i="45"/>
  <c r="Y11" i="45" s="1"/>
  <c r="U48" i="45"/>
  <c r="T49" i="45"/>
  <c r="T23" i="45"/>
  <c r="U49" i="45"/>
  <c r="AG15" i="45"/>
  <c r="AG11" i="45" s="1"/>
  <c r="T26" i="45"/>
  <c r="U25" i="45"/>
  <c r="U19" i="45"/>
  <c r="S13" i="42"/>
  <c r="S9" i="42" s="1"/>
  <c r="G54" i="42"/>
  <c r="G14" i="42"/>
  <c r="H41" i="42"/>
  <c r="H23" i="42"/>
  <c r="T13" i="42"/>
  <c r="T9" i="42" s="1"/>
  <c r="Z9" i="42"/>
  <c r="G23" i="42"/>
  <c r="H54" i="42"/>
  <c r="H48" i="42"/>
  <c r="H14" i="42"/>
  <c r="AD44" i="12"/>
  <c r="G13" i="42"/>
  <c r="Q9" i="42"/>
  <c r="P9" i="42"/>
  <c r="W13" i="42"/>
  <c r="W9" i="42" s="1"/>
  <c r="AA19" i="45"/>
  <c r="AA15" i="45" s="1"/>
  <c r="AA11" i="45" s="1"/>
  <c r="X15" i="45"/>
  <c r="AB15" i="45"/>
  <c r="AB11" i="45" s="1"/>
  <c r="AE15" i="45"/>
  <c r="AE11" i="45" s="1"/>
  <c r="R10" i="7"/>
  <c r="R9" i="7" s="1"/>
  <c r="O9" i="7"/>
  <c r="S9" i="7"/>
  <c r="L10" i="7"/>
  <c r="P10" i="7"/>
  <c r="P9" i="7" s="1"/>
  <c r="W9" i="3"/>
  <c r="P9" i="3"/>
  <c r="G9" i="3" s="1"/>
  <c r="G9" i="42" l="1"/>
  <c r="G10" i="7"/>
  <c r="L9" i="7"/>
  <c r="G9" i="7" s="1"/>
  <c r="M9" i="7"/>
  <c r="H9" i="7" s="1"/>
  <c r="H10" i="7"/>
  <c r="X11" i="45"/>
  <c r="T11" i="45" s="1"/>
  <c r="T15" i="45"/>
  <c r="T19" i="45"/>
  <c r="U15" i="45"/>
  <c r="U11" i="45"/>
  <c r="H9" i="42"/>
  <c r="H13" i="42"/>
  <c r="G3" i="12" l="1"/>
  <c r="H13" i="45"/>
  <c r="H14" i="45"/>
  <c r="H17" i="45"/>
  <c r="H18" i="45"/>
  <c r="H20" i="45"/>
  <c r="H21" i="45"/>
  <c r="H22" i="45"/>
  <c r="H23" i="45"/>
  <c r="H24" i="45"/>
  <c r="H26" i="45"/>
  <c r="H27" i="45"/>
  <c r="H28" i="45"/>
  <c r="H29" i="45"/>
  <c r="H30" i="45"/>
  <c r="H31" i="45"/>
  <c r="H32" i="45"/>
  <c r="H33" i="45"/>
  <c r="H35" i="45"/>
  <c r="H36" i="45"/>
  <c r="H37" i="45"/>
  <c r="H39" i="45"/>
  <c r="H40" i="45"/>
  <c r="H41" i="45"/>
  <c r="H42" i="45"/>
  <c r="H43" i="45"/>
  <c r="H44" i="45"/>
  <c r="H45" i="45"/>
  <c r="H46" i="45"/>
  <c r="H47" i="45"/>
  <c r="H49" i="45"/>
  <c r="H50" i="45"/>
  <c r="H51" i="45"/>
  <c r="H52" i="45"/>
  <c r="H53" i="45"/>
  <c r="H56" i="45"/>
  <c r="H57" i="45"/>
  <c r="H58" i="45"/>
  <c r="H61" i="45"/>
  <c r="H62" i="45"/>
  <c r="H63" i="45"/>
  <c r="H64" i="45"/>
  <c r="H67" i="45"/>
  <c r="H68" i="45"/>
  <c r="H69" i="45"/>
  <c r="H70" i="45"/>
  <c r="H71" i="45"/>
  <c r="H72" i="45"/>
  <c r="H73" i="45"/>
  <c r="H75" i="45"/>
  <c r="H76" i="45"/>
  <c r="H77" i="45"/>
  <c r="G13" i="45"/>
  <c r="G14" i="45"/>
  <c r="G17" i="45"/>
  <c r="G18" i="45"/>
  <c r="G20" i="45"/>
  <c r="G21" i="45"/>
  <c r="G22" i="45"/>
  <c r="G24" i="45"/>
  <c r="G26" i="45"/>
  <c r="G27" i="45"/>
  <c r="G28" i="45"/>
  <c r="G29" i="45"/>
  <c r="G30" i="45"/>
  <c r="G31" i="45"/>
  <c r="G32" i="45"/>
  <c r="G33" i="45"/>
  <c r="G35" i="45"/>
  <c r="G36" i="45"/>
  <c r="G37" i="45"/>
  <c r="G39" i="45"/>
  <c r="G40" i="45"/>
  <c r="G41" i="45"/>
  <c r="G42" i="45"/>
  <c r="G43" i="45"/>
  <c r="G44" i="45"/>
  <c r="G45" i="45"/>
  <c r="G46" i="45"/>
  <c r="G47" i="45"/>
  <c r="G50" i="45"/>
  <c r="G51" i="45"/>
  <c r="G52" i="45"/>
  <c r="G53" i="45"/>
  <c r="G56" i="45"/>
  <c r="G57" i="45"/>
  <c r="G58" i="45"/>
  <c r="G61" i="45"/>
  <c r="G62" i="45"/>
  <c r="G63" i="45"/>
  <c r="G64" i="45"/>
  <c r="G65" i="45"/>
  <c r="G66" i="45"/>
  <c r="G67" i="45"/>
  <c r="G68" i="45"/>
  <c r="G69" i="45"/>
  <c r="G70" i="45"/>
  <c r="G71" i="45"/>
  <c r="G72" i="45"/>
  <c r="G73" i="45"/>
  <c r="G75" i="45"/>
  <c r="G76" i="45"/>
  <c r="G77" i="45"/>
  <c r="H10" i="45"/>
  <c r="G10" i="45"/>
  <c r="V74" i="45"/>
  <c r="V65" i="45"/>
  <c r="V59" i="45"/>
  <c r="S59" i="45"/>
  <c r="V54" i="45"/>
  <c r="S54" i="45"/>
  <c r="V48" i="45"/>
  <c r="S48" i="45"/>
  <c r="V38" i="45"/>
  <c r="S38" i="45"/>
  <c r="V34" i="45"/>
  <c r="S34" i="45"/>
  <c r="V25" i="45"/>
  <c r="V19" i="45" s="1"/>
  <c r="S25" i="45"/>
  <c r="S19" i="45" s="1"/>
  <c r="S23" i="45"/>
  <c r="V16" i="45"/>
  <c r="S16" i="45"/>
  <c r="V12" i="45"/>
  <c r="S12" i="45"/>
  <c r="M72" i="42"/>
  <c r="L72" i="42"/>
  <c r="M64" i="42"/>
  <c r="M58" i="42"/>
  <c r="L58" i="42"/>
  <c r="M53" i="42"/>
  <c r="L53" i="42"/>
  <c r="M52" i="42"/>
  <c r="M47" i="42"/>
  <c r="L47" i="42"/>
  <c r="M36" i="42"/>
  <c r="L36" i="42"/>
  <c r="M32" i="42"/>
  <c r="L32" i="42"/>
  <c r="M23" i="42"/>
  <c r="L23" i="42"/>
  <c r="L17" i="42" s="1"/>
  <c r="L13" i="42" s="1"/>
  <c r="M17" i="42"/>
  <c r="M14" i="42"/>
  <c r="L14" i="42"/>
  <c r="M10" i="42"/>
  <c r="L10" i="42"/>
  <c r="T64" i="12"/>
  <c r="S64" i="12"/>
  <c r="T47" i="12"/>
  <c r="S47" i="12"/>
  <c r="T45" i="12"/>
  <c r="T44" i="12" s="1"/>
  <c r="S45" i="12"/>
  <c r="T34" i="12"/>
  <c r="S34" i="12"/>
  <c r="T28" i="12"/>
  <c r="S28" i="12"/>
  <c r="T27" i="12"/>
  <c r="S27" i="12"/>
  <c r="S11" i="12" s="1"/>
  <c r="S10" i="12" s="1"/>
  <c r="T11" i="12"/>
  <c r="T10" i="12" s="1"/>
  <c r="Q64" i="12"/>
  <c r="P64" i="12"/>
  <c r="Q47" i="12"/>
  <c r="P47" i="12"/>
  <c r="P45" i="12" s="1"/>
  <c r="P44" i="12" s="1"/>
  <c r="Q45" i="12"/>
  <c r="Q44" i="12" s="1"/>
  <c r="Q34" i="12"/>
  <c r="P34" i="12"/>
  <c r="Q28" i="12"/>
  <c r="P28" i="12"/>
  <c r="Q27" i="12"/>
  <c r="Q11" i="12" s="1"/>
  <c r="Q10" i="12" s="1"/>
  <c r="P27" i="12"/>
  <c r="P11" i="12"/>
  <c r="P10" i="12" s="1"/>
  <c r="J72" i="42"/>
  <c r="I72" i="42"/>
  <c r="J64" i="42"/>
  <c r="J58" i="42"/>
  <c r="I58" i="42"/>
  <c r="J53" i="42"/>
  <c r="I53" i="42"/>
  <c r="J47" i="42"/>
  <c r="I47" i="42"/>
  <c r="J36" i="42"/>
  <c r="I36" i="42"/>
  <c r="J32" i="42"/>
  <c r="I32" i="42"/>
  <c r="J23" i="42"/>
  <c r="I23" i="42"/>
  <c r="I17" i="42" s="1"/>
  <c r="J17" i="42"/>
  <c r="J14" i="42"/>
  <c r="I14" i="42"/>
  <c r="J13" i="42"/>
  <c r="J10" i="42"/>
  <c r="I10" i="42"/>
  <c r="Q74" i="45"/>
  <c r="Q65" i="45"/>
  <c r="Q59" i="45"/>
  <c r="P59" i="45"/>
  <c r="Q54" i="45"/>
  <c r="P54" i="45"/>
  <c r="P49" i="45"/>
  <c r="Q48" i="45"/>
  <c r="P48" i="45"/>
  <c r="Q38" i="45"/>
  <c r="P38" i="45"/>
  <c r="Q34" i="45"/>
  <c r="P34" i="45"/>
  <c r="Q25" i="45"/>
  <c r="P25" i="45"/>
  <c r="Q19" i="45"/>
  <c r="P19" i="45"/>
  <c r="Q16" i="45"/>
  <c r="P16" i="45"/>
  <c r="Q12" i="45"/>
  <c r="P12" i="45"/>
  <c r="K26" i="7"/>
  <c r="K25" i="7" s="1"/>
  <c r="J26" i="7"/>
  <c r="J25" i="7" s="1"/>
  <c r="K18" i="7"/>
  <c r="J18" i="7"/>
  <c r="K16" i="7"/>
  <c r="J16" i="7"/>
  <c r="K15" i="7"/>
  <c r="J15" i="7"/>
  <c r="K12" i="7"/>
  <c r="J12" i="7"/>
  <c r="K10" i="7"/>
  <c r="J10" i="7"/>
  <c r="J9" i="7" s="1"/>
  <c r="I13" i="42" l="1"/>
  <c r="I9" i="42" s="1"/>
  <c r="J9" i="42"/>
  <c r="M13" i="42"/>
  <c r="P15" i="45"/>
  <c r="P11" i="45" s="1"/>
  <c r="L9" i="42"/>
  <c r="V15" i="45"/>
  <c r="V11" i="45" s="1"/>
  <c r="M9" i="42"/>
  <c r="S44" i="12"/>
  <c r="Q15" i="45"/>
  <c r="Q11" i="45" s="1"/>
  <c r="K9" i="7"/>
  <c r="S15" i="45"/>
  <c r="S11" i="45" s="1"/>
  <c r="N64" i="12"/>
  <c r="M64" i="12"/>
  <c r="N47" i="12"/>
  <c r="M47" i="12"/>
  <c r="M45" i="12" s="1"/>
  <c r="M44" i="12" s="1"/>
  <c r="N45" i="12"/>
  <c r="N44" i="12" s="1"/>
  <c r="N34" i="12"/>
  <c r="M34" i="12"/>
  <c r="N28" i="12"/>
  <c r="N27" i="12"/>
  <c r="N11" i="12"/>
  <c r="N10" i="12" s="1"/>
  <c r="M11" i="12"/>
  <c r="M10" i="12"/>
  <c r="K64" i="12"/>
  <c r="J64" i="12"/>
  <c r="K47" i="12"/>
  <c r="J47" i="12"/>
  <c r="J45" i="12" s="1"/>
  <c r="J44" i="12" s="1"/>
  <c r="K45" i="12"/>
  <c r="K44" i="12" s="1"/>
  <c r="K34" i="12"/>
  <c r="J34" i="12"/>
  <c r="K28" i="12"/>
  <c r="J28" i="12"/>
  <c r="K27" i="12"/>
  <c r="K11" i="12" s="1"/>
  <c r="K10" i="12" s="1"/>
  <c r="J27" i="12"/>
  <c r="J11" i="12"/>
  <c r="J10" i="12"/>
  <c r="K74" i="45"/>
  <c r="J74" i="45"/>
  <c r="G74" i="45" s="1"/>
  <c r="K66" i="45"/>
  <c r="H66" i="45" s="1"/>
  <c r="K60" i="45"/>
  <c r="H60" i="45" s="1"/>
  <c r="J60" i="45"/>
  <c r="G60" i="45" s="1"/>
  <c r="K55" i="45"/>
  <c r="H55" i="45" s="1"/>
  <c r="J55" i="45"/>
  <c r="G55" i="45" s="1"/>
  <c r="J49" i="45"/>
  <c r="G49" i="45" s="1"/>
  <c r="K38" i="45"/>
  <c r="J38" i="45"/>
  <c r="K34" i="45"/>
  <c r="J34" i="45"/>
  <c r="K25" i="45"/>
  <c r="J25" i="45"/>
  <c r="J19" i="45" s="1"/>
  <c r="K16" i="45"/>
  <c r="J16" i="45"/>
  <c r="K12" i="45"/>
  <c r="J12" i="45"/>
  <c r="N26" i="3"/>
  <c r="N25" i="3" s="1"/>
  <c r="M26" i="3"/>
  <c r="M25" i="3"/>
  <c r="N18" i="3"/>
  <c r="M18" i="3"/>
  <c r="N15" i="3"/>
  <c r="M15" i="3"/>
  <c r="N12" i="3"/>
  <c r="M12" i="3"/>
  <c r="N10" i="3"/>
  <c r="M10" i="3"/>
  <c r="M9" i="3" s="1"/>
  <c r="K26" i="3"/>
  <c r="K25" i="3" s="1"/>
  <c r="J26" i="3"/>
  <c r="J25" i="3" s="1"/>
  <c r="K18" i="3"/>
  <c r="J18" i="3"/>
  <c r="K15" i="3"/>
  <c r="J15" i="3"/>
  <c r="K12" i="3"/>
  <c r="J12" i="3"/>
  <c r="K10" i="3"/>
  <c r="K9" i="3" s="1"/>
  <c r="J10" i="3"/>
  <c r="N9" i="3" l="1"/>
  <c r="J9" i="3"/>
  <c r="J15" i="45"/>
  <c r="J11" i="45" s="1"/>
  <c r="K19" i="45"/>
  <c r="N74" i="45"/>
  <c r="H74" i="45" s="1"/>
  <c r="N65" i="45"/>
  <c r="H65" i="45" s="1"/>
  <c r="N59" i="45"/>
  <c r="H59" i="45" s="1"/>
  <c r="M59" i="45"/>
  <c r="G59" i="45" s="1"/>
  <c r="N54" i="45"/>
  <c r="H54" i="45" s="1"/>
  <c r="M54" i="45"/>
  <c r="G54" i="45" s="1"/>
  <c r="N48" i="45"/>
  <c r="H48" i="45" s="1"/>
  <c r="M48" i="45"/>
  <c r="G48" i="45" s="1"/>
  <c r="N38" i="45"/>
  <c r="H38" i="45" s="1"/>
  <c r="M38" i="45"/>
  <c r="G38" i="45" s="1"/>
  <c r="N34" i="45"/>
  <c r="H34" i="45" s="1"/>
  <c r="M34" i="45"/>
  <c r="G34" i="45" s="1"/>
  <c r="N25" i="45"/>
  <c r="H25" i="45" s="1"/>
  <c r="M25" i="45"/>
  <c r="G25" i="45" s="1"/>
  <c r="M23" i="45"/>
  <c r="G23" i="45" s="1"/>
  <c r="N16" i="45"/>
  <c r="H16" i="45" s="1"/>
  <c r="M16" i="45"/>
  <c r="G16" i="45" s="1"/>
  <c r="N12" i="45"/>
  <c r="H12" i="45" s="1"/>
  <c r="M12" i="45"/>
  <c r="G12" i="45" s="1"/>
  <c r="I20" i="47"/>
  <c r="H20" i="47"/>
  <c r="G20" i="47"/>
  <c r="A4" i="47"/>
  <c r="D24" i="46"/>
  <c r="C24" i="46"/>
  <c r="A5" i="46"/>
  <c r="D74" i="45"/>
  <c r="D65" i="45"/>
  <c r="D59" i="45"/>
  <c r="C59" i="45"/>
  <c r="D54" i="45"/>
  <c r="C54" i="45"/>
  <c r="D48" i="45"/>
  <c r="C48" i="45"/>
  <c r="D38" i="45"/>
  <c r="C38" i="45"/>
  <c r="D34" i="45"/>
  <c r="C34" i="45"/>
  <c r="D25" i="45"/>
  <c r="D19" i="45" s="1"/>
  <c r="C25" i="45"/>
  <c r="C19" i="45" s="1"/>
  <c r="D16" i="45"/>
  <c r="C16" i="45"/>
  <c r="D12" i="45"/>
  <c r="N19" i="45" l="1"/>
  <c r="N15" i="45" s="1"/>
  <c r="N11" i="45" s="1"/>
  <c r="K15" i="45"/>
  <c r="D15" i="45"/>
  <c r="D11" i="45" s="1"/>
  <c r="M19" i="45"/>
  <c r="C15" i="45"/>
  <c r="C11" i="45" s="1"/>
  <c r="H15" i="45" l="1"/>
  <c r="K11" i="45"/>
  <c r="H11" i="45" s="1"/>
  <c r="M15" i="45"/>
  <c r="G19" i="45"/>
  <c r="H19" i="45"/>
  <c r="J31" i="10"/>
  <c r="I31" i="10"/>
  <c r="J21" i="10"/>
  <c r="I21" i="10"/>
  <c r="I16" i="10"/>
  <c r="J16" i="10"/>
  <c r="J15" i="10"/>
  <c r="I15" i="10"/>
  <c r="M11" i="45" l="1"/>
  <c r="G11" i="45" s="1"/>
  <c r="G15" i="45"/>
  <c r="I11" i="9"/>
  <c r="I10" i="9"/>
  <c r="K17" i="43"/>
  <c r="D72" i="42"/>
  <c r="C72" i="42"/>
  <c r="D64" i="42"/>
  <c r="D58" i="42"/>
  <c r="C58" i="42"/>
  <c r="D53" i="42"/>
  <c r="C53" i="42"/>
  <c r="C47" i="42"/>
  <c r="D36" i="42"/>
  <c r="C36" i="42"/>
  <c r="D32" i="42"/>
  <c r="C32" i="42"/>
  <c r="D23" i="42"/>
  <c r="D17" i="42" s="1"/>
  <c r="C23" i="42"/>
  <c r="C17" i="42" s="1"/>
  <c r="D14" i="42"/>
  <c r="C14" i="42"/>
  <c r="D10" i="42"/>
  <c r="C10" i="42"/>
  <c r="A4" i="42"/>
  <c r="D13" i="42" l="1"/>
  <c r="D9" i="42" s="1"/>
  <c r="C13" i="42"/>
  <c r="C9" i="42" s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l="1"/>
  <c r="C9" i="7" s="1"/>
  <c r="D10" i="7"/>
  <c r="D9" i="7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H34" i="30" l="1"/>
  <c r="G34" i="30"/>
  <c r="A4" i="30"/>
  <c r="H34" i="29"/>
  <c r="G34" i="29"/>
  <c r="A4" i="29"/>
  <c r="D25" i="27" l="1"/>
  <c r="C25" i="27"/>
  <c r="A5" i="27"/>
  <c r="G39" i="18" l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AI44" i="12" s="1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8" i="3"/>
  <c r="C18" i="3"/>
  <c r="D15" i="3"/>
  <c r="C15" i="3"/>
  <c r="C10" i="3" s="1"/>
  <c r="D12" i="3"/>
  <c r="W46" i="12" l="1"/>
  <c r="W45" i="12"/>
  <c r="C25" i="3"/>
  <c r="D10" i="3"/>
  <c r="B9" i="10"/>
  <c r="D10" i="12"/>
  <c r="D44" i="12"/>
  <c r="J9" i="10"/>
  <c r="D25" i="3"/>
  <c r="C10" i="12"/>
  <c r="C44" i="12"/>
  <c r="D9" i="10"/>
  <c r="F9" i="10"/>
  <c r="C9" i="3" l="1"/>
  <c r="I3" i="12" s="1"/>
  <c r="K3" i="12" s="1"/>
  <c r="D9" i="3"/>
  <c r="AI14" i="12" s="1"/>
  <c r="AJ14" i="12" s="1"/>
  <c r="AI10" i="12" l="1"/>
  <c r="AJ10" i="12" s="1"/>
  <c r="AL10" i="12" s="1"/>
  <c r="I5" i="12"/>
  <c r="K5" i="12" s="1"/>
  <c r="X14" i="12"/>
  <c r="Z14" i="12" s="1"/>
  <c r="X10" i="12"/>
  <c r="Z10" i="12" s="1"/>
</calcChain>
</file>

<file path=xl/sharedStrings.xml><?xml version="1.0" encoding="utf-8"?>
<sst xmlns="http://schemas.openxmlformats.org/spreadsheetml/2006/main" count="3033" uniqueCount="1656">
  <si>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</si>
  <si>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</si>
  <si>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</si>
  <si>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</si>
  <si>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</si>
  <si>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</si>
  <si>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</si>
  <si>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</si>
  <si>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</si>
  <si>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</si>
  <si>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</si>
  <si>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</si>
  <si>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</si>
  <si>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</si>
  <si>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</si>
  <si>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</si>
  <si>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</si>
  <si>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</si>
  <si>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</si>
  <si>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</si>
  <si>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</si>
  <si>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</si>
  <si>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</si>
  <si>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</si>
  <si>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</si>
  <si>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</si>
  <si>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</si>
  <si>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</si>
  <si>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</si>
  <si>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</si>
  <si>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</si>
  <si>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</si>
  <si>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</si>
  <si>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</si>
  <si>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</si>
  <si>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</si>
  <si>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</si>
  <si>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</si>
  <si>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</si>
  <si>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</si>
  <si>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</si>
  <si>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</si>
  <si>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</si>
  <si>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</si>
  <si>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</si>
  <si>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</si>
  <si>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</si>
  <si>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</si>
  <si>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</si>
  <si>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</si>
  <si>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</si>
  <si>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</si>
  <si>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</si>
  <si>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</si>
  <si>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</si>
  <si>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</si>
  <si>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</si>
  <si>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</si>
  <si>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</si>
  <si>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</si>
  <si>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</si>
  <si>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</si>
  <si>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</si>
  <si>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</si>
  <si>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</si>
  <si>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</si>
  <si>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</si>
  <si>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</si>
  <si>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</si>
  <si>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</si>
  <si>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</si>
  <si>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</si>
  <si>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</si>
  <si>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</si>
  <si>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</si>
  <si>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</si>
  <si>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</si>
  <si>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</si>
  <si>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</si>
  <si>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</si>
  <si>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</si>
  <si>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</si>
  <si>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</si>
  <si>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</si>
  <si>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</si>
  <si>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</si>
  <si>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</si>
  <si>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</si>
  <si>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</si>
  <si>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</si>
  <si>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</si>
  <si>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</si>
  <si>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</si>
  <si>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</si>
  <si>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</si>
  <si>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</si>
  <si>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</si>
  <si>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</si>
  <si>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</si>
  <si>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</si>
  <si>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</si>
  <si>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</si>
  <si>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</si>
  <si>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</si>
  <si>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</si>
  <si>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</si>
  <si>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</si>
  <si>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</si>
  <si>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</si>
  <si>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</si>
  <si>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</si>
  <si>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</si>
  <si>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</si>
  <si>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</si>
  <si>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</si>
  <si>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</si>
  <si>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</si>
  <si>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</si>
  <si>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</si>
  <si>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</si>
  <si>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</si>
  <si>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</si>
  <si>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</si>
  <si>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</si>
  <si>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</si>
  <si>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</si>
  <si>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</si>
  <si>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</si>
  <si>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</si>
  <si>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</si>
  <si>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</si>
  <si>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</si>
  <si>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</si>
  <si>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</si>
  <si>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</si>
  <si>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</si>
  <si>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</si>
  <si>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</si>
  <si>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</si>
  <si>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</si>
  <si>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</si>
  <si>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</si>
  <si>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</si>
  <si>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</si>
  <si>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</si>
  <si>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</si>
  <si>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</si>
  <si>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</si>
  <si>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</si>
  <si>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</si>
  <si>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</si>
  <si>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</si>
  <si>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</si>
  <si>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</si>
  <si>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</si>
  <si>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</si>
  <si>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</si>
  <si>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</si>
  <si>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</si>
  <si>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</si>
  <si>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</si>
  <si>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</si>
  <si>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</si>
  <si>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</si>
  <si>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</si>
  <si>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</si>
  <si>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</si>
  <si>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</si>
  <si>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</si>
  <si>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</si>
  <si>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</si>
  <si>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</si>
  <si>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</si>
  <si>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</si>
  <si>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</si>
  <si>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</si>
  <si>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</si>
  <si>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</si>
  <si>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</si>
  <si>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</si>
  <si>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</si>
  <si>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</si>
  <si>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</si>
  <si>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</si>
  <si>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</si>
  <si>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</si>
  <si>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</si>
  <si>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</si>
  <si>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</si>
  <si>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</si>
  <si>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</si>
  <si>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</si>
  <si>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</si>
  <si>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</si>
  <si>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</si>
  <si>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</si>
  <si>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</si>
  <si>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</si>
  <si>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</si>
  <si>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</si>
  <si>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</si>
  <si>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</si>
  <si>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</si>
  <si>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</si>
  <si>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</si>
  <si>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</si>
  <si>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</si>
  <si>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</si>
  <si>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</si>
  <si>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</si>
  <si>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</si>
  <si>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</si>
  <si>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</si>
  <si>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</si>
  <si>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</si>
  <si>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</si>
  <si>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</si>
  <si>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</si>
  <si>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</si>
  <si>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</si>
  <si>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</si>
  <si>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</si>
  <si>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</si>
  <si>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</si>
  <si>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</si>
  <si>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</si>
  <si>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</si>
  <si>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</si>
  <si>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</si>
  <si>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</si>
  <si>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</si>
  <si>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</si>
  <si>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</si>
  <si>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</si>
  <si>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</si>
  <si>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</si>
  <si>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</si>
  <si>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</si>
  <si>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</si>
  <si>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</si>
  <si>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</si>
  <si>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</si>
  <si>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</si>
  <si>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</si>
  <si>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</si>
  <si>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</si>
  <si>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</si>
  <si>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</si>
  <si>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</si>
  <si>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</si>
  <si>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</si>
  <si>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</si>
  <si>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</si>
  <si>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</si>
  <si>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</si>
  <si>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</si>
  <si>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</si>
  <si>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</si>
  <si>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</si>
  <si>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</si>
  <si>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</si>
  <si>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</si>
  <si>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</si>
  <si>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</si>
  <si>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</si>
  <si>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</si>
  <si>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</si>
  <si>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</si>
  <si>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</si>
  <si>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</si>
  <si>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</si>
  <si>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</si>
  <si>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</si>
  <si>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</si>
  <si>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</si>
  <si>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</si>
  <si>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</si>
  <si>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</si>
  <si>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</si>
  <si>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</si>
  <si>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</si>
  <si>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</si>
  <si>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</si>
  <si>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</si>
  <si>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</si>
  <si>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</si>
  <si>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</si>
  <si>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</si>
  <si>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</si>
  <si>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</si>
  <si>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</si>
  <si>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</si>
  <si>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</si>
  <si>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</si>
  <si>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</si>
  <si>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</si>
  <si>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</si>
  <si>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</si>
  <si>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</si>
  <si>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</si>
  <si>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</si>
  <si>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</si>
  <si>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</si>
  <si>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</si>
  <si>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</si>
  <si>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</si>
  <si>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</si>
  <si>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</si>
  <si>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</si>
  <si>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</si>
  <si>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</si>
  <si>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</si>
  <si>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</si>
  <si>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</si>
  <si>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</si>
  <si>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</si>
  <si>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</si>
  <si>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</si>
  <si>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</si>
  <si>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</si>
  <si>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</si>
  <si>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</si>
  <si>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</si>
  <si>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</si>
  <si>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</si>
  <si>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</si>
  <si>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</si>
  <si>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</si>
  <si>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</si>
  <si>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</si>
  <si>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</si>
  <si>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</si>
  <si>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</si>
  <si>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</si>
  <si>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</si>
  <si>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</si>
  <si>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</si>
  <si>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</si>
  <si>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</si>
  <si>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</si>
  <si>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</si>
  <si>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</si>
  <si>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</si>
  <si>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</si>
  <si>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</si>
  <si>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</si>
  <si>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</si>
  <si>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</si>
  <si>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</si>
  <si>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</si>
  <si>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</si>
  <si>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</si>
  <si>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</si>
  <si>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</si>
  <si>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</si>
  <si>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</si>
  <si>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</si>
  <si>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</si>
  <si>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</si>
  <si>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</si>
  <si>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</si>
  <si>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</si>
  <si>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</si>
  <si>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</si>
  <si>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</si>
  <si>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</si>
  <si>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</si>
  <si>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</si>
  <si>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</si>
  <si>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</si>
  <si>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</si>
  <si>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</si>
  <si>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</si>
  <si>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</si>
  <si>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</si>
  <si>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</si>
  <si>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</si>
  <si>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</si>
  <si>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</si>
  <si>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</si>
  <si>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</si>
  <si>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</si>
  <si>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</si>
  <si>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</si>
  <si>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</si>
  <si>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</si>
  <si>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</si>
  <si>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</si>
  <si>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</si>
  <si>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</si>
  <si>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</si>
  <si>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</si>
  <si>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</si>
  <si>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</si>
  <si>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</si>
  <si>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</si>
  <si>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</si>
  <si>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</si>
  <si>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</si>
  <si>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</si>
  <si>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</si>
  <si>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</si>
  <si>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</si>
  <si>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</si>
  <si>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</si>
  <si>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</si>
  <si>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</si>
  <si>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</si>
  <si>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</si>
  <si>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</si>
  <si>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</si>
  <si>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</si>
  <si>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</si>
  <si>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</si>
  <si>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</si>
  <si>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</si>
  <si>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</si>
  <si>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</si>
  <si>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</si>
  <si>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</si>
  <si>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</si>
  <si>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</si>
  <si>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</si>
  <si>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</si>
  <si>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</si>
  <si>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</si>
  <si>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</si>
  <si>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</si>
  <si>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</si>
  <si>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</si>
  <si>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</si>
  <si>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</si>
  <si>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</si>
  <si>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</si>
  <si>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</si>
  <si>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</si>
  <si>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</si>
  <si>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</si>
  <si>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</si>
  <si>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</si>
  <si>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</si>
  <si>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</si>
  <si>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</si>
  <si>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</si>
  <si>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</si>
  <si>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</si>
  <si>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</si>
  <si>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</si>
  <si>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</si>
  <si>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</si>
  <si>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</si>
  <si>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</si>
  <si>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</si>
  <si>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</si>
  <si>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</si>
  <si>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</si>
  <si>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</si>
  <si>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</si>
  <si>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</si>
  <si>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</si>
  <si>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</si>
  <si>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</si>
  <si>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არაფულადი ფორმით ***</t>
  </si>
  <si>
    <t>შემოსავლის ტიპი *</t>
  </si>
  <si>
    <t>ფიზიკური პირის სახელი და გვარი / იურიდიული პირის დასახელება</t>
  </si>
  <si>
    <t>პირადი ნომერი / საიდ. კოდი</t>
  </si>
  <si>
    <t>ქონების აღწერილობა ****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</si>
  <si>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</si>
  <si>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</si>
  <si>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</si>
  <si>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</si>
  <si>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ბანკი ქართუ</t>
  </si>
  <si>
    <t>GE51CR0000000004933608</t>
  </si>
  <si>
    <t>GEL</t>
  </si>
  <si>
    <t>5/16/2012</t>
  </si>
  <si>
    <t>GE51CR0000000004933618</t>
  </si>
  <si>
    <t>USD</t>
  </si>
  <si>
    <t>EURO</t>
  </si>
  <si>
    <t>გორი, წერეთლის ქ. #3</t>
  </si>
  <si>
    <t>59001013426</t>
  </si>
  <si>
    <t>ქ. თბილისი ქეთევან წამებულის ქ. #47</t>
  </si>
  <si>
    <t>01028000992</t>
  </si>
  <si>
    <t>როსტიაშვილი ზურაბ ი/მ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</si>
  <si>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</si>
  <si>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</si>
  <si>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</si>
  <si>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ლანჩხუთი, მდინარაძის ქ. #3</t>
  </si>
  <si>
    <t>ორმოცაძე გიორგი ი/მ</t>
  </si>
  <si>
    <t>ქ. ბაღდათი, შ. რუსთაველის ქ. #22</t>
  </si>
  <si>
    <t>შპს ავა-მარიამი</t>
  </si>
  <si>
    <t>ქ. ფოთი, დ. აღმაშენებლის ქ. #10</t>
  </si>
  <si>
    <t>42001010057</t>
  </si>
  <si>
    <t>ხორავა მარიკა ი/მ</t>
  </si>
  <si>
    <t>ქ. თეთრიწყარო, დიდგორის ქ. #15</t>
  </si>
  <si>
    <t>22001005181</t>
  </si>
  <si>
    <t>ბექაური ამური ი/მ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</si>
  <si>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</si>
  <si>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</si>
  <si>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</si>
  <si>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</si>
  <si>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</si>
  <si>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ახალციხე, შ. რუსთაველის ქ. #44-44ა</t>
  </si>
  <si>
    <t>პარკევ წაღიკიან ი/მ</t>
  </si>
  <si>
    <t>ქ. აბაშა, თავისუფლების ქ. #81</t>
  </si>
  <si>
    <t>შუბლაძე ბესიკ ი/მ</t>
  </si>
  <si>
    <t>02001000267</t>
  </si>
  <si>
    <t>გაბელაია დავით ი/მ</t>
  </si>
  <si>
    <t>ქ. ზესტაფონი, წერეთლის ქ. #9</t>
  </si>
  <si>
    <t>შპს ვახტანგი</t>
  </si>
  <si>
    <t>ქ. თბილისი, ცოტნე დადიანის ქ. #141</t>
  </si>
  <si>
    <t>01013004758</t>
  </si>
  <si>
    <t>დ. ჩხოროწყუ დ. აღმაშენებლის ქ. #13</t>
  </si>
  <si>
    <t>48001004194</t>
  </si>
  <si>
    <t>ესართია ლაშა ი/მ</t>
  </si>
  <si>
    <t>ქ. წყალტუბო, შ. რუსთაველის ქ. #4</t>
  </si>
  <si>
    <t>კუხალეიშვილი ნინო ი/მ</t>
  </si>
  <si>
    <t>ქედა, აბუსერიძის ქ. #11</t>
  </si>
  <si>
    <t>ქ. ნინოწმინდა, თავისუფლების ქ. #25</t>
  </si>
  <si>
    <t>32001016304</t>
  </si>
  <si>
    <t>მზიკიან მამბრე ი/მ</t>
  </si>
  <si>
    <t>ქ. ყვარელი, შ. რუსთაველის ქ. #4</t>
  </si>
  <si>
    <t>ქ. მცხეთა, აღმაშენებლის ქ. #43</t>
  </si>
  <si>
    <t>31001022636</t>
  </si>
  <si>
    <t>მარტოლეკი გივი ი/მ</t>
  </si>
  <si>
    <t>ქ. ზუგდიდი, მ. კოსტავას ქ. #11</t>
  </si>
  <si>
    <t>19001010004</t>
  </si>
  <si>
    <t>კვარაცხელია დევი ი/მ</t>
  </si>
  <si>
    <t>ქ. ბორჯომი, შ. რუსთაველის ქ. #147</t>
  </si>
  <si>
    <t>01001000813</t>
  </si>
  <si>
    <t>სამსონიძე ვალიდა ი/მ</t>
  </si>
  <si>
    <t>ქ. თბილისი, ერეკლე II-ეს მოედანი #3</t>
  </si>
  <si>
    <t>205283637</t>
  </si>
  <si>
    <t>შპს ახალი კაპიტალი</t>
  </si>
  <si>
    <t>დ. ადიგენი, თამარ მეფის ქ. #2</t>
  </si>
  <si>
    <t>01004000999</t>
  </si>
  <si>
    <t>ზედგინიძე ზურაბ ი/მ</t>
  </si>
  <si>
    <t>ნინო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</si>
  <si>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</si>
  <si>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</si>
  <si>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</si>
  <si>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</si>
  <si>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</si>
  <si>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</si>
  <si>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ტყიბული შ. რუსთაველის ქ. #1 ბ. 27</t>
  </si>
  <si>
    <t>01024083360</t>
  </si>
  <si>
    <t>ნიკოლოზ</t>
  </si>
  <si>
    <t>მახარაშვილი</t>
  </si>
  <si>
    <t>ქ. ყაზბეგი ალ. ყაზბეგის ქ. # 32</t>
  </si>
  <si>
    <t>01009003409</t>
  </si>
  <si>
    <t>ჩოფიკაშვილი</t>
  </si>
  <si>
    <t>ქ. კასპი მ. კოსტავას ქ. #5</t>
  </si>
  <si>
    <t>მანანა</t>
  </si>
  <si>
    <t>ხვთისიაშვილი</t>
  </si>
  <si>
    <t>ხარაგაული, დ. ხარაგაული, სოლომონ მეფის # 21</t>
  </si>
  <si>
    <t>01018001780</t>
  </si>
  <si>
    <t>მზია</t>
  </si>
  <si>
    <t>არევაძე-წერეთელი</t>
  </si>
  <si>
    <t>დ. მესტია, თამარ მეფის ქ. #14</t>
  </si>
  <si>
    <t>ნინა</t>
  </si>
  <si>
    <t>ჯაფარიძე</t>
  </si>
  <si>
    <t>ქ. წნორი თავისუფლების ქ. #37</t>
  </si>
  <si>
    <t>01008040230</t>
  </si>
  <si>
    <t>ნაირა</t>
  </si>
  <si>
    <t>გელაშვილი</t>
  </si>
  <si>
    <t>ქ. ჩოხატაური, დუმბაძის ქ. #3</t>
  </si>
  <si>
    <t>46001015708</t>
  </si>
  <si>
    <t>მაია</t>
  </si>
  <si>
    <t>ჩხიკვაძე</t>
  </si>
  <si>
    <t>ქ. ლაგოდეხი, ი. ჭავჭავაძის ქ. #2</t>
  </si>
  <si>
    <t>მამაცაშვილი</t>
  </si>
  <si>
    <t>ხულო, დ. ხულო ტბელ აბუსერიძის ქ. #7</t>
  </si>
  <si>
    <t>ზურაბ</t>
  </si>
  <si>
    <t>ბოლქვაძე</t>
  </si>
  <si>
    <t>დ. ასპინძა, გორგასლის ქ. #2</t>
  </si>
  <si>
    <t>რევაზი</t>
  </si>
  <si>
    <t>ქუქჩიშვილი</t>
  </si>
  <si>
    <t>ქ. ონი, დ. აღმაშენებლის ქ. #82</t>
  </si>
  <si>
    <t>მათე</t>
  </si>
  <si>
    <t>გობეჯიშვილი</t>
  </si>
  <si>
    <t>ქ. საჩხერე მერაბ კოსტავას ქ. 65</t>
  </si>
  <si>
    <t>დიმიტრი</t>
  </si>
  <si>
    <t>ბურძენიძე</t>
  </si>
  <si>
    <t>ქ. ჭიათურა ეგ. ნინოშვილის ქ. #12 ბ. 9</t>
  </si>
  <si>
    <t>მირმენი</t>
  </si>
  <si>
    <t>ბარათაშვილი</t>
  </si>
  <si>
    <t>ქ. გურჯაანი, შ. რუსთაველის ქ. #15</t>
  </si>
  <si>
    <t>13001053778</t>
  </si>
  <si>
    <t>სამხარაული</t>
  </si>
  <si>
    <t>ქ. ხაშური მ. კოსტავას ქ. #4</t>
  </si>
  <si>
    <t>01030016651</t>
  </si>
  <si>
    <t>დალი</t>
  </si>
  <si>
    <t>ტალახაძე</t>
  </si>
  <si>
    <t>ქ. წალენჯიხა, გ. მებონიას ქ. #2</t>
  </si>
  <si>
    <t>ბადრი</t>
  </si>
  <si>
    <t>კვარაცხელია</t>
  </si>
  <si>
    <t>ქ. ახმეტა, ვაჟა-ფშაველას ქ.</t>
  </si>
  <si>
    <t>23001000861</t>
  </si>
  <si>
    <t>ნელი</t>
  </si>
  <si>
    <t>ღეჩუაშვილი</t>
  </si>
  <si>
    <t>ქ. ცაგერი, მ. კოსტავას ქ. #13 ბ. 3</t>
  </si>
  <si>
    <t>ზაირა</t>
  </si>
  <si>
    <t>ბენდელიანი</t>
  </si>
  <si>
    <t>ქ. ოზურგეთი, ი. ჭავჭავაძის ქ. #12</t>
  </si>
  <si>
    <t>ნანი</t>
  </si>
  <si>
    <t>ძნელაძე</t>
  </si>
  <si>
    <t>ქ. მარტვილი, თავისუფლების მოედანი</t>
  </si>
  <si>
    <t>ელენე</t>
  </si>
  <si>
    <t>წულაია</t>
  </si>
  <si>
    <t>ქ. წალკა, არისტოტელეს  ქ. #4</t>
  </si>
  <si>
    <t>52001008156</t>
  </si>
  <si>
    <t>ელინა</t>
  </si>
  <si>
    <t>ჩამურლიევა</t>
  </si>
  <si>
    <t xml:space="preserve">ქ. ქარელი სტალინის ქ # 49 </t>
  </si>
  <si>
    <t>01024022690</t>
  </si>
  <si>
    <t>ნანა</t>
  </si>
  <si>
    <t>გიორგაშვილი</t>
  </si>
  <si>
    <t>ქ. ბოლნისი, აღმაშენებლის ქ. #54</t>
  </si>
  <si>
    <t>24001022727</t>
  </si>
  <si>
    <t>ქვრივიშვილი</t>
  </si>
  <si>
    <t>ქ. თბილისი ი. ჭავჭავაძის გამზ. #20</t>
  </si>
  <si>
    <t>01001030978</t>
  </si>
  <si>
    <t>თამარ</t>
  </si>
  <si>
    <t>ასათიანი</t>
  </si>
  <si>
    <t>ქ. თიანეთი რუსთაველის ქ. #38</t>
  </si>
  <si>
    <t>ჯანგირაშვილი</t>
  </si>
  <si>
    <t>ნათელა</t>
  </si>
  <si>
    <t>ქ. დმანისი, 9 აპრილის ქ. #67</t>
  </si>
  <si>
    <t>15001002982</t>
  </si>
  <si>
    <t>ხიდირნაბი</t>
  </si>
  <si>
    <t>დაშდამიროვი</t>
  </si>
  <si>
    <t>ქ. ხონი, მოსე ხონელის ქ. #5</t>
  </si>
  <si>
    <t>55001001060</t>
  </si>
  <si>
    <t>ტრიანდაფილიდი</t>
  </si>
  <si>
    <t>ქ. ვანი, ჯორჯიაშვილის ქ. #2</t>
  </si>
  <si>
    <t>17001000134</t>
  </si>
  <si>
    <t>ომარ</t>
  </si>
  <si>
    <t>კორძაძე</t>
  </si>
  <si>
    <t>1000</t>
  </si>
  <si>
    <t>35001024663</t>
  </si>
  <si>
    <t>თათია</t>
  </si>
  <si>
    <t>კობრეშვილი</t>
  </si>
  <si>
    <t>ფართის იჯარა</t>
  </si>
  <si>
    <t>1 თვე</t>
  </si>
  <si>
    <t xml:space="preserve">რაზმიაშვილი ანა ი/მ </t>
  </si>
  <si>
    <t>ელიაური</t>
  </si>
  <si>
    <t>ლევან</t>
  </si>
  <si>
    <t>გიორგი</t>
  </si>
  <si>
    <t>ამირან დიასამიძე ი/მ</t>
  </si>
  <si>
    <t>თამარი</t>
  </si>
  <si>
    <t>მსუბუქი მაღალი გამავლობის</t>
  </si>
  <si>
    <t>ტოიოტა</t>
  </si>
  <si>
    <t>PRADO</t>
  </si>
  <si>
    <t>FFT-388</t>
  </si>
  <si>
    <t>05/14/2013</t>
  </si>
  <si>
    <t>საარჩევნო ბლოკი ,,ქართული ოცნება"</t>
  </si>
  <si>
    <t>ქ. თბილისი, ალ. ყაზბეგის გამზირი #29ა ბ. #98</t>
  </si>
  <si>
    <t>6 თვე</t>
  </si>
  <si>
    <t>01024003515</t>
  </si>
  <si>
    <t>ელენე ძოწენიძე ი/მ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</si>
  <si>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</si>
  <si>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</si>
  <si>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</si>
  <si>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</si>
  <si>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</si>
  <si>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</si>
  <si>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სხვა მანქანა დანადგარები და ინვენტარი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</si>
  <si>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</si>
  <si>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</si>
  <si>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</si>
  <si>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</si>
  <si>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</si>
  <si>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</si>
  <si>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ფორმა N4.2 - ხელფასები, პრემიები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</si>
  <si>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</si>
  <si>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22.04-12.05.15</t>
  </si>
  <si>
    <t>01.04-21.04.15</t>
  </si>
  <si>
    <t>22.04-12.05</t>
  </si>
  <si>
    <t>13.05.-31.05.2015</t>
  </si>
  <si>
    <t>13.05-31.05.15</t>
  </si>
  <si>
    <t>ქ. თელავი, ჯორჯიაშვილის ქ. #7ა</t>
  </si>
  <si>
    <t>01026004996</t>
  </si>
  <si>
    <t>ალექსანდრე</t>
  </si>
  <si>
    <t>მალუძე</t>
  </si>
  <si>
    <t>01.06-08.06.15</t>
  </si>
  <si>
    <t>241582373</t>
  </si>
  <si>
    <t>შპს კახეთის ღვინის მარანი</t>
  </si>
  <si>
    <t>ქ. რუსთავი, კოსტავას ქ. #14 ბ. #48</t>
  </si>
  <si>
    <t>2 თვე</t>
  </si>
  <si>
    <t>ბეჭდვითი მომსახურეობა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</si>
  <si>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</si>
  <si>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</si>
  <si>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</si>
  <si>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</si>
  <si>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შპს.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</si>
  <si>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</si>
  <si>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</si>
  <si>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</si>
  <si>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</si>
  <si>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</si>
  <si>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</si>
  <si>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</si>
  <si>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</si>
  <si>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</si>
  <si>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</si>
  <si>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</si>
  <si>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</si>
  <si>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</si>
  <si>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</si>
  <si>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</si>
  <si>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</si>
  <si>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</si>
  <si>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</si>
  <si>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</si>
  <si>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</si>
  <si>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</si>
  <si>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</si>
  <si>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</si>
  <si>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</si>
  <si>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</si>
  <si>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</si>
  <si>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</si>
  <si>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</si>
  <si>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</si>
  <si>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</si>
  <si>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</si>
  <si>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</si>
  <si>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</si>
  <si>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</si>
  <si>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</si>
  <si>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</si>
  <si>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</si>
  <si>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</si>
  <si>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</si>
  <si>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</si>
  <si>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</si>
  <si>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</si>
  <si>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</si>
  <si>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</si>
  <si>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</si>
  <si>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</si>
  <si>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</si>
  <si>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</si>
  <si>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</si>
  <si>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</si>
  <si>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</si>
  <si>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</si>
  <si>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</si>
  <si>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</si>
  <si>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</si>
  <si>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</si>
  <si>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</si>
  <si>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</si>
  <si>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</si>
  <si>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</si>
  <si>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</si>
  <si>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</si>
  <si>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</si>
  <si>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</si>
  <si>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</si>
  <si>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</si>
  <si>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</si>
  <si>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</si>
  <si>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</si>
  <si>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</si>
  <si>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</si>
  <si>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</si>
  <si>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</si>
  <si>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</si>
  <si>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</si>
  <si>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</si>
  <si>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</si>
  <si>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</si>
  <si>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</si>
  <si>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</si>
  <si>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</si>
  <si>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</si>
  <si>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</si>
  <si>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</si>
  <si>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</si>
  <si>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</si>
  <si>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</si>
  <si>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</si>
  <si>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</si>
  <si>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</si>
  <si>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>404957070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</si>
  <si>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</si>
  <si>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</si>
  <si>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</si>
  <si>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</si>
  <si>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</si>
  <si>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</si>
  <si>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</si>
  <si>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</si>
  <si>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</si>
  <si>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</si>
  <si>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</si>
  <si>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</si>
  <si>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</si>
  <si>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</si>
  <si>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</si>
  <si>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</si>
  <si>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</si>
  <si>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</si>
  <si>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</si>
  <si>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</si>
  <si>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</si>
  <si>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</si>
  <si>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</si>
  <si>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</si>
  <si>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</si>
  <si>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</si>
  <si>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</si>
  <si>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</si>
  <si>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</si>
  <si>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</si>
  <si>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</si>
  <si>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</si>
  <si>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</si>
  <si>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</si>
  <si>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</si>
  <si>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</si>
  <si>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</si>
  <si>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</si>
  <si>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</si>
  <si>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</si>
  <si>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</si>
  <si>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შპს აჭარის ავტონომიური რესპუბლიკის ონკოლოგიის ცენტრი</t>
  </si>
  <si>
    <t>245428372</t>
  </si>
  <si>
    <t>ბერიძე მალხაზ ი/მ</t>
  </si>
  <si>
    <t>61007004472</t>
  </si>
  <si>
    <t>შპს სახლი ძველ ბათუმში</t>
  </si>
  <si>
    <t>445433610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</si>
  <si>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</si>
  <si>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</si>
  <si>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</si>
  <si>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</si>
  <si>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</si>
  <si>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</si>
  <si>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</si>
  <si>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</si>
  <si>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</si>
  <si>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</si>
  <si>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</si>
  <si>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1.2.15.3</t>
  </si>
  <si>
    <t>1.2.15.4</t>
  </si>
  <si>
    <t>1.2.15.5</t>
  </si>
  <si>
    <t>1.2.15.6</t>
  </si>
  <si>
    <t xml:space="preserve"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 </t>
  </si>
  <si>
    <t>ქ. ხობი, 9 აპრილის ქ. #3</t>
  </si>
  <si>
    <t>244552480</t>
  </si>
  <si>
    <t>შპს ლასარი</t>
  </si>
  <si>
    <t>1.2.15.7</t>
  </si>
  <si>
    <t>31.08-20.09</t>
  </si>
  <si>
    <t>21.09-11.10.</t>
  </si>
  <si>
    <t>12.10-31.10</t>
  </si>
  <si>
    <t>21.09.-11.10</t>
  </si>
  <si>
    <t>31.08-20.09.</t>
  </si>
  <si>
    <t>21.09-11.10</t>
  </si>
  <si>
    <t>12.10.-31.10</t>
  </si>
  <si>
    <t>21.09-11.1</t>
  </si>
  <si>
    <t>31.08.</t>
  </si>
  <si>
    <t>მგალობლიშვილი</t>
  </si>
  <si>
    <t>01.11-19.11</t>
  </si>
  <si>
    <t>ქ. ბათუმი, მარჯანიშვილის და ასათიანის კვეთა</t>
  </si>
  <si>
    <t>ლენტეხი, დაბა ლენტეხი, სტალინის ქ. #8</t>
  </si>
  <si>
    <t>ქურასბედიანი</t>
  </si>
  <si>
    <t>1.2.15.8</t>
  </si>
  <si>
    <t>ქ. თბილისი, მურმან ლებანიძის ქ. #7 ბ. #3</t>
  </si>
  <si>
    <t>ქ. თერჯოლა, რუსთაველის ქ. #105</t>
  </si>
  <si>
    <t>21001015020</t>
  </si>
  <si>
    <t>ჩუბინიძე დარეჯანი ი/მ</t>
  </si>
  <si>
    <t>ქ. ბათუმი, ფრიდონ ხალვაშის მე-7 შესახვევი #11</t>
  </si>
  <si>
    <t>როინ</t>
  </si>
  <si>
    <t>ბერიძე</t>
  </si>
  <si>
    <t>ქ. თბილისი, დ. აღმაშენებლის გამზირი #39</t>
  </si>
  <si>
    <t>01030006499</t>
  </si>
  <si>
    <t>სხვა ფულადი შემოსავლები (თანხის უკან დაბრუნება)</t>
  </si>
  <si>
    <t>1,5 თვე</t>
  </si>
  <si>
    <t>3 თვე</t>
  </si>
  <si>
    <t>5 თვე</t>
  </si>
  <si>
    <t>საგარეჯო, რუსთაველის ქ. #175</t>
  </si>
  <si>
    <t>36001011819</t>
  </si>
  <si>
    <t>ეკატერინე</t>
  </si>
  <si>
    <t>ქვლივიძე</t>
  </si>
  <si>
    <t>ქ. თბილისი, ფორე მოსულიშვილის ქ. #1</t>
  </si>
  <si>
    <t>კახაბერ ქემერტელიძე ი/მ</t>
  </si>
  <si>
    <t>ქ. ახალქალაქი, ჩარენცის ქ. #11/1</t>
  </si>
  <si>
    <t>07001022059</t>
  </si>
  <si>
    <t>ლუსაბერ</t>
  </si>
  <si>
    <t>მურადიანი</t>
  </si>
  <si>
    <t>ქ. ქობულეთი, დ. აღმაშენებლის გამზირი #98</t>
  </si>
  <si>
    <t>იოსებ ჟღენტი ი/მ</t>
  </si>
  <si>
    <t>4 თვე</t>
  </si>
  <si>
    <t>შუახევი, დაბა შუახევი, რუსთაველის ქ. #22</t>
  </si>
  <si>
    <t>3,5 თვე</t>
  </si>
  <si>
    <t>61009020031</t>
  </si>
  <si>
    <t>ნესტან შაინიძე ი/მ</t>
  </si>
  <si>
    <t>ქ. გორი, ბესარიონ ჯუღაშვილის ქ. #13</t>
  </si>
  <si>
    <t>59001122360</t>
  </si>
  <si>
    <t>მარიამ ბუთხუზი ი/მ</t>
  </si>
  <si>
    <t>ქ. თბილისი, მოედანი გულია</t>
  </si>
  <si>
    <t>404459616</t>
  </si>
  <si>
    <t>შპს თელი Teli</t>
  </si>
  <si>
    <t>ქ. ამბროლაური, კოსტავას ქ. #7</t>
  </si>
  <si>
    <t>04001002980</t>
  </si>
  <si>
    <t>ომარი გოცირიძე ი/მ</t>
  </si>
  <si>
    <t>ქ. თბილისი, ჯავახეთის ქუჩის და კალაუბნის გადაკვეთასთან</t>
  </si>
  <si>
    <t>01024070244</t>
  </si>
  <si>
    <t>ზურიკო ნონიაშვილი ი/მ</t>
  </si>
  <si>
    <t>10001005919</t>
  </si>
  <si>
    <t>სანდრო ნონიაშვილი ი/მ</t>
  </si>
  <si>
    <t>კასპი, სოფელი მეტეხი</t>
  </si>
  <si>
    <t>24001028284</t>
  </si>
  <si>
    <t>ალექსანდრე ასლამაზაშვილი ი/მ</t>
  </si>
  <si>
    <t>1 დღე</t>
  </si>
  <si>
    <t xml:space="preserve">შპს პოლიგრაფ ექსტრა </t>
  </si>
  <si>
    <t>დიმიტრი ჩქარეული</t>
  </si>
  <si>
    <t>62004015293</t>
  </si>
  <si>
    <t>GE62BG0000000854055400</t>
  </si>
  <si>
    <t>საქართველოს ბანკი</t>
  </si>
  <si>
    <t>ქ. დუშეთი, რუსთაველის ქ. #46</t>
  </si>
  <si>
    <t>შვენა</t>
  </si>
  <si>
    <t>ზანდუკელი</t>
  </si>
  <si>
    <t>ქ. გარდაბანი, დ. აღმაშენებლის ქ. კორპუსი 17 ბ. #2-3</t>
  </si>
  <si>
    <t>რამაზან</t>
  </si>
  <si>
    <t>ხალილოვი</t>
  </si>
  <si>
    <t>ოზურგეთის მუნიციპალიტეტი, დაბა ნასაკირალი</t>
  </si>
  <si>
    <t>შუქრი</t>
  </si>
  <si>
    <t>პაიჭაძე</t>
  </si>
  <si>
    <t>ქ. ქუთაისი, გრიშაშვილის ქ. მე-4 შესახვევი #9/რუსთაველის გამზირი #27</t>
  </si>
  <si>
    <t>ამირან</t>
  </si>
  <si>
    <t>კოპალეიშვილი</t>
  </si>
  <si>
    <t>ქ. ხაშური, სააკაძის ქ. #94</t>
  </si>
  <si>
    <t>კახაბერ</t>
  </si>
  <si>
    <t>მარკოზია</t>
  </si>
  <si>
    <t>ქ. ზუგდიდი, კ. გამსახურდიას ქ. #35</t>
  </si>
  <si>
    <t>19001023247</t>
  </si>
  <si>
    <t>ავთანდილ შენგელაია ი/მ</t>
  </si>
  <si>
    <t>ქ. წყალტუბო, რუსთაველის ქ. #23</t>
  </si>
  <si>
    <t>404381414</t>
  </si>
  <si>
    <t>სს საქართველოს სასტუმროები და სპა</t>
  </si>
  <si>
    <t>01024081247</t>
  </si>
  <si>
    <t>ყარსელიშვილი</t>
  </si>
  <si>
    <t>04.05-22.05.2016</t>
  </si>
  <si>
    <t>05/05/2016</t>
  </si>
  <si>
    <t>ფულადი შემოწირულობა</t>
  </si>
  <si>
    <t>ზურაბ გრძელიძე</t>
  </si>
  <si>
    <t>01007000269</t>
  </si>
  <si>
    <t>GE60CR0000009409773601</t>
  </si>
  <si>
    <t>ნიკოლოზ კაკილაშვილი</t>
  </si>
  <si>
    <t>01031001524</t>
  </si>
  <si>
    <t>GE11CR0000009409783601</t>
  </si>
  <si>
    <t>რევაზ გოგეშვილი</t>
  </si>
  <si>
    <t>01017031977</t>
  </si>
  <si>
    <t>GE59CR0000009409793601</t>
  </si>
  <si>
    <t>ოთარ მაჭარაშვილი</t>
  </si>
  <si>
    <t>01017004485</t>
  </si>
  <si>
    <t>GE10CR0000009409803601</t>
  </si>
  <si>
    <t>დავით ნიკოლეიშვილი</t>
  </si>
  <si>
    <t>01009007269</t>
  </si>
  <si>
    <t>GE58CR0000009409813601</t>
  </si>
  <si>
    <t>05/06/2016</t>
  </si>
  <si>
    <t>გიორგი ჭანტურია</t>
  </si>
  <si>
    <t>35001024567</t>
  </si>
  <si>
    <t>GE03CR0000009409943601</t>
  </si>
  <si>
    <t>ანა ზედგინიძე</t>
  </si>
  <si>
    <t>12001070731</t>
  </si>
  <si>
    <t>GE02CR0000009409963601</t>
  </si>
  <si>
    <t>თამაზი ტურავა</t>
  </si>
  <si>
    <t>35001127542</t>
  </si>
  <si>
    <t>GE51CR0000009409953601</t>
  </si>
  <si>
    <t>ალექსანდრე ხაჩიძე</t>
  </si>
  <si>
    <t>35001098142</t>
  </si>
  <si>
    <t>GE98CR0000009409983601</t>
  </si>
  <si>
    <t>ირაკლი სამუნაშვილი</t>
  </si>
  <si>
    <t>35001003535</t>
  </si>
  <si>
    <t>GE50CR0000009409973601</t>
  </si>
  <si>
    <t>05/11/2016</t>
  </si>
  <si>
    <t>გიორგი მაისურაძე</t>
  </si>
  <si>
    <t>01025011363</t>
  </si>
  <si>
    <t>GE13CR0000000888293601</t>
  </si>
  <si>
    <t>გიორგი სტურუა</t>
  </si>
  <si>
    <t>01017011056</t>
  </si>
  <si>
    <t>GE81CR0000009410323601</t>
  </si>
  <si>
    <t>შალვა კიკაბიძე</t>
  </si>
  <si>
    <t>01024034330</t>
  </si>
  <si>
    <t>GE32CR0000009410333601</t>
  </si>
  <si>
    <t>კახაბერი კალაძე</t>
  </si>
  <si>
    <t>36001002930</t>
  </si>
  <si>
    <t>GE80CR0000009410343601</t>
  </si>
  <si>
    <t>ზურაბ ჭანტურია</t>
  </si>
  <si>
    <t>01010014067</t>
  </si>
  <si>
    <t>GE31CR0000009410353601</t>
  </si>
  <si>
    <t>ლევან გოგლიძე</t>
  </si>
  <si>
    <t>01006010328</t>
  </si>
  <si>
    <t>GE30CR0000009410373601</t>
  </si>
  <si>
    <t>ოთარ ბუტიკაშვილი</t>
  </si>
  <si>
    <t>01001026845</t>
  </si>
  <si>
    <t>GE78CR0000009410383601</t>
  </si>
  <si>
    <t>ლევან ღლონტი</t>
  </si>
  <si>
    <t>01009016883</t>
  </si>
  <si>
    <t>GE77CR0000009410403601</t>
  </si>
  <si>
    <t>გიორგი აფხაზავა</t>
  </si>
  <si>
    <t>01008023145</t>
  </si>
  <si>
    <t>GE29CR0000009410393601</t>
  </si>
  <si>
    <t>არჩილ მესხი</t>
  </si>
  <si>
    <t>01009004056</t>
  </si>
  <si>
    <t>GE27CR0000009410433601</t>
  </si>
  <si>
    <t>დავით თორთლაძე</t>
  </si>
  <si>
    <t>01011005072</t>
  </si>
  <si>
    <t>GE26CR0000009410453601</t>
  </si>
  <si>
    <t>გიორგი გრიგოლია</t>
  </si>
  <si>
    <t>01025020017</t>
  </si>
  <si>
    <t>GE73CR0000009410483601</t>
  </si>
  <si>
    <t>ირაკლი მარღანია</t>
  </si>
  <si>
    <t>62005024977</t>
  </si>
  <si>
    <t>GE21CR0000009410553601</t>
  </si>
  <si>
    <t>ნატო ხაინდრავა</t>
  </si>
  <si>
    <t>01003011336</t>
  </si>
  <si>
    <t>GE75CR0000000016963601</t>
  </si>
  <si>
    <t>05/13/2016</t>
  </si>
  <si>
    <t>დავით გალუაშვილი</t>
  </si>
  <si>
    <t>12001031377</t>
  </si>
  <si>
    <t>GE11CR0000007118643601</t>
  </si>
  <si>
    <t>05/17/2016</t>
  </si>
  <si>
    <t>დავით ხარაიძე</t>
  </si>
  <si>
    <t>54001004147</t>
  </si>
  <si>
    <t>GE63CR0000000893113601</t>
  </si>
  <si>
    <t>გივი მალაშხია</t>
  </si>
  <si>
    <t>01008024846</t>
  </si>
  <si>
    <t>GE97CR0000009410973601</t>
  </si>
  <si>
    <t>დიმიტრი ცისკარიშვილი</t>
  </si>
  <si>
    <t>01008018650</t>
  </si>
  <si>
    <t>GE48CR0000009410983601</t>
  </si>
  <si>
    <t>ზურაბ გოგუა</t>
  </si>
  <si>
    <t>01010013094</t>
  </si>
  <si>
    <t>GE42CR0000007111233601</t>
  </si>
  <si>
    <t>გოჩა ჩიკვილაძე</t>
  </si>
  <si>
    <t>01023008103</t>
  </si>
  <si>
    <t>GE02CR0000000058193601</t>
  </si>
  <si>
    <t>05/18/2016</t>
  </si>
  <si>
    <t>ვახტანგ არაბული</t>
  </si>
  <si>
    <t>01025000402</t>
  </si>
  <si>
    <t>GE43CR0000000908063601</t>
  </si>
  <si>
    <t>ზურაბ ბურდული</t>
  </si>
  <si>
    <t>01004005799</t>
  </si>
  <si>
    <t>GE38CR0000000890703601</t>
  </si>
  <si>
    <t>მერაბ ივანაშვილი</t>
  </si>
  <si>
    <t>12001058920</t>
  </si>
  <si>
    <t>GE87CR0000000890693601</t>
  </si>
  <si>
    <t>გაგა ბუხრაშვილი</t>
  </si>
  <si>
    <t>54001001628</t>
  </si>
  <si>
    <t>GE17CR0000000892093601</t>
  </si>
  <si>
    <t>გივი ლებანიძე</t>
  </si>
  <si>
    <t>01001029463</t>
  </si>
  <si>
    <t>GE83CR0000000057543601</t>
  </si>
  <si>
    <t>მიხეილ ბეგიაშვილი</t>
  </si>
  <si>
    <t>01024023623</t>
  </si>
  <si>
    <t>GE22CR0000000028693601</t>
  </si>
  <si>
    <t>ანზორ აბრამიშვილი</t>
  </si>
  <si>
    <t>01025009236</t>
  </si>
  <si>
    <t>GE73CR0000000891943601</t>
  </si>
  <si>
    <t>გიორგი ქუთათელაძე</t>
  </si>
  <si>
    <t>35001012020</t>
  </si>
  <si>
    <t>GE89CR0000009411133601</t>
  </si>
  <si>
    <t>თამუნა დეკანოსიძე</t>
  </si>
  <si>
    <t>56001021675</t>
  </si>
  <si>
    <t>GE88CR0000009411153601</t>
  </si>
  <si>
    <t>ლაშა პარასტაშვილი</t>
  </si>
  <si>
    <t>35001032417</t>
  </si>
  <si>
    <t>GE39CR0000009411163601</t>
  </si>
  <si>
    <t>ანა შათირიშვილი</t>
  </si>
  <si>
    <t>35001096034</t>
  </si>
  <si>
    <t>GE40CR0000009411143601</t>
  </si>
  <si>
    <t>05/16/2016</t>
  </si>
  <si>
    <t>არაფულადი შემოწირულობა</t>
  </si>
  <si>
    <t>დავით ჯიქია</t>
  </si>
  <si>
    <t>53001058945</t>
  </si>
  <si>
    <t>წყალტუბო სოფელი მეორე უბანი შენობა-ნაგებობა #1 ს.კ. 29,05,38,009 ფართი 20კვ.მ უსასყიდლოდ სარგებლობა 7 დღით</t>
  </si>
  <si>
    <t>ლიანა კინწურაშვილი</t>
  </si>
  <si>
    <t>53001031331</t>
  </si>
  <si>
    <t>სოსო იობიძე</t>
  </si>
  <si>
    <t>53001006028</t>
  </si>
  <si>
    <t>წყალტუბო სოფელი ქვილიშორი ს.კ. 29,05,03,669 ფართი 50კვ.მ უსასყიდლოდ სარგებლობა 7 დღით</t>
  </si>
  <si>
    <t>05/19/2016</t>
  </si>
  <si>
    <t>05/20/2016</t>
  </si>
  <si>
    <t>დავით</t>
  </si>
  <si>
    <t>ნადირაძე მანანა</t>
  </si>
  <si>
    <t>კვარაცხელია ბექა</t>
  </si>
  <si>
    <t>ძაგანია ბაჩანა</t>
  </si>
  <si>
    <t>კამკამიძე ნატალია</t>
  </si>
  <si>
    <t>კეტაშვილი გელა</t>
  </si>
  <si>
    <t>ვაშაკიძე მანანა</t>
  </si>
  <si>
    <t>თავაძე გიორგი</t>
  </si>
  <si>
    <t>თევზაძე მიხეილ</t>
  </si>
  <si>
    <t>კიკალიშვილი მათე</t>
  </si>
  <si>
    <t>ჭანტურია თეონა</t>
  </si>
  <si>
    <t>ნადირაშვილი ნინო</t>
  </si>
  <si>
    <t>ბუჩუკური გიორგი</t>
  </si>
  <si>
    <t>კაკოიშვილი ირაკლი</t>
  </si>
  <si>
    <t>ნინიკელაშვილი მიხეილ</t>
  </si>
  <si>
    <t>მღებრიშვილი ალექსანდრე</t>
  </si>
  <si>
    <t>მიქაძე ქეთევან</t>
  </si>
  <si>
    <t>მაღალდაძე ოთარ</t>
  </si>
  <si>
    <t>ლურსმანაშვილი არჩილ</t>
  </si>
  <si>
    <t>აბაზაშვილი დავით</t>
  </si>
  <si>
    <t>თევზაძე ზურაბ</t>
  </si>
  <si>
    <t>ბერაია ირაკლი</t>
  </si>
  <si>
    <t>01026005854</t>
  </si>
  <si>
    <t>01024015586</t>
  </si>
  <si>
    <t>29001029413</t>
  </si>
  <si>
    <t>01008007223</t>
  </si>
  <si>
    <t>01019007589</t>
  </si>
  <si>
    <t>01024025875</t>
  </si>
  <si>
    <t>01007007497</t>
  </si>
  <si>
    <t>01017043118</t>
  </si>
  <si>
    <t>19001100431</t>
  </si>
  <si>
    <t>01008005282</t>
  </si>
  <si>
    <t>01017011164</t>
  </si>
  <si>
    <t>01024053051</t>
  </si>
  <si>
    <t>21001002417</t>
  </si>
  <si>
    <t>01001033007</t>
  </si>
  <si>
    <t>01009006847</t>
  </si>
  <si>
    <t>01018000083</t>
  </si>
  <si>
    <t>01012028848</t>
  </si>
  <si>
    <t>01024051979</t>
  </si>
  <si>
    <t>01008033640</t>
  </si>
  <si>
    <t>01024003698</t>
  </si>
  <si>
    <t>58001000619</t>
  </si>
  <si>
    <t>GE44CR0000000022433601</t>
  </si>
  <si>
    <t>GE65CR0000000054023601</t>
  </si>
  <si>
    <t>GE93CR0000000932283601</t>
  </si>
  <si>
    <t>GE26CR0000009411423601</t>
  </si>
  <si>
    <t>GE73CR0000009411453601</t>
  </si>
  <si>
    <t>GE27CR0140000501073601</t>
  </si>
  <si>
    <t>GE24CR0000009411463601</t>
  </si>
  <si>
    <t>GE71CR0000009411493601</t>
  </si>
  <si>
    <t>GE23CR0000009411483601</t>
  </si>
  <si>
    <t>GE22CR0000009411503601</t>
  </si>
  <si>
    <t>GE16CR0000000855253601</t>
  </si>
  <si>
    <t>GE69CR0000009411533601</t>
  </si>
  <si>
    <t>GE21CR0000009411523601</t>
  </si>
  <si>
    <t>GE20CR0000009411543601</t>
  </si>
  <si>
    <t>GE70CR0000009411513601</t>
  </si>
  <si>
    <t>GE19CR0000009411563601</t>
  </si>
  <si>
    <t>GE67CR0000009411573601</t>
  </si>
  <si>
    <t>GE18CR0000009411583601</t>
  </si>
  <si>
    <t>GE68CR0000009411553601</t>
  </si>
  <si>
    <t>GE98CR0000000010683601</t>
  </si>
  <si>
    <t>GE67CR0000000022943601</t>
  </si>
  <si>
    <t>ავტობუსი</t>
  </si>
  <si>
    <t>FORD</t>
  </si>
  <si>
    <t>TRANSIT 190 LTD</t>
  </si>
  <si>
    <t>1995</t>
  </si>
  <si>
    <t>AA958FF</t>
  </si>
  <si>
    <t>აკაკი</t>
  </si>
  <si>
    <t>ხუხიაშვილი</t>
  </si>
  <si>
    <t>IVECO</t>
  </si>
  <si>
    <t>391 E</t>
  </si>
  <si>
    <t>1998</t>
  </si>
  <si>
    <t>ZA080ZA</t>
  </si>
  <si>
    <t>შპს სელპანტინი ბათუმი</t>
  </si>
  <si>
    <t>NEOPLAN</t>
  </si>
  <si>
    <t>N516 SHD-H</t>
  </si>
  <si>
    <t>2000</t>
  </si>
  <si>
    <t>MB644BM</t>
  </si>
  <si>
    <t>MERCEDES BENZ</t>
  </si>
  <si>
    <t>0403</t>
  </si>
  <si>
    <t>1999</t>
  </si>
  <si>
    <t>EVE724</t>
  </si>
  <si>
    <t>FLAT 380E 12.38</t>
  </si>
  <si>
    <t>ZA010ZA</t>
  </si>
  <si>
    <t>VOLKSWAGEN</t>
  </si>
  <si>
    <t>LT 35</t>
  </si>
  <si>
    <t>AM009RO</t>
  </si>
  <si>
    <t>შპს ქედის ავტოსატრანსპორტო საწარმო</t>
  </si>
  <si>
    <t>SRB272</t>
  </si>
  <si>
    <t>LT 46</t>
  </si>
  <si>
    <t>TTF845</t>
  </si>
  <si>
    <t>UOU734</t>
  </si>
  <si>
    <t>310</t>
  </si>
  <si>
    <t>1997</t>
  </si>
  <si>
    <t>GAS189</t>
  </si>
  <si>
    <t>შპს ხუტა</t>
  </si>
  <si>
    <t>312 D</t>
  </si>
  <si>
    <t>ST795TS</t>
  </si>
  <si>
    <t>SPRINTER 308</t>
  </si>
  <si>
    <t>1996</t>
  </si>
  <si>
    <t>WTF004</t>
  </si>
  <si>
    <t>SPRINTER 312 D-KA</t>
  </si>
  <si>
    <t>GGO992</t>
  </si>
  <si>
    <t>SPRINTER 412 D</t>
  </si>
  <si>
    <t>GFG036</t>
  </si>
  <si>
    <t>DB777MG</t>
  </si>
  <si>
    <t>SPRINTER 310 D</t>
  </si>
  <si>
    <t>OM900AR</t>
  </si>
  <si>
    <t>DODGE</t>
  </si>
  <si>
    <t>SPRINTER 2500</t>
  </si>
  <si>
    <t>2005</t>
  </si>
  <si>
    <t>CCO868</t>
  </si>
  <si>
    <t>TRAVEGO ISSHD</t>
  </si>
  <si>
    <t>2008</t>
  </si>
  <si>
    <t>XBB838</t>
  </si>
  <si>
    <t>ბაგრატ ბაბუჩაიშვილი</t>
  </si>
  <si>
    <t>OTAKA</t>
  </si>
  <si>
    <t>SULTAN C 1255</t>
  </si>
  <si>
    <t>2013</t>
  </si>
  <si>
    <t>LKG111</t>
  </si>
  <si>
    <t>61006004224</t>
  </si>
  <si>
    <t>მალხაზ ბაბუჩაიშვილი</t>
  </si>
  <si>
    <t>SPRINTER TRUCK/CAM</t>
  </si>
  <si>
    <t>2003</t>
  </si>
  <si>
    <t>JJI056</t>
  </si>
  <si>
    <t>თამაზ შანთაძე</t>
  </si>
  <si>
    <t>TRANSIT 120T330</t>
  </si>
  <si>
    <t>VVG167</t>
  </si>
  <si>
    <t>ბიძინა ილაშვილი</t>
  </si>
  <si>
    <t>TRANSIT 2.5D</t>
  </si>
  <si>
    <t>FTT614</t>
  </si>
  <si>
    <t>ბონდო</t>
  </si>
  <si>
    <t>რუსიშვილი</t>
  </si>
  <si>
    <t>ვენი</t>
  </si>
  <si>
    <t>NISSAN</t>
  </si>
  <si>
    <t>LAFESTA</t>
  </si>
  <si>
    <t>2007</t>
  </si>
  <si>
    <t>AA327VA</t>
  </si>
  <si>
    <t>მამუკა სეფიაშვილი</t>
  </si>
  <si>
    <t>SPRINTER</t>
  </si>
  <si>
    <t>AM999RN</t>
  </si>
  <si>
    <t>ამირან ქისტაური</t>
  </si>
  <si>
    <t>EOS</t>
  </si>
  <si>
    <t>E180Z</t>
  </si>
  <si>
    <t>1993</t>
  </si>
  <si>
    <t>AM752MA</t>
  </si>
  <si>
    <t>ელდარი მამედოვი</t>
  </si>
  <si>
    <t xml:space="preserve">FORD </t>
  </si>
  <si>
    <t>JGJ133</t>
  </si>
  <si>
    <t>გივი სურამლიშვილი</t>
  </si>
  <si>
    <t>CRAFTER</t>
  </si>
  <si>
    <t>CL219LC</t>
  </si>
  <si>
    <t>დავითი</t>
  </si>
  <si>
    <t>ფუღიაშვილი</t>
  </si>
  <si>
    <t>LT 35D</t>
  </si>
  <si>
    <t>RM777ZA</t>
  </si>
  <si>
    <t>შპს გოგი</t>
  </si>
  <si>
    <t>TRANSIT 1001</t>
  </si>
  <si>
    <t>MGO100</t>
  </si>
  <si>
    <t>TRANSIT 330 LTD</t>
  </si>
  <si>
    <t>VA535XO</t>
  </si>
  <si>
    <t>TRANSIT</t>
  </si>
  <si>
    <t>RGR680</t>
  </si>
  <si>
    <t>TRANSIT150 L</t>
  </si>
  <si>
    <t>CZC453</t>
  </si>
  <si>
    <t>TRANSIT 100</t>
  </si>
  <si>
    <t>DCG151</t>
  </si>
  <si>
    <t>სიმონი</t>
  </si>
  <si>
    <t>მაისურაძე</t>
  </si>
  <si>
    <t>SPRINTER 311CDI</t>
  </si>
  <si>
    <t>2004</t>
  </si>
  <si>
    <t>OMO040</t>
  </si>
  <si>
    <t>მალხაზ შველიძე</t>
  </si>
  <si>
    <t>310 D</t>
  </si>
  <si>
    <t>PSP814</t>
  </si>
  <si>
    <t>მურთაზ ძნელაძე</t>
  </si>
  <si>
    <t>GIA313</t>
  </si>
  <si>
    <t>გია გიორგაძე</t>
  </si>
  <si>
    <t xml:space="preserve">NEOPLAN </t>
  </si>
  <si>
    <t>N 216 SHD</t>
  </si>
  <si>
    <t>1990</t>
  </si>
  <si>
    <t>YIY565</t>
  </si>
  <si>
    <t>01021015268</t>
  </si>
  <si>
    <t>მოსე ჩიჩუა</t>
  </si>
  <si>
    <t>0303</t>
  </si>
  <si>
    <t>1992</t>
  </si>
  <si>
    <t>BBQ865</t>
  </si>
  <si>
    <t>მანასე ჯაველიძე</t>
  </si>
  <si>
    <t>412 D</t>
  </si>
  <si>
    <t>MIV111</t>
  </si>
  <si>
    <t>მორის მორჩილაძე</t>
  </si>
  <si>
    <t>SPRINTER 903 KA</t>
  </si>
  <si>
    <t>FZF037</t>
  </si>
  <si>
    <t>თენგიზ პატარაია</t>
  </si>
  <si>
    <t>TRANSIT 350 LD</t>
  </si>
  <si>
    <t>2001</t>
  </si>
  <si>
    <t>GNG017</t>
  </si>
  <si>
    <t>ვაჟა წამალაიძე</t>
  </si>
  <si>
    <t>RXR894</t>
  </si>
  <si>
    <t>ტარიელი მაისურაძე</t>
  </si>
  <si>
    <t>SPRINTER 312 D</t>
  </si>
  <si>
    <t>BG646GB</t>
  </si>
  <si>
    <t>შპს მცხეთა ავტო</t>
  </si>
  <si>
    <t>SPRINTER 411 CDI</t>
  </si>
  <si>
    <t>2002</t>
  </si>
  <si>
    <t>FZF133</t>
  </si>
  <si>
    <t>SPRINTER 315 CDI</t>
  </si>
  <si>
    <t>VAV399</t>
  </si>
  <si>
    <t>SPRINTER 311 CDI</t>
  </si>
  <si>
    <t>VQV634</t>
  </si>
  <si>
    <t>ZVI087</t>
  </si>
  <si>
    <t>ზვიად</t>
  </si>
  <si>
    <t>სეთური</t>
  </si>
  <si>
    <t>TRANSIT 190L</t>
  </si>
  <si>
    <t>XOZ200</t>
  </si>
  <si>
    <t>გიორგი ხოზორაშვილი</t>
  </si>
  <si>
    <t xml:space="preserve">814 D </t>
  </si>
  <si>
    <t>JI349IJ</t>
  </si>
  <si>
    <t>თეიმურაზ ორტოლაშვილი</t>
  </si>
  <si>
    <t>RVR770</t>
  </si>
  <si>
    <t>გიორგი ფანჯავიძე</t>
  </si>
  <si>
    <t>YGY312</t>
  </si>
  <si>
    <t>ბადრი ბენდელიანი</t>
  </si>
  <si>
    <t>416 CDI</t>
  </si>
  <si>
    <t>WVV440</t>
  </si>
  <si>
    <t>თემური გაზდელიანი</t>
  </si>
  <si>
    <t>GGT325</t>
  </si>
  <si>
    <t>04001006795</t>
  </si>
  <si>
    <t>კახაბერ უთმელიძე</t>
  </si>
  <si>
    <t>TRANSIT 350 EL</t>
  </si>
  <si>
    <t>CC202QQ</t>
  </si>
  <si>
    <t>04001013667</t>
  </si>
  <si>
    <t>თემურ გოგორელიანი</t>
  </si>
  <si>
    <t>TRANSIT BUS</t>
  </si>
  <si>
    <t>AC934CA</t>
  </si>
  <si>
    <t>მისაკ გრიგორიან</t>
  </si>
  <si>
    <t>IZI521</t>
  </si>
  <si>
    <t>სედრაკ შახბაზიან</t>
  </si>
  <si>
    <t xml:space="preserve">LL920LI </t>
  </si>
  <si>
    <t>გიორგი ჩადუნელი</t>
  </si>
  <si>
    <t>MITSUBISHI</t>
  </si>
  <si>
    <t>ROSA</t>
  </si>
  <si>
    <t>LWL129</t>
  </si>
  <si>
    <t>შპს ჯეოტივი</t>
  </si>
  <si>
    <t>XLX302</t>
  </si>
  <si>
    <t>HBH020</t>
  </si>
  <si>
    <t>07001019898</t>
  </si>
  <si>
    <t>ნორაირ მანასიანი</t>
  </si>
  <si>
    <t>TRANSIT 100 GL 2.5 D</t>
  </si>
  <si>
    <t>WCW583</t>
  </si>
  <si>
    <t>05001008474</t>
  </si>
  <si>
    <t>არამ ხაჩატურიან</t>
  </si>
  <si>
    <t>TRANSIT 190 L</t>
  </si>
  <si>
    <t>XLX550</t>
  </si>
  <si>
    <t>შპს ადიგენის ავტოსატრანსპორტო საწარმო 2</t>
  </si>
  <si>
    <t>TRANSIT 150 L</t>
  </si>
  <si>
    <t>NGN902</t>
  </si>
  <si>
    <t>TRANSIT 2500C</t>
  </si>
  <si>
    <t>IUR080</t>
  </si>
  <si>
    <t>FREIGHTLINER</t>
  </si>
  <si>
    <t>WCW030</t>
  </si>
  <si>
    <t>კონსტანტინე ლაცაბიძე</t>
  </si>
  <si>
    <t>SPRINTER 313 D</t>
  </si>
  <si>
    <t>QN212NQ</t>
  </si>
  <si>
    <t>01019002758</t>
  </si>
  <si>
    <t>გიორგი მეხრიშვილი</t>
  </si>
  <si>
    <t>TRANSIT 150L</t>
  </si>
  <si>
    <t>BRI710</t>
  </si>
  <si>
    <t>გიორგი ცალქალამანიძე</t>
  </si>
  <si>
    <t>95.9 E18</t>
  </si>
  <si>
    <t>CPC535</t>
  </si>
  <si>
    <t>შპს ბუქო-777</t>
  </si>
  <si>
    <t>VBV519</t>
  </si>
  <si>
    <t>BOGDAN</t>
  </si>
  <si>
    <t>A09201</t>
  </si>
  <si>
    <t>GEL734</t>
  </si>
  <si>
    <t>MAN</t>
  </si>
  <si>
    <t>11.180 HOCL</t>
  </si>
  <si>
    <t>CWC947</t>
  </si>
  <si>
    <t>GEL745</t>
  </si>
  <si>
    <t>11190HOCL</t>
  </si>
  <si>
    <t>BB391OO</t>
  </si>
  <si>
    <t>GEL751</t>
  </si>
  <si>
    <t>GO777AH</t>
  </si>
  <si>
    <t>გოჩა</t>
  </si>
  <si>
    <t>აშოთია</t>
  </si>
  <si>
    <t>NRN656</t>
  </si>
  <si>
    <t>მურადი ხეცურიანი</t>
  </si>
  <si>
    <t>TRANSIT 125T350</t>
  </si>
  <si>
    <t>KZK253</t>
  </si>
  <si>
    <t>56001006616</t>
  </si>
  <si>
    <t>სოსო ლურსმანაშვილი</t>
  </si>
  <si>
    <t>TRANSIT 350EL</t>
  </si>
  <si>
    <t>2011</t>
  </si>
  <si>
    <t>UDU677</t>
  </si>
  <si>
    <t>აკაკი ჭანკვეტაძე</t>
  </si>
  <si>
    <t>EME514</t>
  </si>
  <si>
    <t>გურამ ჩიხლაძე</t>
  </si>
  <si>
    <t>312 D-KA</t>
  </si>
  <si>
    <t>DZD685</t>
  </si>
  <si>
    <t>ელგუჯა ფანცხავა</t>
  </si>
  <si>
    <t>3204</t>
  </si>
  <si>
    <t>BU888SI</t>
  </si>
  <si>
    <t>შპს თანამგზავრი 2017</t>
  </si>
  <si>
    <t>COACH</t>
  </si>
  <si>
    <t>EOS888</t>
  </si>
  <si>
    <t>EL911LE</t>
  </si>
  <si>
    <t>RRS588</t>
  </si>
  <si>
    <t xml:space="preserve">SPRINTER 312 D </t>
  </si>
  <si>
    <t>HTH408</t>
  </si>
  <si>
    <t>მერაბი</t>
  </si>
  <si>
    <t>315 CDI</t>
  </si>
  <si>
    <t>EVE423</t>
  </si>
  <si>
    <t>ზაზა შეყლაშვილი</t>
  </si>
  <si>
    <t>SETRA</t>
  </si>
  <si>
    <t xml:space="preserve"> S 31 5HDH</t>
  </si>
  <si>
    <t>1994</t>
  </si>
  <si>
    <t>BTJ999</t>
  </si>
  <si>
    <t>ბეჟან კაცაძე</t>
  </si>
  <si>
    <t>TRANSIT 2.5 D</t>
  </si>
  <si>
    <t>GGP453</t>
  </si>
  <si>
    <t>გოჩა კანკაძე</t>
  </si>
  <si>
    <t>312 D SPRINTER</t>
  </si>
  <si>
    <t>RRS859</t>
  </si>
  <si>
    <t>იუზა ჭიქაშუა</t>
  </si>
  <si>
    <t>906 KA 35</t>
  </si>
  <si>
    <t>EDE676</t>
  </si>
  <si>
    <t>09001002573</t>
  </si>
  <si>
    <t>ირაკლი ენდელაძე</t>
  </si>
  <si>
    <t>GOD013</t>
  </si>
  <si>
    <t>09001019111</t>
  </si>
  <si>
    <t>გოდერძი აბულაძე</t>
  </si>
  <si>
    <t>TRANSIT 350 LWB TD</t>
  </si>
  <si>
    <t>PFP463</t>
  </si>
  <si>
    <t>ლევანი ჭუმბურიძე</t>
  </si>
  <si>
    <t>IMR040</t>
  </si>
  <si>
    <t>ირაკლი გიორგაძე</t>
  </si>
  <si>
    <t>SPRINTER 313 CDO</t>
  </si>
  <si>
    <t>TD769DT</t>
  </si>
  <si>
    <t>შპს მეგზური+</t>
  </si>
  <si>
    <t>CSS063</t>
  </si>
  <si>
    <t>BN930NB</t>
  </si>
  <si>
    <t>SPRINTER 313 CDI</t>
  </si>
  <si>
    <t>EL894LE</t>
  </si>
  <si>
    <t>სატვირთო-სამგზავრო</t>
  </si>
  <si>
    <t>TRANSIT 75 T260S</t>
  </si>
  <si>
    <t>EUE980</t>
  </si>
  <si>
    <t>ნუგზარი აბულაძე</t>
  </si>
  <si>
    <t>TOURNEO</t>
  </si>
  <si>
    <t>AL717IK</t>
  </si>
  <si>
    <t>შპს ტრანს-ექსპრესი 2002</t>
  </si>
  <si>
    <t>AA207RR</t>
  </si>
  <si>
    <t>LLK137</t>
  </si>
  <si>
    <t>JPJ057</t>
  </si>
  <si>
    <t>FAP959</t>
  </si>
  <si>
    <t>TRANSIT BUS DIESEL</t>
  </si>
  <si>
    <t>EUE052</t>
  </si>
  <si>
    <t>GZG167</t>
  </si>
  <si>
    <t>GPC280</t>
  </si>
  <si>
    <t>NW865WN</t>
  </si>
  <si>
    <t>SAA167</t>
  </si>
  <si>
    <t>QQ412FF</t>
  </si>
  <si>
    <t>შპს ექსპრეს-ტურისტი</t>
  </si>
  <si>
    <t>VH915HV</t>
  </si>
  <si>
    <t>208 D</t>
  </si>
  <si>
    <t>AS204SA</t>
  </si>
  <si>
    <t>BH109HB</t>
  </si>
  <si>
    <t>UBB245</t>
  </si>
  <si>
    <t>SPRINTER 210 D</t>
  </si>
  <si>
    <t>YCY102</t>
  </si>
  <si>
    <t>FFE593</t>
  </si>
  <si>
    <t>SPRINTER A</t>
  </si>
  <si>
    <t>YGY805</t>
  </si>
  <si>
    <t>TRANSIT 150LTD</t>
  </si>
  <si>
    <t>WGW123</t>
  </si>
  <si>
    <t>AA739PP</t>
  </si>
  <si>
    <t>ISS 677</t>
  </si>
  <si>
    <t>ლევანი ლაზარაშვილი</t>
  </si>
  <si>
    <t>BB292QQ</t>
  </si>
  <si>
    <t>01027032746</t>
  </si>
  <si>
    <t>ნიკოლოზ ციმაკურიძე</t>
  </si>
  <si>
    <t>PQP601</t>
  </si>
  <si>
    <t>ილკინ ვალიევი</t>
  </si>
  <si>
    <t>MM593VV</t>
  </si>
  <si>
    <t>მერაბ</t>
  </si>
  <si>
    <t>ჯანგებაშვილი</t>
  </si>
  <si>
    <t>TEMSA</t>
  </si>
  <si>
    <t>PRESTIJ SUPERDELUXE</t>
  </si>
  <si>
    <t>BC816AC</t>
  </si>
  <si>
    <t>შპს მეტრო პლუსი</t>
  </si>
  <si>
    <t>PO676OP</t>
  </si>
  <si>
    <t>PO625OP</t>
  </si>
  <si>
    <t>VAN HOOL</t>
  </si>
  <si>
    <t>LTL628</t>
  </si>
  <si>
    <t>შპს დაკა ჯორჯია</t>
  </si>
  <si>
    <t>ZAZ474</t>
  </si>
  <si>
    <t>ზაზაგულუა</t>
  </si>
  <si>
    <t>SPINTER 2500</t>
  </si>
  <si>
    <t>OKO179</t>
  </si>
  <si>
    <t>კარლო ქობალია</t>
  </si>
  <si>
    <t>NNM574</t>
  </si>
  <si>
    <t>ედემი ჯიქია</t>
  </si>
  <si>
    <t>TTS659</t>
  </si>
  <si>
    <t>01024053161</t>
  </si>
  <si>
    <t>სერიოჟა გვარამია</t>
  </si>
  <si>
    <t>316 SHD</t>
  </si>
  <si>
    <t>GAV999</t>
  </si>
  <si>
    <t>ვალერ გამისონია</t>
  </si>
  <si>
    <t>S 315 HD</t>
  </si>
  <si>
    <t>TB126TB</t>
  </si>
  <si>
    <t>გოგიტა კორკელია</t>
  </si>
  <si>
    <t>SS256BB</t>
  </si>
  <si>
    <t>გოგი ციცხვაია</t>
  </si>
  <si>
    <t>BA331AB</t>
  </si>
  <si>
    <t>მალხაზ მონიავა</t>
  </si>
  <si>
    <t>AI798AA</t>
  </si>
  <si>
    <t>02001005114</t>
  </si>
  <si>
    <t>ზაზა</t>
  </si>
  <si>
    <t>გაბელაია</t>
  </si>
  <si>
    <t>TE111GI</t>
  </si>
  <si>
    <t>02001005830</t>
  </si>
  <si>
    <t>მამუკა</t>
  </si>
  <si>
    <t>ვაჩეიშვილი</t>
  </si>
  <si>
    <t>QTQ 314</t>
  </si>
  <si>
    <t>მამუკა ლაგვილავა</t>
  </si>
  <si>
    <t>SSB 605</t>
  </si>
  <si>
    <t>მანუჩარ ბერაია</t>
  </si>
  <si>
    <t>E 180Z</t>
  </si>
  <si>
    <t>ZU565ZU</t>
  </si>
  <si>
    <t>19001076454</t>
  </si>
  <si>
    <t>გიორგი ბობოხია</t>
  </si>
  <si>
    <t>16.290</t>
  </si>
  <si>
    <t>KBA888</t>
  </si>
  <si>
    <t>ბესიკი ალექსანდრია</t>
  </si>
  <si>
    <t>TRANSIT 430 E2,2L</t>
  </si>
  <si>
    <t>FCF741</t>
  </si>
  <si>
    <t>404411837</t>
  </si>
  <si>
    <t>ა(ა)იპ საზოგადოებრივი მოძრაობა ქართული ოცნება</t>
  </si>
  <si>
    <t>გაზეთების დამზადება (კონტენტი; დიზაინი;დაკაბადონებ; ფოტო სესია)</t>
  </si>
  <si>
    <t>სააგიტაციო მომსახურეობა</t>
  </si>
  <si>
    <t>წარმომადგენელთა ხარჯი</t>
  </si>
  <si>
    <t>კომუნალური ხარჯი (ძველი დავალიანების დაფარვა)</t>
  </si>
  <si>
    <t>გახმოვანების ხარჯი</t>
  </si>
  <si>
    <t>მუსიკალური ნომრის ხარჯი</t>
  </si>
  <si>
    <t>შ.პ.ს. ეიდიესეს პრინტი</t>
  </si>
  <si>
    <t>საარჩევნო ბლოკი ქართული ოცნება</t>
  </si>
  <si>
    <t>კვმ</t>
  </si>
  <si>
    <t>ბანერის დამზადება</t>
  </si>
  <si>
    <t>ოზურგეთის მუნიციპალიტეტის ა(ა)იპ მუნიციპალური მომსახურეობის ცენტრი</t>
  </si>
  <si>
    <t>ოზურგეთის მუნიციპალიტეტის ა(ა)იპ ოზურგეთის სერვის ცენტრი</t>
  </si>
  <si>
    <t>ვასილ ჩიგოგიძე</t>
  </si>
  <si>
    <t>ნონა ტუნაძე</t>
  </si>
  <si>
    <t>მურადი ზაქარიაძე</t>
  </si>
  <si>
    <t xml:space="preserve">ბანერის დამზადება </t>
  </si>
  <si>
    <t>ბანერის განთავსება (ორმხრივი)</t>
  </si>
  <si>
    <t>ქ. ოზურგეთი, ჭავჭავაძის ქ. #1</t>
  </si>
  <si>
    <t>ფართის დათმობა</t>
  </si>
  <si>
    <t>სსიპ ქ. ოზურგეთის ალექსანდრე წუწუნავას სახელობის დრამატული თეატრი</t>
  </si>
  <si>
    <t>თვითმმართველი თემი კასპის მუნიციპალიტეტი</t>
  </si>
  <si>
    <t>წყალტუბო, სოფელი ქვილიშორი</t>
  </si>
  <si>
    <t>7 დღე</t>
  </si>
  <si>
    <t>სოსო</t>
  </si>
  <si>
    <t>იობიძე</t>
  </si>
  <si>
    <t>წყალტუბო, სოფელი მეორე უბანი, შენობა-ნაგებობა #1</t>
  </si>
  <si>
    <t>ლიანა</t>
  </si>
  <si>
    <t>კინწურაშვილი</t>
  </si>
  <si>
    <t>წყალტუბო, სოფელი წყალტუბო</t>
  </si>
  <si>
    <t>26 დღე</t>
  </si>
  <si>
    <t>53001024889</t>
  </si>
  <si>
    <t>თამარა</t>
  </si>
  <si>
    <t>ქუთათელაძე</t>
  </si>
  <si>
    <t>20 დღე</t>
  </si>
  <si>
    <t>53001013701</t>
  </si>
  <si>
    <t>ჩირგაძე</t>
  </si>
  <si>
    <t>2,5 თვე</t>
  </si>
  <si>
    <t>35001008650</t>
  </si>
  <si>
    <t>ფრიდონი</t>
  </si>
  <si>
    <t>აბესაძე</t>
  </si>
  <si>
    <t>ფიცხელაური თამარ</t>
  </si>
  <si>
    <t>31001003864</t>
  </si>
  <si>
    <t>ყაველაშვილი მანუჩარ</t>
  </si>
  <si>
    <t>38001040569</t>
  </si>
  <si>
    <t>გვრიტიშვილი ნინო</t>
  </si>
  <si>
    <t>31001024408</t>
  </si>
  <si>
    <t>დაუშვილი თამილა</t>
  </si>
  <si>
    <t>62001005148</t>
  </si>
  <si>
    <t>გაზდელიანი მაია</t>
  </si>
  <si>
    <t>27001003323</t>
  </si>
  <si>
    <t>გაბინაშვილი გივი</t>
  </si>
  <si>
    <t>01001095041</t>
  </si>
  <si>
    <t>ბადაგაძე თეა</t>
  </si>
  <si>
    <t>16001018487</t>
  </si>
  <si>
    <t>ტურენკო მარინე</t>
  </si>
  <si>
    <t>01004002766</t>
  </si>
  <si>
    <t>რევაზიშვილი ნინო</t>
  </si>
  <si>
    <t>24001006923</t>
  </si>
  <si>
    <t>ჩორგოლაშვილი მარიამ</t>
  </si>
  <si>
    <t>01001090208</t>
  </si>
  <si>
    <t>ხურცილავა ლელა</t>
  </si>
  <si>
    <t>29001004648</t>
  </si>
  <si>
    <t>ფარქოსაძე გიგი</t>
  </si>
  <si>
    <t>01002019728</t>
  </si>
  <si>
    <t>მაისურაძე ქეთევან</t>
  </si>
  <si>
    <t>01002028715</t>
  </si>
  <si>
    <t>ბექაური მაია</t>
  </si>
  <si>
    <t>01004002520</t>
  </si>
  <si>
    <t>საგინაშვილი თამარი</t>
  </si>
  <si>
    <t>01019082958</t>
  </si>
  <si>
    <t>ციყელაშვილი ირინე</t>
  </si>
  <si>
    <t>01024062568</t>
  </si>
  <si>
    <t>გოგოლაძე თორნიკე</t>
  </si>
  <si>
    <t>01001078714</t>
  </si>
  <si>
    <t>ტყემალაძე ლელა</t>
  </si>
  <si>
    <t>04001006346</t>
  </si>
  <si>
    <t>ღავთაძე ლანა</t>
  </si>
  <si>
    <t>18001022101</t>
  </si>
  <si>
    <t>ბუტიკაშვილი თინათინ</t>
  </si>
  <si>
    <t>01001085981</t>
  </si>
  <si>
    <t>გასანოვი პირახმატ</t>
  </si>
  <si>
    <t>12001009924</t>
  </si>
  <si>
    <t>მამედოვა ზამილა</t>
  </si>
  <si>
    <t>12001026616</t>
  </si>
  <si>
    <t>ოსმანოვი მამედ</t>
  </si>
  <si>
    <t>12001032923</t>
  </si>
  <si>
    <t>რაგიმოვა გიულგადამ</t>
  </si>
  <si>
    <t>12001014324</t>
  </si>
  <si>
    <t>ბელქანია ჯანიკო</t>
  </si>
  <si>
    <t>19001001660</t>
  </si>
  <si>
    <t>თორდია თანდილა</t>
  </si>
  <si>
    <t>19001083352</t>
  </si>
  <si>
    <t>იაძე-შაქარაშვილი თინათინ</t>
  </si>
  <si>
    <t>24001034771</t>
  </si>
  <si>
    <t xml:space="preserve">შარიფაშვილი ეკატერინე </t>
  </si>
  <si>
    <t>24001037101</t>
  </si>
  <si>
    <t>ბოგველი პაატა</t>
  </si>
  <si>
    <t>24001006822</t>
  </si>
  <si>
    <t>თავართქილაძე გალინა</t>
  </si>
  <si>
    <t>33001012201</t>
  </si>
  <si>
    <t>ჩინოიან იური</t>
  </si>
  <si>
    <t>33001020586</t>
  </si>
  <si>
    <t>შარაშანიძე მზევინარი</t>
  </si>
  <si>
    <t>33001047845</t>
  </si>
  <si>
    <t>ტაკიძე ნატალია</t>
  </si>
  <si>
    <t>33001018022</t>
  </si>
  <si>
    <t>ქუთათელაძე ნანი</t>
  </si>
  <si>
    <t>53001049270</t>
  </si>
  <si>
    <t>ახვლედიანი ხათუნა</t>
  </si>
  <si>
    <t>53001040870</t>
  </si>
  <si>
    <t>ურატაძე ნათია</t>
  </si>
  <si>
    <t>53001009759</t>
  </si>
  <si>
    <t>237100070</t>
  </si>
  <si>
    <t>436032507</t>
  </si>
  <si>
    <t>ა(ა)იპ კასპის მუნიციპალიტეტის კულტურის დაწესებულებების გაერთიანება</t>
  </si>
  <si>
    <t>232559825</t>
  </si>
  <si>
    <t>232555302</t>
  </si>
  <si>
    <t>სსიპ საქართველოს ფოლკლორის სახელმწიფო ცენტრი</t>
  </si>
  <si>
    <t>203851313</t>
  </si>
  <si>
    <t>სიმღერის შესრულება</t>
  </si>
  <si>
    <t>ყაჯრიშვილი გიორგი</t>
  </si>
  <si>
    <t>01015002507</t>
  </si>
  <si>
    <t>გაზეთის კონტენტის მომზადება</t>
  </si>
  <si>
    <t>ქინქლაძე ამირან</t>
  </si>
  <si>
    <t>26001004467</t>
  </si>
  <si>
    <t>გაზეთის დაკაბადონება, დიზაინის შექმნა, ფოტოსესია</t>
  </si>
  <si>
    <t>საარჩევნო კომისიებში წარმომადგენელთა ხარჯი</t>
  </si>
  <si>
    <t>შ.პ.ს. ფლეშ მობი</t>
  </si>
  <si>
    <t>400067360</t>
  </si>
  <si>
    <t>კონფეწის აპარატით მომსახურეობა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</si>
</sst>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,000.00"/>
    <numFmt numFmtId="165" formatCode="0,000,000.00"/>
    <numFmt numFmtId="166" formatCode="dd/mm/yy;@"/>
    <numFmt numFmtId="167" formatCode="\ს\ა\ტ\ე\ლ\ე\ვ\ი\ზ\ი\ო\ \რ\ე\კ\ლ\ა\მ\ა"/>
    <numFmt numFmtId="168" formatCode="00,000.00"/>
  </numFmts>
  <fonts count="40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1"/>
      <color indexed="8"/>
      <name val="Sylfaen"/>
      <family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1"/>
      <color theme="1"/>
      <name val="ა"/>
      <charset val="1"/>
    </font>
    <font>
      <sz val="9"/>
      <color theme="1"/>
      <name val="Arial Unicode MS"/>
      <family val="2"/>
    </font>
    <font>
      <sz val="9"/>
      <name val="Sylfaen"/>
      <family val="1"/>
    </font>
    <font>
      <sz val="11"/>
      <color theme="1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4">
    <xf numFmtId="0" fontId="0" fillId="0" borderId="0"/>
    <xf numFmtId="0" fontId="9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</cellStyleXfs>
  <cellXfs count="605">
    <xf numFmtId="0" fontId="0" fillId="0" borderId="0" xfId="0"/>
    <xf numFmtId="0" fontId="15" fillId="0" borderId="0" xfId="0" applyFont="1" applyProtection="1"/>
    <xf numFmtId="0" fontId="15" fillId="0" borderId="0" xfId="0" applyFont="1" applyProtection="1">
      <protection locked="0"/>
    </xf>
    <xf numFmtId="0" fontId="15" fillId="0" borderId="0" xfId="1" applyFont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1" applyFont="1" applyProtection="1">
      <protection locked="0"/>
    </xf>
    <xf numFmtId="0" fontId="20" fillId="0" borderId="0" xfId="1" applyFont="1" applyAlignment="1" applyProtection="1">
      <alignment horizontal="center" vertical="center"/>
      <protection locked="0"/>
    </xf>
    <xf numFmtId="0" fontId="15" fillId="0" borderId="1" xfId="0" applyFont="1" applyBorder="1" applyProtection="1">
      <protection locked="0"/>
    </xf>
    <xf numFmtId="0" fontId="21" fillId="0" borderId="0" xfId="1" applyFont="1" applyAlignment="1" applyProtection="1">
      <alignment horizontal="center" vertical="center" wrapText="1"/>
      <protection locked="0"/>
    </xf>
    <xf numFmtId="0" fontId="15" fillId="0" borderId="0" xfId="1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right"/>
      <protection locked="0"/>
    </xf>
    <xf numFmtId="0" fontId="15" fillId="0" borderId="0" xfId="0" applyFont="1" applyBorder="1" applyProtection="1">
      <protection locked="0"/>
    </xf>
    <xf numFmtId="0" fontId="20" fillId="2" borderId="1" xfId="1" applyFont="1" applyFill="1" applyBorder="1" applyAlignment="1" applyProtection="1">
      <alignment horizontal="left" vertical="center" wrapText="1"/>
    </xf>
    <xf numFmtId="0" fontId="20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1"/>
    </xf>
    <xf numFmtId="0" fontId="15" fillId="2" borderId="1" xfId="1" applyFont="1" applyFill="1" applyBorder="1" applyAlignment="1" applyProtection="1">
      <alignment horizontal="left" vertical="center" wrapText="1" indent="2"/>
    </xf>
    <xf numFmtId="0" fontId="15" fillId="2" borderId="1" xfId="1" applyFont="1" applyFill="1" applyBorder="1" applyAlignment="1" applyProtection="1">
      <alignment horizontal="left" vertical="center" wrapText="1" indent="3"/>
    </xf>
    <xf numFmtId="0" fontId="15" fillId="2" borderId="1" xfId="1" applyFont="1" applyFill="1" applyBorder="1" applyAlignment="1" applyProtection="1">
      <alignment horizontal="left" vertical="center" wrapText="1" indent="4"/>
    </xf>
    <xf numFmtId="0" fontId="15" fillId="0" borderId="0" xfId="3" applyFont="1" applyAlignment="1" applyProtection="1">
      <alignment horizontal="center" vertical="center"/>
      <protection locked="0"/>
    </xf>
    <xf numFmtId="0" fontId="16" fillId="0" borderId="0" xfId="3" applyFont="1" applyAlignment="1" applyProtection="1">
      <alignment horizontal="center" vertical="center"/>
      <protection locked="0"/>
    </xf>
    <xf numFmtId="0" fontId="15" fillId="0" borderId="0" xfId="3" applyFont="1" applyProtection="1">
      <protection locked="0"/>
    </xf>
    <xf numFmtId="0" fontId="0" fillId="0" borderId="0" xfId="0" applyProtection="1">
      <protection locked="0"/>
    </xf>
    <xf numFmtId="0" fontId="17" fillId="0" borderId="0" xfId="4" applyFont="1" applyAlignment="1" applyProtection="1">
      <alignment vertical="center" wrapText="1"/>
      <protection locked="0"/>
    </xf>
    <xf numFmtId="0" fontId="18" fillId="0" borderId="0" xfId="4" applyFont="1" applyProtection="1">
      <protection locked="0"/>
    </xf>
    <xf numFmtId="0" fontId="17" fillId="0" borderId="1" xfId="4" applyFont="1" applyBorder="1" applyAlignment="1" applyProtection="1">
      <alignment vertical="center" wrapText="1"/>
      <protection locked="0"/>
    </xf>
    <xf numFmtId="0" fontId="15" fillId="0" borderId="0" xfId="0" applyFont="1" applyFill="1" applyProtection="1">
      <protection locked="0"/>
    </xf>
    <xf numFmtId="0" fontId="15" fillId="0" borderId="0" xfId="0" applyFont="1" applyFill="1" applyBorder="1" applyAlignment="1" applyProtection="1">
      <alignment horizontal="left" wrapText="1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20" fillId="0" borderId="0" xfId="0" applyFont="1" applyFill="1" applyBorder="1" applyAlignment="1" applyProtection="1">
      <alignment horizontal="left" indent="1"/>
      <protection locked="0"/>
    </xf>
    <xf numFmtId="0" fontId="20" fillId="0" borderId="0" xfId="0" applyFont="1" applyFill="1" applyBorder="1" applyAlignment="1" applyProtection="1">
      <alignment horizontal="left" vertical="center" indent="1"/>
      <protection locked="0"/>
    </xf>
    <xf numFmtId="0" fontId="15" fillId="0" borderId="0" xfId="0" applyFont="1" applyFill="1" applyBorder="1" applyAlignment="1" applyProtection="1">
      <alignment horizontal="left" vertical="center"/>
      <protection locked="0"/>
    </xf>
    <xf numFmtId="3" fontId="20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2" borderId="1" xfId="1" applyNumberFormat="1" applyFont="1" applyFill="1" applyBorder="1" applyAlignment="1" applyProtection="1">
      <alignment horizontal="right" vertical="center"/>
      <protection locked="0"/>
    </xf>
    <xf numFmtId="3" fontId="15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5" fillId="2" borderId="1" xfId="1" applyNumberFormat="1" applyFont="1" applyFill="1" applyBorder="1" applyAlignment="1" applyProtection="1">
      <alignment horizontal="right" vertical="center"/>
      <protection locked="0"/>
    </xf>
    <xf numFmtId="0" fontId="15" fillId="0" borderId="1" xfId="2" applyFont="1" applyFill="1" applyBorder="1" applyAlignment="1" applyProtection="1">
      <alignment horizontal="right" vertical="top"/>
      <protection locked="0"/>
    </xf>
    <xf numFmtId="164" fontId="15" fillId="0" borderId="1" xfId="2" applyNumberFormat="1" applyFont="1" applyFill="1" applyBorder="1" applyAlignment="1" applyProtection="1">
      <alignment horizontal="right" vertical="center"/>
      <protection locked="0"/>
    </xf>
    <xf numFmtId="165" fontId="15" fillId="0" borderId="1" xfId="2" applyNumberFormat="1" applyFont="1" applyFill="1" applyBorder="1" applyAlignment="1" applyProtection="1">
      <alignment horizontal="right" vertical="center"/>
      <protection locked="0"/>
    </xf>
    <xf numFmtId="4" fontId="15" fillId="0" borderId="1" xfId="2" applyNumberFormat="1" applyFont="1" applyFill="1" applyBorder="1" applyAlignment="1" applyProtection="1">
      <alignment horizontal="right" vertical="center"/>
      <protection locked="0"/>
    </xf>
    <xf numFmtId="0" fontId="15" fillId="0" borderId="4" xfId="3" applyFont="1" applyFill="1" applyBorder="1" applyAlignment="1" applyProtection="1">
      <alignment horizontal="right"/>
      <protection locked="0"/>
    </xf>
    <xf numFmtId="0" fontId="15" fillId="0" borderId="4" xfId="3" applyFont="1" applyBorder="1" applyAlignment="1" applyProtection="1">
      <alignment horizontal="right"/>
      <protection locked="0"/>
    </xf>
    <xf numFmtId="0" fontId="20" fillId="0" borderId="0" xfId="0" applyFont="1" applyAlignment="1" applyProtection="1">
      <alignment horizontal="left"/>
      <protection locked="0"/>
    </xf>
    <xf numFmtId="0" fontId="20" fillId="0" borderId="1" xfId="2" applyFont="1" applyFill="1" applyBorder="1" applyAlignment="1" applyProtection="1">
      <alignment horizontal="left" vertical="top" indent="1"/>
    </xf>
    <xf numFmtId="0" fontId="15" fillId="0" borderId="1" xfId="2" applyFont="1" applyFill="1" applyBorder="1" applyAlignment="1" applyProtection="1">
      <alignment horizontal="left" vertical="center" wrapText="1" indent="2"/>
    </xf>
    <xf numFmtId="0" fontId="20" fillId="2" borderId="5" xfId="1" applyFont="1" applyFill="1" applyBorder="1" applyAlignment="1" applyProtection="1">
      <alignment horizontal="left" vertical="center" wrapText="1"/>
    </xf>
    <xf numFmtId="0" fontId="15" fillId="0" borderId="5" xfId="3" applyFont="1" applyBorder="1" applyAlignment="1" applyProtection="1">
      <alignment horizontal="left" vertical="center" indent="1"/>
    </xf>
    <xf numFmtId="0" fontId="20" fillId="0" borderId="0" xfId="0" applyFont="1" applyFill="1" applyBorder="1" applyAlignment="1" applyProtection="1">
      <alignment horizontal="center" wrapText="1"/>
    </xf>
    <xf numFmtId="0" fontId="20" fillId="0" borderId="0" xfId="0" applyFont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/>
    </xf>
    <xf numFmtId="0" fontId="20" fillId="0" borderId="1" xfId="0" applyFont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indent="1"/>
    </xf>
    <xf numFmtId="0" fontId="15" fillId="0" borderId="1" xfId="0" applyFont="1" applyBorder="1" applyAlignment="1" applyProtection="1">
      <alignment wrapText="1"/>
    </xf>
    <xf numFmtId="0" fontId="20" fillId="0" borderId="1" xfId="0" applyFont="1" applyFill="1" applyBorder="1" applyAlignment="1" applyProtection="1">
      <alignment horizontal="left" vertical="center"/>
    </xf>
    <xf numFmtId="0" fontId="15" fillId="0" borderId="1" xfId="0" applyFont="1" applyFill="1" applyBorder="1" applyAlignment="1" applyProtection="1">
      <alignment horizontal="left" wrapText="1"/>
    </xf>
    <xf numFmtId="0" fontId="15" fillId="0" borderId="1" xfId="0" applyFont="1" applyFill="1" applyBorder="1" applyAlignment="1" applyProtection="1">
      <alignment horizontal="left" vertical="center"/>
    </xf>
    <xf numFmtId="0" fontId="20" fillId="0" borderId="1" xfId="0" applyFont="1" applyFill="1" applyBorder="1" applyAlignment="1" applyProtection="1">
      <alignment horizontal="left" vertical="center" indent="1"/>
    </xf>
    <xf numFmtId="0" fontId="15" fillId="0" borderId="0" xfId="0" applyFont="1" applyFill="1" applyProtection="1"/>
    <xf numFmtId="0" fontId="19" fillId="0" borderId="1" xfId="4" applyFont="1" applyBorder="1" applyAlignment="1" applyProtection="1">
      <alignment vertical="center" wrapText="1"/>
    </xf>
    <xf numFmtId="0" fontId="17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7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8" fillId="0" borderId="0" xfId="4" applyFont="1" applyBorder="1" applyProtection="1">
      <protection locked="0"/>
    </xf>
    <xf numFmtId="0" fontId="14" fillId="0" borderId="0" xfId="0" applyFont="1"/>
    <xf numFmtId="0" fontId="15" fillId="0" borderId="0" xfId="1" applyFont="1" applyBorder="1" applyAlignment="1" applyProtection="1">
      <alignment vertical="center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3" fontId="15" fillId="0" borderId="0" xfId="1" applyNumberFormat="1" applyFont="1" applyAlignment="1" applyProtection="1">
      <alignment horizontal="center" vertical="center" wrapText="1"/>
      <protection locked="0"/>
    </xf>
    <xf numFmtId="0" fontId="20" fillId="0" borderId="0" xfId="0" applyFont="1" applyProtection="1">
      <protection locked="0"/>
    </xf>
    <xf numFmtId="0" fontId="15" fillId="0" borderId="3" xfId="0" applyFont="1" applyBorder="1" applyProtection="1">
      <protection locked="0"/>
    </xf>
    <xf numFmtId="0" fontId="20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0" fillId="5" borderId="0" xfId="0" applyFont="1" applyFill="1" applyProtection="1"/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0" applyFont="1" applyFill="1" applyProtection="1"/>
    <xf numFmtId="0" fontId="15" fillId="5" borderId="0" xfId="0" applyFont="1" applyFill="1" applyBorder="1" applyProtection="1"/>
    <xf numFmtId="0" fontId="15" fillId="5" borderId="0" xfId="1" applyFont="1" applyFill="1" applyAlignment="1" applyProtection="1">
      <alignment vertical="center"/>
    </xf>
    <xf numFmtId="3" fontId="20" fillId="5" borderId="1" xfId="1" applyNumberFormat="1" applyFont="1" applyFill="1" applyBorder="1" applyAlignment="1" applyProtection="1">
      <alignment horizontal="center" vertical="center" wrapText="1"/>
    </xf>
    <xf numFmtId="0" fontId="15" fillId="2" borderId="0" xfId="0" applyFont="1" applyFill="1" applyBorder="1" applyProtection="1"/>
    <xf numFmtId="0" fontId="15" fillId="2" borderId="0" xfId="0" applyFont="1" applyFill="1" applyProtection="1"/>
    <xf numFmtId="3" fontId="20" fillId="5" borderId="1" xfId="1" applyNumberFormat="1" applyFont="1" applyFill="1" applyBorder="1" applyAlignment="1" applyProtection="1">
      <alignment horizontal="right" vertical="center"/>
    </xf>
    <xf numFmtId="3" fontId="15" fillId="5" borderId="1" xfId="1" applyNumberFormat="1" applyFont="1" applyFill="1" applyBorder="1" applyAlignment="1" applyProtection="1">
      <alignment horizontal="right" vertical="center" wrapText="1"/>
    </xf>
    <xf numFmtId="3" fontId="20" fillId="5" borderId="1" xfId="1" applyNumberFormat="1" applyFont="1" applyFill="1" applyBorder="1" applyAlignment="1" applyProtection="1">
      <alignment horizontal="right" vertical="center" wrapText="1"/>
    </xf>
    <xf numFmtId="0" fontId="20" fillId="5" borderId="1" xfId="0" applyFont="1" applyFill="1" applyBorder="1" applyProtection="1"/>
    <xf numFmtId="3" fontId="20" fillId="5" borderId="1" xfId="0" applyNumberFormat="1" applyFont="1" applyFill="1" applyBorder="1" applyProtection="1"/>
    <xf numFmtId="0" fontId="20" fillId="0" borderId="1" xfId="1" applyFont="1" applyFill="1" applyBorder="1" applyAlignment="1" applyProtection="1">
      <alignment horizontal="left" vertical="center" wrapText="1" indent="1"/>
    </xf>
    <xf numFmtId="0" fontId="15" fillId="0" borderId="1" xfId="1" applyFont="1" applyFill="1" applyBorder="1" applyAlignment="1" applyProtection="1">
      <alignment horizontal="left" vertical="center" wrapText="1" indent="2"/>
    </xf>
    <xf numFmtId="3" fontId="20" fillId="6" borderId="1" xfId="1" applyNumberFormat="1" applyFont="1" applyFill="1" applyBorder="1" applyAlignment="1" applyProtection="1">
      <alignment horizontal="left" vertical="center" wrapText="1"/>
    </xf>
    <xf numFmtId="3" fontId="20" fillId="6" borderId="1" xfId="1" applyNumberFormat="1" applyFont="1" applyFill="1" applyBorder="1" applyAlignment="1" applyProtection="1">
      <alignment horizontal="center" vertical="center" wrapText="1"/>
    </xf>
    <xf numFmtId="0" fontId="15" fillId="6" borderId="0" xfId="1" applyFont="1" applyFill="1" applyProtection="1">
      <protection locked="0"/>
    </xf>
    <xf numFmtId="0" fontId="15" fillId="6" borderId="0" xfId="0" applyFont="1" applyFill="1" applyAlignment="1" applyProtection="1">
      <alignment horizontal="center" vertical="center"/>
      <protection locked="0"/>
    </xf>
    <xf numFmtId="0" fontId="21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 wrapText="1"/>
      <protection locked="0"/>
    </xf>
    <xf numFmtId="0" fontId="15" fillId="6" borderId="0" xfId="1" applyFont="1" applyFill="1" applyAlignment="1" applyProtection="1">
      <alignment horizontal="center" vertical="center"/>
      <protection locked="0"/>
    </xf>
    <xf numFmtId="0" fontId="15" fillId="6" borderId="0" xfId="0" applyFont="1" applyFill="1" applyProtection="1">
      <protection locked="0"/>
    </xf>
    <xf numFmtId="0" fontId="15" fillId="0" borderId="1" xfId="1" applyFont="1" applyFill="1" applyBorder="1" applyAlignment="1" applyProtection="1">
      <alignment horizontal="left" vertical="center" wrapText="1" indent="3"/>
    </xf>
    <xf numFmtId="0" fontId="15" fillId="0" borderId="1" xfId="1" applyFont="1" applyFill="1" applyBorder="1" applyAlignment="1" applyProtection="1">
      <alignment horizontal="left" vertical="center" wrapText="1" indent="1"/>
    </xf>
    <xf numFmtId="0" fontId="20" fillId="0" borderId="1" xfId="0" applyFont="1" applyFill="1" applyBorder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9" fillId="5" borderId="0" xfId="0" applyFont="1" applyFill="1"/>
    <xf numFmtId="0" fontId="0" fillId="5" borderId="0" xfId="0" applyFill="1" applyBorder="1"/>
    <xf numFmtId="0" fontId="15" fillId="5" borderId="0" xfId="1" applyFont="1" applyFill="1" applyBorder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left" vertical="center"/>
    </xf>
    <xf numFmtId="0" fontId="15" fillId="5" borderId="0" xfId="0" applyFont="1" applyFill="1" applyBorder="1" applyProtection="1">
      <protection locked="0"/>
    </xf>
    <xf numFmtId="0" fontId="15" fillId="5" borderId="0" xfId="0" applyFont="1" applyFill="1" applyProtection="1">
      <protection locked="0"/>
    </xf>
    <xf numFmtId="3" fontId="20" fillId="5" borderId="1" xfId="1" applyNumberFormat="1" applyFont="1" applyFill="1" applyBorder="1" applyAlignment="1" applyProtection="1">
      <alignment horizontal="left" vertical="center" wrapText="1"/>
    </xf>
    <xf numFmtId="0" fontId="15" fillId="5" borderId="1" xfId="0" applyFont="1" applyFill="1" applyBorder="1" applyProtection="1"/>
    <xf numFmtId="0" fontId="15" fillId="5" borderId="0" xfId="0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5" fillId="0" borderId="0" xfId="0" applyFont="1" applyFill="1" applyBorder="1" applyProtection="1">
      <protection locked="0"/>
    </xf>
    <xf numFmtId="0" fontId="16" fillId="5" borderId="0" xfId="3" applyFont="1" applyFill="1" applyAlignment="1" applyProtection="1">
      <alignment horizontal="center" vertical="center" wrapText="1"/>
    </xf>
    <xf numFmtId="0" fontId="15" fillId="5" borderId="0" xfId="3" applyFont="1" applyFill="1" applyAlignment="1" applyProtection="1">
      <alignment horizontal="center" vertical="center"/>
      <protection locked="0"/>
    </xf>
    <xf numFmtId="0" fontId="15" fillId="5" borderId="0" xfId="3" applyFont="1" applyFill="1" applyProtection="1"/>
    <xf numFmtId="0" fontId="15" fillId="5" borderId="3" xfId="0" applyFont="1" applyFill="1" applyBorder="1" applyAlignment="1" applyProtection="1">
      <alignment horizontal="left"/>
    </xf>
    <xf numFmtId="0" fontId="15" fillId="5" borderId="0" xfId="0" applyFont="1" applyFill="1" applyBorder="1" applyAlignment="1" applyProtection="1">
      <alignment horizontal="left"/>
    </xf>
    <xf numFmtId="0" fontId="15" fillId="5" borderId="1" xfId="2" applyFont="1" applyFill="1" applyBorder="1" applyAlignment="1" applyProtection="1">
      <alignment horizontal="right" vertical="top"/>
    </xf>
    <xf numFmtId="0" fontId="20" fillId="5" borderId="4" xfId="3" applyFont="1" applyFill="1" applyBorder="1" applyAlignment="1" applyProtection="1">
      <alignment horizontal="right"/>
    </xf>
    <xf numFmtId="0" fontId="15" fillId="0" borderId="0" xfId="0" applyFont="1" applyFill="1" applyBorder="1" applyProtection="1"/>
    <xf numFmtId="0" fontId="15" fillId="5" borderId="0" xfId="0" applyFont="1" applyFill="1" applyBorder="1" applyAlignment="1" applyProtection="1">
      <alignment horizontal="left" wrapText="1"/>
    </xf>
    <xf numFmtId="0" fontId="15" fillId="5" borderId="3" xfId="0" applyFont="1" applyFill="1" applyBorder="1" applyAlignment="1" applyProtection="1">
      <alignment horizontal="left" wrapText="1"/>
    </xf>
    <xf numFmtId="0" fontId="15" fillId="5" borderId="3" xfId="0" applyFont="1" applyFill="1" applyBorder="1" applyProtection="1"/>
    <xf numFmtId="0" fontId="20" fillId="5" borderId="3" xfId="0" applyFont="1" applyFill="1" applyBorder="1" applyAlignment="1" applyProtection="1">
      <alignment horizontal="center" vertical="center" wrapText="1"/>
    </xf>
    <xf numFmtId="0" fontId="15" fillId="5" borderId="0" xfId="0" applyFont="1" applyFill="1" applyAlignment="1" applyProtection="1">
      <alignment horizontal="center" vertical="center"/>
    </xf>
    <xf numFmtId="0" fontId="15" fillId="5" borderId="3" xfId="1" applyFont="1" applyFill="1" applyBorder="1" applyAlignment="1" applyProtection="1">
      <alignment horizontal="left" vertical="center"/>
    </xf>
    <xf numFmtId="0" fontId="22" fillId="5" borderId="8" xfId="2" applyFont="1" applyFill="1" applyBorder="1" applyAlignment="1" applyProtection="1">
      <alignment horizontal="center" vertical="top" wrapText="1"/>
    </xf>
    <xf numFmtId="0" fontId="22" fillId="5" borderId="25" xfId="2" applyFont="1" applyFill="1" applyBorder="1" applyAlignment="1" applyProtection="1">
      <alignment horizontal="center" vertical="top" wrapText="1"/>
    </xf>
    <xf numFmtId="1" fontId="22" fillId="5" borderId="25" xfId="2" applyNumberFormat="1" applyFont="1" applyFill="1" applyBorder="1" applyAlignment="1" applyProtection="1">
      <alignment horizontal="center" vertical="top" wrapText="1"/>
    </xf>
    <xf numFmtId="1" fontId="22" fillId="5" borderId="8" xfId="2" applyNumberFormat="1" applyFont="1" applyFill="1" applyBorder="1" applyAlignment="1" applyProtection="1">
      <alignment horizontal="center" vertical="top" wrapText="1"/>
    </xf>
    <xf numFmtId="0" fontId="15" fillId="0" borderId="0" xfId="0" applyFont="1" applyFill="1" applyAlignment="1" applyProtection="1">
      <alignment horizontal="center" vertical="center"/>
    </xf>
    <xf numFmtId="0" fontId="17" fillId="5" borderId="1" xfId="4" applyFont="1" applyFill="1" applyBorder="1" applyAlignment="1" applyProtection="1">
      <alignment vertical="center" wrapText="1"/>
    </xf>
    <xf numFmtId="0" fontId="19" fillId="5" borderId="5" xfId="4" applyFont="1" applyFill="1" applyBorder="1" applyAlignment="1" applyProtection="1">
      <alignment horizontal="center" vertical="center" wrapText="1"/>
    </xf>
    <xf numFmtId="0" fontId="19" fillId="5" borderId="4" xfId="4" applyFont="1" applyFill="1" applyBorder="1" applyAlignment="1" applyProtection="1">
      <alignment horizontal="center" vertical="center" wrapText="1"/>
    </xf>
    <xf numFmtId="0" fontId="19" fillId="5" borderId="1" xfId="4" applyFont="1" applyFill="1" applyBorder="1" applyAlignment="1" applyProtection="1">
      <alignment horizontal="center" vertical="center" wrapText="1"/>
    </xf>
    <xf numFmtId="0" fontId="14" fillId="5" borderId="0" xfId="0" applyFont="1" applyFill="1" applyProtection="1"/>
    <xf numFmtId="0" fontId="0" fillId="5" borderId="0" xfId="0" applyFill="1" applyProtection="1"/>
    <xf numFmtId="14" fontId="15" fillId="5" borderId="0" xfId="1" applyNumberFormat="1" applyFont="1" applyFill="1" applyBorder="1" applyAlignment="1" applyProtection="1">
      <alignment vertical="center"/>
    </xf>
    <xf numFmtId="0" fontId="15" fillId="5" borderId="0" xfId="1" applyFont="1" applyFill="1" applyBorder="1" applyAlignment="1" applyProtection="1">
      <alignment vertical="center"/>
    </xf>
    <xf numFmtId="14" fontId="15" fillId="5" borderId="0" xfId="1" applyNumberFormat="1" applyFont="1" applyFill="1" applyBorder="1" applyAlignment="1" applyProtection="1">
      <alignment horizontal="center" vertical="center"/>
    </xf>
    <xf numFmtId="0" fontId="10" fillId="5" borderId="0" xfId="1" applyFont="1" applyFill="1" applyAlignment="1" applyProtection="1">
      <alignment horizontal="left" vertical="center"/>
    </xf>
    <xf numFmtId="0" fontId="9" fillId="5" borderId="0" xfId="0" applyFont="1" applyFill="1" applyProtection="1"/>
    <xf numFmtId="0" fontId="0" fillId="5" borderId="0" xfId="0" applyFill="1" applyProtection="1">
      <protection locked="0"/>
    </xf>
    <xf numFmtId="0" fontId="18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9" fillId="5" borderId="5" xfId="4" applyFont="1" applyFill="1" applyBorder="1" applyAlignment="1" applyProtection="1">
      <alignment horizontal="left" vertical="center" wrapText="1"/>
    </xf>
    <xf numFmtId="0" fontId="15" fillId="5" borderId="0" xfId="1" applyFont="1" applyFill="1" applyBorder="1" applyAlignment="1" applyProtection="1">
      <alignment vertical="center"/>
      <protection locked="0"/>
    </xf>
    <xf numFmtId="0" fontId="18" fillId="5" borderId="0" xfId="4" applyFont="1" applyFill="1" applyBorder="1" applyProtection="1">
      <protection locked="0"/>
    </xf>
    <xf numFmtId="0" fontId="15" fillId="5" borderId="0" xfId="3" applyFont="1" applyFill="1" applyProtection="1">
      <protection locked="0"/>
    </xf>
    <xf numFmtId="0" fontId="15" fillId="5" borderId="0" xfId="1" applyFont="1" applyFill="1" applyProtection="1">
      <protection locked="0"/>
    </xf>
    <xf numFmtId="0" fontId="21" fillId="5" borderId="0" xfId="1" applyFont="1" applyFill="1" applyAlignment="1" applyProtection="1">
      <alignment horizontal="center" vertical="center" wrapText="1"/>
      <protection locked="0"/>
    </xf>
    <xf numFmtId="0" fontId="17" fillId="5" borderId="1" xfId="4" applyFont="1" applyFill="1" applyBorder="1" applyAlignment="1" applyProtection="1">
      <alignment horizontal="center" vertical="center" wrapText="1"/>
    </xf>
    <xf numFmtId="14" fontId="25" fillId="0" borderId="2" xfId="5" applyNumberFormat="1" applyFont="1" applyBorder="1" applyAlignment="1" applyProtection="1">
      <alignment wrapText="1"/>
      <protection locked="0"/>
    </xf>
    <xf numFmtId="14" fontId="20" fillId="0" borderId="0" xfId="0" applyNumberFormat="1" applyFont="1" applyFill="1" applyBorder="1" applyAlignment="1" applyProtection="1">
      <alignment horizontal="center" vertical="center" wrapText="1"/>
    </xf>
    <xf numFmtId="0" fontId="24" fillId="5" borderId="1" xfId="2" applyFont="1" applyFill="1" applyBorder="1" applyAlignment="1" applyProtection="1">
      <alignment horizontal="center" vertical="top" wrapText="1"/>
    </xf>
    <xf numFmtId="1" fontId="24" fillId="5" borderId="1" xfId="2" applyNumberFormat="1" applyFont="1" applyFill="1" applyBorder="1" applyAlignment="1" applyProtection="1">
      <alignment horizontal="center" vertical="top" wrapText="1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  <protection locked="0"/>
    </xf>
    <xf numFmtId="0" fontId="24" fillId="5" borderId="6" xfId="2" applyFont="1" applyFill="1" applyBorder="1" applyAlignment="1" applyProtection="1">
      <alignment horizontal="center" vertical="top" wrapText="1"/>
    </xf>
    <xf numFmtId="1" fontId="24" fillId="5" borderId="6" xfId="2" applyNumberFormat="1" applyFont="1" applyFill="1" applyBorder="1" applyAlignment="1" applyProtection="1">
      <alignment horizontal="center" vertical="top" wrapText="1"/>
    </xf>
    <xf numFmtId="0" fontId="24" fillId="0" borderId="6" xfId="2" applyFont="1" applyFill="1" applyBorder="1" applyAlignment="1" applyProtection="1">
      <alignment horizontal="left" vertical="top"/>
    </xf>
    <xf numFmtId="0" fontId="22" fillId="0" borderId="6" xfId="2" applyFont="1" applyFill="1" applyBorder="1" applyAlignment="1" applyProtection="1">
      <alignment horizontal="center" vertical="top" wrapText="1"/>
      <protection locked="0"/>
    </xf>
    <xf numFmtId="0" fontId="22" fillId="0" borderId="0" xfId="2" applyFont="1" applyFill="1" applyBorder="1" applyAlignment="1" applyProtection="1">
      <alignment horizontal="center" vertical="top" wrapText="1"/>
      <protection locked="0"/>
    </xf>
    <xf numFmtId="1" fontId="22" fillId="0" borderId="0" xfId="2" applyNumberFormat="1" applyFont="1" applyFill="1" applyBorder="1" applyAlignment="1" applyProtection="1">
      <alignment horizontal="center" vertical="top" wrapText="1"/>
      <protection locked="0"/>
    </xf>
    <xf numFmtId="1" fontId="22" fillId="5" borderId="6" xfId="2" applyNumberFormat="1" applyFont="1" applyFill="1" applyBorder="1" applyAlignment="1" applyProtection="1">
      <alignment horizontal="center" vertical="top" wrapText="1"/>
      <protection locked="0"/>
    </xf>
    <xf numFmtId="0" fontId="22" fillId="0" borderId="6" xfId="2" applyFont="1" applyFill="1" applyBorder="1" applyAlignment="1" applyProtection="1">
      <alignment horizontal="left" vertical="top" wrapText="1"/>
      <protection locked="0"/>
    </xf>
    <xf numFmtId="1" fontId="22" fillId="0" borderId="6" xfId="2" applyNumberFormat="1" applyFont="1" applyFill="1" applyBorder="1" applyAlignment="1" applyProtection="1">
      <alignment horizontal="left" vertical="top" wrapText="1"/>
      <protection locked="0"/>
    </xf>
    <xf numFmtId="0" fontId="23" fillId="5" borderId="6" xfId="2" applyFont="1" applyFill="1" applyBorder="1" applyAlignment="1" applyProtection="1">
      <alignment horizontal="right" vertical="top" wrapText="1"/>
      <protection locked="0"/>
    </xf>
    <xf numFmtId="0" fontId="22" fillId="0" borderId="7" xfId="2" applyFont="1" applyFill="1" applyBorder="1" applyAlignment="1" applyProtection="1">
      <alignment horizontal="left" vertical="top" wrapText="1"/>
      <protection locked="0"/>
    </xf>
    <xf numFmtId="1" fontId="22" fillId="0" borderId="7" xfId="2" applyNumberFormat="1" applyFont="1" applyFill="1" applyBorder="1" applyAlignment="1" applyProtection="1">
      <alignment horizontal="left" vertical="top" wrapText="1"/>
      <protection locked="0"/>
    </xf>
    <xf numFmtId="0" fontId="24" fillId="5" borderId="27" xfId="2" applyFont="1" applyFill="1" applyBorder="1" applyAlignment="1" applyProtection="1">
      <alignment horizontal="left" vertical="top"/>
      <protection locked="0"/>
    </xf>
    <xf numFmtId="0" fontId="22" fillId="5" borderId="27" xfId="2" applyFont="1" applyFill="1" applyBorder="1" applyAlignment="1" applyProtection="1">
      <alignment horizontal="left" vertical="top" wrapText="1"/>
      <protection locked="0"/>
    </xf>
    <xf numFmtId="0" fontId="22" fillId="5" borderId="28" xfId="2" applyFont="1" applyFill="1" applyBorder="1" applyAlignment="1" applyProtection="1">
      <alignment horizontal="left" vertical="top" wrapText="1"/>
      <protection locked="0"/>
    </xf>
    <xf numFmtId="1" fontId="22" fillId="5" borderId="28" xfId="2" applyNumberFormat="1" applyFont="1" applyFill="1" applyBorder="1" applyAlignment="1" applyProtection="1">
      <alignment horizontal="left" vertical="top" wrapText="1"/>
      <protection locked="0"/>
    </xf>
    <xf numFmtId="1" fontId="22" fillId="5" borderId="29" xfId="2" applyNumberFormat="1" applyFont="1" applyFill="1" applyBorder="1" applyAlignment="1" applyProtection="1">
      <alignment horizontal="left" vertical="top" wrapText="1"/>
      <protection locked="0"/>
    </xf>
    <xf numFmtId="0" fontId="23" fillId="5" borderId="7" xfId="2" applyFont="1" applyFill="1" applyBorder="1" applyAlignment="1" applyProtection="1">
      <alignment horizontal="right" vertical="top" wrapText="1"/>
      <protection locked="0"/>
    </xf>
    <xf numFmtId="0" fontId="15" fillId="2" borderId="0" xfId="0" applyFont="1" applyFill="1" applyProtection="1">
      <protection locked="0"/>
    </xf>
    <xf numFmtId="0" fontId="0" fillId="2" borderId="0" xfId="0" applyFill="1"/>
    <xf numFmtId="0" fontId="20" fillId="2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 applyProtection="1">
      <alignment horizontal="center" vertical="center"/>
      <protection locked="0"/>
    </xf>
    <xf numFmtId="0" fontId="15" fillId="2" borderId="3" xfId="0" applyFont="1" applyFill="1" applyBorder="1" applyProtection="1">
      <protection locked="0"/>
    </xf>
    <xf numFmtId="0" fontId="0" fillId="2" borderId="0" xfId="0" applyFill="1" applyBorder="1"/>
    <xf numFmtId="0" fontId="20" fillId="2" borderId="0" xfId="0" applyFont="1" applyFill="1" applyProtection="1">
      <protection locked="0"/>
    </xf>
    <xf numFmtId="0" fontId="15" fillId="2" borderId="0" xfId="0" applyFont="1" applyFill="1" applyBorder="1" applyProtection="1">
      <protection locked="0"/>
    </xf>
    <xf numFmtId="0" fontId="14" fillId="2" borderId="0" xfId="0" applyFont="1" applyFill="1"/>
    <xf numFmtId="0" fontId="14" fillId="5" borderId="0" xfId="3" applyFont="1" applyFill="1" applyProtection="1"/>
    <xf numFmtId="0" fontId="9" fillId="5" borderId="0" xfId="3" applyFill="1" applyProtection="1"/>
    <xf numFmtId="0" fontId="9" fillId="5" borderId="0" xfId="3" applyFill="1" applyBorder="1" applyProtection="1"/>
    <xf numFmtId="0" fontId="9" fillId="0" borderId="0" xfId="3" applyProtection="1">
      <protection locked="0"/>
    </xf>
    <xf numFmtId="0" fontId="9" fillId="5" borderId="0" xfId="3" applyFill="1" applyProtection="1">
      <protection locked="0"/>
    </xf>
    <xf numFmtId="0" fontId="9" fillId="5" borderId="0" xfId="3" applyFill="1" applyBorder="1" applyProtection="1">
      <protection locked="0"/>
    </xf>
    <xf numFmtId="0" fontId="9" fillId="0" borderId="0" xfId="3" applyFill="1" applyProtection="1"/>
    <xf numFmtId="0" fontId="9" fillId="0" borderId="0" xfId="3" applyFill="1" applyBorder="1" applyProtection="1"/>
    <xf numFmtId="0" fontId="9" fillId="5" borderId="3" xfId="3" applyFill="1" applyBorder="1" applyProtection="1"/>
    <xf numFmtId="0" fontId="14" fillId="5" borderId="1" xfId="3" applyFont="1" applyFill="1" applyBorder="1" applyAlignment="1" applyProtection="1">
      <alignment horizontal="center" vertical="center"/>
    </xf>
    <xf numFmtId="0" fontId="14" fillId="5" borderId="1" xfId="3" applyFont="1" applyFill="1" applyBorder="1" applyAlignment="1" applyProtection="1">
      <alignment horizontal="center" vertical="center" wrapText="1"/>
    </xf>
    <xf numFmtId="0" fontId="14" fillId="5" borderId="2" xfId="3" applyFont="1" applyFill="1" applyBorder="1" applyAlignment="1" applyProtection="1">
      <alignment horizontal="center" vertical="center" wrapText="1"/>
    </xf>
    <xf numFmtId="0" fontId="9" fillId="0" borderId="1" xfId="3" applyBorder="1" applyProtection="1">
      <protection locked="0"/>
    </xf>
    <xf numFmtId="14" fontId="9" fillId="0" borderId="1" xfId="3" applyNumberFormat="1" applyBorder="1" applyProtection="1">
      <protection locked="0"/>
    </xf>
    <xf numFmtId="0" fontId="20" fillId="0" borderId="0" xfId="3" applyFont="1" applyProtection="1">
      <protection locked="0"/>
    </xf>
    <xf numFmtId="0" fontId="15" fillId="0" borderId="0" xfId="3" applyFont="1" applyBorder="1" applyProtection="1">
      <protection locked="0"/>
    </xf>
    <xf numFmtId="0" fontId="15" fillId="0" borderId="3" xfId="3" applyFont="1" applyBorder="1" applyProtection="1">
      <protection locked="0"/>
    </xf>
    <xf numFmtId="0" fontId="20" fillId="0" borderId="0" xfId="3" applyFont="1" applyAlignment="1" applyProtection="1">
      <alignment horizontal="left"/>
      <protection locked="0"/>
    </xf>
    <xf numFmtId="0" fontId="15" fillId="0" borderId="0" xfId="3" applyFont="1" applyAlignment="1" applyProtection="1">
      <alignment horizontal="left"/>
      <protection locked="0"/>
    </xf>
    <xf numFmtId="0" fontId="9" fillId="0" borderId="0" xfId="3"/>
    <xf numFmtId="0" fontId="9" fillId="0" borderId="0" xfId="3" applyBorder="1" applyProtection="1">
      <protection locked="0"/>
    </xf>
    <xf numFmtId="0" fontId="9" fillId="0" borderId="1" xfId="3" applyBorder="1" applyAlignment="1" applyProtection="1">
      <alignment horizontal="center"/>
      <protection locked="0"/>
    </xf>
    <xf numFmtId="0" fontId="15" fillId="0" borderId="0" xfId="0" applyFont="1" applyAlignment="1" applyProtection="1">
      <alignment horizontal="left"/>
      <protection locked="0"/>
    </xf>
    <xf numFmtId="0" fontId="15" fillId="0" borderId="5" xfId="2" applyFont="1" applyFill="1" applyBorder="1" applyAlignment="1" applyProtection="1">
      <alignment horizontal="left" vertical="center" wrapText="1" indent="2"/>
    </xf>
    <xf numFmtId="4" fontId="15" fillId="0" borderId="4" xfId="2" applyNumberFormat="1" applyFont="1" applyFill="1" applyBorder="1" applyAlignment="1" applyProtection="1">
      <alignment horizontal="righ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2" xfId="4" applyFont="1" applyBorder="1" applyAlignment="1" applyProtection="1">
      <alignment vertical="center" wrapText="1"/>
      <protection locked="0"/>
    </xf>
    <xf numFmtId="0" fontId="15" fillId="5" borderId="0" xfId="1" applyFont="1" applyFill="1" applyAlignment="1" applyProtection="1">
      <alignment horizontal="center" vertical="center"/>
    </xf>
    <xf numFmtId="0" fontId="20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8" fillId="2" borderId="0" xfId="4" applyFont="1" applyFill="1" applyProtection="1"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20" fillId="2" borderId="0" xfId="0" applyFont="1" applyFill="1" applyAlignment="1" applyProtection="1">
      <alignment horizontal="left"/>
      <protection locked="0"/>
    </xf>
    <xf numFmtId="0" fontId="15" fillId="2" borderId="0" xfId="0" applyFont="1" applyFill="1" applyAlignment="1" applyProtection="1">
      <alignment horizontal="left"/>
      <protection locked="0"/>
    </xf>
    <xf numFmtId="0" fontId="9" fillId="2" borderId="0" xfId="0" applyFont="1" applyFill="1"/>
    <xf numFmtId="0" fontId="0" fillId="2" borderId="3" xfId="0" applyFill="1" applyBorder="1"/>
    <xf numFmtId="0" fontId="14" fillId="5" borderId="2" xfId="3" applyFont="1" applyFill="1" applyBorder="1" applyAlignment="1" applyProtection="1">
      <alignment horizontal="center" vertical="center"/>
    </xf>
    <xf numFmtId="0" fontId="20" fillId="5" borderId="0" xfId="0" applyFont="1" applyFill="1" applyBorder="1" applyAlignment="1" applyProtection="1">
      <alignment horizontal="center"/>
      <protection locked="0"/>
    </xf>
    <xf numFmtId="0" fontId="15" fillId="5" borderId="0" xfId="0" applyFont="1" applyFill="1" applyBorder="1" applyAlignment="1" applyProtection="1">
      <alignment horizontal="center" vertical="center"/>
      <protection locked="0"/>
    </xf>
    <xf numFmtId="0" fontId="20" fillId="5" borderId="0" xfId="0" applyFont="1" applyFill="1" applyBorder="1" applyProtection="1">
      <protection locked="0"/>
    </xf>
    <xf numFmtId="0" fontId="14" fillId="5" borderId="0" xfId="0" applyFont="1" applyFill="1" applyBorder="1"/>
    <xf numFmtId="0" fontId="29" fillId="5" borderId="0" xfId="0" applyFont="1" applyFill="1" applyBorder="1" applyProtection="1"/>
    <xf numFmtId="0" fontId="29" fillId="5" borderId="0" xfId="0" applyFont="1" applyFill="1" applyBorder="1" applyAlignment="1" applyProtection="1">
      <alignment horizontal="center" vertical="center"/>
    </xf>
    <xf numFmtId="0" fontId="20" fillId="0" borderId="1" xfId="1" applyFont="1" applyFill="1" applyBorder="1" applyAlignment="1" applyProtection="1">
      <alignment horizontal="left" vertical="center" wrapText="1"/>
    </xf>
    <xf numFmtId="0" fontId="15" fillId="0" borderId="1" xfId="1" applyFont="1" applyFill="1" applyBorder="1" applyAlignment="1" applyProtection="1">
      <alignment horizontal="left" vertical="center" wrapText="1" indent="4"/>
    </xf>
    <xf numFmtId="0" fontId="15" fillId="5" borderId="0" xfId="1" applyFont="1" applyFill="1" applyAlignment="1" applyProtection="1">
      <alignment wrapText="1"/>
    </xf>
    <xf numFmtId="0" fontId="15" fillId="5" borderId="0" xfId="0" applyFont="1" applyFill="1" applyBorder="1" applyAlignment="1" applyProtection="1">
      <alignment wrapText="1"/>
    </xf>
    <xf numFmtId="0" fontId="15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5" fillId="0" borderId="0" xfId="0" applyFont="1" applyAlignment="1" applyProtection="1">
      <alignment wrapText="1"/>
      <protection locked="0"/>
    </xf>
    <xf numFmtId="0" fontId="15" fillId="0" borderId="0" xfId="3" applyFont="1" applyAlignment="1" applyProtection="1">
      <alignment wrapText="1"/>
      <protection locked="0"/>
    </xf>
    <xf numFmtId="0" fontId="20" fillId="0" borderId="0" xfId="0" applyFont="1" applyAlignment="1" applyProtection="1">
      <alignment wrapText="1"/>
      <protection locked="0"/>
    </xf>
    <xf numFmtId="0" fontId="14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9" fillId="5" borderId="0" xfId="3" applyFill="1" applyBorder="1" applyAlignment="1" applyProtection="1">
      <alignment horizontal="left"/>
      <protection locked="0"/>
    </xf>
    <xf numFmtId="0" fontId="9" fillId="5" borderId="31" xfId="3" applyFill="1" applyBorder="1" applyProtection="1"/>
    <xf numFmtId="0" fontId="9" fillId="5" borderId="1" xfId="3" applyFont="1" applyFill="1" applyBorder="1" applyAlignment="1" applyProtection="1">
      <alignment horizontal="center" vertical="center"/>
    </xf>
    <xf numFmtId="0" fontId="9" fillId="5" borderId="1" xfId="3" applyFill="1" applyBorder="1" applyAlignment="1" applyProtection="1">
      <alignment horizontal="center" vertical="center" wrapText="1"/>
    </xf>
    <xf numFmtId="0" fontId="9" fillId="5" borderId="2" xfId="3" applyFill="1" applyBorder="1" applyAlignment="1" applyProtection="1">
      <alignment horizontal="center" vertical="center" wrapText="1"/>
    </xf>
    <xf numFmtId="0" fontId="9" fillId="5" borderId="1" xfId="3" applyFont="1" applyFill="1" applyBorder="1" applyAlignment="1" applyProtection="1">
      <alignment horizontal="center" vertical="center" wrapText="1"/>
    </xf>
    <xf numFmtId="0" fontId="9" fillId="5" borderId="2" xfId="3" applyFont="1" applyFill="1" applyBorder="1" applyAlignment="1" applyProtection="1">
      <alignment horizontal="center" vertical="center" wrapText="1"/>
    </xf>
    <xf numFmtId="0" fontId="25" fillId="0" borderId="1" xfId="7" applyFont="1" applyBorder="1" applyAlignment="1" applyProtection="1">
      <alignment wrapText="1"/>
      <protection locked="0"/>
    </xf>
    <xf numFmtId="14" fontId="9" fillId="5" borderId="1" xfId="3" applyNumberFormat="1" applyFill="1" applyBorder="1" applyProtection="1"/>
    <xf numFmtId="0" fontId="9" fillId="0" borderId="1" xfId="3" applyBorder="1" applyAlignment="1" applyProtection="1">
      <alignment horizontal="left" vertical="center"/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0" borderId="1" xfId="0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Protection="1">
      <protection locked="0"/>
    </xf>
    <xf numFmtId="0" fontId="20" fillId="2" borderId="1" xfId="1" applyFont="1" applyFill="1" applyBorder="1" applyAlignment="1" applyProtection="1">
      <alignment vertical="center" wrapText="1"/>
    </xf>
    <xf numFmtId="0" fontId="20" fillId="0" borderId="5" xfId="1" applyFont="1" applyFill="1" applyBorder="1" applyAlignment="1" applyProtection="1">
      <alignment horizontal="left" vertical="center" wrapText="1"/>
    </xf>
    <xf numFmtId="0" fontId="20" fillId="2" borderId="4" xfId="0" applyFont="1" applyFill="1" applyBorder="1" applyProtection="1"/>
    <xf numFmtId="3" fontId="15" fillId="5" borderId="32" xfId="1" applyNumberFormat="1" applyFont="1" applyFill="1" applyBorder="1" applyAlignment="1" applyProtection="1">
      <alignment horizontal="right" vertical="center" wrapText="1"/>
    </xf>
    <xf numFmtId="0" fontId="20" fillId="5" borderId="2" xfId="0" applyFont="1" applyFill="1" applyBorder="1" applyProtection="1"/>
    <xf numFmtId="3" fontId="15" fillId="5" borderId="30" xfId="1" applyNumberFormat="1" applyFont="1" applyFill="1" applyBorder="1" applyAlignment="1" applyProtection="1">
      <alignment horizontal="right" vertical="center" wrapText="1"/>
    </xf>
    <xf numFmtId="0" fontId="15" fillId="5" borderId="3" xfId="0" applyFont="1" applyFill="1" applyBorder="1" applyProtection="1">
      <protection locked="0"/>
    </xf>
    <xf numFmtId="0" fontId="0" fillId="5" borderId="3" xfId="0" applyFill="1" applyBorder="1"/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Alignment="1" applyProtection="1">
      <alignment horizontal="right" vertical="center"/>
    </xf>
    <xf numFmtId="0" fontId="15" fillId="5" borderId="0" xfId="1" applyFont="1" applyFill="1" applyBorder="1" applyAlignment="1" applyProtection="1">
      <alignment horizontal="center" vertical="center"/>
    </xf>
    <xf numFmtId="0" fontId="15" fillId="2" borderId="0" xfId="1" applyFont="1" applyFill="1" applyBorder="1" applyAlignment="1" applyProtection="1">
      <alignment horizontal="left" vertical="center" wrapText="1" indent="1"/>
    </xf>
    <xf numFmtId="0" fontId="20" fillId="5" borderId="0" xfId="0" applyFont="1" applyFill="1" applyAlignment="1" applyProtection="1">
      <alignment horizontal="left" vertical="center"/>
    </xf>
    <xf numFmtId="167" fontId="31" fillId="2" borderId="2" xfId="9" applyNumberFormat="1" applyFont="1" applyFill="1" applyBorder="1" applyAlignment="1" applyProtection="1">
      <alignment horizontal="left" vertical="center" wrapText="1"/>
      <protection locked="0"/>
    </xf>
    <xf numFmtId="14" fontId="17" fillId="2" borderId="0" xfId="9" applyNumberFormat="1" applyFont="1" applyFill="1" applyBorder="1" applyAlignment="1" applyProtection="1">
      <alignment vertical="center"/>
    </xf>
    <xf numFmtId="0" fontId="17" fillId="2" borderId="0" xfId="9" applyFont="1" applyFill="1" applyBorder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horizontal="center" vertical="center"/>
    </xf>
    <xf numFmtId="14" fontId="19" fillId="2" borderId="0" xfId="9" applyNumberFormat="1" applyFont="1" applyFill="1" applyBorder="1" applyAlignment="1" applyProtection="1">
      <alignment vertical="center"/>
    </xf>
    <xf numFmtId="14" fontId="19" fillId="2" borderId="0" xfId="9" applyNumberFormat="1" applyFont="1" applyFill="1" applyBorder="1" applyAlignment="1" applyProtection="1">
      <alignment vertical="center" wrapText="1"/>
    </xf>
    <xf numFmtId="14" fontId="17" fillId="2" borderId="0" xfId="11" applyNumberFormat="1" applyFont="1" applyFill="1" applyBorder="1" applyAlignment="1" applyProtection="1">
      <alignment vertical="center"/>
    </xf>
    <xf numFmtId="0" fontId="17" fillId="2" borderId="0" xfId="11" applyFont="1" applyFill="1" applyBorder="1" applyAlignment="1" applyProtection="1">
      <alignment vertical="center"/>
      <protection locked="0"/>
    </xf>
    <xf numFmtId="0" fontId="25" fillId="0" borderId="0" xfId="11" applyFont="1" applyAlignment="1" applyProtection="1">
      <alignment vertical="center"/>
      <protection locked="0"/>
    </xf>
    <xf numFmtId="49" fontId="17" fillId="2" borderId="0" xfId="11" applyNumberFormat="1" applyFont="1" applyFill="1" applyBorder="1" applyAlignment="1" applyProtection="1">
      <alignment vertical="center"/>
      <protection locked="0"/>
    </xf>
    <xf numFmtId="0" fontId="25" fillId="2" borderId="0" xfId="11" applyFont="1" applyFill="1" applyBorder="1" applyAlignment="1" applyProtection="1">
      <alignment vertical="center"/>
      <protection locked="0"/>
    </xf>
    <xf numFmtId="0" fontId="15" fillId="2" borderId="0" xfId="0" applyFont="1" applyFill="1" applyBorder="1" applyAlignment="1">
      <alignment vertical="center"/>
    </xf>
    <xf numFmtId="0" fontId="20" fillId="5" borderId="34" xfId="0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</xf>
    <xf numFmtId="0" fontId="17" fillId="5" borderId="0" xfId="11" applyFont="1" applyFill="1" applyBorder="1" applyAlignment="1" applyProtection="1">
      <alignment vertical="center"/>
      <protection locked="0"/>
    </xf>
    <xf numFmtId="0" fontId="15" fillId="5" borderId="0" xfId="0" applyFont="1" applyFill="1" applyBorder="1" applyAlignment="1">
      <alignment vertical="center"/>
    </xf>
    <xf numFmtId="0" fontId="20" fillId="5" borderId="0" xfId="0" applyFont="1" applyFill="1" applyBorder="1" applyAlignment="1" applyProtection="1">
      <alignment vertical="center"/>
    </xf>
    <xf numFmtId="0" fontId="17" fillId="5" borderId="35" xfId="11" applyFont="1" applyFill="1" applyBorder="1" applyAlignment="1" applyProtection="1">
      <alignment horizontal="right" vertical="center"/>
    </xf>
    <xf numFmtId="0" fontId="17" fillId="0" borderId="0" xfId="11" applyFont="1" applyAlignment="1" applyProtection="1">
      <alignment vertical="center"/>
      <protection locked="0"/>
    </xf>
    <xf numFmtId="0" fontId="15" fillId="5" borderId="34" xfId="0" applyFont="1" applyFill="1" applyBorder="1" applyAlignment="1" applyProtection="1">
      <alignment vertical="center"/>
    </xf>
    <xf numFmtId="0" fontId="15" fillId="5" borderId="0" xfId="0" applyFont="1" applyFill="1" applyBorder="1" applyAlignment="1" applyProtection="1">
      <alignment vertical="center"/>
    </xf>
    <xf numFmtId="14" fontId="17" fillId="0" borderId="35" xfId="11" applyNumberFormat="1" applyFont="1" applyBorder="1" applyAlignment="1" applyProtection="1">
      <alignment vertical="center"/>
      <protection locked="0"/>
    </xf>
    <xf numFmtId="0" fontId="17" fillId="5" borderId="34" xfId="11" applyFont="1" applyFill="1" applyBorder="1" applyAlignment="1" applyProtection="1">
      <alignment vertical="center"/>
    </xf>
    <xf numFmtId="0" fontId="19" fillId="5" borderId="0" xfId="11" applyFont="1" applyFill="1" applyBorder="1" applyAlignment="1" applyProtection="1">
      <alignment horizontal="right" vertical="center"/>
    </xf>
    <xf numFmtId="166" fontId="17" fillId="5" borderId="0" xfId="11" applyNumberFormat="1" applyFont="1" applyFill="1" applyBorder="1" applyAlignment="1" applyProtection="1">
      <alignment vertical="center"/>
    </xf>
    <xf numFmtId="14" fontId="17" fillId="5" borderId="0" xfId="11" applyNumberFormat="1" applyFont="1" applyFill="1" applyBorder="1" applyAlignment="1" applyProtection="1">
      <alignment vertical="center"/>
    </xf>
    <xf numFmtId="0" fontId="17" fillId="5" borderId="35" xfId="11" applyFont="1" applyFill="1" applyBorder="1" applyAlignment="1" applyProtection="1">
      <alignment vertical="center"/>
      <protection locked="0"/>
    </xf>
    <xf numFmtId="0" fontId="15" fillId="5" borderId="34" xfId="0" applyFont="1" applyFill="1" applyBorder="1" applyAlignment="1">
      <alignment vertical="center"/>
    </xf>
    <xf numFmtId="14" fontId="19" fillId="5" borderId="0" xfId="11" applyNumberFormat="1" applyFont="1" applyFill="1" applyBorder="1" applyAlignment="1" applyProtection="1">
      <alignment vertical="center"/>
    </xf>
    <xf numFmtId="49" fontId="17" fillId="5" borderId="0" xfId="11" applyNumberFormat="1" applyFont="1" applyFill="1" applyBorder="1" applyAlignment="1" applyProtection="1">
      <alignment vertical="center"/>
      <protection locked="0"/>
    </xf>
    <xf numFmtId="0" fontId="17" fillId="5" borderId="0" xfId="11" applyFont="1" applyFill="1" applyBorder="1" applyAlignment="1" applyProtection="1">
      <alignment horizontal="left" vertical="center"/>
    </xf>
    <xf numFmtId="0" fontId="19" fillId="5" borderId="0" xfId="11" applyFont="1" applyFill="1" applyBorder="1" applyAlignment="1" applyProtection="1">
      <alignment horizontal="right" vertical="center"/>
      <protection locked="0"/>
    </xf>
    <xf numFmtId="0" fontId="15" fillId="5" borderId="34" xfId="1" applyFont="1" applyFill="1" applyBorder="1" applyAlignment="1" applyProtection="1">
      <alignment horizontal="left" vertical="center"/>
    </xf>
    <xf numFmtId="166" fontId="17" fillId="5" borderId="0" xfId="11" applyNumberFormat="1" applyFont="1" applyFill="1" applyBorder="1" applyAlignment="1" applyProtection="1">
      <alignment vertical="center"/>
      <protection locked="0"/>
    </xf>
    <xf numFmtId="0" fontId="25" fillId="5" borderId="34" xfId="11" applyFont="1" applyFill="1" applyBorder="1" applyAlignment="1" applyProtection="1">
      <alignment vertical="center"/>
    </xf>
    <xf numFmtId="0" fontId="26" fillId="5" borderId="0" xfId="11" applyFont="1" applyFill="1" applyBorder="1" applyAlignment="1" applyProtection="1">
      <alignment vertical="center"/>
    </xf>
    <xf numFmtId="0" fontId="25" fillId="5" borderId="0" xfId="11" applyFont="1" applyFill="1" applyBorder="1" applyAlignment="1" applyProtection="1">
      <alignment vertical="center"/>
    </xf>
    <xf numFmtId="0" fontId="25" fillId="5" borderId="35" xfId="11" applyFont="1" applyFill="1" applyBorder="1" applyAlignment="1" applyProtection="1">
      <alignment vertical="center"/>
    </xf>
    <xf numFmtId="0" fontId="27" fillId="5" borderId="12" xfId="11" applyFont="1" applyFill="1" applyBorder="1" applyAlignment="1" applyProtection="1">
      <alignment horizontal="center" vertical="center" wrapText="1"/>
    </xf>
    <xf numFmtId="0" fontId="27" fillId="5" borderId="13" xfId="11" applyFont="1" applyFill="1" applyBorder="1" applyAlignment="1" applyProtection="1">
      <alignment horizontal="center" vertical="center" wrapText="1"/>
    </xf>
    <xf numFmtId="0" fontId="27" fillId="5" borderId="14" xfId="11" applyFont="1" applyFill="1" applyBorder="1" applyAlignment="1" applyProtection="1">
      <alignment horizontal="center" vertical="center" wrapText="1"/>
    </xf>
    <xf numFmtId="0" fontId="27" fillId="3" borderId="9" xfId="11" applyFont="1" applyFill="1" applyBorder="1" applyAlignment="1" applyProtection="1">
      <alignment horizontal="center" vertical="center" wrapText="1"/>
    </xf>
    <xf numFmtId="49" fontId="27" fillId="3" borderId="13" xfId="11" applyNumberFormat="1" applyFont="1" applyFill="1" applyBorder="1" applyAlignment="1" applyProtection="1">
      <alignment horizontal="center" vertical="center" wrapText="1"/>
    </xf>
    <xf numFmtId="0" fontId="27" fillId="3" borderId="16" xfId="11" applyFont="1" applyFill="1" applyBorder="1" applyAlignment="1" applyProtection="1">
      <alignment horizontal="center" vertical="center" wrapText="1"/>
    </xf>
    <xf numFmtId="0" fontId="27" fillId="3" borderId="15" xfId="11" applyFont="1" applyFill="1" applyBorder="1" applyAlignment="1" applyProtection="1">
      <alignment horizontal="center" vertical="center" wrapText="1"/>
    </xf>
    <xf numFmtId="0" fontId="27" fillId="4" borderId="12" xfId="11" applyFont="1" applyFill="1" applyBorder="1" applyAlignment="1" applyProtection="1">
      <alignment horizontal="center" vertical="center" wrapText="1"/>
    </xf>
    <xf numFmtId="0" fontId="27" fillId="4" borderId="13" xfId="11" applyFont="1" applyFill="1" applyBorder="1" applyAlignment="1" applyProtection="1">
      <alignment horizontal="center" vertical="center" wrapText="1"/>
    </xf>
    <xf numFmtId="0" fontId="27" fillId="4" borderId="15" xfId="11" applyFont="1" applyFill="1" applyBorder="1" applyAlignment="1" applyProtection="1">
      <alignment horizontal="center" vertical="center" wrapText="1"/>
    </xf>
    <xf numFmtId="0" fontId="27" fillId="5" borderId="10" xfId="11" applyFont="1" applyFill="1" applyBorder="1" applyAlignment="1" applyProtection="1">
      <alignment horizontal="center" vertical="center" wrapText="1"/>
    </xf>
    <xf numFmtId="0" fontId="27" fillId="0" borderId="0" xfId="11" applyFont="1" applyAlignment="1" applyProtection="1">
      <alignment horizontal="center" vertical="center" wrapText="1"/>
      <protection locked="0"/>
    </xf>
    <xf numFmtId="0" fontId="25" fillId="0" borderId="0" xfId="11" applyFont="1" applyAlignment="1" applyProtection="1">
      <alignment horizontal="center" vertical="center"/>
      <protection locked="0"/>
    </xf>
    <xf numFmtId="0" fontId="31" fillId="4" borderId="17" xfId="11" applyFont="1" applyFill="1" applyBorder="1" applyAlignment="1" applyProtection="1">
      <alignment vertical="center" wrapText="1"/>
      <protection locked="0"/>
    </xf>
    <xf numFmtId="0" fontId="31" fillId="4" borderId="2" xfId="11" applyFont="1" applyFill="1" applyBorder="1" applyAlignment="1" applyProtection="1">
      <alignment vertical="center" wrapText="1"/>
      <protection locked="0"/>
    </xf>
    <xf numFmtId="0" fontId="31" fillId="4" borderId="18" xfId="11" applyFont="1" applyFill="1" applyBorder="1" applyAlignment="1" applyProtection="1">
      <alignment vertical="center"/>
      <protection locked="0"/>
    </xf>
    <xf numFmtId="0" fontId="31" fillId="4" borderId="1" xfId="11" applyFont="1" applyFill="1" applyBorder="1" applyAlignment="1" applyProtection="1">
      <alignment vertical="center" wrapText="1"/>
      <protection locked="0"/>
    </xf>
    <xf numFmtId="0" fontId="31" fillId="4" borderId="20" xfId="11" applyFont="1" applyFill="1" applyBorder="1" applyAlignment="1" applyProtection="1">
      <alignment vertical="center"/>
      <protection locked="0"/>
    </xf>
    <xf numFmtId="0" fontId="31" fillId="0" borderId="21" xfId="11" applyFont="1" applyBorder="1" applyAlignment="1" applyProtection="1">
      <alignment horizontal="center" vertical="center"/>
      <protection locked="0"/>
    </xf>
    <xf numFmtId="14" fontId="31" fillId="0" borderId="22" xfId="11" applyNumberFormat="1" applyFont="1" applyBorder="1" applyAlignment="1" applyProtection="1">
      <alignment vertical="center" wrapText="1"/>
      <protection locked="0"/>
    </xf>
    <xf numFmtId="0" fontId="31" fillId="0" borderId="22" xfId="11" applyFont="1" applyBorder="1" applyAlignment="1" applyProtection="1">
      <alignment vertical="center" wrapText="1"/>
      <protection locked="0"/>
    </xf>
    <xf numFmtId="0" fontId="31" fillId="0" borderId="23" xfId="11" applyFont="1" applyBorder="1" applyAlignment="1" applyProtection="1">
      <alignment vertical="center"/>
      <protection locked="0"/>
    </xf>
    <xf numFmtId="0" fontId="31" fillId="0" borderId="21" xfId="11" applyFont="1" applyBorder="1" applyAlignment="1" applyProtection="1">
      <alignment vertical="center" wrapText="1"/>
      <protection locked="0"/>
    </xf>
    <xf numFmtId="49" fontId="31" fillId="0" borderId="22" xfId="11" applyNumberFormat="1" applyFont="1" applyBorder="1" applyAlignment="1" applyProtection="1">
      <alignment vertical="center"/>
      <protection locked="0"/>
    </xf>
    <xf numFmtId="0" fontId="31" fillId="4" borderId="21" xfId="11" applyFont="1" applyFill="1" applyBorder="1" applyAlignment="1" applyProtection="1">
      <alignment vertical="center" wrapText="1"/>
      <protection locked="0"/>
    </xf>
    <xf numFmtId="0" fontId="31" fillId="4" borderId="22" xfId="11" applyFont="1" applyFill="1" applyBorder="1" applyAlignment="1" applyProtection="1">
      <alignment vertical="center" wrapText="1"/>
      <protection locked="0"/>
    </xf>
    <xf numFmtId="0" fontId="31" fillId="4" borderId="24" xfId="11" applyFont="1" applyFill="1" applyBorder="1" applyAlignment="1" applyProtection="1">
      <alignment vertical="center"/>
      <protection locked="0"/>
    </xf>
    <xf numFmtId="0" fontId="31" fillId="0" borderId="36" xfId="11" applyFont="1" applyBorder="1" applyAlignment="1" applyProtection="1">
      <alignment vertical="center" wrapText="1"/>
      <protection locked="0"/>
    </xf>
    <xf numFmtId="0" fontId="9" fillId="0" borderId="0" xfId="3" applyAlignment="1" applyProtection="1">
      <alignment vertical="center"/>
      <protection locked="0"/>
    </xf>
    <xf numFmtId="0" fontId="15" fillId="0" borderId="0" xfId="0" applyFont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vertical="center"/>
    </xf>
    <xf numFmtId="0" fontId="17" fillId="2" borderId="3" xfId="11" applyFont="1" applyFill="1" applyBorder="1" applyAlignment="1" applyProtection="1">
      <alignment vertical="center"/>
      <protection locked="0"/>
    </xf>
    <xf numFmtId="14" fontId="17" fillId="2" borderId="3" xfId="11" applyNumberFormat="1" applyFont="1" applyFill="1" applyBorder="1" applyAlignment="1" applyProtection="1">
      <alignment horizontal="center" vertical="center"/>
    </xf>
    <xf numFmtId="14" fontId="19" fillId="2" borderId="0" xfId="11" applyNumberFormat="1" applyFont="1" applyFill="1" applyBorder="1" applyAlignment="1" applyProtection="1">
      <alignment vertical="center" wrapText="1"/>
    </xf>
    <xf numFmtId="0" fontId="15" fillId="0" borderId="0" xfId="0" applyFont="1" applyAlignment="1">
      <alignment vertical="center"/>
    </xf>
    <xf numFmtId="49" fontId="25" fillId="0" borderId="0" xfId="11" applyNumberFormat="1" applyFont="1" applyAlignment="1" applyProtection="1">
      <alignment vertical="center"/>
      <protection locked="0"/>
    </xf>
    <xf numFmtId="0" fontId="32" fillId="0" borderId="30" xfId="6" applyFont="1" applyBorder="1" applyAlignment="1" applyProtection="1">
      <alignment wrapText="1"/>
      <protection locked="0"/>
    </xf>
    <xf numFmtId="1" fontId="22" fillId="0" borderId="30" xfId="2" applyNumberFormat="1" applyFont="1" applyFill="1" applyBorder="1" applyAlignment="1" applyProtection="1">
      <alignment horizontal="left" vertical="top" wrapText="1"/>
      <protection locked="0"/>
    </xf>
    <xf numFmtId="1" fontId="22" fillId="0" borderId="37" xfId="2" applyNumberFormat="1" applyFont="1" applyFill="1" applyBorder="1" applyAlignment="1" applyProtection="1">
      <alignment horizontal="left" vertical="top" wrapText="1"/>
      <protection locked="0"/>
    </xf>
    <xf numFmtId="14" fontId="32" fillId="0" borderId="30" xfId="6" applyNumberFormat="1" applyFont="1" applyBorder="1" applyAlignment="1" applyProtection="1">
      <alignment wrapText="1"/>
      <protection locked="0"/>
    </xf>
    <xf numFmtId="0" fontId="32" fillId="0" borderId="1" xfId="6" applyFont="1" applyBorder="1" applyAlignment="1" applyProtection="1">
      <alignment wrapText="1"/>
      <protection locked="0"/>
    </xf>
    <xf numFmtId="1" fontId="22" fillId="0" borderId="1" xfId="2" applyNumberFormat="1" applyFont="1" applyFill="1" applyBorder="1" applyAlignment="1" applyProtection="1">
      <alignment horizontal="left" vertical="top" wrapText="1"/>
      <protection locked="0"/>
    </xf>
    <xf numFmtId="1" fontId="24" fillId="2" borderId="1" xfId="2" applyNumberFormat="1" applyFont="1" applyFill="1" applyBorder="1" applyAlignment="1" applyProtection="1">
      <alignment horizontal="center" vertical="top" wrapText="1"/>
    </xf>
    <xf numFmtId="14" fontId="32" fillId="2" borderId="1" xfId="6" applyNumberFormat="1" applyFont="1" applyFill="1" applyBorder="1" applyAlignment="1" applyProtection="1">
      <alignment wrapText="1"/>
      <protection locked="0"/>
    </xf>
    <xf numFmtId="0" fontId="23" fillId="0" borderId="8" xfId="2" applyFont="1" applyFill="1" applyBorder="1" applyAlignment="1" applyProtection="1">
      <alignment horizontal="right" vertical="top" wrapText="1"/>
      <protection locked="0"/>
    </xf>
    <xf numFmtId="0" fontId="23" fillId="0" borderId="26" xfId="2" applyFont="1" applyFill="1" applyBorder="1" applyAlignment="1" applyProtection="1">
      <alignment horizontal="right" vertical="top" wrapText="1"/>
      <protection locked="0"/>
    </xf>
    <xf numFmtId="0" fontId="20" fillId="0" borderId="0" xfId="0" applyFont="1" applyFill="1" applyProtection="1"/>
    <xf numFmtId="0" fontId="15" fillId="0" borderId="0" xfId="1" applyFont="1" applyFill="1" applyAlignment="1" applyProtection="1">
      <alignment horizontal="right" vertical="center"/>
    </xf>
    <xf numFmtId="0" fontId="15" fillId="0" borderId="0" xfId="1" applyFont="1" applyFill="1" applyBorder="1" applyAlignment="1" applyProtection="1">
      <alignment horizontal="center" vertical="center"/>
      <protection locked="0"/>
    </xf>
    <xf numFmtId="0" fontId="15" fillId="0" borderId="0" xfId="1" applyFont="1" applyFill="1" applyBorder="1" applyAlignment="1" applyProtection="1">
      <alignment horizontal="right" vertical="center"/>
    </xf>
    <xf numFmtId="0" fontId="20" fillId="0" borderId="0" xfId="0" applyFont="1" applyFill="1" applyBorder="1" applyAlignment="1" applyProtection="1">
      <alignment horizontal="left"/>
    </xf>
    <xf numFmtId="0" fontId="24" fillId="0" borderId="6" xfId="2" applyFont="1" applyFill="1" applyBorder="1" applyAlignment="1" applyProtection="1">
      <alignment horizontal="center" vertical="top" wrapText="1"/>
    </xf>
    <xf numFmtId="1" fontId="24" fillId="0" borderId="6" xfId="2" applyNumberFormat="1" applyFont="1" applyFill="1" applyBorder="1" applyAlignment="1" applyProtection="1">
      <alignment horizontal="center" vertical="top" wrapText="1"/>
    </xf>
    <xf numFmtId="0" fontId="20" fillId="0" borderId="0" xfId="0" applyFont="1" applyFill="1" applyAlignment="1" applyProtection="1">
      <alignment horizontal="center"/>
      <protection locked="0"/>
    </xf>
    <xf numFmtId="0" fontId="15" fillId="0" borderId="3" xfId="0" applyFont="1" applyFill="1" applyBorder="1" applyProtection="1">
      <protection locked="0"/>
    </xf>
    <xf numFmtId="0" fontId="0" fillId="0" borderId="0" xfId="0" applyFill="1" applyBorder="1"/>
    <xf numFmtId="0" fontId="20" fillId="0" borderId="0" xfId="0" applyFont="1" applyFill="1" applyProtection="1">
      <protection locked="0"/>
    </xf>
    <xf numFmtId="0" fontId="14" fillId="0" borderId="0" xfId="0" applyFont="1" applyFill="1"/>
    <xf numFmtId="4" fontId="36" fillId="0" borderId="1" xfId="0" applyNumberFormat="1" applyFont="1" applyFill="1" applyBorder="1" applyAlignment="1">
      <alignment wrapText="1"/>
    </xf>
    <xf numFmtId="0" fontId="17" fillId="0" borderId="1" xfId="13" applyFont="1" applyFill="1" applyBorder="1" applyAlignment="1" applyProtection="1">
      <alignment vertical="center" wrapText="1"/>
      <protection locked="0"/>
    </xf>
    <xf numFmtId="0" fontId="22" fillId="0" borderId="1" xfId="13" applyFont="1" applyFill="1" applyBorder="1" applyAlignment="1" applyProtection="1">
      <alignment horizontal="center" vertical="center" wrapText="1"/>
      <protection locked="0"/>
    </xf>
    <xf numFmtId="14" fontId="22" fillId="0" borderId="1" xfId="13" applyNumberFormat="1" applyFont="1" applyFill="1" applyBorder="1" applyAlignment="1" applyProtection="1">
      <alignment horizontal="center" vertical="center" wrapText="1"/>
      <protection locked="0"/>
    </xf>
    <xf numFmtId="49" fontId="37" fillId="0" borderId="38" xfId="0" applyNumberFormat="1" applyFont="1" applyBorder="1" applyAlignment="1">
      <alignment horizontal="left" wrapText="1"/>
    </xf>
    <xf numFmtId="0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0" borderId="1" xfId="0" applyNumberFormat="1" applyFont="1" applyBorder="1" applyProtection="1">
      <protection locked="0"/>
    </xf>
    <xf numFmtId="1" fontId="20" fillId="5" borderId="1" xfId="0" applyNumberFormat="1" applyFont="1" applyFill="1" applyBorder="1" applyAlignment="1" applyProtection="1">
      <alignment horizontal="right" vertical="center" wrapText="1"/>
    </xf>
    <xf numFmtId="1" fontId="20" fillId="5" borderId="1" xfId="0" applyNumberFormat="1" applyFont="1" applyFill="1" applyBorder="1" applyProtection="1"/>
    <xf numFmtId="1" fontId="15" fillId="0" borderId="0" xfId="0" applyNumberFormat="1" applyFont="1" applyProtection="1">
      <protection locked="0"/>
    </xf>
    <xf numFmtId="0" fontId="15" fillId="5" borderId="0" xfId="1" applyFont="1" applyFill="1" applyAlignment="1" applyProtection="1">
      <alignment horizontal="center" vertical="center"/>
    </xf>
    <xf numFmtId="0" fontId="15" fillId="5" borderId="0" xfId="1" applyFont="1" applyFill="1" applyBorder="1" applyAlignment="1" applyProtection="1">
      <alignment horizontal="center" vertical="center"/>
    </xf>
    <xf numFmtId="49" fontId="15" fillId="0" borderId="1" xfId="1" applyNumberFormat="1" applyFont="1" applyFill="1" applyBorder="1" applyAlignment="1" applyProtection="1">
      <alignment horizontal="left" vertical="center" wrapText="1" indent="1"/>
    </xf>
    <xf numFmtId="3" fontId="15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5" fillId="0" borderId="1" xfId="1" applyFont="1" applyFill="1" applyBorder="1" applyAlignment="1" applyProtection="1">
      <alignment vertical="center" wrapText="1"/>
    </xf>
    <xf numFmtId="0" fontId="20" fillId="5" borderId="0" xfId="3" applyFont="1" applyFill="1" applyProtection="1"/>
    <xf numFmtId="0" fontId="15" fillId="5" borderId="0" xfId="3" applyFont="1" applyFill="1" applyBorder="1" applyProtection="1"/>
    <xf numFmtId="0" fontId="15" fillId="6" borderId="0" xfId="3" applyFont="1" applyFill="1" applyAlignment="1" applyProtection="1">
      <alignment horizontal="center" vertical="center"/>
      <protection locked="0"/>
    </xf>
    <xf numFmtId="0" fontId="15" fillId="2" borderId="0" xfId="3" applyFont="1" applyFill="1" applyBorder="1" applyProtection="1"/>
    <xf numFmtId="0" fontId="15" fillId="2" borderId="0" xfId="3" applyFont="1" applyFill="1" applyProtection="1"/>
    <xf numFmtId="0" fontId="20" fillId="6" borderId="0" xfId="1" applyFont="1" applyFill="1" applyAlignment="1" applyProtection="1">
      <alignment horizontal="center" vertical="center"/>
      <protection locked="0"/>
    </xf>
    <xf numFmtId="3" fontId="20" fillId="2" borderId="1" xfId="1" applyNumberFormat="1" applyFont="1" applyFill="1" applyBorder="1" applyAlignment="1" applyProtection="1">
      <alignment horizontal="center" vertical="center"/>
      <protection locked="0"/>
    </xf>
    <xf numFmtId="3" fontId="15" fillId="6" borderId="0" xfId="1" applyNumberFormat="1" applyFont="1" applyFill="1" applyAlignment="1" applyProtection="1">
      <alignment horizontal="center" vertical="center"/>
      <protection locked="0"/>
    </xf>
    <xf numFmtId="3" fontId="15" fillId="0" borderId="0" xfId="1" applyNumberFormat="1" applyFont="1" applyAlignment="1" applyProtection="1">
      <alignment horizontal="center" vertical="center"/>
      <protection locked="0"/>
    </xf>
    <xf numFmtId="0" fontId="38" fillId="6" borderId="0" xfId="3" applyFont="1" applyFill="1" applyAlignment="1" applyProtection="1">
      <alignment vertical="center"/>
      <protection locked="0"/>
    </xf>
    <xf numFmtId="0" fontId="38" fillId="0" borderId="0" xfId="3" applyFont="1" applyAlignment="1" applyProtection="1">
      <alignment vertical="center"/>
      <protection locked="0"/>
    </xf>
    <xf numFmtId="3" fontId="20" fillId="5" borderId="1" xfId="3" applyNumberFormat="1" applyFont="1" applyFill="1" applyBorder="1" applyProtection="1"/>
    <xf numFmtId="0" fontId="15" fillId="5" borderId="1" xfId="3" applyFont="1" applyFill="1" applyBorder="1" applyAlignment="1" applyProtection="1">
      <alignment horizontal="center"/>
    </xf>
    <xf numFmtId="0" fontId="15" fillId="6" borderId="0" xfId="3" applyFont="1" applyFill="1" applyProtection="1">
      <protection locked="0"/>
    </xf>
    <xf numFmtId="0" fontId="15" fillId="0" borderId="5" xfId="3" applyFont="1" applyFill="1" applyBorder="1" applyAlignment="1" applyProtection="1">
      <alignment horizontal="left" vertical="center" indent="1"/>
    </xf>
    <xf numFmtId="0" fontId="15" fillId="5" borderId="30" xfId="3" applyFont="1" applyFill="1" applyBorder="1" applyAlignment="1" applyProtection="1">
      <alignment horizontal="center"/>
    </xf>
    <xf numFmtId="0" fontId="15" fillId="5" borderId="2" xfId="3" applyFont="1" applyFill="1" applyBorder="1" applyAlignment="1" applyProtection="1">
      <alignment horizontal="center"/>
    </xf>
    <xf numFmtId="0" fontId="15" fillId="0" borderId="1" xfId="3" applyFont="1" applyFill="1" applyBorder="1" applyAlignment="1" applyProtection="1">
      <alignment horizontal="center"/>
    </xf>
    <xf numFmtId="0" fontId="14" fillId="0" borderId="0" xfId="3" applyFont="1"/>
    <xf numFmtId="0" fontId="20" fillId="0" borderId="1" xfId="3" applyFont="1" applyFill="1" applyBorder="1" applyProtection="1">
      <protection locked="0"/>
    </xf>
    <xf numFmtId="0" fontId="15" fillId="0" borderId="0" xfId="3" applyFont="1"/>
    <xf numFmtId="0" fontId="9" fillId="2" borderId="0" xfId="3" applyFill="1"/>
    <xf numFmtId="0" fontId="9" fillId="2" borderId="0" xfId="3" applyFont="1" applyFill="1"/>
    <xf numFmtId="0" fontId="20" fillId="2" borderId="0" xfId="3" applyFont="1" applyFill="1" applyAlignment="1" applyProtection="1">
      <alignment horizontal="left"/>
      <protection locked="0"/>
    </xf>
    <xf numFmtId="0" fontId="15" fillId="2" borderId="0" xfId="3" applyFont="1" applyFill="1" applyProtection="1">
      <protection locked="0"/>
    </xf>
    <xf numFmtId="0" fontId="15" fillId="2" borderId="0" xfId="3" applyFont="1" applyFill="1" applyAlignment="1" applyProtection="1">
      <alignment horizontal="left"/>
      <protection locked="0"/>
    </xf>
    <xf numFmtId="0" fontId="9" fillId="2" borderId="0" xfId="3" applyFill="1" applyProtection="1">
      <protection locked="0"/>
    </xf>
    <xf numFmtId="0" fontId="20" fillId="2" borderId="0" xfId="3" applyFont="1" applyFill="1" applyProtection="1">
      <protection locked="0"/>
    </xf>
    <xf numFmtId="0" fontId="15" fillId="2" borderId="3" xfId="3" applyFont="1" applyFill="1" applyBorder="1" applyProtection="1">
      <protection locked="0"/>
    </xf>
    <xf numFmtId="0" fontId="14" fillId="2" borderId="0" xfId="3" applyFont="1" applyFill="1"/>
    <xf numFmtId="0" fontId="15" fillId="0" borderId="1" xfId="2" applyFont="1" applyFill="1" applyBorder="1" applyAlignment="1" applyProtection="1">
      <alignment horizontal="center" vertical="top"/>
      <protection locked="0"/>
    </xf>
    <xf numFmtId="3" fontId="20" fillId="5" borderId="1" xfId="1" applyNumberFormat="1" applyFont="1" applyFill="1" applyBorder="1" applyAlignment="1" applyProtection="1">
      <alignment horizontal="center" vertical="center"/>
    </xf>
    <xf numFmtId="3" fontId="15" fillId="5" borderId="1" xfId="1" applyNumberFormat="1" applyFont="1" applyFill="1" applyBorder="1" applyAlignment="1" applyProtection="1">
      <alignment horizontal="center" vertical="center" wrapText="1"/>
    </xf>
    <xf numFmtId="165" fontId="15" fillId="0" borderId="1" xfId="2" applyNumberFormat="1" applyFont="1" applyFill="1" applyBorder="1" applyAlignment="1" applyProtection="1">
      <alignment horizontal="center" vertical="center"/>
      <protection locked="0"/>
    </xf>
    <xf numFmtId="4" fontId="15" fillId="0" borderId="1" xfId="2" applyNumberFormat="1" applyFont="1" applyFill="1" applyBorder="1" applyAlignment="1" applyProtection="1">
      <alignment horizontal="center" vertical="center"/>
      <protection locked="0"/>
    </xf>
    <xf numFmtId="168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0" fillId="5" borderId="1" xfId="3" applyFont="1" applyFill="1" applyBorder="1" applyAlignment="1" applyProtection="1">
      <alignment horizontal="center"/>
    </xf>
    <xf numFmtId="3" fontId="20" fillId="5" borderId="1" xfId="3" applyNumberFormat="1" applyFont="1" applyFill="1" applyBorder="1" applyAlignment="1" applyProtection="1">
      <alignment horizontal="center"/>
    </xf>
    <xf numFmtId="0" fontId="15" fillId="0" borderId="4" xfId="3" applyFont="1" applyBorder="1" applyAlignment="1" applyProtection="1">
      <alignment horizontal="center"/>
      <protection locked="0"/>
    </xf>
    <xf numFmtId="0" fontId="15" fillId="0" borderId="1" xfId="3" applyFont="1" applyBorder="1" applyAlignment="1" applyProtection="1">
      <alignment horizontal="center"/>
      <protection locked="0"/>
    </xf>
    <xf numFmtId="0" fontId="15" fillId="5" borderId="0" xfId="1" applyFont="1" applyFill="1" applyBorder="1" applyAlignment="1" applyProtection="1">
      <alignment horizontal="center" vertical="center"/>
    </xf>
    <xf numFmtId="0" fontId="15" fillId="0" borderId="1" xfId="0" applyFont="1" applyFill="1" applyBorder="1" applyProtection="1">
      <protection locked="0"/>
    </xf>
    <xf numFmtId="1" fontId="15" fillId="0" borderId="1" xfId="0" applyNumberFormat="1" applyFont="1" applyFill="1" applyBorder="1" applyProtection="1">
      <protection locked="0"/>
    </xf>
    <xf numFmtId="3" fontId="15" fillId="0" borderId="1" xfId="1" applyNumberFormat="1" applyFont="1" applyFill="1" applyBorder="1" applyAlignment="1" applyProtection="1">
      <alignment horizontal="right" vertical="center" wrapText="1"/>
      <protection locked="0"/>
    </xf>
    <xf numFmtId="3" fontId="20" fillId="0" borderId="1" xfId="1" applyNumberFormat="1" applyFont="1" applyFill="1" applyBorder="1" applyAlignment="1" applyProtection="1">
      <alignment horizontal="center" vertical="center" wrapText="1"/>
      <protection locked="0"/>
    </xf>
    <xf numFmtId="1" fontId="15" fillId="0" borderId="1" xfId="2" applyNumberFormat="1" applyFont="1" applyFill="1" applyBorder="1" applyAlignment="1" applyProtection="1">
      <alignment horizontal="center" vertical="top"/>
      <protection locked="0"/>
    </xf>
    <xf numFmtId="3" fontId="15" fillId="0" borderId="1" xfId="2" applyNumberFormat="1" applyFont="1" applyFill="1" applyBorder="1" applyAlignment="1" applyProtection="1">
      <alignment horizontal="center" vertical="center"/>
      <protection locked="0"/>
    </xf>
    <xf numFmtId="0" fontId="22" fillId="0" borderId="8" xfId="2" applyFont="1" applyFill="1" applyBorder="1" applyAlignment="1" applyProtection="1">
      <alignment horizontal="center" vertical="top" wrapText="1"/>
      <protection locked="0"/>
    </xf>
    <xf numFmtId="14" fontId="9" fillId="0" borderId="2" xfId="3" applyNumberFormat="1" applyFill="1" applyBorder="1" applyProtection="1">
      <protection locked="0"/>
    </xf>
    <xf numFmtId="1" fontId="22" fillId="0" borderId="39" xfId="2" applyNumberFormat="1" applyFont="1" applyFill="1" applyBorder="1" applyAlignment="1" applyProtection="1">
      <alignment horizontal="left" vertical="top" wrapText="1"/>
      <protection locked="0"/>
    </xf>
    <xf numFmtId="0" fontId="22" fillId="0" borderId="39" xfId="2" applyFont="1" applyFill="1" applyBorder="1" applyAlignment="1" applyProtection="1">
      <alignment horizontal="left" vertical="top" wrapText="1"/>
      <protection locked="0"/>
    </xf>
    <xf numFmtId="0" fontId="22" fillId="0" borderId="40" xfId="2" applyFont="1" applyFill="1" applyBorder="1" applyAlignment="1" applyProtection="1">
      <alignment horizontal="left" vertical="top" wrapText="1"/>
      <protection locked="0"/>
    </xf>
    <xf numFmtId="0" fontId="24" fillId="0" borderId="2" xfId="2" applyFont="1" applyFill="1" applyBorder="1" applyAlignment="1" applyProtection="1">
      <alignment horizontal="left" vertical="top" wrapText="1"/>
      <protection locked="0"/>
    </xf>
    <xf numFmtId="4" fontId="20" fillId="5" borderId="1" xfId="0" applyNumberFormat="1" applyFont="1" applyFill="1" applyBorder="1" applyProtection="1"/>
    <xf numFmtId="0" fontId="33" fillId="2" borderId="1" xfId="4" applyFont="1" applyFill="1" applyBorder="1" applyAlignment="1" applyProtection="1">
      <alignment horizontal="center" vertical="center" wrapText="1"/>
      <protection locked="0"/>
    </xf>
    <xf numFmtId="0" fontId="35" fillId="2" borderId="1" xfId="0" applyFont="1" applyFill="1" applyBorder="1" applyAlignment="1">
      <alignment wrapText="1"/>
    </xf>
    <xf numFmtId="49" fontId="35" fillId="2" borderId="1" xfId="0" applyNumberFormat="1" applyFont="1" applyFill="1" applyBorder="1" applyAlignment="1">
      <alignment horizontal="center"/>
    </xf>
    <xf numFmtId="49" fontId="35" fillId="0" borderId="1" xfId="0" applyNumberFormat="1" applyFont="1" applyBorder="1" applyAlignment="1">
      <alignment horizontal="center"/>
    </xf>
    <xf numFmtId="0" fontId="35" fillId="0" borderId="1" xfId="0" applyFont="1" applyBorder="1" applyAlignment="1">
      <alignment horizontal="center"/>
    </xf>
    <xf numFmtId="0" fontId="15" fillId="0" borderId="32" xfId="1" applyFont="1" applyFill="1" applyBorder="1" applyAlignment="1" applyProtection="1">
      <alignment horizontal="left" vertical="center" wrapText="1" indent="1"/>
    </xf>
    <xf numFmtId="167" fontId="31" fillId="2" borderId="1" xfId="9" applyNumberFormat="1" applyFont="1" applyFill="1" applyBorder="1" applyAlignment="1" applyProtection="1">
      <alignment horizontal="left" vertical="center" wrapText="1"/>
      <protection locked="0"/>
    </xf>
    <xf numFmtId="1" fontId="15" fillId="0" borderId="1" xfId="2" applyNumberFormat="1" applyFont="1" applyFill="1" applyBorder="1" applyAlignment="1" applyProtection="1">
      <alignment horizontal="right" vertical="top"/>
      <protection locked="0"/>
    </xf>
    <xf numFmtId="3" fontId="15" fillId="0" borderId="1" xfId="2" applyNumberFormat="1" applyFont="1" applyFill="1" applyBorder="1" applyAlignment="1" applyProtection="1">
      <alignment horizontal="right" vertical="center"/>
      <protection locked="0"/>
    </xf>
    <xf numFmtId="1" fontId="15" fillId="5" borderId="1" xfId="2" applyNumberFormat="1" applyFont="1" applyFill="1" applyBorder="1" applyAlignment="1" applyProtection="1">
      <alignment horizontal="right" vertical="top"/>
    </xf>
    <xf numFmtId="1" fontId="15" fillId="0" borderId="1" xfId="2" applyNumberFormat="1" applyFont="1" applyFill="1" applyBorder="1" applyAlignment="1" applyProtection="1">
      <alignment horizontal="right" vertical="center"/>
      <protection locked="0"/>
    </xf>
    <xf numFmtId="1" fontId="38" fillId="0" borderId="0" xfId="3" applyNumberFormat="1" applyFont="1" applyAlignment="1" applyProtection="1">
      <alignment vertical="center"/>
      <protection locked="0"/>
    </xf>
    <xf numFmtId="3" fontId="15" fillId="0" borderId="0" xfId="3" applyNumberFormat="1" applyFont="1" applyProtection="1">
      <protection locked="0"/>
    </xf>
    <xf numFmtId="0" fontId="27" fillId="5" borderId="41" xfId="11" applyFont="1" applyFill="1" applyBorder="1" applyAlignment="1" applyProtection="1">
      <alignment horizontal="center" vertical="center"/>
    </xf>
    <xf numFmtId="0" fontId="27" fillId="5" borderId="42" xfId="11" applyFont="1" applyFill="1" applyBorder="1" applyAlignment="1" applyProtection="1">
      <alignment horizontal="center" vertical="center"/>
    </xf>
    <xf numFmtId="0" fontId="27" fillId="5" borderId="43" xfId="11" applyFont="1" applyFill="1" applyBorder="1" applyAlignment="1" applyProtection="1">
      <alignment horizontal="center" vertical="center"/>
    </xf>
    <xf numFmtId="0" fontId="27" fillId="5" borderId="44" xfId="11" applyFont="1" applyFill="1" applyBorder="1" applyAlignment="1" applyProtection="1">
      <alignment horizontal="center" vertical="center"/>
    </xf>
    <xf numFmtId="0" fontId="27" fillId="5" borderId="45" xfId="11" applyFont="1" applyFill="1" applyBorder="1" applyAlignment="1" applyProtection="1">
      <alignment horizontal="center" vertical="center"/>
    </xf>
    <xf numFmtId="0" fontId="31" fillId="0" borderId="1" xfId="11" applyFont="1" applyBorder="1" applyAlignment="1" applyProtection="1">
      <alignment vertical="center" wrapText="1"/>
      <protection locked="0"/>
    </xf>
    <xf numFmtId="0" fontId="0" fillId="2" borderId="1" xfId="0" applyFill="1" applyBorder="1"/>
    <xf numFmtId="0" fontId="20" fillId="0" borderId="1" xfId="1" applyFont="1" applyFill="1" applyBorder="1" applyAlignment="1" applyProtection="1">
      <alignment horizontal="left" vertical="center" wrapText="1" indent="2"/>
    </xf>
    <xf numFmtId="0" fontId="17" fillId="0" borderId="1" xfId="4" applyFont="1" applyFill="1" applyBorder="1" applyAlignment="1" applyProtection="1">
      <alignment vertical="center" wrapText="1"/>
      <protection locked="0"/>
    </xf>
    <xf numFmtId="0" fontId="31" fillId="4" borderId="1" xfId="11" applyFont="1" applyFill="1" applyBorder="1" applyAlignment="1" applyProtection="1">
      <alignment vertical="center"/>
      <protection locked="0"/>
    </xf>
    <xf numFmtId="0" fontId="17" fillId="0" borderId="2" xfId="4" applyFont="1" applyBorder="1" applyAlignment="1" applyProtection="1">
      <alignment horizontal="center" vertical="center" wrapText="1"/>
      <protection locked="0"/>
    </xf>
    <xf numFmtId="167" fontId="31" fillId="0" borderId="2" xfId="9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1" applyFont="1" applyFill="1" applyBorder="1" applyAlignment="1" applyProtection="1">
      <alignment horizontal="center" vertical="center" wrapText="1"/>
    </xf>
    <xf numFmtId="3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Fill="1" applyAlignment="1">
      <alignment horizontal="center" vertical="center" wrapText="1"/>
    </xf>
    <xf numFmtId="4" fontId="15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33" fillId="0" borderId="1" xfId="4" applyFont="1" applyFill="1" applyBorder="1" applyAlignment="1" applyProtection="1">
      <alignment horizontal="center" vertical="center" wrapText="1"/>
      <protection locked="0"/>
    </xf>
    <xf numFmtId="49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0" fontId="17" fillId="0" borderId="1" xfId="4" applyFont="1" applyFill="1" applyBorder="1" applyAlignment="1" applyProtection="1">
      <alignment horizontal="center" vertical="center" wrapText="1"/>
      <protection locked="0"/>
    </xf>
    <xf numFmtId="49" fontId="17" fillId="0" borderId="1" xfId="4" applyNumberFormat="1" applyFont="1" applyFill="1" applyBorder="1" applyAlignment="1" applyProtection="1">
      <alignment horizontal="center" vertical="center" wrapText="1"/>
      <protection locked="0"/>
    </xf>
    <xf numFmtId="0" fontId="34" fillId="0" borderId="6" xfId="2" applyFont="1" applyFill="1" applyBorder="1" applyAlignment="1" applyProtection="1">
      <alignment horizontal="center" vertical="top" wrapText="1"/>
      <protection locked="0"/>
    </xf>
    <xf numFmtId="0" fontId="27" fillId="5" borderId="46" xfId="11" applyFont="1" applyFill="1" applyBorder="1" applyAlignment="1" applyProtection="1">
      <alignment horizontal="center" vertical="center"/>
    </xf>
    <xf numFmtId="0" fontId="31" fillId="4" borderId="32" xfId="11" applyFont="1" applyFill="1" applyBorder="1" applyAlignment="1" applyProtection="1">
      <alignment vertical="center" wrapText="1"/>
      <protection locked="0"/>
    </xf>
    <xf numFmtId="0" fontId="31" fillId="4" borderId="48" xfId="11" applyFont="1" applyFill="1" applyBorder="1" applyAlignment="1" applyProtection="1">
      <alignment vertical="center"/>
      <protection locked="0"/>
    </xf>
    <xf numFmtId="0" fontId="27" fillId="5" borderId="33" xfId="11" applyFont="1" applyFill="1" applyBorder="1" applyAlignment="1" applyProtection="1">
      <alignment horizontal="center" vertical="center"/>
    </xf>
    <xf numFmtId="49" fontId="37" fillId="0" borderId="1" xfId="0" applyNumberFormat="1" applyFont="1" applyBorder="1" applyAlignment="1">
      <alignment horizontal="left" wrapText="1"/>
    </xf>
    <xf numFmtId="0" fontId="31" fillId="0" borderId="1" xfId="11" applyNumberFormat="1" applyFont="1" applyBorder="1" applyAlignment="1" applyProtection="1">
      <alignment horizontal="center" vertical="center"/>
      <protection locked="0"/>
    </xf>
    <xf numFmtId="1" fontId="24" fillId="0" borderId="1" xfId="2" applyNumberFormat="1" applyFont="1" applyFill="1" applyBorder="1" applyAlignment="1" applyProtection="1">
      <alignment horizontal="center" vertical="top" wrapText="1"/>
    </xf>
    <xf numFmtId="1" fontId="20" fillId="5" borderId="1" xfId="3" applyNumberFormat="1" applyFont="1" applyFill="1" applyBorder="1" applyAlignment="1" applyProtection="1">
      <alignment horizontal="center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49" fontId="37" fillId="0" borderId="0" xfId="0" applyNumberFormat="1" applyFont="1" applyBorder="1" applyAlignment="1">
      <alignment horizontal="left" wrapText="1"/>
    </xf>
    <xf numFmtId="0" fontId="26" fillId="5" borderId="1" xfId="11" applyFont="1" applyFill="1" applyBorder="1" applyAlignment="1" applyProtection="1">
      <alignment horizontal="center" vertical="center"/>
    </xf>
    <xf numFmtId="49" fontId="39" fillId="0" borderId="38" xfId="0" applyNumberFormat="1" applyFont="1" applyBorder="1" applyAlignment="1">
      <alignment horizontal="left" wrapText="1"/>
    </xf>
    <xf numFmtId="0" fontId="25" fillId="0" borderId="1" xfId="11" applyFont="1" applyFill="1" applyBorder="1" applyAlignment="1" applyProtection="1">
      <alignment vertical="center" wrapText="1"/>
      <protection locked="0"/>
    </xf>
    <xf numFmtId="0" fontId="39" fillId="0" borderId="38" xfId="0" applyNumberFormat="1" applyFont="1" applyBorder="1" applyAlignment="1">
      <alignment horizontal="left" wrapText="1"/>
    </xf>
    <xf numFmtId="0" fontId="25" fillId="4" borderId="1" xfId="11" applyFont="1" applyFill="1" applyBorder="1" applyAlignment="1" applyProtection="1">
      <alignment vertical="center" wrapText="1"/>
      <protection locked="0"/>
    </xf>
    <xf numFmtId="0" fontId="25" fillId="4" borderId="17" xfId="11" applyFont="1" applyFill="1" applyBorder="1" applyAlignment="1" applyProtection="1">
      <alignment vertical="center" wrapText="1"/>
      <protection locked="0"/>
    </xf>
    <xf numFmtId="0" fontId="25" fillId="4" borderId="19" xfId="11" applyFont="1" applyFill="1" applyBorder="1" applyAlignment="1" applyProtection="1">
      <alignment vertical="center" wrapText="1"/>
      <protection locked="0"/>
    </xf>
    <xf numFmtId="0" fontId="25" fillId="4" borderId="47" xfId="11" applyFont="1" applyFill="1" applyBorder="1" applyAlignment="1" applyProtection="1">
      <alignment vertical="center" wrapText="1"/>
      <protection locked="0"/>
    </xf>
    <xf numFmtId="0" fontId="39" fillId="0" borderId="49" xfId="0" applyNumberFormat="1" applyFont="1" applyBorder="1" applyAlignment="1">
      <alignment horizontal="left" wrapText="1"/>
    </xf>
    <xf numFmtId="49" fontId="39" fillId="0" borderId="49" xfId="0" applyNumberFormat="1" applyFont="1" applyBorder="1" applyAlignment="1">
      <alignment horizontal="left" wrapText="1"/>
    </xf>
    <xf numFmtId="49" fontId="39" fillId="0" borderId="1" xfId="0" applyNumberFormat="1" applyFont="1" applyBorder="1" applyAlignment="1">
      <alignment horizontal="left" wrapText="1"/>
    </xf>
    <xf numFmtId="0" fontId="39" fillId="0" borderId="1" xfId="0" applyNumberFormat="1" applyFont="1" applyBorder="1" applyAlignment="1">
      <alignment horizontal="left" wrapText="1"/>
    </xf>
    <xf numFmtId="0" fontId="35" fillId="2" borderId="1" xfId="0" applyFont="1" applyFill="1" applyBorder="1" applyAlignment="1">
      <alignment horizontal="center" wrapText="1"/>
    </xf>
    <xf numFmtId="49" fontId="17" fillId="0" borderId="1" xfId="4" applyNumberFormat="1" applyFont="1" applyBorder="1" applyAlignment="1" applyProtection="1">
      <alignment horizontal="center" vertical="center" wrapText="1"/>
      <protection locked="0"/>
    </xf>
    <xf numFmtId="0" fontId="35" fillId="0" borderId="1" xfId="0" applyFont="1" applyFill="1" applyBorder="1" applyAlignment="1">
      <alignment horizontal="center" wrapText="1"/>
    </xf>
    <xf numFmtId="0" fontId="17" fillId="0" borderId="2" xfId="4" applyNumberFormat="1" applyFont="1" applyBorder="1" applyAlignment="1" applyProtection="1">
      <alignment horizontal="center" vertical="center" wrapText="1"/>
      <protection locked="0"/>
    </xf>
    <xf numFmtId="49" fontId="17" fillId="0" borderId="2" xfId="4" applyNumberFormat="1" applyFont="1" applyBorder="1" applyAlignment="1" applyProtection="1">
      <alignment horizontal="center" vertical="center" wrapText="1"/>
      <protection locked="0"/>
    </xf>
    <xf numFmtId="1" fontId="23" fillId="0" borderId="8" xfId="2" applyNumberFormat="1" applyFont="1" applyFill="1" applyBorder="1" applyAlignment="1" applyProtection="1">
      <alignment horizontal="right" vertical="top" wrapText="1"/>
      <protection locked="0"/>
    </xf>
    <xf numFmtId="167" fontId="31" fillId="2" borderId="2" xfId="9" applyNumberFormat="1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49" fontId="17" fillId="0" borderId="1" xfId="0" applyNumberFormat="1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 wrapText="1"/>
    </xf>
    <xf numFmtId="0" fontId="17" fillId="0" borderId="1" xfId="4" applyFont="1" applyFill="1" applyBorder="1" applyAlignment="1" applyProtection="1">
      <alignment horizontal="left" vertical="center" wrapText="1"/>
      <protection locked="0"/>
    </xf>
    <xf numFmtId="49" fontId="15" fillId="0" borderId="1" xfId="0" applyNumberFormat="1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/>
    </xf>
    <xf numFmtId="0" fontId="17" fillId="0" borderId="2" xfId="0" applyFont="1" applyFill="1" applyBorder="1" applyAlignment="1">
      <alignment horizontal="left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49" fontId="17" fillId="0" borderId="2" xfId="0" applyNumberFormat="1" applyFont="1" applyFill="1" applyBorder="1" applyAlignment="1">
      <alignment horizontal="center" vertical="center"/>
    </xf>
    <xf numFmtId="166" fontId="33" fillId="0" borderId="1" xfId="12" applyNumberFormat="1" applyFont="1" applyFill="1" applyBorder="1" applyAlignment="1" applyProtection="1">
      <alignment horizontal="center" vertical="center"/>
      <protection locked="0"/>
    </xf>
    <xf numFmtId="49" fontId="34" fillId="0" borderId="1" xfId="2" applyNumberFormat="1" applyFont="1" applyFill="1" applyBorder="1" applyAlignment="1" applyProtection="1">
      <alignment horizontal="left" vertical="top" wrapText="1"/>
      <protection locked="0"/>
    </xf>
    <xf numFmtId="0" fontId="34" fillId="0" borderId="1" xfId="2" applyFont="1" applyFill="1" applyBorder="1" applyAlignment="1" applyProtection="1">
      <alignment horizontal="left" vertical="top" wrapText="1"/>
      <protection locked="0"/>
    </xf>
    <xf numFmtId="49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1" applyFont="1" applyFill="1" applyBorder="1" applyAlignment="1" applyProtection="1">
      <alignment horizontal="left" vertical="top" wrapText="1"/>
    </xf>
    <xf numFmtId="0" fontId="35" fillId="0" borderId="1" xfId="0" applyFont="1" applyFill="1" applyBorder="1" applyAlignment="1">
      <alignment horizontal="left" vertical="top"/>
    </xf>
    <xf numFmtId="0" fontId="35" fillId="0" borderId="1" xfId="0" applyNumberFormat="1" applyFont="1" applyFill="1" applyBorder="1" applyAlignment="1" applyProtection="1">
      <alignment horizontal="left" vertical="top"/>
      <protection locked="0"/>
    </xf>
    <xf numFmtId="0" fontId="35" fillId="0" borderId="1" xfId="0" applyNumberFormat="1" applyFont="1" applyFill="1" applyBorder="1" applyAlignment="1">
      <alignment horizontal="left" vertical="top"/>
    </xf>
    <xf numFmtId="0" fontId="35" fillId="0" borderId="1" xfId="0" applyFont="1" applyFill="1" applyBorder="1" applyAlignment="1" applyProtection="1">
      <alignment horizontal="left" vertical="top"/>
      <protection locked="0"/>
    </xf>
    <xf numFmtId="0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4" fillId="0" borderId="1" xfId="0" applyNumberFormat="1" applyFont="1" applyFill="1" applyBorder="1" applyAlignment="1">
      <alignment horizontal="left" vertical="top" wrapText="1"/>
    </xf>
    <xf numFmtId="2" fontId="35" fillId="0" borderId="1" xfId="2" applyNumberFormat="1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 wrapText="1"/>
      <protection locked="0"/>
    </xf>
    <xf numFmtId="0" fontId="35" fillId="0" borderId="1" xfId="2" applyFont="1" applyFill="1" applyBorder="1" applyAlignment="1" applyProtection="1">
      <alignment horizontal="left" vertical="top"/>
      <protection locked="0"/>
    </xf>
    <xf numFmtId="14" fontId="35" fillId="0" borderId="1" xfId="3" applyNumberFormat="1" applyFont="1" applyFill="1" applyBorder="1" applyAlignment="1" applyProtection="1">
      <alignment horizontal="center" vertical="center"/>
      <protection locked="0"/>
    </xf>
    <xf numFmtId="1" fontId="34" fillId="0" borderId="1" xfId="2" applyNumberFormat="1" applyFont="1" applyFill="1" applyBorder="1" applyAlignment="1" applyProtection="1">
      <alignment horizontal="left" vertical="top" wrapText="1"/>
      <protection locked="0"/>
    </xf>
    <xf numFmtId="4" fontId="34" fillId="0" borderId="1" xfId="2" applyNumberFormat="1" applyFont="1" applyFill="1" applyBorder="1" applyAlignment="1" applyProtection="1">
      <alignment horizontal="left" vertical="top" wrapText="1"/>
      <protection locked="0"/>
    </xf>
    <xf numFmtId="49" fontId="33" fillId="0" borderId="1" xfId="0" applyNumberFormat="1" applyFont="1" applyFill="1" applyBorder="1"/>
    <xf numFmtId="49" fontId="15" fillId="0" borderId="1" xfId="0" applyNumberFormat="1" applyFont="1" applyFill="1" applyBorder="1" applyAlignment="1">
      <alignment vertical="center"/>
    </xf>
    <xf numFmtId="49" fontId="15" fillId="0" borderId="1" xfId="0" applyNumberFormat="1" applyFont="1" applyFill="1" applyBorder="1" applyAlignment="1">
      <alignment horizontal="left" vertical="center"/>
    </xf>
    <xf numFmtId="0" fontId="15" fillId="0" borderId="1" xfId="0" applyFont="1" applyFill="1" applyBorder="1" applyAlignment="1">
      <alignment vertical="center"/>
    </xf>
    <xf numFmtId="49" fontId="33" fillId="0" borderId="1" xfId="0" applyNumberFormat="1" applyFont="1" applyFill="1" applyBorder="1" applyAlignment="1">
      <alignment vertical="top"/>
    </xf>
    <xf numFmtId="0" fontId="34" fillId="0" borderId="1" xfId="0" applyFont="1" applyFill="1" applyBorder="1" applyAlignment="1">
      <alignment horizontal="left" vertical="top" wrapText="1"/>
    </xf>
    <xf numFmtId="0" fontId="33" fillId="0" borderId="1" xfId="0" applyFont="1" applyFill="1" applyBorder="1"/>
    <xf numFmtId="0" fontId="17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wrapText="1"/>
    </xf>
    <xf numFmtId="0" fontId="33" fillId="0" borderId="1" xfId="0" applyFont="1" applyFill="1" applyBorder="1" applyAlignment="1">
      <alignment vertical="center"/>
    </xf>
    <xf numFmtId="0" fontId="34" fillId="0" borderId="8" xfId="2" applyFont="1" applyFill="1" applyBorder="1" applyAlignment="1" applyProtection="1">
      <alignment horizontal="center" vertical="top" wrapText="1"/>
      <protection locked="0"/>
    </xf>
    <xf numFmtId="14" fontId="35" fillId="0" borderId="2" xfId="3" applyNumberFormat="1" applyFont="1" applyFill="1" applyBorder="1" applyAlignment="1" applyProtection="1">
      <alignment horizontal="center" vertical="center"/>
      <protection locked="0"/>
    </xf>
    <xf numFmtId="0" fontId="33" fillId="0" borderId="3" xfId="0" applyFont="1" applyFill="1" applyBorder="1" applyAlignment="1">
      <alignment vertical="center"/>
    </xf>
    <xf numFmtId="49" fontId="33" fillId="0" borderId="3" xfId="0" applyNumberFormat="1" applyFont="1" applyFill="1" applyBorder="1" applyAlignment="1">
      <alignment vertical="top"/>
    </xf>
    <xf numFmtId="0" fontId="34" fillId="0" borderId="3" xfId="2" applyFont="1" applyFill="1" applyBorder="1" applyAlignment="1" applyProtection="1">
      <alignment horizontal="left" vertical="top" wrapText="1"/>
      <protection locked="0"/>
    </xf>
    <xf numFmtId="0" fontId="34" fillId="0" borderId="2" xfId="2" applyFont="1" applyFill="1" applyBorder="1" applyAlignment="1" applyProtection="1">
      <alignment horizontal="left" vertical="top" wrapText="1"/>
      <protection locked="0"/>
    </xf>
    <xf numFmtId="0" fontId="34" fillId="0" borderId="0" xfId="2" applyFont="1" applyFill="1" applyBorder="1" applyAlignment="1" applyProtection="1">
      <alignment horizontal="left" vertical="top" wrapText="1"/>
      <protection locked="0"/>
    </xf>
    <xf numFmtId="0" fontId="22" fillId="0" borderId="1" xfId="2" applyFont="1" applyFill="1" applyBorder="1" applyAlignment="1" applyProtection="1">
      <alignment horizontal="left" vertical="top" wrapText="1"/>
      <protection locked="0"/>
    </xf>
    <xf numFmtId="14" fontId="19" fillId="2" borderId="0" xfId="11" applyNumberFormat="1" applyFont="1" applyFill="1" applyBorder="1" applyAlignment="1" applyProtection="1">
      <alignment horizontal="center" vertical="center"/>
    </xf>
    <xf numFmtId="14" fontId="19" fillId="2" borderId="33" xfId="11" applyNumberFormat="1" applyFont="1" applyFill="1" applyBorder="1" applyAlignment="1" applyProtection="1">
      <alignment horizontal="center" vertical="center" wrapText="1"/>
    </xf>
    <xf numFmtId="14" fontId="19" fillId="2" borderId="0" xfId="11" applyNumberFormat="1" applyFont="1" applyFill="1" applyBorder="1" applyAlignment="1" applyProtection="1">
      <alignment horizontal="center" vertical="center" wrapText="1"/>
    </xf>
    <xf numFmtId="0" fontId="27" fillId="4" borderId="9" xfId="11" applyFont="1" applyFill="1" applyBorder="1" applyAlignment="1" applyProtection="1">
      <alignment horizontal="center" vertical="center"/>
    </xf>
    <xf numFmtId="0" fontId="27" fillId="4" borderId="11" xfId="11" applyFont="1" applyFill="1" applyBorder="1" applyAlignment="1" applyProtection="1">
      <alignment horizontal="center" vertical="center"/>
    </xf>
    <xf numFmtId="0" fontId="27" fillId="4" borderId="10" xfId="11" applyFont="1" applyFill="1" applyBorder="1" applyAlignment="1" applyProtection="1">
      <alignment horizontal="center" vertical="center"/>
    </xf>
    <xf numFmtId="0" fontId="17" fillId="2" borderId="0" xfId="11" applyFont="1" applyFill="1" applyBorder="1" applyAlignment="1" applyProtection="1">
      <alignment horizontal="left" vertical="center" wrapText="1"/>
      <protection locked="0"/>
    </xf>
    <xf numFmtId="14" fontId="19" fillId="2" borderId="0" xfId="11" applyNumberFormat="1" applyFont="1" applyFill="1" applyBorder="1" applyAlignment="1" applyProtection="1">
      <alignment horizontal="left" vertical="center" wrapText="1"/>
    </xf>
    <xf numFmtId="14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1" applyFont="1" applyFill="1" applyBorder="1" applyAlignment="1" applyProtection="1">
      <alignment horizontal="center" vertical="center"/>
    </xf>
    <xf numFmtId="0" fontId="15" fillId="5" borderId="0" xfId="1" applyFont="1" applyFill="1" applyAlignment="1" applyProtection="1">
      <alignment horizontal="center" vertical="center"/>
    </xf>
    <xf numFmtId="14" fontId="15" fillId="0" borderId="0" xfId="1" applyNumberFormat="1" applyFont="1" applyBorder="1" applyAlignment="1" applyProtection="1">
      <alignment horizontal="center" vertical="center"/>
    </xf>
    <xf numFmtId="0" fontId="15" fillId="0" borderId="0" xfId="1" applyFont="1" applyBorder="1" applyAlignment="1" applyProtection="1">
      <alignment horizontal="center" vertic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2" borderId="0" xfId="1" applyFont="1" applyFill="1" applyBorder="1" applyAlignment="1" applyProtection="1">
      <alignment horizontal="left" vertical="center" wrapText="1"/>
    </xf>
    <xf numFmtId="14" fontId="19" fillId="2" borderId="0" xfId="9" applyNumberFormat="1" applyFont="1" applyFill="1" applyBorder="1" applyAlignment="1" applyProtection="1">
      <alignment horizontal="center" vertical="center"/>
    </xf>
    <xf numFmtId="0" fontId="20" fillId="5" borderId="0" xfId="0" applyFont="1" applyFill="1" applyAlignment="1" applyProtection="1">
      <alignment horizontal="left" vertical="center"/>
    </xf>
    <xf numFmtId="14" fontId="19" fillId="2" borderId="0" xfId="9" applyNumberFormat="1" applyFont="1" applyFill="1" applyBorder="1" applyAlignment="1" applyProtection="1">
      <alignment horizontal="left" vertical="center" wrapText="1"/>
    </xf>
    <xf numFmtId="14" fontId="19" fillId="2" borderId="33" xfId="9" applyNumberFormat="1" applyFont="1" applyFill="1" applyBorder="1" applyAlignment="1" applyProtection="1">
      <alignment horizontal="center" vertical="center"/>
    </xf>
    <xf numFmtId="14" fontId="19" fillId="2" borderId="33" xfId="9" applyNumberFormat="1" applyFont="1" applyFill="1" applyBorder="1" applyAlignment="1" applyProtection="1">
      <alignment horizontal="center" vertical="center" wrapText="1"/>
    </xf>
    <xf numFmtId="14" fontId="19" fillId="2" borderId="0" xfId="9" applyNumberFormat="1" applyFont="1" applyFill="1" applyBorder="1" applyAlignment="1" applyProtection="1">
      <alignment horizontal="center" vertical="center" wrapText="1"/>
    </xf>
    <xf numFmtId="0" fontId="15" fillId="5" borderId="0" xfId="1" applyFont="1" applyFill="1" applyAlignment="1" applyProtection="1">
      <alignment horizontal="right" vertical="center"/>
    </xf>
    <xf numFmtId="0" fontId="17" fillId="5" borderId="1" xfId="4" applyFont="1" applyFill="1" applyBorder="1" applyAlignment="1" applyProtection="1">
      <alignment horizontal="center" vertical="center" wrapText="1"/>
    </xf>
    <xf numFmtId="0" fontId="15" fillId="5" borderId="0" xfId="1" applyFont="1" applyFill="1" applyBorder="1" applyAlignment="1" applyProtection="1">
      <alignment horizontal="center" vertical="center"/>
    </xf>
    <xf numFmtId="0" fontId="17" fillId="0" borderId="32" xfId="4" applyFont="1" applyFill="1" applyBorder="1" applyAlignment="1" applyProtection="1">
      <alignment horizontal="center" vertical="center" wrapText="1"/>
      <protection locked="0"/>
    </xf>
    <xf numFmtId="0" fontId="17" fillId="0" borderId="2" xfId="4" applyFont="1" applyFill="1" applyBorder="1" applyAlignment="1" applyProtection="1">
      <alignment horizontal="center" vertical="center" wrapText="1"/>
      <protection locked="0"/>
    </xf>
    <xf numFmtId="0" fontId="17" fillId="0" borderId="32" xfId="0" applyFont="1" applyFill="1" applyBorder="1" applyAlignment="1">
      <alignment horizontal="left" vertical="center" wrapText="1"/>
    </xf>
    <xf numFmtId="0" fontId="17" fillId="0" borderId="2" xfId="0" applyFont="1" applyFill="1" applyBorder="1" applyAlignment="1">
      <alignment horizontal="left" vertical="center" wrapText="1"/>
    </xf>
    <xf numFmtId="0" fontId="17" fillId="0" borderId="32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14" fontId="15" fillId="0" borderId="0" xfId="1" applyNumberFormat="1" applyFont="1" applyFill="1" applyBorder="1" applyAlignment="1" applyProtection="1">
      <alignment horizontal="left" vertical="center"/>
    </xf>
    <xf numFmtId="0" fontId="15" fillId="0" borderId="0" xfId="1" applyFont="1" applyFill="1" applyBorder="1" applyAlignment="1" applyProtection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3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2" xfId="4" applyFont="1" applyBorder="1" applyAlignment="1" applyProtection="1">
      <alignment horizontal="center" vertical="center" wrapText="1"/>
      <protection locked="0"/>
    </xf>
    <xf numFmtId="0" fontId="17" fillId="0" borderId="30" xfId="4" applyFont="1" applyBorder="1" applyAlignment="1" applyProtection="1">
      <alignment horizontal="center" vertical="center" wrapText="1"/>
      <protection locked="0"/>
    </xf>
    <xf numFmtId="0" fontId="17" fillId="0" borderId="2" xfId="4" applyFont="1" applyBorder="1" applyAlignment="1" applyProtection="1">
      <alignment horizontal="center" vertical="center" wrapText="1"/>
      <protection locked="0"/>
    </xf>
    <xf numFmtId="0" fontId="17" fillId="0" borderId="30" xfId="4" applyFont="1" applyFill="1" applyBorder="1" applyAlignment="1" applyProtection="1">
      <alignment horizontal="center" vertical="center" wrapText="1"/>
      <protection locked="0"/>
    </xf>
    <xf numFmtId="49" fontId="17" fillId="0" borderId="32" xfId="4" applyNumberFormat="1" applyFont="1" applyBorder="1" applyAlignment="1" applyProtection="1">
      <alignment horizontal="center" vertical="center" wrapText="1"/>
      <protection locked="0"/>
    </xf>
    <xf numFmtId="49" fontId="17" fillId="0" borderId="30" xfId="4" applyNumberFormat="1" applyFont="1" applyBorder="1" applyAlignment="1" applyProtection="1">
      <alignment horizontal="center" vertical="center" wrapText="1"/>
      <protection locked="0"/>
    </xf>
    <xf numFmtId="49" fontId="17" fillId="0" borderId="2" xfId="4" applyNumberFormat="1" applyFont="1" applyBorder="1" applyAlignment="1" applyProtection="1">
      <alignment horizontal="center" vertical="center" wrapText="1"/>
      <protection locked="0"/>
    </xf>
    <xf numFmtId="49" fontId="17" fillId="0" borderId="1" xfId="4" applyNumberFormat="1" applyFont="1" applyBorder="1" applyAlignment="1" applyProtection="1">
      <alignment horizontal="center" vertical="center" wrapText="1"/>
      <protection locked="0"/>
    </xf>
    <xf numFmtId="0" fontId="17" fillId="0" borderId="1" xfId="4" applyFont="1" applyBorder="1" applyAlignment="1" applyProtection="1">
      <alignment horizontal="center" vertical="center" wrapText="1"/>
      <protection locked="0"/>
    </xf>
    <xf numFmtId="0" fontId="33" fillId="0" borderId="5" xfId="0" applyFont="1" applyFill="1" applyBorder="1" applyAlignment="1">
      <alignment horizontal="center"/>
    </xf>
    <xf numFmtId="0" fontId="33" fillId="0" borderId="28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/>
    </xf>
  </cellXfs>
  <cellStyles count="14">
    <cellStyle name="Normal" xfId="0" builtinId="0"/>
    <cellStyle name="Normal 2" xfId="2"/>
    <cellStyle name="Normal 3" xfId="3"/>
    <cellStyle name="Normal 4" xfId="4"/>
    <cellStyle name="Normal 4 2" xfId="13"/>
    <cellStyle name="Normal 5" xfId="5"/>
    <cellStyle name="Normal 5 2" xfId="6"/>
    <cellStyle name="Normal 5 2 2" xfId="7"/>
    <cellStyle name="Normal 5 2 2 2" xfId="12"/>
    <cellStyle name="Normal 5 2 3" xfId="8"/>
    <cellStyle name="Normal 5 3" xfId="10"/>
    <cellStyle name="Normal 5 3 2" xfId="9"/>
    <cellStyle name="Normal 5 3 3" xfId="11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2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8784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887950"/>
          <a:ext cx="29162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171450</xdr:rowOff>
    </xdr:from>
    <xdr:to>
      <xdr:col>2</xdr:col>
      <xdr:colOff>1495425</xdr:colOff>
      <xdr:row>28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User/Downloads/cliuri_deklaraciis_formeb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nzaalishvili/AppData/Local/Microsoft/Windows/Temporary%20Internet%20Files/Content.Outlook/NKXX6P1B/axali%20formebiV9%20-%20&#4305;&#4317;&#4314;&#4317;%20&#4327;&#4309;&#4308;&#4314;&#430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ფორმა N10"/>
      <sheetName val="ფორმა N11"/>
      <sheetName val="ფორმა N13"/>
      <sheetName val="ფორმა N14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showGridLines="0" view="pageBreakPreview" topLeftCell="A67" zoomScale="70" zoomScaleNormal="100" zoomScaleSheetLayoutView="70" workbookViewId="0">
      <selection activeCell="D12" sqref="D12:D77"/>
    </sheetView>
  </sheetViews>
  <sheetFormatPr defaultRowHeight="15"/>
  <cols>
    <col min="1" max="1" width="6.28515625" style="286" bestFit="1" customWidth="1"/>
    <col min="2" max="2" width="13.140625" style="286" customWidth="1"/>
    <col min="3" max="3" width="12.85546875" style="286" customWidth="1"/>
    <col min="4" max="4" width="15.140625" style="286" customWidth="1"/>
    <col min="5" max="5" width="24.5703125" style="286" customWidth="1"/>
    <col min="6" max="8" width="19.140625" style="351" customWidth="1"/>
    <col min="9" max="9" width="16.42578125" style="286" bestFit="1" customWidth="1"/>
    <col min="10" max="10" width="17.42578125" style="286" customWidth="1"/>
    <col min="11" max="11" width="13.140625" style="286" bestFit="1" customWidth="1"/>
    <col min="12" max="12" width="24.140625" style="286" customWidth="1"/>
    <col min="13" max="16384" width="9.140625" style="286"/>
  </cols>
  <sheetData>
    <row r="1" spans="1:12">
      <c r="A1" s="284"/>
      <c r="B1" s="285"/>
      <c r="C1" s="284"/>
      <c r="D1" s="285"/>
      <c r="E1" s="284"/>
      <c r="F1" s="284"/>
      <c r="G1" s="285"/>
      <c r="H1" s="284"/>
      <c r="I1" s="284"/>
      <c r="J1" s="285"/>
      <c r="K1" s="284"/>
      <c r="L1" s="285"/>
    </row>
    <row r="2" spans="1:12">
      <c r="A2" s="287"/>
      <c r="B2" s="287"/>
      <c r="C2" s="287"/>
      <c r="D2" s="287"/>
      <c r="E2" s="287"/>
      <c r="F2" s="287"/>
      <c r="G2" s="287"/>
      <c r="H2" s="287"/>
      <c r="I2" s="288"/>
      <c r="J2" s="288"/>
      <c r="K2" s="289"/>
      <c r="L2" s="285"/>
    </row>
    <row r="3" spans="1:12" s="296" customFormat="1">
      <c r="A3" s="290" t="s">
        <v>297</v>
      </c>
      <c r="B3" s="291"/>
      <c r="C3" s="291"/>
      <c r="D3" s="291"/>
      <c r="E3" s="292"/>
      <c r="F3" s="293"/>
      <c r="G3" s="292"/>
      <c r="H3" s="294"/>
      <c r="I3" s="291"/>
      <c r="J3" s="292"/>
      <c r="K3" s="292"/>
      <c r="L3" s="295" t="s">
        <v>98</v>
      </c>
    </row>
    <row r="4" spans="1:12" s="296" customFormat="1">
      <c r="A4" s="297" t="s">
        <v>129</v>
      </c>
      <c r="B4" s="291"/>
      <c r="C4" s="291"/>
      <c r="D4" s="291"/>
      <c r="E4" s="292"/>
      <c r="F4" s="293"/>
      <c r="G4" s="292"/>
      <c r="H4" s="298"/>
      <c r="I4" s="291"/>
      <c r="J4" s="292"/>
      <c r="K4" s="292"/>
      <c r="L4" s="299" t="s">
        <v>943</v>
      </c>
    </row>
    <row r="5" spans="1:12" s="296" customFormat="1">
      <c r="A5" s="300"/>
      <c r="B5" s="291"/>
      <c r="C5" s="301"/>
      <c r="D5" s="302"/>
      <c r="E5" s="292"/>
      <c r="F5" s="303"/>
      <c r="G5" s="292"/>
      <c r="H5" s="292"/>
      <c r="I5" s="293"/>
      <c r="J5" s="291"/>
      <c r="K5" s="291"/>
      <c r="L5" s="304"/>
    </row>
    <row r="6" spans="1:12" s="296" customFormat="1">
      <c r="A6" s="305" t="s">
        <v>263</v>
      </c>
      <c r="B6" s="293"/>
      <c r="C6" s="293"/>
      <c r="D6" s="293" t="s">
        <v>265</v>
      </c>
      <c r="E6" s="306"/>
      <c r="F6" s="307"/>
      <c r="G6" s="292"/>
      <c r="H6" s="308"/>
      <c r="I6" s="306"/>
      <c r="J6" s="291"/>
      <c r="K6" s="292"/>
      <c r="L6" s="304"/>
    </row>
    <row r="7" spans="1:12" s="296" customFormat="1">
      <c r="A7" s="110" t="s">
        <v>654</v>
      </c>
      <c r="B7" s="293"/>
      <c r="C7" s="293"/>
      <c r="D7" s="293"/>
      <c r="E7" s="292"/>
      <c r="F7" s="307"/>
      <c r="G7" s="307"/>
      <c r="H7" s="307"/>
      <c r="I7" s="309"/>
      <c r="J7" s="292"/>
      <c r="K7" s="291"/>
      <c r="L7" s="304"/>
    </row>
    <row r="8" spans="1:12" s="296" customFormat="1" ht="15.75" thickBot="1">
      <c r="A8" s="310"/>
      <c r="B8" s="292"/>
      <c r="C8" s="309"/>
      <c r="D8" s="311"/>
      <c r="E8" s="292"/>
      <c r="F8" s="307"/>
      <c r="G8" s="307"/>
      <c r="H8" s="307"/>
      <c r="I8" s="292"/>
      <c r="J8" s="291"/>
      <c r="K8" s="291"/>
      <c r="L8" s="304"/>
    </row>
    <row r="9" spans="1:12" ht="15.75" thickBot="1">
      <c r="A9" s="312"/>
      <c r="B9" s="313"/>
      <c r="C9" s="314"/>
      <c r="D9" s="314"/>
      <c r="E9" s="314"/>
      <c r="F9" s="293"/>
      <c r="G9" s="293"/>
      <c r="H9" s="293"/>
      <c r="I9" s="559" t="s">
        <v>462</v>
      </c>
      <c r="J9" s="560"/>
      <c r="K9" s="561"/>
      <c r="L9" s="315"/>
    </row>
    <row r="10" spans="1:12" s="327" customFormat="1" ht="39" customHeight="1" thickBot="1">
      <c r="A10" s="316" t="s">
        <v>64</v>
      </c>
      <c r="B10" s="317" t="s">
        <v>130</v>
      </c>
      <c r="C10" s="317" t="s">
        <v>463</v>
      </c>
      <c r="D10" s="318" t="s">
        <v>270</v>
      </c>
      <c r="E10" s="319" t="s">
        <v>464</v>
      </c>
      <c r="F10" s="320" t="s">
        <v>465</v>
      </c>
      <c r="G10" s="321" t="s">
        <v>217</v>
      </c>
      <c r="H10" s="322" t="s">
        <v>214</v>
      </c>
      <c r="I10" s="323" t="s">
        <v>466</v>
      </c>
      <c r="J10" s="324" t="s">
        <v>267</v>
      </c>
      <c r="K10" s="325" t="s">
        <v>218</v>
      </c>
      <c r="L10" s="326" t="s">
        <v>219</v>
      </c>
    </row>
    <row r="11" spans="1:12" s="328" customFormat="1">
      <c r="A11" s="456">
        <v>1</v>
      </c>
      <c r="B11" s="457">
        <v>2</v>
      </c>
      <c r="C11" s="458">
        <v>3</v>
      </c>
      <c r="D11" s="458">
        <v>4</v>
      </c>
      <c r="E11" s="456">
        <v>5</v>
      </c>
      <c r="F11" s="457">
        <v>6</v>
      </c>
      <c r="G11" s="458">
        <v>7</v>
      </c>
      <c r="H11" s="457">
        <v>8</v>
      </c>
      <c r="I11" s="456">
        <v>9</v>
      </c>
      <c r="J11" s="457">
        <v>10</v>
      </c>
      <c r="K11" s="459">
        <v>11</v>
      </c>
      <c r="L11" s="460">
        <v>12</v>
      </c>
    </row>
    <row r="12" spans="1:12" s="328" customFormat="1" ht="45">
      <c r="A12" s="489">
        <v>1</v>
      </c>
      <c r="B12" s="490" t="s">
        <v>944</v>
      </c>
      <c r="C12" s="491" t="s">
        <v>945</v>
      </c>
      <c r="D12" s="492">
        <v>8000</v>
      </c>
      <c r="E12" s="490" t="s">
        <v>946</v>
      </c>
      <c r="F12" s="490" t="s">
        <v>947</v>
      </c>
      <c r="G12" s="490" t="s">
        <v>948</v>
      </c>
      <c r="H12" s="490" t="s">
        <v>471</v>
      </c>
      <c r="I12" s="493"/>
      <c r="J12" s="332"/>
      <c r="K12" s="465"/>
      <c r="L12" s="378"/>
    </row>
    <row r="13" spans="1:12" s="328" customFormat="1" ht="45">
      <c r="A13" s="489">
        <v>2</v>
      </c>
      <c r="B13" s="490" t="s">
        <v>944</v>
      </c>
      <c r="C13" s="491" t="s">
        <v>945</v>
      </c>
      <c r="D13" s="492">
        <v>6000</v>
      </c>
      <c r="E13" s="490" t="s">
        <v>949</v>
      </c>
      <c r="F13" s="490" t="s">
        <v>950</v>
      </c>
      <c r="G13" s="490" t="s">
        <v>951</v>
      </c>
      <c r="H13" s="490" t="s">
        <v>471</v>
      </c>
      <c r="I13" s="494"/>
      <c r="J13" s="332"/>
      <c r="K13" s="333"/>
      <c r="L13" s="378"/>
    </row>
    <row r="14" spans="1:12" s="328" customFormat="1" ht="45">
      <c r="A14" s="489">
        <v>3</v>
      </c>
      <c r="B14" s="490" t="s">
        <v>944</v>
      </c>
      <c r="C14" s="491" t="s">
        <v>945</v>
      </c>
      <c r="D14" s="492">
        <v>8000</v>
      </c>
      <c r="E14" s="490" t="s">
        <v>952</v>
      </c>
      <c r="F14" s="490" t="s">
        <v>953</v>
      </c>
      <c r="G14" s="490" t="s">
        <v>954</v>
      </c>
      <c r="H14" s="490" t="s">
        <v>471</v>
      </c>
      <c r="I14" s="494"/>
      <c r="J14" s="329"/>
      <c r="K14" s="333"/>
      <c r="L14" s="378"/>
    </row>
    <row r="15" spans="1:12" s="328" customFormat="1" ht="45">
      <c r="A15" s="489">
        <v>4</v>
      </c>
      <c r="B15" s="490" t="s">
        <v>944</v>
      </c>
      <c r="C15" s="491" t="s">
        <v>945</v>
      </c>
      <c r="D15" s="492">
        <v>7000</v>
      </c>
      <c r="E15" s="490" t="s">
        <v>955</v>
      </c>
      <c r="F15" s="490" t="s">
        <v>956</v>
      </c>
      <c r="G15" s="490" t="s">
        <v>957</v>
      </c>
      <c r="H15" s="490" t="s">
        <v>471</v>
      </c>
      <c r="I15" s="495"/>
      <c r="J15" s="330"/>
      <c r="K15" s="331"/>
      <c r="L15" s="378"/>
    </row>
    <row r="16" spans="1:12" s="328" customFormat="1" ht="45">
      <c r="A16" s="489">
        <v>5</v>
      </c>
      <c r="B16" s="490" t="s">
        <v>944</v>
      </c>
      <c r="C16" s="491" t="s">
        <v>945</v>
      </c>
      <c r="D16" s="492">
        <v>9000</v>
      </c>
      <c r="E16" s="490" t="s">
        <v>958</v>
      </c>
      <c r="F16" s="490" t="s">
        <v>959</v>
      </c>
      <c r="G16" s="490" t="s">
        <v>960</v>
      </c>
      <c r="H16" s="490" t="s">
        <v>471</v>
      </c>
      <c r="I16" s="496"/>
      <c r="J16" s="332"/>
      <c r="K16" s="333"/>
      <c r="L16" s="378"/>
    </row>
    <row r="17" spans="1:12" s="328" customFormat="1" ht="45">
      <c r="A17" s="489">
        <v>6</v>
      </c>
      <c r="B17" s="490" t="s">
        <v>961</v>
      </c>
      <c r="C17" s="491" t="s">
        <v>945</v>
      </c>
      <c r="D17" s="492">
        <v>24000</v>
      </c>
      <c r="E17" s="490" t="s">
        <v>962</v>
      </c>
      <c r="F17" s="490" t="s">
        <v>963</v>
      </c>
      <c r="G17" s="490" t="s">
        <v>964</v>
      </c>
      <c r="H17" s="490" t="s">
        <v>471</v>
      </c>
      <c r="I17" s="493"/>
      <c r="J17" s="480"/>
      <c r="K17" s="481"/>
      <c r="L17" s="378"/>
    </row>
    <row r="18" spans="1:12" s="328" customFormat="1" ht="45">
      <c r="A18" s="489">
        <v>7</v>
      </c>
      <c r="B18" s="490" t="s">
        <v>961</v>
      </c>
      <c r="C18" s="491" t="s">
        <v>945</v>
      </c>
      <c r="D18" s="492">
        <v>9000</v>
      </c>
      <c r="E18" s="490" t="s">
        <v>965</v>
      </c>
      <c r="F18" s="490" t="s">
        <v>966</v>
      </c>
      <c r="G18" s="490" t="s">
        <v>967</v>
      </c>
      <c r="H18" s="490" t="s">
        <v>471</v>
      </c>
      <c r="I18" s="493"/>
      <c r="J18" s="480"/>
      <c r="K18" s="481"/>
      <c r="L18" s="378"/>
    </row>
    <row r="19" spans="1:12" s="328" customFormat="1" ht="45">
      <c r="A19" s="489">
        <v>8</v>
      </c>
      <c r="B19" s="490" t="s">
        <v>961</v>
      </c>
      <c r="C19" s="491" t="s">
        <v>945</v>
      </c>
      <c r="D19" s="492">
        <v>6000</v>
      </c>
      <c r="E19" s="490" t="s">
        <v>968</v>
      </c>
      <c r="F19" s="490" t="s">
        <v>969</v>
      </c>
      <c r="G19" s="490" t="s">
        <v>970</v>
      </c>
      <c r="H19" s="490" t="s">
        <v>471</v>
      </c>
      <c r="I19" s="493"/>
      <c r="J19" s="480"/>
      <c r="K19" s="481"/>
      <c r="L19" s="488"/>
    </row>
    <row r="20" spans="1:12" s="328" customFormat="1" ht="45">
      <c r="A20" s="489">
        <v>9</v>
      </c>
      <c r="B20" s="490" t="s">
        <v>961</v>
      </c>
      <c r="C20" s="491" t="s">
        <v>945</v>
      </c>
      <c r="D20" s="492">
        <v>21000</v>
      </c>
      <c r="E20" s="490" t="s">
        <v>971</v>
      </c>
      <c r="F20" s="490" t="s">
        <v>972</v>
      </c>
      <c r="G20" s="490" t="s">
        <v>973</v>
      </c>
      <c r="H20" s="490" t="s">
        <v>471</v>
      </c>
      <c r="I20" s="493"/>
      <c r="J20" s="480"/>
      <c r="K20" s="481"/>
      <c r="L20" s="488"/>
    </row>
    <row r="21" spans="1:12" s="328" customFormat="1" ht="45">
      <c r="A21" s="489">
        <v>10</v>
      </c>
      <c r="B21" s="490" t="s">
        <v>961</v>
      </c>
      <c r="C21" s="491" t="s">
        <v>945</v>
      </c>
      <c r="D21" s="497">
        <v>15000</v>
      </c>
      <c r="E21" s="498" t="s">
        <v>974</v>
      </c>
      <c r="F21" s="498" t="s">
        <v>975</v>
      </c>
      <c r="G21" s="498" t="s">
        <v>976</v>
      </c>
      <c r="H21" s="498" t="s">
        <v>471</v>
      </c>
      <c r="I21" s="493"/>
      <c r="J21" s="480"/>
      <c r="K21" s="481"/>
      <c r="L21" s="488"/>
    </row>
    <row r="22" spans="1:12" s="328" customFormat="1" ht="45">
      <c r="A22" s="489">
        <v>11</v>
      </c>
      <c r="B22" s="490" t="s">
        <v>977</v>
      </c>
      <c r="C22" s="491" t="s">
        <v>945</v>
      </c>
      <c r="D22" s="492">
        <v>25000</v>
      </c>
      <c r="E22" s="490" t="s">
        <v>978</v>
      </c>
      <c r="F22" s="490" t="s">
        <v>979</v>
      </c>
      <c r="G22" s="490" t="s">
        <v>980</v>
      </c>
      <c r="H22" s="490" t="s">
        <v>471</v>
      </c>
      <c r="I22" s="493"/>
      <c r="J22" s="480"/>
      <c r="K22" s="481"/>
      <c r="L22" s="488"/>
    </row>
    <row r="23" spans="1:12" s="328" customFormat="1" ht="45">
      <c r="A23" s="489">
        <v>12</v>
      </c>
      <c r="B23" s="490" t="s">
        <v>977</v>
      </c>
      <c r="C23" s="491" t="s">
        <v>945</v>
      </c>
      <c r="D23" s="492">
        <v>7000</v>
      </c>
      <c r="E23" s="490" t="s">
        <v>981</v>
      </c>
      <c r="F23" s="490" t="s">
        <v>982</v>
      </c>
      <c r="G23" s="490" t="s">
        <v>983</v>
      </c>
      <c r="H23" s="490" t="s">
        <v>471</v>
      </c>
      <c r="I23" s="493"/>
      <c r="J23" s="480"/>
      <c r="K23" s="481"/>
      <c r="L23" s="488"/>
    </row>
    <row r="24" spans="1:12" s="328" customFormat="1" ht="45">
      <c r="A24" s="489">
        <v>13</v>
      </c>
      <c r="B24" s="490" t="s">
        <v>977</v>
      </c>
      <c r="C24" s="491" t="s">
        <v>945</v>
      </c>
      <c r="D24" s="492">
        <v>7000</v>
      </c>
      <c r="E24" s="490" t="s">
        <v>984</v>
      </c>
      <c r="F24" s="490" t="s">
        <v>985</v>
      </c>
      <c r="G24" s="490" t="s">
        <v>986</v>
      </c>
      <c r="H24" s="490" t="s">
        <v>471</v>
      </c>
      <c r="I24" s="493"/>
      <c r="J24" s="480"/>
      <c r="K24" s="481"/>
      <c r="L24" s="488"/>
    </row>
    <row r="25" spans="1:12" s="328" customFormat="1" ht="45">
      <c r="A25" s="489">
        <v>14</v>
      </c>
      <c r="B25" s="490" t="s">
        <v>977</v>
      </c>
      <c r="C25" s="491" t="s">
        <v>945</v>
      </c>
      <c r="D25" s="492">
        <v>15000</v>
      </c>
      <c r="E25" s="490" t="s">
        <v>987</v>
      </c>
      <c r="F25" s="490" t="s">
        <v>988</v>
      </c>
      <c r="G25" s="490" t="s">
        <v>989</v>
      </c>
      <c r="H25" s="490" t="s">
        <v>471</v>
      </c>
      <c r="I25" s="493"/>
      <c r="J25" s="480"/>
      <c r="K25" s="481"/>
      <c r="L25" s="488"/>
    </row>
    <row r="26" spans="1:12" s="328" customFormat="1" ht="45">
      <c r="A26" s="489">
        <v>15</v>
      </c>
      <c r="B26" s="490" t="s">
        <v>977</v>
      </c>
      <c r="C26" s="491" t="s">
        <v>945</v>
      </c>
      <c r="D26" s="492">
        <v>7000</v>
      </c>
      <c r="E26" s="490" t="s">
        <v>990</v>
      </c>
      <c r="F26" s="490" t="s">
        <v>991</v>
      </c>
      <c r="G26" s="490" t="s">
        <v>992</v>
      </c>
      <c r="H26" s="490" t="s">
        <v>471</v>
      </c>
      <c r="I26" s="493"/>
      <c r="J26" s="480"/>
      <c r="K26" s="481"/>
      <c r="L26" s="488"/>
    </row>
    <row r="27" spans="1:12" s="328" customFormat="1" ht="45">
      <c r="A27" s="489">
        <v>16</v>
      </c>
      <c r="B27" s="490" t="s">
        <v>977</v>
      </c>
      <c r="C27" s="491" t="s">
        <v>945</v>
      </c>
      <c r="D27" s="492">
        <v>10000</v>
      </c>
      <c r="E27" s="490" t="s">
        <v>993</v>
      </c>
      <c r="F27" s="490" t="s">
        <v>994</v>
      </c>
      <c r="G27" s="490" t="s">
        <v>995</v>
      </c>
      <c r="H27" s="490" t="s">
        <v>471</v>
      </c>
      <c r="I27" s="493"/>
      <c r="J27" s="480"/>
      <c r="K27" s="481"/>
      <c r="L27" s="488"/>
    </row>
    <row r="28" spans="1:12" s="328" customFormat="1" ht="45">
      <c r="A28" s="489">
        <v>17</v>
      </c>
      <c r="B28" s="490" t="s">
        <v>977</v>
      </c>
      <c r="C28" s="491" t="s">
        <v>945</v>
      </c>
      <c r="D28" s="492">
        <v>6000</v>
      </c>
      <c r="E28" s="490" t="s">
        <v>996</v>
      </c>
      <c r="F28" s="490" t="s">
        <v>997</v>
      </c>
      <c r="G28" s="490" t="s">
        <v>998</v>
      </c>
      <c r="H28" s="490" t="s">
        <v>471</v>
      </c>
      <c r="I28" s="493"/>
      <c r="J28" s="480"/>
      <c r="K28" s="481"/>
      <c r="L28" s="488"/>
    </row>
    <row r="29" spans="1:12" s="328" customFormat="1" ht="45">
      <c r="A29" s="489">
        <v>18</v>
      </c>
      <c r="B29" s="490" t="s">
        <v>977</v>
      </c>
      <c r="C29" s="491" t="s">
        <v>945</v>
      </c>
      <c r="D29" s="492">
        <v>6000</v>
      </c>
      <c r="E29" s="490" t="s">
        <v>999</v>
      </c>
      <c r="F29" s="490" t="s">
        <v>1000</v>
      </c>
      <c r="G29" s="490" t="s">
        <v>1001</v>
      </c>
      <c r="H29" s="490" t="s">
        <v>471</v>
      </c>
      <c r="I29" s="493"/>
      <c r="J29" s="480"/>
      <c r="K29" s="481"/>
      <c r="L29" s="488"/>
    </row>
    <row r="30" spans="1:12" s="328" customFormat="1" ht="45">
      <c r="A30" s="489">
        <v>19</v>
      </c>
      <c r="B30" s="490" t="s">
        <v>977</v>
      </c>
      <c r="C30" s="491" t="s">
        <v>945</v>
      </c>
      <c r="D30" s="492">
        <v>7000</v>
      </c>
      <c r="E30" s="490" t="s">
        <v>1002</v>
      </c>
      <c r="F30" s="490" t="s">
        <v>1003</v>
      </c>
      <c r="G30" s="490" t="s">
        <v>1004</v>
      </c>
      <c r="H30" s="490" t="s">
        <v>471</v>
      </c>
      <c r="I30" s="493"/>
      <c r="J30" s="480"/>
      <c r="K30" s="481"/>
      <c r="L30" s="488"/>
    </row>
    <row r="31" spans="1:12" s="328" customFormat="1" ht="45">
      <c r="A31" s="489">
        <v>20</v>
      </c>
      <c r="B31" s="490" t="s">
        <v>977</v>
      </c>
      <c r="C31" s="491" t="s">
        <v>945</v>
      </c>
      <c r="D31" s="492">
        <v>10000</v>
      </c>
      <c r="E31" s="490" t="s">
        <v>1005</v>
      </c>
      <c r="F31" s="490" t="s">
        <v>1006</v>
      </c>
      <c r="G31" s="490" t="s">
        <v>1007</v>
      </c>
      <c r="H31" s="490" t="s">
        <v>471</v>
      </c>
      <c r="I31" s="493"/>
      <c r="J31" s="480"/>
      <c r="K31" s="481"/>
      <c r="L31" s="488"/>
    </row>
    <row r="32" spans="1:12" s="328" customFormat="1" ht="45">
      <c r="A32" s="489">
        <v>21</v>
      </c>
      <c r="B32" s="490" t="s">
        <v>977</v>
      </c>
      <c r="C32" s="491" t="s">
        <v>945</v>
      </c>
      <c r="D32" s="492">
        <v>6000</v>
      </c>
      <c r="E32" s="490" t="s">
        <v>1008</v>
      </c>
      <c r="F32" s="490" t="s">
        <v>1009</v>
      </c>
      <c r="G32" s="490" t="s">
        <v>1010</v>
      </c>
      <c r="H32" s="490" t="s">
        <v>471</v>
      </c>
      <c r="I32" s="493"/>
      <c r="J32" s="480"/>
      <c r="K32" s="481"/>
      <c r="L32" s="488"/>
    </row>
    <row r="33" spans="1:12" s="328" customFormat="1" ht="45">
      <c r="A33" s="489">
        <v>22</v>
      </c>
      <c r="B33" s="490" t="s">
        <v>977</v>
      </c>
      <c r="C33" s="491" t="s">
        <v>945</v>
      </c>
      <c r="D33" s="492">
        <v>7000</v>
      </c>
      <c r="E33" s="490" t="s">
        <v>1011</v>
      </c>
      <c r="F33" s="490" t="s">
        <v>1012</v>
      </c>
      <c r="G33" s="490" t="s">
        <v>1013</v>
      </c>
      <c r="H33" s="490" t="s">
        <v>471</v>
      </c>
      <c r="I33" s="493"/>
      <c r="J33" s="480"/>
      <c r="K33" s="481"/>
      <c r="L33" s="488"/>
    </row>
    <row r="34" spans="1:12" s="328" customFormat="1" ht="45">
      <c r="A34" s="489">
        <v>23</v>
      </c>
      <c r="B34" s="490" t="s">
        <v>977</v>
      </c>
      <c r="C34" s="491" t="s">
        <v>945</v>
      </c>
      <c r="D34" s="492">
        <v>7000</v>
      </c>
      <c r="E34" s="490" t="s">
        <v>1014</v>
      </c>
      <c r="F34" s="490" t="s">
        <v>1015</v>
      </c>
      <c r="G34" s="490" t="s">
        <v>1016</v>
      </c>
      <c r="H34" s="490" t="s">
        <v>471</v>
      </c>
      <c r="I34" s="493"/>
      <c r="J34" s="480"/>
      <c r="K34" s="481"/>
      <c r="L34" s="488"/>
    </row>
    <row r="35" spans="1:12" s="328" customFormat="1" ht="45">
      <c r="A35" s="489">
        <v>24</v>
      </c>
      <c r="B35" s="490" t="s">
        <v>977</v>
      </c>
      <c r="C35" s="491" t="s">
        <v>945</v>
      </c>
      <c r="D35" s="492">
        <v>44000</v>
      </c>
      <c r="E35" s="490" t="s">
        <v>1017</v>
      </c>
      <c r="F35" s="490" t="s">
        <v>1018</v>
      </c>
      <c r="G35" s="490" t="s">
        <v>1019</v>
      </c>
      <c r="H35" s="490" t="s">
        <v>471</v>
      </c>
      <c r="I35" s="493"/>
      <c r="J35" s="480"/>
      <c r="K35" s="481"/>
      <c r="L35" s="488"/>
    </row>
    <row r="36" spans="1:12" s="328" customFormat="1" ht="45">
      <c r="A36" s="489">
        <v>25</v>
      </c>
      <c r="B36" s="498" t="s">
        <v>1020</v>
      </c>
      <c r="C36" s="491" t="s">
        <v>945</v>
      </c>
      <c r="D36" s="497">
        <v>33000</v>
      </c>
      <c r="E36" s="498" t="s">
        <v>1021</v>
      </c>
      <c r="F36" s="498" t="s">
        <v>1022</v>
      </c>
      <c r="G36" s="498" t="s">
        <v>1023</v>
      </c>
      <c r="H36" s="498" t="s">
        <v>471</v>
      </c>
      <c r="I36" s="493"/>
      <c r="J36" s="480"/>
      <c r="K36" s="481"/>
      <c r="L36" s="488"/>
    </row>
    <row r="37" spans="1:12" s="328" customFormat="1" ht="45">
      <c r="A37" s="489">
        <v>26</v>
      </c>
      <c r="B37" s="490" t="s">
        <v>1024</v>
      </c>
      <c r="C37" s="491" t="s">
        <v>945</v>
      </c>
      <c r="D37" s="492">
        <v>20000</v>
      </c>
      <c r="E37" s="490" t="s">
        <v>1025</v>
      </c>
      <c r="F37" s="490" t="s">
        <v>1026</v>
      </c>
      <c r="G37" s="490" t="s">
        <v>1027</v>
      </c>
      <c r="H37" s="490" t="s">
        <v>471</v>
      </c>
      <c r="I37" s="493"/>
      <c r="J37" s="480"/>
      <c r="K37" s="481"/>
      <c r="L37" s="488"/>
    </row>
    <row r="38" spans="1:12" s="328" customFormat="1" ht="45">
      <c r="A38" s="489">
        <v>27</v>
      </c>
      <c r="B38" s="490" t="s">
        <v>1024</v>
      </c>
      <c r="C38" s="491" t="s">
        <v>945</v>
      </c>
      <c r="D38" s="492">
        <v>10000</v>
      </c>
      <c r="E38" s="490" t="s">
        <v>1028</v>
      </c>
      <c r="F38" s="490" t="s">
        <v>1029</v>
      </c>
      <c r="G38" s="490" t="s">
        <v>1030</v>
      </c>
      <c r="H38" s="490" t="s">
        <v>471</v>
      </c>
      <c r="I38" s="493"/>
      <c r="J38" s="480"/>
      <c r="K38" s="481"/>
      <c r="L38" s="488"/>
    </row>
    <row r="39" spans="1:12" s="328" customFormat="1" ht="45">
      <c r="A39" s="489">
        <v>28</v>
      </c>
      <c r="B39" s="490" t="s">
        <v>1024</v>
      </c>
      <c r="C39" s="491" t="s">
        <v>945</v>
      </c>
      <c r="D39" s="492">
        <v>5000</v>
      </c>
      <c r="E39" s="490" t="s">
        <v>1031</v>
      </c>
      <c r="F39" s="490" t="s">
        <v>1032</v>
      </c>
      <c r="G39" s="490" t="s">
        <v>1033</v>
      </c>
      <c r="H39" s="490" t="s">
        <v>471</v>
      </c>
      <c r="I39" s="493"/>
      <c r="J39" s="480"/>
      <c r="K39" s="481"/>
      <c r="L39" s="488"/>
    </row>
    <row r="40" spans="1:12" s="328" customFormat="1" ht="45">
      <c r="A40" s="489">
        <v>29</v>
      </c>
      <c r="B40" s="490" t="s">
        <v>1024</v>
      </c>
      <c r="C40" s="491" t="s">
        <v>945</v>
      </c>
      <c r="D40" s="492">
        <v>33000</v>
      </c>
      <c r="E40" s="490" t="s">
        <v>1034</v>
      </c>
      <c r="F40" s="490" t="s">
        <v>1035</v>
      </c>
      <c r="G40" s="490" t="s">
        <v>1036</v>
      </c>
      <c r="H40" s="490" t="s">
        <v>471</v>
      </c>
      <c r="I40" s="493"/>
      <c r="J40" s="480"/>
      <c r="K40" s="481"/>
      <c r="L40" s="488"/>
    </row>
    <row r="41" spans="1:12" s="328" customFormat="1" ht="45">
      <c r="A41" s="489">
        <v>30</v>
      </c>
      <c r="B41" s="490" t="s">
        <v>1024</v>
      </c>
      <c r="C41" s="491" t="s">
        <v>945</v>
      </c>
      <c r="D41" s="492">
        <v>33000</v>
      </c>
      <c r="E41" s="490" t="s">
        <v>1037</v>
      </c>
      <c r="F41" s="490" t="s">
        <v>1038</v>
      </c>
      <c r="G41" s="490" t="s">
        <v>1039</v>
      </c>
      <c r="H41" s="490" t="s">
        <v>471</v>
      </c>
      <c r="I41" s="493"/>
      <c r="J41" s="480"/>
      <c r="K41" s="481"/>
      <c r="L41" s="488"/>
    </row>
    <row r="42" spans="1:12" s="328" customFormat="1" ht="45">
      <c r="A42" s="489">
        <v>31</v>
      </c>
      <c r="B42" s="490" t="s">
        <v>1040</v>
      </c>
      <c r="C42" s="491" t="s">
        <v>945</v>
      </c>
      <c r="D42" s="492">
        <v>5000</v>
      </c>
      <c r="E42" s="490" t="s">
        <v>1041</v>
      </c>
      <c r="F42" s="490" t="s">
        <v>1042</v>
      </c>
      <c r="G42" s="490" t="s">
        <v>1043</v>
      </c>
      <c r="H42" s="490" t="s">
        <v>471</v>
      </c>
      <c r="I42" s="493"/>
      <c r="J42" s="480"/>
      <c r="K42" s="481"/>
      <c r="L42" s="488"/>
    </row>
    <row r="43" spans="1:12" s="328" customFormat="1" ht="45">
      <c r="A43" s="489">
        <v>32</v>
      </c>
      <c r="B43" s="490" t="s">
        <v>1040</v>
      </c>
      <c r="C43" s="491" t="s">
        <v>945</v>
      </c>
      <c r="D43" s="492">
        <v>5000</v>
      </c>
      <c r="E43" s="490" t="s">
        <v>1044</v>
      </c>
      <c r="F43" s="490" t="s">
        <v>1045</v>
      </c>
      <c r="G43" s="490" t="s">
        <v>1046</v>
      </c>
      <c r="H43" s="490" t="s">
        <v>471</v>
      </c>
      <c r="I43" s="493"/>
      <c r="J43" s="480"/>
      <c r="K43" s="481"/>
      <c r="L43" s="488"/>
    </row>
    <row r="44" spans="1:12" s="328" customFormat="1" ht="45">
      <c r="A44" s="489">
        <v>33</v>
      </c>
      <c r="B44" s="490" t="s">
        <v>1040</v>
      </c>
      <c r="C44" s="491" t="s">
        <v>945</v>
      </c>
      <c r="D44" s="492">
        <v>4000</v>
      </c>
      <c r="E44" s="490" t="s">
        <v>1047</v>
      </c>
      <c r="F44" s="490" t="s">
        <v>1048</v>
      </c>
      <c r="G44" s="490" t="s">
        <v>1049</v>
      </c>
      <c r="H44" s="490" t="s">
        <v>471</v>
      </c>
      <c r="I44" s="493"/>
      <c r="J44" s="480"/>
      <c r="K44" s="481"/>
      <c r="L44" s="488"/>
    </row>
    <row r="45" spans="1:12" s="328" customFormat="1" ht="45">
      <c r="A45" s="489">
        <v>34</v>
      </c>
      <c r="B45" s="490" t="s">
        <v>1040</v>
      </c>
      <c r="C45" s="491" t="s">
        <v>945</v>
      </c>
      <c r="D45" s="492">
        <v>3000</v>
      </c>
      <c r="E45" s="490" t="s">
        <v>1050</v>
      </c>
      <c r="F45" s="490" t="s">
        <v>1051</v>
      </c>
      <c r="G45" s="490" t="s">
        <v>1052</v>
      </c>
      <c r="H45" s="490" t="s">
        <v>471</v>
      </c>
      <c r="I45" s="493"/>
      <c r="J45" s="480"/>
      <c r="K45" s="481"/>
      <c r="L45" s="488"/>
    </row>
    <row r="46" spans="1:12" s="328" customFormat="1" ht="45">
      <c r="A46" s="489">
        <v>35</v>
      </c>
      <c r="B46" s="490" t="s">
        <v>1040</v>
      </c>
      <c r="C46" s="491" t="s">
        <v>945</v>
      </c>
      <c r="D46" s="492">
        <v>21800</v>
      </c>
      <c r="E46" s="490" t="s">
        <v>1053</v>
      </c>
      <c r="F46" s="490" t="s">
        <v>1054</v>
      </c>
      <c r="G46" s="490" t="s">
        <v>1055</v>
      </c>
      <c r="H46" s="490" t="s">
        <v>471</v>
      </c>
      <c r="I46" s="493"/>
      <c r="J46" s="480"/>
      <c r="K46" s="481"/>
      <c r="L46" s="488"/>
    </row>
    <row r="47" spans="1:12" s="328" customFormat="1" ht="45">
      <c r="A47" s="489">
        <v>36</v>
      </c>
      <c r="B47" s="490" t="s">
        <v>1040</v>
      </c>
      <c r="C47" s="491" t="s">
        <v>945</v>
      </c>
      <c r="D47" s="492">
        <v>21800</v>
      </c>
      <c r="E47" s="490" t="s">
        <v>1056</v>
      </c>
      <c r="F47" s="490" t="s">
        <v>1057</v>
      </c>
      <c r="G47" s="490" t="s">
        <v>1058</v>
      </c>
      <c r="H47" s="490" t="s">
        <v>471</v>
      </c>
      <c r="I47" s="493"/>
      <c r="J47" s="480"/>
      <c r="K47" s="481"/>
      <c r="L47" s="488"/>
    </row>
    <row r="48" spans="1:12" s="328" customFormat="1" ht="45">
      <c r="A48" s="489">
        <v>37</v>
      </c>
      <c r="B48" s="490" t="s">
        <v>1040</v>
      </c>
      <c r="C48" s="491" t="s">
        <v>945</v>
      </c>
      <c r="D48" s="492">
        <v>5000</v>
      </c>
      <c r="E48" s="490" t="s">
        <v>1059</v>
      </c>
      <c r="F48" s="490" t="s">
        <v>1060</v>
      </c>
      <c r="G48" s="490" t="s">
        <v>1061</v>
      </c>
      <c r="H48" s="490" t="s">
        <v>471</v>
      </c>
      <c r="I48" s="493"/>
      <c r="J48" s="480"/>
      <c r="K48" s="481"/>
      <c r="L48" s="488"/>
    </row>
    <row r="49" spans="1:12" s="328" customFormat="1" ht="45">
      <c r="A49" s="489">
        <v>38</v>
      </c>
      <c r="B49" s="490" t="s">
        <v>1040</v>
      </c>
      <c r="C49" s="491" t="s">
        <v>945</v>
      </c>
      <c r="D49" s="492">
        <v>29000</v>
      </c>
      <c r="E49" s="490" t="s">
        <v>1062</v>
      </c>
      <c r="F49" s="490" t="s">
        <v>1063</v>
      </c>
      <c r="G49" s="490" t="s">
        <v>1064</v>
      </c>
      <c r="H49" s="490" t="s">
        <v>471</v>
      </c>
      <c r="I49" s="493"/>
      <c r="J49" s="480"/>
      <c r="K49" s="481"/>
      <c r="L49" s="488"/>
    </row>
    <row r="50" spans="1:12" s="328" customFormat="1" ht="45">
      <c r="A50" s="489">
        <v>39</v>
      </c>
      <c r="B50" s="490" t="s">
        <v>1040</v>
      </c>
      <c r="C50" s="491" t="s">
        <v>945</v>
      </c>
      <c r="D50" s="492">
        <v>18000</v>
      </c>
      <c r="E50" s="490" t="s">
        <v>1065</v>
      </c>
      <c r="F50" s="490" t="s">
        <v>1066</v>
      </c>
      <c r="G50" s="490" t="s">
        <v>1067</v>
      </c>
      <c r="H50" s="490" t="s">
        <v>471</v>
      </c>
      <c r="I50" s="493"/>
      <c r="J50" s="480"/>
      <c r="K50" s="481"/>
      <c r="L50" s="488"/>
    </row>
    <row r="51" spans="1:12" s="328" customFormat="1" ht="45">
      <c r="A51" s="489">
        <v>40</v>
      </c>
      <c r="B51" s="490" t="s">
        <v>1040</v>
      </c>
      <c r="C51" s="491" t="s">
        <v>945</v>
      </c>
      <c r="D51" s="492">
        <v>28000</v>
      </c>
      <c r="E51" s="490" t="s">
        <v>1068</v>
      </c>
      <c r="F51" s="490" t="s">
        <v>1069</v>
      </c>
      <c r="G51" s="490" t="s">
        <v>1070</v>
      </c>
      <c r="H51" s="490" t="s">
        <v>471</v>
      </c>
      <c r="I51" s="493"/>
      <c r="J51" s="480"/>
      <c r="K51" s="481"/>
      <c r="L51" s="488"/>
    </row>
    <row r="52" spans="1:12" s="328" customFormat="1" ht="45">
      <c r="A52" s="489">
        <v>41</v>
      </c>
      <c r="B52" s="490" t="s">
        <v>1040</v>
      </c>
      <c r="C52" s="491" t="s">
        <v>945</v>
      </c>
      <c r="D52" s="492">
        <v>27000</v>
      </c>
      <c r="E52" s="490" t="s">
        <v>1071</v>
      </c>
      <c r="F52" s="490" t="s">
        <v>1072</v>
      </c>
      <c r="G52" s="490" t="s">
        <v>1073</v>
      </c>
      <c r="H52" s="490" t="s">
        <v>471</v>
      </c>
      <c r="I52" s="493"/>
      <c r="J52" s="480"/>
      <c r="K52" s="481"/>
      <c r="L52" s="488"/>
    </row>
    <row r="53" spans="1:12" s="328" customFormat="1" ht="33">
      <c r="A53" s="489">
        <v>42</v>
      </c>
      <c r="B53" s="499" t="s">
        <v>1074</v>
      </c>
      <c r="C53" s="491" t="s">
        <v>220</v>
      </c>
      <c r="D53" s="500">
        <v>20</v>
      </c>
      <c r="E53" s="499" t="s">
        <v>916</v>
      </c>
      <c r="F53" s="490" t="s">
        <v>917</v>
      </c>
      <c r="G53" s="490" t="s">
        <v>918</v>
      </c>
      <c r="H53" s="490" t="s">
        <v>919</v>
      </c>
      <c r="I53" s="493"/>
      <c r="J53" s="480"/>
      <c r="K53" s="481"/>
      <c r="L53" s="488"/>
    </row>
    <row r="54" spans="1:12" s="328" customFormat="1" ht="181.5">
      <c r="A54" s="489">
        <v>43</v>
      </c>
      <c r="B54" s="499" t="s">
        <v>1024</v>
      </c>
      <c r="C54" s="491" t="s">
        <v>1075</v>
      </c>
      <c r="D54" s="492">
        <v>50</v>
      </c>
      <c r="E54" s="490" t="s">
        <v>1076</v>
      </c>
      <c r="F54" s="490" t="s">
        <v>1077</v>
      </c>
      <c r="G54" s="499"/>
      <c r="H54" s="499"/>
      <c r="I54" s="490" t="s">
        <v>1078</v>
      </c>
      <c r="J54" s="480"/>
      <c r="K54" s="481"/>
      <c r="L54" s="488"/>
    </row>
    <row r="55" spans="1:12" s="328" customFormat="1" ht="181.5">
      <c r="A55" s="489">
        <v>44</v>
      </c>
      <c r="B55" s="499" t="s">
        <v>1024</v>
      </c>
      <c r="C55" s="491" t="s">
        <v>1075</v>
      </c>
      <c r="D55" s="492">
        <v>50</v>
      </c>
      <c r="E55" s="490" t="s">
        <v>1079</v>
      </c>
      <c r="F55" s="490" t="s">
        <v>1080</v>
      </c>
      <c r="G55" s="499"/>
      <c r="H55" s="499"/>
      <c r="I55" s="490" t="s">
        <v>1078</v>
      </c>
      <c r="J55" s="480"/>
      <c r="K55" s="481"/>
      <c r="L55" s="488"/>
    </row>
    <row r="56" spans="1:12" s="328" customFormat="1" ht="148.5">
      <c r="A56" s="489">
        <v>45</v>
      </c>
      <c r="B56" s="499" t="s">
        <v>1024</v>
      </c>
      <c r="C56" s="491" t="s">
        <v>1075</v>
      </c>
      <c r="D56" s="492">
        <v>125</v>
      </c>
      <c r="E56" s="490" t="s">
        <v>1081</v>
      </c>
      <c r="F56" s="490" t="s">
        <v>1082</v>
      </c>
      <c r="G56" s="499"/>
      <c r="H56" s="499"/>
      <c r="I56" s="490" t="s">
        <v>1083</v>
      </c>
      <c r="J56" s="480"/>
      <c r="K56" s="481"/>
      <c r="L56" s="488"/>
    </row>
    <row r="57" spans="1:12" s="328" customFormat="1" ht="45">
      <c r="A57" s="489">
        <v>46</v>
      </c>
      <c r="B57" s="499" t="s">
        <v>1084</v>
      </c>
      <c r="C57" s="491" t="s">
        <v>945</v>
      </c>
      <c r="D57" s="492">
        <v>32400</v>
      </c>
      <c r="E57" s="490" t="s">
        <v>1087</v>
      </c>
      <c r="F57" s="490" t="s">
        <v>1108</v>
      </c>
      <c r="G57" s="490" t="s">
        <v>1129</v>
      </c>
      <c r="H57" s="490" t="s">
        <v>471</v>
      </c>
      <c r="I57" s="332"/>
      <c r="J57" s="480"/>
      <c r="K57" s="481"/>
      <c r="L57" s="488"/>
    </row>
    <row r="58" spans="1:12" s="328" customFormat="1" ht="45">
      <c r="A58" s="489">
        <v>47</v>
      </c>
      <c r="B58" s="499" t="s">
        <v>1084</v>
      </c>
      <c r="C58" s="491" t="s">
        <v>945</v>
      </c>
      <c r="D58" s="492">
        <v>21600</v>
      </c>
      <c r="E58" s="490" t="s">
        <v>1088</v>
      </c>
      <c r="F58" s="490" t="s">
        <v>1109</v>
      </c>
      <c r="G58" s="490" t="s">
        <v>1130</v>
      </c>
      <c r="H58" s="490" t="s">
        <v>471</v>
      </c>
      <c r="I58" s="332"/>
      <c r="J58" s="480"/>
      <c r="K58" s="481"/>
      <c r="L58" s="488"/>
    </row>
    <row r="59" spans="1:12" s="328" customFormat="1" ht="45">
      <c r="A59" s="489">
        <v>48</v>
      </c>
      <c r="B59" s="499" t="s">
        <v>1084</v>
      </c>
      <c r="C59" s="491" t="s">
        <v>945</v>
      </c>
      <c r="D59" s="492">
        <v>21600</v>
      </c>
      <c r="E59" s="490" t="s">
        <v>1089</v>
      </c>
      <c r="F59" s="490" t="s">
        <v>1110</v>
      </c>
      <c r="G59" s="490" t="s">
        <v>1131</v>
      </c>
      <c r="H59" s="490" t="s">
        <v>471</v>
      </c>
      <c r="I59" s="332"/>
      <c r="J59" s="480"/>
      <c r="K59" s="481"/>
      <c r="L59" s="488"/>
    </row>
    <row r="60" spans="1:12" s="328" customFormat="1" ht="45">
      <c r="A60" s="489">
        <v>49</v>
      </c>
      <c r="B60" s="499" t="s">
        <v>1085</v>
      </c>
      <c r="C60" s="491" t="s">
        <v>945</v>
      </c>
      <c r="D60" s="492">
        <v>20000</v>
      </c>
      <c r="E60" s="490" t="s">
        <v>1090</v>
      </c>
      <c r="F60" s="490" t="s">
        <v>1111</v>
      </c>
      <c r="G60" s="490" t="s">
        <v>1132</v>
      </c>
      <c r="H60" s="490" t="s">
        <v>471</v>
      </c>
      <c r="I60" s="332"/>
      <c r="J60" s="480"/>
      <c r="K60" s="481"/>
      <c r="L60" s="488"/>
    </row>
    <row r="61" spans="1:12" s="328" customFormat="1" ht="45">
      <c r="A61" s="489">
        <v>50</v>
      </c>
      <c r="B61" s="499" t="s">
        <v>1085</v>
      </c>
      <c r="C61" s="491" t="s">
        <v>945</v>
      </c>
      <c r="D61" s="492">
        <v>20000</v>
      </c>
      <c r="E61" s="490" t="s">
        <v>1091</v>
      </c>
      <c r="F61" s="490" t="s">
        <v>1112</v>
      </c>
      <c r="G61" s="490" t="s">
        <v>1133</v>
      </c>
      <c r="H61" s="490" t="s">
        <v>471</v>
      </c>
      <c r="I61" s="332"/>
      <c r="J61" s="480"/>
      <c r="K61" s="481"/>
      <c r="L61" s="488"/>
    </row>
    <row r="62" spans="1:12" s="328" customFormat="1" ht="45">
      <c r="A62" s="489">
        <v>51</v>
      </c>
      <c r="B62" s="499" t="s">
        <v>1085</v>
      </c>
      <c r="C62" s="491" t="s">
        <v>945</v>
      </c>
      <c r="D62" s="492">
        <v>20000</v>
      </c>
      <c r="E62" s="490" t="s">
        <v>1092</v>
      </c>
      <c r="F62" s="490" t="s">
        <v>1113</v>
      </c>
      <c r="G62" s="490" t="s">
        <v>1134</v>
      </c>
      <c r="H62" s="490" t="s">
        <v>471</v>
      </c>
      <c r="I62" s="332"/>
      <c r="J62" s="480"/>
      <c r="K62" s="481"/>
      <c r="L62" s="488"/>
    </row>
    <row r="63" spans="1:12" s="328" customFormat="1" ht="45">
      <c r="A63" s="489">
        <v>52</v>
      </c>
      <c r="B63" s="499" t="s">
        <v>1085</v>
      </c>
      <c r="C63" s="491" t="s">
        <v>945</v>
      </c>
      <c r="D63" s="492">
        <v>15000</v>
      </c>
      <c r="E63" s="490" t="s">
        <v>1093</v>
      </c>
      <c r="F63" s="490" t="s">
        <v>1114</v>
      </c>
      <c r="G63" s="490" t="s">
        <v>1135</v>
      </c>
      <c r="H63" s="490" t="s">
        <v>471</v>
      </c>
      <c r="I63" s="332"/>
      <c r="J63" s="480"/>
      <c r="K63" s="481"/>
      <c r="L63" s="488"/>
    </row>
    <row r="64" spans="1:12" s="328" customFormat="1" ht="45">
      <c r="A64" s="489">
        <v>53</v>
      </c>
      <c r="B64" s="499" t="s">
        <v>1085</v>
      </c>
      <c r="C64" s="491" t="s">
        <v>945</v>
      </c>
      <c r="D64" s="492">
        <v>6000</v>
      </c>
      <c r="E64" s="490" t="s">
        <v>1094</v>
      </c>
      <c r="F64" s="490" t="s">
        <v>1115</v>
      </c>
      <c r="G64" s="490" t="s">
        <v>1136</v>
      </c>
      <c r="H64" s="490" t="s">
        <v>471</v>
      </c>
      <c r="I64" s="332"/>
      <c r="J64" s="480"/>
      <c r="K64" s="481"/>
      <c r="L64" s="488"/>
    </row>
    <row r="65" spans="1:12" s="328" customFormat="1" ht="45">
      <c r="A65" s="489">
        <v>54</v>
      </c>
      <c r="B65" s="499" t="s">
        <v>1085</v>
      </c>
      <c r="C65" s="491" t="s">
        <v>945</v>
      </c>
      <c r="D65" s="492">
        <v>6000</v>
      </c>
      <c r="E65" s="490" t="s">
        <v>1095</v>
      </c>
      <c r="F65" s="490" t="s">
        <v>1116</v>
      </c>
      <c r="G65" s="490" t="s">
        <v>1137</v>
      </c>
      <c r="H65" s="490" t="s">
        <v>471</v>
      </c>
      <c r="I65" s="332"/>
      <c r="J65" s="480"/>
      <c r="K65" s="481"/>
      <c r="L65" s="488"/>
    </row>
    <row r="66" spans="1:12" s="328" customFormat="1" ht="45">
      <c r="A66" s="489">
        <v>55</v>
      </c>
      <c r="B66" s="499" t="s">
        <v>1085</v>
      </c>
      <c r="C66" s="491" t="s">
        <v>945</v>
      </c>
      <c r="D66" s="492">
        <v>10000</v>
      </c>
      <c r="E66" s="490" t="s">
        <v>1096</v>
      </c>
      <c r="F66" s="490" t="s">
        <v>1117</v>
      </c>
      <c r="G66" s="490" t="s">
        <v>1138</v>
      </c>
      <c r="H66" s="490" t="s">
        <v>471</v>
      </c>
      <c r="I66" s="332"/>
      <c r="J66" s="480"/>
      <c r="K66" s="481"/>
      <c r="L66" s="488"/>
    </row>
    <row r="67" spans="1:12" s="328" customFormat="1" ht="45">
      <c r="A67" s="489">
        <v>56</v>
      </c>
      <c r="B67" s="499" t="s">
        <v>1085</v>
      </c>
      <c r="C67" s="491" t="s">
        <v>945</v>
      </c>
      <c r="D67" s="492">
        <v>10000</v>
      </c>
      <c r="E67" s="490" t="s">
        <v>1097</v>
      </c>
      <c r="F67" s="490" t="s">
        <v>1118</v>
      </c>
      <c r="G67" s="490" t="s">
        <v>1139</v>
      </c>
      <c r="H67" s="490" t="s">
        <v>471</v>
      </c>
      <c r="I67" s="332"/>
      <c r="J67" s="480"/>
      <c r="K67" s="481"/>
      <c r="L67" s="488"/>
    </row>
    <row r="68" spans="1:12" s="328" customFormat="1" ht="45">
      <c r="A68" s="489">
        <v>57</v>
      </c>
      <c r="B68" s="499" t="s">
        <v>1085</v>
      </c>
      <c r="C68" s="491" t="s">
        <v>945</v>
      </c>
      <c r="D68" s="492">
        <v>15000</v>
      </c>
      <c r="E68" s="490" t="s">
        <v>1098</v>
      </c>
      <c r="F68" s="490" t="s">
        <v>1119</v>
      </c>
      <c r="G68" s="490" t="s">
        <v>1140</v>
      </c>
      <c r="H68" s="490" t="s">
        <v>471</v>
      </c>
      <c r="I68" s="332"/>
      <c r="J68" s="480"/>
      <c r="K68" s="481"/>
      <c r="L68" s="488"/>
    </row>
    <row r="69" spans="1:12" s="328" customFormat="1" ht="45">
      <c r="A69" s="489">
        <v>58</v>
      </c>
      <c r="B69" s="499" t="s">
        <v>1085</v>
      </c>
      <c r="C69" s="491" t="s">
        <v>945</v>
      </c>
      <c r="D69" s="492">
        <v>7000</v>
      </c>
      <c r="E69" s="490" t="s">
        <v>1099</v>
      </c>
      <c r="F69" s="490" t="s">
        <v>1120</v>
      </c>
      <c r="G69" s="490" t="s">
        <v>1141</v>
      </c>
      <c r="H69" s="490" t="s">
        <v>471</v>
      </c>
      <c r="I69" s="332"/>
      <c r="J69" s="480"/>
      <c r="K69" s="481"/>
      <c r="L69" s="488"/>
    </row>
    <row r="70" spans="1:12" s="328" customFormat="1" ht="45">
      <c r="A70" s="489">
        <v>59</v>
      </c>
      <c r="B70" s="499" t="s">
        <v>1085</v>
      </c>
      <c r="C70" s="491" t="s">
        <v>945</v>
      </c>
      <c r="D70" s="492">
        <v>20000</v>
      </c>
      <c r="E70" s="490" t="s">
        <v>1100</v>
      </c>
      <c r="F70" s="490" t="s">
        <v>1121</v>
      </c>
      <c r="G70" s="490" t="s">
        <v>1142</v>
      </c>
      <c r="H70" s="490" t="s">
        <v>471</v>
      </c>
      <c r="I70" s="332"/>
      <c r="J70" s="480"/>
      <c r="K70" s="481"/>
      <c r="L70" s="488"/>
    </row>
    <row r="71" spans="1:12" s="328" customFormat="1" ht="45">
      <c r="A71" s="489">
        <v>60</v>
      </c>
      <c r="B71" s="499" t="s">
        <v>1085</v>
      </c>
      <c r="C71" s="491" t="s">
        <v>945</v>
      </c>
      <c r="D71" s="492">
        <v>10000</v>
      </c>
      <c r="E71" s="490" t="s">
        <v>1101</v>
      </c>
      <c r="F71" s="490" t="s">
        <v>1122</v>
      </c>
      <c r="G71" s="490" t="s">
        <v>1143</v>
      </c>
      <c r="H71" s="490" t="s">
        <v>471</v>
      </c>
      <c r="I71" s="332"/>
      <c r="J71" s="480"/>
      <c r="K71" s="481"/>
      <c r="L71" s="488"/>
    </row>
    <row r="72" spans="1:12" s="328" customFormat="1" ht="45">
      <c r="A72" s="489">
        <v>61</v>
      </c>
      <c r="B72" s="499" t="s">
        <v>1085</v>
      </c>
      <c r="C72" s="491" t="s">
        <v>945</v>
      </c>
      <c r="D72" s="492">
        <v>15000</v>
      </c>
      <c r="E72" s="490" t="s">
        <v>1102</v>
      </c>
      <c r="F72" s="490" t="s">
        <v>1123</v>
      </c>
      <c r="G72" s="490" t="s">
        <v>1144</v>
      </c>
      <c r="H72" s="490" t="s">
        <v>471</v>
      </c>
      <c r="I72" s="332"/>
      <c r="J72" s="480"/>
      <c r="K72" s="481"/>
      <c r="L72" s="488"/>
    </row>
    <row r="73" spans="1:12" s="328" customFormat="1" ht="45">
      <c r="A73" s="489">
        <v>62</v>
      </c>
      <c r="B73" s="499" t="s">
        <v>1085</v>
      </c>
      <c r="C73" s="491" t="s">
        <v>945</v>
      </c>
      <c r="D73" s="492">
        <v>10000</v>
      </c>
      <c r="E73" s="490" t="s">
        <v>1103</v>
      </c>
      <c r="F73" s="490" t="s">
        <v>1124</v>
      </c>
      <c r="G73" s="490" t="s">
        <v>1145</v>
      </c>
      <c r="H73" s="490" t="s">
        <v>471</v>
      </c>
      <c r="I73" s="332"/>
      <c r="J73" s="480"/>
      <c r="K73" s="481"/>
      <c r="L73" s="488"/>
    </row>
    <row r="74" spans="1:12" s="328" customFormat="1" ht="45">
      <c r="A74" s="489">
        <v>63</v>
      </c>
      <c r="B74" s="499" t="s">
        <v>1085</v>
      </c>
      <c r="C74" s="491" t="s">
        <v>945</v>
      </c>
      <c r="D74" s="492">
        <v>20000</v>
      </c>
      <c r="E74" s="490" t="s">
        <v>1104</v>
      </c>
      <c r="F74" s="490" t="s">
        <v>1125</v>
      </c>
      <c r="G74" s="490" t="s">
        <v>1146</v>
      </c>
      <c r="H74" s="490" t="s">
        <v>471</v>
      </c>
      <c r="I74" s="332"/>
      <c r="J74" s="480"/>
      <c r="K74" s="481"/>
      <c r="L74" s="488"/>
    </row>
    <row r="75" spans="1:12" s="328" customFormat="1" ht="45">
      <c r="A75" s="489">
        <v>64</v>
      </c>
      <c r="B75" s="499" t="s">
        <v>1085</v>
      </c>
      <c r="C75" s="491" t="s">
        <v>945</v>
      </c>
      <c r="D75" s="492">
        <v>10000</v>
      </c>
      <c r="E75" s="490" t="s">
        <v>1105</v>
      </c>
      <c r="F75" s="490" t="s">
        <v>1126</v>
      </c>
      <c r="G75" s="490" t="s">
        <v>1147</v>
      </c>
      <c r="H75" s="490" t="s">
        <v>471</v>
      </c>
      <c r="I75" s="332"/>
      <c r="J75" s="480"/>
      <c r="K75" s="481"/>
      <c r="L75" s="488"/>
    </row>
    <row r="76" spans="1:12" s="328" customFormat="1" ht="45">
      <c r="A76" s="489">
        <v>65</v>
      </c>
      <c r="B76" s="499" t="s">
        <v>1085</v>
      </c>
      <c r="C76" s="491" t="s">
        <v>945</v>
      </c>
      <c r="D76" s="492">
        <v>21300</v>
      </c>
      <c r="E76" s="490" t="s">
        <v>1106</v>
      </c>
      <c r="F76" s="490" t="s">
        <v>1127</v>
      </c>
      <c r="G76" s="490" t="s">
        <v>1148</v>
      </c>
      <c r="H76" s="490" t="s">
        <v>471</v>
      </c>
      <c r="I76" s="332"/>
      <c r="J76" s="480"/>
      <c r="K76" s="481"/>
      <c r="L76" s="488"/>
    </row>
    <row r="77" spans="1:12" s="328" customFormat="1" ht="45">
      <c r="A77" s="489">
        <v>66</v>
      </c>
      <c r="B77" s="499" t="s">
        <v>1085</v>
      </c>
      <c r="C77" s="491" t="s">
        <v>945</v>
      </c>
      <c r="D77" s="492">
        <v>21300</v>
      </c>
      <c r="E77" s="490" t="s">
        <v>1107</v>
      </c>
      <c r="F77" s="490" t="s">
        <v>1128</v>
      </c>
      <c r="G77" s="490" t="s">
        <v>1149</v>
      </c>
      <c r="H77" s="490" t="s">
        <v>471</v>
      </c>
      <c r="I77" s="332"/>
      <c r="J77" s="480"/>
      <c r="K77" s="481"/>
      <c r="L77" s="488"/>
    </row>
    <row r="78" spans="1:12" s="328" customFormat="1">
      <c r="A78" s="479"/>
      <c r="B78" s="483"/>
      <c r="C78" s="461"/>
      <c r="D78" s="484"/>
      <c r="E78" s="483"/>
      <c r="F78" s="483"/>
      <c r="G78" s="483"/>
      <c r="H78" s="483"/>
      <c r="I78" s="332"/>
      <c r="J78" s="480"/>
      <c r="K78" s="481"/>
      <c r="L78" s="482"/>
    </row>
    <row r="79" spans="1:12" s="328" customFormat="1">
      <c r="A79" s="479"/>
      <c r="B79" s="483"/>
      <c r="C79" s="461"/>
      <c r="D79" s="484"/>
      <c r="E79" s="483"/>
      <c r="F79" s="483"/>
      <c r="G79" s="483"/>
      <c r="H79" s="483"/>
      <c r="I79" s="332"/>
      <c r="J79" s="480"/>
      <c r="K79" s="481"/>
      <c r="L79" s="482"/>
    </row>
    <row r="80" spans="1:12" s="328" customFormat="1">
      <c r="A80" s="479"/>
      <c r="B80" s="483"/>
      <c r="C80" s="461"/>
      <c r="D80" s="484"/>
      <c r="E80" s="483"/>
      <c r="F80" s="483"/>
      <c r="G80" s="483"/>
      <c r="H80" s="483"/>
      <c r="I80" s="332"/>
      <c r="J80" s="480"/>
      <c r="K80" s="481"/>
      <c r="L80" s="482"/>
    </row>
    <row r="81" spans="1:12" ht="15.75" thickBot="1">
      <c r="A81" s="334" t="s">
        <v>266</v>
      </c>
      <c r="B81" s="335"/>
      <c r="C81" s="336"/>
      <c r="D81" s="337"/>
      <c r="E81" s="338"/>
      <c r="F81" s="339"/>
      <c r="G81" s="339"/>
      <c r="H81" s="339"/>
      <c r="I81" s="340"/>
      <c r="J81" s="341"/>
      <c r="K81" s="342"/>
      <c r="L81" s="343"/>
    </row>
    <row r="82" spans="1:12">
      <c r="A82" s="285"/>
      <c r="B82" s="284"/>
      <c r="C82" s="285"/>
      <c r="D82" s="284"/>
      <c r="E82" s="285"/>
      <c r="F82" s="284"/>
      <c r="G82" s="285"/>
      <c r="H82" s="284"/>
      <c r="I82" s="285"/>
      <c r="J82" s="284"/>
      <c r="K82" s="285"/>
      <c r="L82" s="284"/>
    </row>
    <row r="83" spans="1:12">
      <c r="A83" s="285"/>
      <c r="B83" s="287"/>
      <c r="C83" s="285"/>
      <c r="D83" s="287"/>
      <c r="E83" s="285"/>
      <c r="F83" s="287"/>
      <c r="G83" s="285"/>
      <c r="H83" s="287"/>
      <c r="I83" s="285"/>
      <c r="J83" s="287"/>
      <c r="K83" s="285"/>
      <c r="L83" s="287"/>
    </row>
    <row r="84" spans="1:12" s="296" customFormat="1">
      <c r="A84" s="562" t="s">
        <v>404</v>
      </c>
      <c r="B84" s="562"/>
      <c r="C84" s="562"/>
      <c r="D84" s="562"/>
      <c r="E84" s="562"/>
      <c r="F84" s="562"/>
      <c r="G84" s="562"/>
      <c r="H84" s="562"/>
      <c r="I84" s="562"/>
      <c r="J84" s="562"/>
      <c r="K84" s="562"/>
      <c r="L84" s="562"/>
    </row>
    <row r="85" spans="1:12" s="344" customFormat="1" ht="12.75">
      <c r="A85" s="562" t="s">
        <v>467</v>
      </c>
      <c r="B85" s="562"/>
      <c r="C85" s="562"/>
      <c r="D85" s="562"/>
      <c r="E85" s="562"/>
      <c r="F85" s="562"/>
      <c r="G85" s="562"/>
      <c r="H85" s="562"/>
      <c r="I85" s="562"/>
      <c r="J85" s="562"/>
      <c r="K85" s="562"/>
      <c r="L85" s="562"/>
    </row>
    <row r="86" spans="1:12" s="344" customFormat="1" ht="12.75">
      <c r="A86" s="562"/>
      <c r="B86" s="562"/>
      <c r="C86" s="562"/>
      <c r="D86" s="562"/>
      <c r="E86" s="562"/>
      <c r="F86" s="562"/>
      <c r="G86" s="562"/>
      <c r="H86" s="562"/>
      <c r="I86" s="562"/>
      <c r="J86" s="562"/>
      <c r="K86" s="562"/>
      <c r="L86" s="562"/>
    </row>
    <row r="87" spans="1:12" s="296" customFormat="1">
      <c r="A87" s="562" t="s">
        <v>468</v>
      </c>
      <c r="B87" s="562"/>
      <c r="C87" s="562"/>
      <c r="D87" s="562"/>
      <c r="E87" s="562"/>
      <c r="F87" s="562"/>
      <c r="G87" s="562"/>
      <c r="H87" s="562"/>
      <c r="I87" s="562"/>
      <c r="J87" s="562"/>
      <c r="K87" s="562"/>
      <c r="L87" s="562"/>
    </row>
    <row r="88" spans="1:12" s="296" customFormat="1">
      <c r="A88" s="562"/>
      <c r="B88" s="562"/>
      <c r="C88" s="562"/>
      <c r="D88" s="562"/>
      <c r="E88" s="562"/>
      <c r="F88" s="562"/>
      <c r="G88" s="562"/>
      <c r="H88" s="562"/>
      <c r="I88" s="562"/>
      <c r="J88" s="562"/>
      <c r="K88" s="562"/>
      <c r="L88" s="562"/>
    </row>
    <row r="89" spans="1:12" s="296" customFormat="1">
      <c r="A89" s="562" t="s">
        <v>469</v>
      </c>
      <c r="B89" s="562"/>
      <c r="C89" s="562"/>
      <c r="D89" s="562"/>
      <c r="E89" s="562"/>
      <c r="F89" s="562"/>
      <c r="G89" s="562"/>
      <c r="H89" s="562"/>
      <c r="I89" s="562"/>
      <c r="J89" s="562"/>
      <c r="K89" s="562"/>
      <c r="L89" s="562"/>
    </row>
    <row r="90" spans="1:12" s="296" customFormat="1">
      <c r="A90" s="285"/>
      <c r="B90" s="284"/>
      <c r="C90" s="285"/>
      <c r="D90" s="284"/>
      <c r="E90" s="285"/>
      <c r="F90" s="284"/>
      <c r="G90" s="285"/>
      <c r="H90" s="284"/>
      <c r="I90" s="285"/>
      <c r="J90" s="284"/>
      <c r="K90" s="285"/>
      <c r="L90" s="284"/>
    </row>
    <row r="91" spans="1:12" s="296" customFormat="1">
      <c r="A91" s="285"/>
      <c r="B91" s="287"/>
      <c r="C91" s="285"/>
      <c r="D91" s="287"/>
      <c r="E91" s="285"/>
      <c r="F91" s="287"/>
      <c r="G91" s="285"/>
      <c r="H91" s="287"/>
      <c r="I91" s="285"/>
      <c r="J91" s="287"/>
      <c r="K91" s="285"/>
      <c r="L91" s="287"/>
    </row>
    <row r="92" spans="1:12" s="296" customFormat="1">
      <c r="A92" s="285"/>
      <c r="B92" s="284"/>
      <c r="C92" s="285"/>
      <c r="D92" s="284"/>
      <c r="E92" s="285"/>
      <c r="F92" s="284"/>
      <c r="G92" s="285"/>
      <c r="H92" s="284"/>
      <c r="I92" s="285"/>
      <c r="J92" s="284"/>
      <c r="K92" s="285"/>
      <c r="L92" s="284"/>
    </row>
    <row r="93" spans="1:12">
      <c r="A93" s="285"/>
      <c r="B93" s="287"/>
      <c r="C93" s="285"/>
      <c r="D93" s="287"/>
      <c r="E93" s="285"/>
      <c r="F93" s="287"/>
      <c r="G93" s="285"/>
      <c r="H93" s="287"/>
      <c r="I93" s="285"/>
      <c r="J93" s="287"/>
      <c r="K93" s="285"/>
      <c r="L93" s="287"/>
    </row>
    <row r="94" spans="1:12" s="345" customFormat="1">
      <c r="A94" s="563" t="s">
        <v>96</v>
      </c>
      <c r="B94" s="563"/>
      <c r="C94" s="284"/>
      <c r="D94" s="285"/>
      <c r="E94" s="284"/>
      <c r="F94" s="284"/>
      <c r="G94" s="285"/>
      <c r="H94" s="284"/>
      <c r="I94" s="284"/>
      <c r="J94" s="285"/>
      <c r="K94" s="284"/>
      <c r="L94" s="285"/>
    </row>
    <row r="95" spans="1:12" s="345" customFormat="1">
      <c r="A95" s="284"/>
      <c r="B95" s="285"/>
      <c r="C95" s="346"/>
      <c r="D95" s="347"/>
      <c r="E95" s="346"/>
      <c r="F95" s="284"/>
      <c r="G95" s="285"/>
      <c r="H95" s="348"/>
      <c r="I95" s="284"/>
      <c r="J95" s="285"/>
      <c r="K95" s="284"/>
      <c r="L95" s="285"/>
    </row>
    <row r="96" spans="1:12" s="345" customFormat="1" ht="15" customHeight="1">
      <c r="A96" s="284"/>
      <c r="B96" s="285"/>
      <c r="C96" s="556" t="s">
        <v>257</v>
      </c>
      <c r="D96" s="556"/>
      <c r="E96" s="556"/>
      <c r="F96" s="284"/>
      <c r="G96" s="285"/>
      <c r="H96" s="557" t="s">
        <v>470</v>
      </c>
      <c r="I96" s="349"/>
      <c r="J96" s="285"/>
      <c r="K96" s="284"/>
      <c r="L96" s="285"/>
    </row>
    <row r="97" spans="1:12" s="345" customFormat="1">
      <c r="A97" s="284"/>
      <c r="B97" s="285"/>
      <c r="C97" s="284"/>
      <c r="D97" s="285"/>
      <c r="E97" s="284"/>
      <c r="F97" s="284"/>
      <c r="G97" s="285"/>
      <c r="H97" s="558"/>
      <c r="I97" s="349"/>
      <c r="J97" s="285"/>
      <c r="K97" s="284"/>
      <c r="L97" s="285"/>
    </row>
    <row r="98" spans="1:12" s="350" customFormat="1">
      <c r="A98" s="284"/>
      <c r="B98" s="285"/>
      <c r="C98" s="556" t="s">
        <v>128</v>
      </c>
      <c r="D98" s="556"/>
      <c r="E98" s="556"/>
      <c r="F98" s="284"/>
      <c r="G98" s="285"/>
      <c r="H98" s="284"/>
      <c r="I98" s="284"/>
      <c r="J98" s="285"/>
      <c r="K98" s="284"/>
      <c r="L98" s="285"/>
    </row>
    <row r="99" spans="1:12" s="350" customFormat="1">
      <c r="E99" s="286"/>
    </row>
    <row r="100" spans="1:12" s="350" customFormat="1">
      <c r="E100" s="286"/>
    </row>
    <row r="101" spans="1:12" s="350" customFormat="1">
      <c r="E101" s="286"/>
    </row>
    <row r="102" spans="1:12" s="350" customFormat="1">
      <c r="E102" s="286"/>
    </row>
    <row r="103" spans="1:12" s="350" customFormat="1"/>
  </sheetData>
  <mergeCells count="9">
    <mergeCell ref="C96:E96"/>
    <mergeCell ref="H96:H97"/>
    <mergeCell ref="C98:E98"/>
    <mergeCell ref="I9:K9"/>
    <mergeCell ref="A84:L84"/>
    <mergeCell ref="A85:L86"/>
    <mergeCell ref="A87:L88"/>
    <mergeCell ref="A89:L89"/>
    <mergeCell ref="A94:B94"/>
  </mergeCells>
  <dataValidations count="3">
    <dataValidation allowBlank="1" showInputMessage="1" showErrorMessage="1" error="თვე/დღე/წელი" prompt="თვე/დღე/წელი" sqref="B12:B81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81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3:F77 G12:H77 F78:H81">
      <formula1>11</formula1>
    </dataValidation>
  </dataValidations>
  <printOptions gridLines="1"/>
  <pageMargins left="0.118108048993876" right="0.118108048993876" top="0.354329615048119" bottom="0.354329615048119" header="0.31496062992126" footer="0.31496062992126"/>
  <pageSetup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73" t="s">
        <v>435</v>
      </c>
      <c r="B1" s="76"/>
      <c r="C1" s="76"/>
      <c r="D1" s="76"/>
      <c r="E1" s="76"/>
      <c r="F1" s="76"/>
      <c r="G1" s="566" t="s">
        <v>98</v>
      </c>
      <c r="H1" s="566"/>
    </row>
    <row r="2" spans="1:8" ht="15">
      <c r="A2" s="75" t="s">
        <v>129</v>
      </c>
      <c r="B2" s="76"/>
      <c r="C2" s="76"/>
      <c r="D2" s="76"/>
      <c r="E2" s="76"/>
      <c r="F2" s="76"/>
      <c r="G2" s="564" t="s">
        <v>943</v>
      </c>
      <c r="H2" s="565"/>
    </row>
    <row r="3" spans="1:8" ht="15">
      <c r="A3" s="75"/>
      <c r="B3" s="75"/>
      <c r="C3" s="75"/>
      <c r="D3" s="75"/>
      <c r="E3" s="75"/>
      <c r="F3" s="75"/>
      <c r="G3" s="162"/>
      <c r="H3" s="162"/>
    </row>
    <row r="4" spans="1:8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8" ht="15">
      <c r="A5" s="110" t="s">
        <v>654</v>
      </c>
      <c r="B5" s="79"/>
      <c r="C5" s="79"/>
      <c r="D5" s="79"/>
      <c r="E5" s="79"/>
      <c r="F5" s="79"/>
      <c r="G5" s="80"/>
      <c r="H5" s="80"/>
    </row>
    <row r="6" spans="1:8" ht="15">
      <c r="A6" s="76"/>
      <c r="B6" s="76"/>
      <c r="C6" s="76"/>
      <c r="D6" s="76"/>
      <c r="E6" s="76"/>
      <c r="F6" s="76"/>
      <c r="G6" s="75"/>
      <c r="H6" s="75"/>
    </row>
    <row r="7" spans="1:8" ht="15">
      <c r="A7" s="161"/>
      <c r="B7" s="161"/>
      <c r="C7" s="261"/>
      <c r="D7" s="161"/>
      <c r="E7" s="161"/>
      <c r="F7" s="161"/>
      <c r="G7" s="77"/>
      <c r="H7" s="77"/>
    </row>
    <row r="8" spans="1:8" ht="45">
      <c r="A8" s="89" t="s">
        <v>328</v>
      </c>
      <c r="B8" s="89" t="s">
        <v>329</v>
      </c>
      <c r="C8" s="89" t="s">
        <v>216</v>
      </c>
      <c r="D8" s="89" t="s">
        <v>332</v>
      </c>
      <c r="E8" s="89" t="s">
        <v>331</v>
      </c>
      <c r="F8" s="89" t="s">
        <v>373</v>
      </c>
      <c r="G8" s="78" t="s">
        <v>10</v>
      </c>
      <c r="H8" s="78" t="s">
        <v>9</v>
      </c>
    </row>
    <row r="9" spans="1:8" ht="15">
      <c r="A9" s="97"/>
      <c r="B9" s="97"/>
      <c r="C9" s="97"/>
      <c r="D9" s="97"/>
      <c r="E9" s="97"/>
      <c r="F9" s="97"/>
      <c r="G9" s="4"/>
      <c r="H9" s="4"/>
    </row>
    <row r="10" spans="1:8" ht="15">
      <c r="A10" s="97"/>
      <c r="B10" s="97"/>
      <c r="C10" s="97"/>
      <c r="D10" s="97"/>
      <c r="E10" s="97"/>
      <c r="F10" s="97"/>
      <c r="G10" s="4"/>
      <c r="H10" s="4"/>
    </row>
    <row r="11" spans="1:8" ht="15">
      <c r="A11" s="86"/>
      <c r="B11" s="86"/>
      <c r="C11" s="86"/>
      <c r="D11" s="86"/>
      <c r="E11" s="86"/>
      <c r="F11" s="86"/>
      <c r="G11" s="4"/>
      <c r="H11" s="4"/>
    </row>
    <row r="12" spans="1:8" ht="15">
      <c r="A12" s="86"/>
      <c r="B12" s="86"/>
      <c r="C12" s="86"/>
      <c r="D12" s="86"/>
      <c r="E12" s="86"/>
      <c r="F12" s="86"/>
      <c r="G12" s="4"/>
      <c r="H12" s="4"/>
    </row>
    <row r="13" spans="1:8" ht="15">
      <c r="A13" s="86"/>
      <c r="B13" s="86"/>
      <c r="C13" s="86"/>
      <c r="D13" s="86"/>
      <c r="E13" s="86"/>
      <c r="F13" s="86"/>
      <c r="G13" s="4"/>
      <c r="H13" s="4"/>
    </row>
    <row r="14" spans="1:8" ht="15">
      <c r="A14" s="86"/>
      <c r="B14" s="86"/>
      <c r="C14" s="86"/>
      <c r="D14" s="86"/>
      <c r="E14" s="86"/>
      <c r="F14" s="86"/>
      <c r="G14" s="4"/>
      <c r="H14" s="4"/>
    </row>
    <row r="15" spans="1:8" ht="15">
      <c r="A15" s="86"/>
      <c r="B15" s="86"/>
      <c r="C15" s="86"/>
      <c r="D15" s="86"/>
      <c r="E15" s="86"/>
      <c r="F15" s="86"/>
      <c r="G15" s="4"/>
      <c r="H15" s="4"/>
    </row>
    <row r="16" spans="1:8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8" ht="15">
      <c r="A33" s="86"/>
      <c r="B33" s="86"/>
      <c r="C33" s="86"/>
      <c r="D33" s="86"/>
      <c r="E33" s="86"/>
      <c r="F33" s="86"/>
      <c r="G33" s="4"/>
      <c r="H33" s="4"/>
    </row>
    <row r="34" spans="1:8" ht="15">
      <c r="A34" s="98"/>
      <c r="B34" s="98"/>
      <c r="C34" s="98"/>
      <c r="D34" s="98"/>
      <c r="E34" s="98"/>
      <c r="F34" s="98" t="s">
        <v>327</v>
      </c>
      <c r="G34" s="85">
        <f>SUM(G9:G33)</f>
        <v>0</v>
      </c>
      <c r="H34" s="85">
        <f>SUM(H9:H33)</f>
        <v>0</v>
      </c>
    </row>
    <row r="35" spans="1:8" ht="15">
      <c r="A35" s="227"/>
      <c r="B35" s="227"/>
      <c r="C35" s="227"/>
      <c r="D35" s="227"/>
      <c r="E35" s="227"/>
      <c r="F35" s="227"/>
      <c r="G35" s="183"/>
      <c r="H35" s="183"/>
    </row>
    <row r="36" spans="1:8" ht="15">
      <c r="A36" s="228" t="s">
        <v>431</v>
      </c>
      <c r="B36" s="227"/>
      <c r="C36" s="227"/>
      <c r="D36" s="227"/>
      <c r="E36" s="227"/>
      <c r="F36" s="227"/>
      <c r="G36" s="183"/>
      <c r="H36" s="183"/>
    </row>
    <row r="37" spans="1:8" ht="15">
      <c r="A37" s="228"/>
      <c r="B37" s="227"/>
      <c r="C37" s="227"/>
      <c r="D37" s="227"/>
      <c r="E37" s="227"/>
      <c r="F37" s="227"/>
      <c r="G37" s="183"/>
      <c r="H37" s="183"/>
    </row>
    <row r="38" spans="1:8" ht="15">
      <c r="A38" s="228"/>
      <c r="B38" s="183"/>
      <c r="C38" s="183"/>
      <c r="D38" s="183"/>
      <c r="E38" s="183"/>
      <c r="F38" s="183"/>
      <c r="G38" s="183"/>
      <c r="H38" s="183"/>
    </row>
    <row r="39" spans="1:8" ht="15">
      <c r="A39" s="228"/>
      <c r="B39" s="183"/>
      <c r="C39" s="183"/>
      <c r="D39" s="183"/>
      <c r="E39" s="183"/>
      <c r="F39" s="183"/>
      <c r="G39" s="183"/>
      <c r="H39" s="183"/>
    </row>
    <row r="40" spans="1:8">
      <c r="A40" s="224"/>
      <c r="B40" s="224"/>
      <c r="C40" s="224"/>
      <c r="D40" s="224"/>
      <c r="E40" s="224"/>
      <c r="F40" s="224"/>
      <c r="G40" s="224"/>
      <c r="H40" s="224"/>
    </row>
    <row r="41" spans="1:8" ht="15">
      <c r="A41" s="189" t="s">
        <v>96</v>
      </c>
      <c r="B41" s="183"/>
      <c r="C41" s="183"/>
      <c r="D41" s="183"/>
      <c r="E41" s="183"/>
      <c r="F41" s="183"/>
      <c r="G41" s="183"/>
      <c r="H41" s="183"/>
    </row>
    <row r="42" spans="1:8" ht="15">
      <c r="A42" s="183"/>
      <c r="B42" s="183"/>
      <c r="C42" s="183"/>
      <c r="D42" s="183"/>
      <c r="E42" s="183"/>
      <c r="F42" s="183"/>
      <c r="G42" s="183"/>
      <c r="H42" s="183"/>
    </row>
    <row r="43" spans="1:8" ht="15">
      <c r="A43" s="183"/>
      <c r="B43" s="183"/>
      <c r="C43" s="183"/>
      <c r="D43" s="183"/>
      <c r="E43" s="183"/>
      <c r="F43" s="183"/>
      <c r="G43" s="183"/>
      <c r="H43" s="190"/>
    </row>
    <row r="44" spans="1:8" ht="15">
      <c r="A44" s="189"/>
      <c r="B44" s="189" t="s">
        <v>260</v>
      </c>
      <c r="C44" s="189"/>
      <c r="D44" s="189"/>
      <c r="E44" s="189"/>
      <c r="F44" s="189"/>
      <c r="G44" s="183"/>
      <c r="H44" s="190"/>
    </row>
    <row r="45" spans="1:8" ht="15">
      <c r="A45" s="183"/>
      <c r="B45" s="183" t="s">
        <v>259</v>
      </c>
      <c r="C45" s="183"/>
      <c r="D45" s="183"/>
      <c r="E45" s="183"/>
      <c r="F45" s="183"/>
      <c r="G45" s="183"/>
      <c r="H45" s="190"/>
    </row>
    <row r="46" spans="1:8">
      <c r="A46" s="191"/>
      <c r="B46" s="191" t="s">
        <v>128</v>
      </c>
      <c r="C46" s="191"/>
      <c r="D46" s="191"/>
      <c r="E46" s="191"/>
      <c r="F46" s="191"/>
      <c r="G46" s="184"/>
      <c r="H46" s="184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5.42578125" style="184" customWidth="1"/>
    <col min="2" max="2" width="13.140625" style="184" customWidth="1"/>
    <col min="3" max="3" width="15.140625" style="184" customWidth="1"/>
    <col min="4" max="4" width="18" style="184" customWidth="1"/>
    <col min="5" max="5" width="20.5703125" style="184" customWidth="1"/>
    <col min="6" max="6" width="21.28515625" style="184" customWidth="1"/>
    <col min="7" max="7" width="15.140625" style="184" customWidth="1"/>
    <col min="8" max="8" width="15.5703125" style="184" customWidth="1"/>
    <col min="9" max="9" width="13.42578125" style="184" customWidth="1"/>
    <col min="10" max="10" width="0" style="184" hidden="1" customWidth="1"/>
    <col min="11" max="16384" width="9.140625" style="184"/>
  </cols>
  <sheetData>
    <row r="1" spans="1:10" ht="15">
      <c r="A1" s="73" t="s">
        <v>436</v>
      </c>
      <c r="B1" s="73"/>
      <c r="C1" s="76"/>
      <c r="D1" s="76"/>
      <c r="E1" s="76"/>
      <c r="F1" s="76"/>
      <c r="G1" s="566" t="s">
        <v>98</v>
      </c>
      <c r="H1" s="566"/>
    </row>
    <row r="2" spans="1:10" ht="15">
      <c r="A2" s="75" t="s">
        <v>129</v>
      </c>
      <c r="B2" s="73"/>
      <c r="C2" s="76"/>
      <c r="D2" s="76"/>
      <c r="E2" s="76"/>
      <c r="F2" s="76"/>
      <c r="G2" s="564" t="s">
        <v>943</v>
      </c>
      <c r="H2" s="565"/>
    </row>
    <row r="3" spans="1:10" ht="15">
      <c r="A3" s="75"/>
      <c r="B3" s="75"/>
      <c r="C3" s="75"/>
      <c r="D3" s="75"/>
      <c r="E3" s="75"/>
      <c r="F3" s="75"/>
      <c r="G3" s="218"/>
      <c r="H3" s="218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</row>
    <row r="5" spans="1:10" ht="15">
      <c r="A5" s="110" t="s">
        <v>654</v>
      </c>
      <c r="B5" s="79"/>
      <c r="C5" s="79"/>
      <c r="D5" s="79"/>
      <c r="E5" s="79"/>
      <c r="F5" s="79"/>
      <c r="G5" s="80"/>
      <c r="H5" s="80"/>
    </row>
    <row r="6" spans="1:10" ht="15">
      <c r="A6" s="76"/>
      <c r="B6" s="76"/>
      <c r="C6" s="76"/>
      <c r="D6" s="76"/>
      <c r="E6" s="76"/>
      <c r="F6" s="76"/>
      <c r="G6" s="75"/>
      <c r="H6" s="75"/>
    </row>
    <row r="7" spans="1:10" ht="15">
      <c r="A7" s="217"/>
      <c r="B7" s="217"/>
      <c r="C7" s="217"/>
      <c r="D7" s="220"/>
      <c r="E7" s="217"/>
      <c r="F7" s="217"/>
      <c r="G7" s="77"/>
      <c r="H7" s="77"/>
    </row>
    <row r="8" spans="1:10" ht="30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336</v>
      </c>
      <c r="F8" s="89" t="s">
        <v>330</v>
      </c>
      <c r="G8" s="78" t="s">
        <v>10</v>
      </c>
      <c r="H8" s="78" t="s">
        <v>9</v>
      </c>
      <c r="J8" s="229" t="s">
        <v>335</v>
      </c>
    </row>
    <row r="9" spans="1:10" ht="15">
      <c r="A9" s="97"/>
      <c r="B9" s="97"/>
      <c r="C9" s="97"/>
      <c r="D9" s="97"/>
      <c r="E9" s="97"/>
      <c r="F9" s="97"/>
      <c r="G9" s="4"/>
      <c r="H9" s="4"/>
      <c r="J9" s="229" t="s">
        <v>0</v>
      </c>
    </row>
    <row r="10" spans="1:10" ht="15">
      <c r="A10" s="97"/>
      <c r="B10" s="97"/>
      <c r="C10" s="97"/>
      <c r="D10" s="97"/>
      <c r="E10" s="97"/>
      <c r="F10" s="97"/>
      <c r="G10" s="4"/>
      <c r="H10" s="4"/>
    </row>
    <row r="11" spans="1:10" ht="15">
      <c r="A11" s="86"/>
      <c r="B11" s="86"/>
      <c r="C11" s="86"/>
      <c r="D11" s="86"/>
      <c r="E11" s="86"/>
      <c r="F11" s="86"/>
      <c r="G11" s="4"/>
      <c r="H11" s="4"/>
    </row>
    <row r="12" spans="1:10" ht="15">
      <c r="A12" s="86"/>
      <c r="B12" s="86"/>
      <c r="C12" s="86"/>
      <c r="D12" s="86"/>
      <c r="E12" s="86"/>
      <c r="F12" s="86"/>
      <c r="G12" s="4"/>
      <c r="H12" s="4"/>
    </row>
    <row r="13" spans="1:10" ht="15">
      <c r="A13" s="86"/>
      <c r="B13" s="86"/>
      <c r="C13" s="86"/>
      <c r="D13" s="86"/>
      <c r="E13" s="86"/>
      <c r="F13" s="86"/>
      <c r="G13" s="4"/>
      <c r="H13" s="4"/>
    </row>
    <row r="14" spans="1:10" ht="15">
      <c r="A14" s="86"/>
      <c r="B14" s="86"/>
      <c r="C14" s="86"/>
      <c r="D14" s="86"/>
      <c r="E14" s="86"/>
      <c r="F14" s="86"/>
      <c r="G14" s="4"/>
      <c r="H14" s="4"/>
    </row>
    <row r="15" spans="1:10" ht="15">
      <c r="A15" s="86"/>
      <c r="B15" s="86"/>
      <c r="C15" s="86"/>
      <c r="D15" s="86"/>
      <c r="E15" s="86"/>
      <c r="F15" s="86"/>
      <c r="G15" s="4"/>
      <c r="H15" s="4"/>
    </row>
    <row r="16" spans="1:10" ht="15">
      <c r="A16" s="86"/>
      <c r="B16" s="86"/>
      <c r="C16" s="86"/>
      <c r="D16" s="86"/>
      <c r="E16" s="86"/>
      <c r="F16" s="86"/>
      <c r="G16" s="4"/>
      <c r="H16" s="4"/>
    </row>
    <row r="17" spans="1:8" ht="15">
      <c r="A17" s="86"/>
      <c r="B17" s="86"/>
      <c r="C17" s="86"/>
      <c r="D17" s="86"/>
      <c r="E17" s="86"/>
      <c r="F17" s="86"/>
      <c r="G17" s="4"/>
      <c r="H17" s="4"/>
    </row>
    <row r="18" spans="1:8" ht="15">
      <c r="A18" s="86"/>
      <c r="B18" s="86"/>
      <c r="C18" s="86"/>
      <c r="D18" s="86"/>
      <c r="E18" s="86"/>
      <c r="F18" s="86"/>
      <c r="G18" s="4"/>
      <c r="H18" s="4"/>
    </row>
    <row r="19" spans="1:8" ht="15">
      <c r="A19" s="86"/>
      <c r="B19" s="86"/>
      <c r="C19" s="86"/>
      <c r="D19" s="86"/>
      <c r="E19" s="86"/>
      <c r="F19" s="86"/>
      <c r="G19" s="4"/>
      <c r="H19" s="4"/>
    </row>
    <row r="20" spans="1:8" ht="15">
      <c r="A20" s="86"/>
      <c r="B20" s="86"/>
      <c r="C20" s="86"/>
      <c r="D20" s="86"/>
      <c r="E20" s="86"/>
      <c r="F20" s="86"/>
      <c r="G20" s="4"/>
      <c r="H20" s="4"/>
    </row>
    <row r="21" spans="1:8" ht="15">
      <c r="A21" s="86"/>
      <c r="B21" s="86"/>
      <c r="C21" s="86"/>
      <c r="D21" s="86"/>
      <c r="E21" s="86"/>
      <c r="F21" s="86"/>
      <c r="G21" s="4"/>
      <c r="H21" s="4"/>
    </row>
    <row r="22" spans="1:8" ht="15">
      <c r="A22" s="86"/>
      <c r="B22" s="86"/>
      <c r="C22" s="86"/>
      <c r="D22" s="86"/>
      <c r="E22" s="86"/>
      <c r="F22" s="86"/>
      <c r="G22" s="4"/>
      <c r="H22" s="4"/>
    </row>
    <row r="23" spans="1:8" ht="15">
      <c r="A23" s="86"/>
      <c r="B23" s="86"/>
      <c r="C23" s="86"/>
      <c r="D23" s="86"/>
      <c r="E23" s="86"/>
      <c r="F23" s="86"/>
      <c r="G23" s="4"/>
      <c r="H23" s="4"/>
    </row>
    <row r="24" spans="1:8" ht="15">
      <c r="A24" s="86"/>
      <c r="B24" s="86"/>
      <c r="C24" s="86"/>
      <c r="D24" s="86"/>
      <c r="E24" s="86"/>
      <c r="F24" s="86"/>
      <c r="G24" s="4"/>
      <c r="H24" s="4"/>
    </row>
    <row r="25" spans="1:8" ht="15">
      <c r="A25" s="86"/>
      <c r="B25" s="86"/>
      <c r="C25" s="86"/>
      <c r="D25" s="86"/>
      <c r="E25" s="86"/>
      <c r="F25" s="86"/>
      <c r="G25" s="4"/>
      <c r="H25" s="4"/>
    </row>
    <row r="26" spans="1:8" ht="15">
      <c r="A26" s="86"/>
      <c r="B26" s="86"/>
      <c r="C26" s="86"/>
      <c r="D26" s="86"/>
      <c r="E26" s="86"/>
      <c r="F26" s="86"/>
      <c r="G26" s="4"/>
      <c r="H26" s="4"/>
    </row>
    <row r="27" spans="1:8" ht="15">
      <c r="A27" s="86"/>
      <c r="B27" s="86"/>
      <c r="C27" s="86"/>
      <c r="D27" s="86"/>
      <c r="E27" s="86"/>
      <c r="F27" s="86"/>
      <c r="G27" s="4"/>
      <c r="H27" s="4"/>
    </row>
    <row r="28" spans="1:8" ht="15">
      <c r="A28" s="86"/>
      <c r="B28" s="86"/>
      <c r="C28" s="86"/>
      <c r="D28" s="86"/>
      <c r="E28" s="86"/>
      <c r="F28" s="86"/>
      <c r="G28" s="4"/>
      <c r="H28" s="4"/>
    </row>
    <row r="29" spans="1:8" ht="15">
      <c r="A29" s="86"/>
      <c r="B29" s="86"/>
      <c r="C29" s="86"/>
      <c r="D29" s="86"/>
      <c r="E29" s="86"/>
      <c r="F29" s="86"/>
      <c r="G29" s="4"/>
      <c r="H29" s="4"/>
    </row>
    <row r="30" spans="1:8" ht="15">
      <c r="A30" s="86"/>
      <c r="B30" s="86"/>
      <c r="C30" s="86"/>
      <c r="D30" s="86"/>
      <c r="E30" s="86"/>
      <c r="F30" s="86"/>
      <c r="G30" s="4"/>
      <c r="H30" s="4"/>
    </row>
    <row r="31" spans="1:8" ht="15">
      <c r="A31" s="86"/>
      <c r="B31" s="86"/>
      <c r="C31" s="86"/>
      <c r="D31" s="86"/>
      <c r="E31" s="86"/>
      <c r="F31" s="86"/>
      <c r="G31" s="4"/>
      <c r="H31" s="4"/>
    </row>
    <row r="32" spans="1:8" ht="15">
      <c r="A32" s="86"/>
      <c r="B32" s="86"/>
      <c r="C32" s="86"/>
      <c r="D32" s="86"/>
      <c r="E32" s="86"/>
      <c r="F32" s="86"/>
      <c r="G32" s="4"/>
      <c r="H32" s="4"/>
    </row>
    <row r="33" spans="1:9" ht="15">
      <c r="A33" s="86"/>
      <c r="B33" s="86"/>
      <c r="C33" s="86"/>
      <c r="D33" s="86"/>
      <c r="E33" s="86"/>
      <c r="F33" s="86"/>
      <c r="G33" s="4"/>
      <c r="H33" s="4"/>
    </row>
    <row r="34" spans="1:9" ht="15">
      <c r="A34" s="86"/>
      <c r="B34" s="98"/>
      <c r="C34" s="98"/>
      <c r="D34" s="98"/>
      <c r="E34" s="98"/>
      <c r="F34" s="98" t="s">
        <v>334</v>
      </c>
      <c r="G34" s="85">
        <f>SUM(G9:G33)</f>
        <v>0</v>
      </c>
      <c r="H34" s="85">
        <f>SUM(H9:H33)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432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 t="s">
        <v>433</v>
      </c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3"/>
      <c r="F43" s="183"/>
      <c r="G43" s="183"/>
      <c r="H43" s="183"/>
      <c r="I43" s="190"/>
    </row>
    <row r="44" spans="1:9" ht="15">
      <c r="A44" s="189"/>
      <c r="B44" s="189"/>
      <c r="C44" s="189" t="s">
        <v>405</v>
      </c>
      <c r="D44" s="189"/>
      <c r="E44" s="227"/>
      <c r="F44" s="189"/>
      <c r="G44" s="189"/>
      <c r="H44" s="183"/>
      <c r="I44" s="190"/>
    </row>
    <row r="45" spans="1:9" ht="15">
      <c r="A45" s="183"/>
      <c r="B45" s="183"/>
      <c r="C45" s="183" t="s">
        <v>259</v>
      </c>
      <c r="D45" s="183"/>
      <c r="E45" s="183"/>
      <c r="F45" s="183"/>
      <c r="G45" s="183"/>
      <c r="H45" s="183"/>
      <c r="I45" s="190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0"/>
  <sheetViews>
    <sheetView view="pageBreakPreview" topLeftCell="A7" zoomScale="85" zoomScaleSheetLayoutView="85" workbookViewId="0">
      <selection activeCell="E16" sqref="E16"/>
    </sheetView>
  </sheetViews>
  <sheetFormatPr defaultRowHeight="12.75"/>
  <cols>
    <col min="1" max="1" width="5.42578125" style="184" customWidth="1"/>
    <col min="2" max="2" width="27.5703125" style="184" customWidth="1"/>
    <col min="3" max="3" width="19.28515625" style="184" customWidth="1"/>
    <col min="4" max="4" width="16.85546875" style="184" customWidth="1"/>
    <col min="5" max="5" width="13.140625" style="184" customWidth="1"/>
    <col min="6" max="6" width="17" style="184" customWidth="1"/>
    <col min="7" max="7" width="13.7109375" style="184" customWidth="1"/>
    <col min="8" max="8" width="19.42578125" style="184" bestFit="1" customWidth="1"/>
    <col min="9" max="9" width="18.5703125" style="184" bestFit="1" customWidth="1"/>
    <col min="10" max="10" width="16.7109375" style="184" customWidth="1"/>
    <col min="11" max="11" width="17.7109375" style="184" customWidth="1"/>
    <col min="12" max="12" width="15.140625" style="184" customWidth="1"/>
    <col min="13" max="16384" width="9.140625" style="184"/>
  </cols>
  <sheetData>
    <row r="2" spans="1:12" ht="15">
      <c r="A2" s="572" t="s">
        <v>444</v>
      </c>
      <c r="B2" s="572"/>
      <c r="C2" s="572"/>
      <c r="D2" s="572"/>
      <c r="E2" s="276"/>
      <c r="F2" s="76"/>
      <c r="G2" s="76"/>
      <c r="H2" s="76"/>
      <c r="I2" s="76"/>
      <c r="J2" s="274"/>
      <c r="K2" s="273"/>
      <c r="L2" s="273" t="s">
        <v>98</v>
      </c>
    </row>
    <row r="3" spans="1:12" ht="15">
      <c r="A3" s="75" t="s">
        <v>129</v>
      </c>
      <c r="B3" s="73"/>
      <c r="C3" s="76"/>
      <c r="D3" s="76"/>
      <c r="E3" s="76"/>
      <c r="F3" s="76"/>
      <c r="G3" s="76"/>
      <c r="H3" s="76"/>
      <c r="I3" s="76"/>
      <c r="J3" s="274"/>
      <c r="K3" s="564" t="s">
        <v>943</v>
      </c>
      <c r="L3" s="565"/>
    </row>
    <row r="4" spans="1:12" ht="15">
      <c r="A4" s="75"/>
      <c r="B4" s="75"/>
      <c r="C4" s="73"/>
      <c r="D4" s="73"/>
      <c r="E4" s="73"/>
      <c r="F4" s="73"/>
      <c r="G4" s="73"/>
      <c r="H4" s="73"/>
      <c r="I4" s="73"/>
      <c r="J4" s="274"/>
      <c r="K4" s="274"/>
      <c r="L4" s="274"/>
    </row>
    <row r="5" spans="1:12" ht="15">
      <c r="A5" s="100" t="s">
        <v>445</v>
      </c>
      <c r="B5" s="76"/>
      <c r="C5" s="76"/>
      <c r="D5" s="76"/>
      <c r="E5" s="76"/>
      <c r="F5" s="76"/>
      <c r="G5" s="76"/>
      <c r="H5" s="76"/>
      <c r="I5" s="76"/>
      <c r="J5" s="75"/>
      <c r="K5" s="75"/>
      <c r="L5" s="75"/>
    </row>
    <row r="6" spans="1:12" ht="15">
      <c r="A6" s="110" t="s">
        <v>654</v>
      </c>
      <c r="B6" s="79"/>
      <c r="C6" s="79"/>
      <c r="D6" s="79"/>
      <c r="E6" s="79"/>
      <c r="F6" s="79"/>
      <c r="G6" s="79"/>
      <c r="H6" s="79"/>
      <c r="I6" s="79"/>
      <c r="J6" s="80"/>
      <c r="K6" s="80"/>
    </row>
    <row r="7" spans="1:12" ht="15">
      <c r="A7" s="76"/>
      <c r="B7" s="76"/>
      <c r="C7" s="76"/>
      <c r="D7" s="76"/>
      <c r="E7" s="76"/>
      <c r="F7" s="76"/>
      <c r="G7" s="76"/>
      <c r="H7" s="76"/>
      <c r="I7" s="76"/>
      <c r="J7" s="75"/>
      <c r="K7" s="75"/>
      <c r="L7" s="75"/>
    </row>
    <row r="8" spans="1:12" ht="15">
      <c r="A8" s="272"/>
      <c r="B8" s="272"/>
      <c r="C8" s="272"/>
      <c r="D8" s="272"/>
      <c r="E8" s="272"/>
      <c r="F8" s="272"/>
      <c r="G8" s="272"/>
      <c r="H8" s="272"/>
      <c r="I8" s="272"/>
      <c r="J8" s="77"/>
      <c r="K8" s="77"/>
      <c r="L8" s="77"/>
    </row>
    <row r="9" spans="1:12" ht="45">
      <c r="A9" s="89" t="s">
        <v>64</v>
      </c>
      <c r="B9" s="89" t="s">
        <v>446</v>
      </c>
      <c r="C9" s="89" t="s">
        <v>447</v>
      </c>
      <c r="D9" s="89" t="s">
        <v>448</v>
      </c>
      <c r="E9" s="89" t="s">
        <v>449</v>
      </c>
      <c r="F9" s="89" t="s">
        <v>450</v>
      </c>
      <c r="G9" s="89" t="s">
        <v>451</v>
      </c>
      <c r="H9" s="89" t="s">
        <v>452</v>
      </c>
      <c r="I9" s="89" t="s">
        <v>453</v>
      </c>
      <c r="J9" s="89" t="s">
        <v>454</v>
      </c>
      <c r="K9" s="89" t="s">
        <v>455</v>
      </c>
      <c r="L9" s="89" t="s">
        <v>308</v>
      </c>
    </row>
    <row r="10" spans="1:12" ht="51">
      <c r="A10" s="97">
        <v>1</v>
      </c>
      <c r="B10" s="507" t="s">
        <v>345</v>
      </c>
      <c r="C10" s="97" t="s">
        <v>1532</v>
      </c>
      <c r="D10" s="97">
        <v>205258709</v>
      </c>
      <c r="E10" s="471" t="s">
        <v>1533</v>
      </c>
      <c r="F10" s="469"/>
      <c r="G10" s="469">
        <v>46</v>
      </c>
      <c r="H10" s="97" t="s">
        <v>1539</v>
      </c>
      <c r="I10" s="469" t="s">
        <v>1534</v>
      </c>
      <c r="J10" s="470">
        <v>12.72</v>
      </c>
      <c r="K10" s="470">
        <v>585.12</v>
      </c>
      <c r="L10" s="97" t="s">
        <v>1541</v>
      </c>
    </row>
    <row r="11" spans="1:12" ht="51">
      <c r="A11" s="448">
        <v>2</v>
      </c>
      <c r="B11" s="507" t="s">
        <v>345</v>
      </c>
      <c r="C11" s="97" t="s">
        <v>1532</v>
      </c>
      <c r="D11" s="97">
        <v>205258709</v>
      </c>
      <c r="E11" s="468" t="s">
        <v>1533</v>
      </c>
      <c r="F11" s="469"/>
      <c r="G11" s="469">
        <v>146</v>
      </c>
      <c r="H11" s="97" t="s">
        <v>1538</v>
      </c>
      <c r="I11" s="469" t="s">
        <v>1534</v>
      </c>
      <c r="J11" s="470">
        <v>12.72</v>
      </c>
      <c r="K11" s="470">
        <v>1857.12</v>
      </c>
      <c r="L11" s="97" t="s">
        <v>1541</v>
      </c>
    </row>
    <row r="12" spans="1:12" ht="51">
      <c r="A12" s="448">
        <v>3</v>
      </c>
      <c r="B12" s="507" t="s">
        <v>345</v>
      </c>
      <c r="C12" s="97" t="s">
        <v>1532</v>
      </c>
      <c r="D12" s="97">
        <v>205258709</v>
      </c>
      <c r="E12" s="468" t="s">
        <v>1533</v>
      </c>
      <c r="F12" s="469"/>
      <c r="G12" s="469">
        <v>2.4</v>
      </c>
      <c r="H12" s="97" t="s">
        <v>1540</v>
      </c>
      <c r="I12" s="469" t="s">
        <v>1534</v>
      </c>
      <c r="J12" s="470">
        <v>120</v>
      </c>
      <c r="K12" s="470">
        <v>288</v>
      </c>
      <c r="L12" s="97" t="s">
        <v>1535</v>
      </c>
    </row>
    <row r="13" spans="1:12" ht="90">
      <c r="A13" s="97">
        <v>4</v>
      </c>
      <c r="B13" s="467" t="s">
        <v>345</v>
      </c>
      <c r="C13" s="97" t="s">
        <v>1536</v>
      </c>
      <c r="D13" s="97">
        <v>437063035</v>
      </c>
      <c r="E13" s="471" t="s">
        <v>1533</v>
      </c>
      <c r="F13" s="469"/>
      <c r="G13" s="469">
        <v>23</v>
      </c>
      <c r="H13" s="97" t="s">
        <v>1539</v>
      </c>
      <c r="I13" s="469" t="s">
        <v>1534</v>
      </c>
      <c r="J13" s="470">
        <v>2.0499999999999998</v>
      </c>
      <c r="K13" s="472">
        <v>94.3</v>
      </c>
      <c r="L13" s="97" t="s">
        <v>1542</v>
      </c>
    </row>
    <row r="14" spans="1:12" ht="62.25" customHeight="1">
      <c r="A14" s="448">
        <v>5</v>
      </c>
      <c r="B14" s="467" t="s">
        <v>345</v>
      </c>
      <c r="C14" s="97" t="s">
        <v>1537</v>
      </c>
      <c r="D14" s="97">
        <v>437063026</v>
      </c>
      <c r="E14" s="468" t="s">
        <v>1533</v>
      </c>
      <c r="F14" s="462"/>
      <c r="G14" s="469">
        <v>73</v>
      </c>
      <c r="H14" s="97" t="s">
        <v>1538</v>
      </c>
      <c r="I14" s="469" t="s">
        <v>1534</v>
      </c>
      <c r="J14" s="470">
        <v>2.0499999999999998</v>
      </c>
      <c r="K14" s="470">
        <v>299.3</v>
      </c>
      <c r="L14" s="97" t="s">
        <v>1542</v>
      </c>
    </row>
    <row r="15" spans="1:12" ht="15">
      <c r="A15" s="97"/>
      <c r="B15" s="462"/>
      <c r="C15" s="462"/>
      <c r="D15" s="462"/>
      <c r="E15" s="462"/>
      <c r="F15" s="462"/>
      <c r="G15" s="462"/>
      <c r="H15" s="462"/>
      <c r="I15" s="462"/>
      <c r="J15" s="462"/>
      <c r="K15" s="462"/>
      <c r="L15" s="462"/>
    </row>
    <row r="16" spans="1:12" ht="15">
      <c r="A16" s="86" t="s">
        <v>266</v>
      </c>
      <c r="B16" s="449"/>
      <c r="C16" s="86"/>
      <c r="D16" s="86"/>
      <c r="E16" s="86"/>
      <c r="F16" s="86"/>
      <c r="G16" s="86"/>
      <c r="H16" s="86"/>
      <c r="I16" s="86"/>
      <c r="J16" s="4"/>
      <c r="K16" s="4"/>
      <c r="L16" s="86"/>
    </row>
    <row r="17" spans="1:12" ht="15">
      <c r="A17" s="86"/>
      <c r="B17" s="277"/>
      <c r="C17" s="98"/>
      <c r="D17" s="98"/>
      <c r="E17" s="98"/>
      <c r="F17" s="98"/>
      <c r="G17" s="86"/>
      <c r="H17" s="86"/>
      <c r="I17" s="86"/>
      <c r="J17" s="86" t="s">
        <v>456</v>
      </c>
      <c r="K17" s="442">
        <f>SUM(K10:K16)</f>
        <v>3123.84</v>
      </c>
      <c r="L17" s="86"/>
    </row>
    <row r="18" spans="1:12" ht="15">
      <c r="A18" s="227"/>
      <c r="B18" s="227"/>
      <c r="C18" s="227"/>
      <c r="D18" s="227"/>
      <c r="E18" s="227"/>
      <c r="F18" s="227"/>
      <c r="G18" s="227"/>
      <c r="H18" s="227"/>
      <c r="I18" s="227"/>
      <c r="J18" s="227"/>
      <c r="K18" s="183"/>
    </row>
    <row r="19" spans="1:12" ht="15">
      <c r="A19" s="228" t="s">
        <v>457</v>
      </c>
      <c r="B19" s="228"/>
      <c r="C19" s="227"/>
      <c r="D19" s="227"/>
      <c r="E19" s="227"/>
      <c r="F19" s="227"/>
      <c r="G19" s="227"/>
      <c r="H19" s="227"/>
      <c r="I19" s="227"/>
      <c r="J19" s="227"/>
      <c r="K19" s="183"/>
    </row>
    <row r="20" spans="1:12" ht="15">
      <c r="A20" s="228" t="s">
        <v>458</v>
      </c>
      <c r="B20" s="228"/>
      <c r="C20" s="227"/>
      <c r="D20" s="227"/>
      <c r="E20" s="227"/>
      <c r="F20" s="227"/>
      <c r="G20" s="227"/>
      <c r="H20" s="227"/>
      <c r="I20" s="227"/>
      <c r="J20" s="227"/>
      <c r="K20" s="183"/>
    </row>
    <row r="21" spans="1:12" ht="15">
      <c r="A21" s="214" t="s">
        <v>459</v>
      </c>
      <c r="B21" s="228"/>
      <c r="C21" s="183"/>
      <c r="D21" s="183"/>
      <c r="E21" s="183"/>
      <c r="F21" s="183"/>
      <c r="G21" s="183"/>
      <c r="H21" s="183"/>
      <c r="I21" s="183"/>
      <c r="J21" s="183"/>
      <c r="K21" s="183"/>
    </row>
    <row r="22" spans="1:12" ht="15">
      <c r="A22" s="214" t="s">
        <v>460</v>
      </c>
      <c r="B22" s="228"/>
      <c r="C22" s="183"/>
      <c r="D22" s="183"/>
      <c r="E22" s="183"/>
      <c r="F22" s="183"/>
      <c r="G22" s="183"/>
      <c r="H22" s="183"/>
      <c r="I22" s="183"/>
      <c r="J22" s="183"/>
      <c r="K22" s="183"/>
    </row>
    <row r="23" spans="1:12" ht="15">
      <c r="A23" s="214"/>
      <c r="B23" s="228"/>
      <c r="C23" s="183"/>
      <c r="D23" s="183"/>
      <c r="E23" s="183"/>
      <c r="F23" s="183"/>
      <c r="G23" s="183"/>
      <c r="H23" s="183"/>
      <c r="I23" s="183"/>
      <c r="J23" s="183"/>
      <c r="K23" s="183"/>
    </row>
    <row r="24" spans="1:12" ht="15">
      <c r="A24" s="214"/>
      <c r="B24" s="228"/>
      <c r="C24" s="183"/>
      <c r="D24" s="183"/>
      <c r="E24" s="183"/>
      <c r="F24" s="183"/>
      <c r="G24" s="183"/>
      <c r="H24" s="183"/>
      <c r="I24" s="183"/>
      <c r="J24" s="183"/>
      <c r="K24" s="183"/>
    </row>
    <row r="25" spans="1:12">
      <c r="A25" s="224"/>
      <c r="B25" s="224"/>
      <c r="C25" s="224"/>
      <c r="D25" s="224"/>
      <c r="E25" s="224"/>
      <c r="F25" s="224"/>
      <c r="G25" s="224"/>
      <c r="H25" s="224"/>
      <c r="I25" s="224"/>
      <c r="J25" s="224"/>
      <c r="K25" s="224"/>
    </row>
    <row r="26" spans="1:12" ht="15">
      <c r="A26" s="573" t="s">
        <v>96</v>
      </c>
      <c r="B26" s="573"/>
      <c r="C26" s="278"/>
      <c r="D26" s="279"/>
      <c r="E26" s="279"/>
      <c r="F26" s="278"/>
      <c r="G26" s="278"/>
      <c r="H26" s="278"/>
      <c r="I26" s="278"/>
      <c r="J26" s="278"/>
      <c r="K26" s="183"/>
    </row>
    <row r="27" spans="1:12" ht="15">
      <c r="A27" s="278"/>
      <c r="B27" s="279"/>
      <c r="C27" s="278"/>
      <c r="D27" s="279"/>
      <c r="E27" s="279"/>
      <c r="F27" s="278"/>
      <c r="G27" s="278"/>
      <c r="H27" s="278"/>
      <c r="I27" s="278"/>
      <c r="J27" s="280"/>
      <c r="K27" s="183"/>
    </row>
    <row r="28" spans="1:12" ht="15" customHeight="1">
      <c r="A28" s="278"/>
      <c r="B28" s="279"/>
      <c r="C28" s="574" t="s">
        <v>257</v>
      </c>
      <c r="D28" s="574"/>
      <c r="E28" s="281"/>
      <c r="F28" s="282"/>
      <c r="G28" s="575" t="s">
        <v>461</v>
      </c>
      <c r="H28" s="575"/>
      <c r="I28" s="575"/>
      <c r="J28" s="283"/>
      <c r="K28" s="183"/>
    </row>
    <row r="29" spans="1:12" ht="15">
      <c r="A29" s="278"/>
      <c r="B29" s="279"/>
      <c r="C29" s="278"/>
      <c r="D29" s="279"/>
      <c r="E29" s="279"/>
      <c r="F29" s="278"/>
      <c r="G29" s="576"/>
      <c r="H29" s="576"/>
      <c r="I29" s="576"/>
      <c r="J29" s="283"/>
      <c r="K29" s="183"/>
    </row>
    <row r="30" spans="1:12" ht="15">
      <c r="A30" s="278"/>
      <c r="B30" s="279"/>
      <c r="C30" s="571" t="s">
        <v>128</v>
      </c>
      <c r="D30" s="571"/>
      <c r="E30" s="281"/>
      <c r="F30" s="282"/>
      <c r="G30" s="278"/>
      <c r="H30" s="278"/>
      <c r="I30" s="278"/>
      <c r="J30" s="278"/>
      <c r="K30" s="183"/>
    </row>
  </sheetData>
  <mergeCells count="6">
    <mergeCell ref="C30:D30"/>
    <mergeCell ref="A2:D2"/>
    <mergeCell ref="K3:L3"/>
    <mergeCell ref="A26:B26"/>
    <mergeCell ref="C28:D28"/>
    <mergeCell ref="G28:I29"/>
  </mergeCells>
  <dataValidations count="1">
    <dataValidation type="list" allowBlank="1" showInputMessage="1" showErrorMessage="1" sqref="B16:B17 B10:B14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8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93"/>
  <sheetViews>
    <sheetView showGridLines="0" tabSelected="1" view="pageBreakPreview" zoomScale="70" zoomScaleSheetLayoutView="70" workbookViewId="0">
      <selection activeCell="AI6" sqref="AI6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21" width="0" style="2" hidden="1" customWidth="1"/>
    <col min="22" max="22" width="12" style="2" customWidth="1"/>
    <col min="23" max="27" width="0" style="2" hidden="1" customWidth="1"/>
    <col min="28" max="28" width="11.85546875" style="2" hidden="1" customWidth="1"/>
    <col min="29" max="29" width="0" style="2" hidden="1" customWidth="1"/>
    <col min="30" max="30" width="11.140625" style="2" hidden="1" customWidth="1"/>
    <col min="31" max="34" width="0" style="2" hidden="1" customWidth="1"/>
    <col min="35" max="16384" width="9.140625" style="2"/>
  </cols>
  <sheetData>
    <row r="1" spans="1:38">
      <c r="A1" s="73" t="s">
        <v>213</v>
      </c>
      <c r="B1" s="120"/>
      <c r="C1" s="577" t="s">
        <v>187</v>
      </c>
      <c r="D1" s="577"/>
      <c r="E1" s="105"/>
    </row>
    <row r="2" spans="1:38">
      <c r="A2" s="75" t="s">
        <v>129</v>
      </c>
      <c r="B2" s="120"/>
      <c r="C2" s="76"/>
      <c r="D2" s="564" t="s">
        <v>943</v>
      </c>
      <c r="E2" s="565"/>
    </row>
    <row r="3" spans="1:38">
      <c r="A3" s="116"/>
      <c r="B3" s="120"/>
      <c r="C3" s="76"/>
      <c r="D3" s="76"/>
      <c r="E3" s="105"/>
      <c r="G3" s="383">
        <f>D47-C47</f>
        <v>-36255.330000000075</v>
      </c>
      <c r="I3" s="383">
        <f>C11+'ფორმა N2'!C9+'ფორმა N3'!C9-'ფორმა N4'!C11-'ფორმა N5'!C9+G3</f>
        <v>1017461.6599999999</v>
      </c>
      <c r="K3" s="383">
        <f>I3-D11</f>
        <v>12057.699999999953</v>
      </c>
    </row>
    <row r="4" spans="1:38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08"/>
    </row>
    <row r="5" spans="1:38">
      <c r="A5" s="110" t="s">
        <v>654</v>
      </c>
      <c r="B5" s="119"/>
      <c r="C5" s="119"/>
      <c r="D5" s="57"/>
      <c r="E5" s="108"/>
      <c r="I5" s="383">
        <f>C14+'ფორმა N2'!D9+'ფორმა N3'!D9-'ფორმა N4'!D11-'ფორმა N5'!D9</f>
        <v>713264.64000000001</v>
      </c>
      <c r="K5" s="383">
        <f>I5-D14</f>
        <v>-40.35999999998603</v>
      </c>
    </row>
    <row r="6" spans="1:38">
      <c r="A6" s="76"/>
      <c r="B6" s="75"/>
      <c r="C6" s="75"/>
      <c r="D6" s="75"/>
      <c r="E6" s="108"/>
    </row>
    <row r="7" spans="1:38">
      <c r="A7" s="115"/>
      <c r="B7" s="121"/>
      <c r="C7" s="122"/>
      <c r="D7" s="122"/>
      <c r="E7" s="105"/>
    </row>
    <row r="8" spans="1:38" ht="45">
      <c r="A8" s="123" t="s">
        <v>102</v>
      </c>
      <c r="B8" s="123" t="s">
        <v>179</v>
      </c>
      <c r="C8" s="123" t="s">
        <v>293</v>
      </c>
      <c r="D8" s="123" t="s">
        <v>246</v>
      </c>
      <c r="E8" s="105"/>
      <c r="X8" s="383"/>
      <c r="Y8" s="383"/>
      <c r="Z8" s="383"/>
    </row>
    <row r="9" spans="1:38">
      <c r="A9" s="47"/>
      <c r="B9" s="48"/>
      <c r="C9" s="156"/>
      <c r="D9" s="156"/>
      <c r="E9" s="105"/>
      <c r="J9" s="2" t="s">
        <v>675</v>
      </c>
      <c r="M9" s="2" t="s">
        <v>674</v>
      </c>
      <c r="P9" s="2" t="s">
        <v>678</v>
      </c>
      <c r="S9" s="2" t="s">
        <v>683</v>
      </c>
      <c r="AB9" s="2" t="s">
        <v>860</v>
      </c>
      <c r="AD9" s="2">
        <v>19.11</v>
      </c>
    </row>
    <row r="10" spans="1:38">
      <c r="A10" s="49" t="s">
        <v>180</v>
      </c>
      <c r="B10" s="50"/>
      <c r="C10" s="381">
        <f>SUM(C11,C34)</f>
        <v>464576.6</v>
      </c>
      <c r="D10" s="381">
        <f>SUM(D11,D34)</f>
        <v>1110832.72</v>
      </c>
      <c r="E10" s="105"/>
      <c r="J10" s="381">
        <f>SUM(J11,J34)</f>
        <v>371702.26</v>
      </c>
      <c r="K10" s="381">
        <f>SUM(K11,K34)</f>
        <v>422463.74</v>
      </c>
      <c r="L10" s="383"/>
      <c r="M10" s="381">
        <f>SUM(M11,M34)</f>
        <v>422463.92</v>
      </c>
      <c r="N10" s="381">
        <f>SUM(N11,N34)</f>
        <v>350477.37000000005</v>
      </c>
      <c r="P10" s="381">
        <f>SUM(P11,P34)</f>
        <v>350477.15</v>
      </c>
      <c r="Q10" s="381">
        <f>SUM(Q11,Q34)</f>
        <v>346813.64</v>
      </c>
      <c r="S10" s="381">
        <f>SUM(S11,S34)</f>
        <v>346813.81</v>
      </c>
      <c r="T10" s="381">
        <f>SUM(T11,T34)</f>
        <v>335768.60000000003</v>
      </c>
      <c r="X10" s="383">
        <f>C10+'ფორმა N2'!C9+'ფორმა N3'!C9-'ფორმა N4'!C11-'ფორმა N5'!C9</f>
        <v>1147087.8500000001</v>
      </c>
      <c r="Z10" s="383">
        <f>X10+W45-D10</f>
        <v>-0.19999999995343387</v>
      </c>
      <c r="AB10" s="381">
        <f>SUM(AB11,AB34)</f>
        <v>327978.78999999998</v>
      </c>
      <c r="AD10" s="381">
        <f>SUM(AD11,AD34)</f>
        <v>271118.94999999995</v>
      </c>
      <c r="AI10" s="383">
        <f>C10+'ფორმა N2'!C9+'ფორმა N3'!C9-'ფორმა N4'!C11-'ფორმა N5'!C9</f>
        <v>1147087.8500000001</v>
      </c>
      <c r="AJ10" s="383">
        <f>AI10+AI47</f>
        <v>1110832.52</v>
      </c>
      <c r="AL10" s="383">
        <f>AJ10-D10</f>
        <v>-0.19999999995343387</v>
      </c>
    </row>
    <row r="11" spans="1:38">
      <c r="A11" s="51" t="s">
        <v>181</v>
      </c>
      <c r="B11" s="52"/>
      <c r="C11" s="382">
        <f>SUM(C12:C32)</f>
        <v>371205.74</v>
      </c>
      <c r="D11" s="382">
        <f>SUM(D12:D32)</f>
        <v>1005403.96</v>
      </c>
      <c r="E11" s="105"/>
      <c r="J11" s="382">
        <f>SUM(J12:J32)</f>
        <v>254433.02</v>
      </c>
      <c r="K11" s="382">
        <f>SUM(K12:K32)</f>
        <v>305194.5</v>
      </c>
      <c r="M11" s="382">
        <f>SUM(M12:M32)</f>
        <v>305194.68</v>
      </c>
      <c r="N11" s="382">
        <f>SUM(N12:N32)</f>
        <v>233208.13000000003</v>
      </c>
      <c r="P11" s="382">
        <f>SUM(P12:P32)</f>
        <v>233207.91</v>
      </c>
      <c r="Q11" s="382">
        <f>SUM(Q12:Q32)</f>
        <v>229544.40000000002</v>
      </c>
      <c r="S11" s="382">
        <f>SUM(S12:S32)</f>
        <v>229544.57</v>
      </c>
      <c r="T11" s="382">
        <f>SUM(T12:T32)</f>
        <v>218499.36000000004</v>
      </c>
      <c r="X11" s="383"/>
      <c r="Z11" s="383"/>
      <c r="AB11" s="382">
        <f>SUM(AB12:AB32)</f>
        <v>210709.55</v>
      </c>
      <c r="AD11" s="382">
        <f>SUM(AD12:AD32)</f>
        <v>155942.59999999998</v>
      </c>
      <c r="AI11" s="383"/>
      <c r="AJ11" s="383"/>
      <c r="AL11" s="383"/>
    </row>
    <row r="12" spans="1:38">
      <c r="A12" s="55">
        <v>1110</v>
      </c>
      <c r="B12" s="54" t="s">
        <v>131</v>
      </c>
      <c r="C12" s="8"/>
      <c r="D12" s="430"/>
      <c r="E12" s="105"/>
      <c r="J12" s="8"/>
      <c r="K12" s="8"/>
      <c r="M12" s="8"/>
      <c r="N12" s="8"/>
      <c r="P12" s="8"/>
      <c r="Q12" s="8"/>
      <c r="S12" s="8"/>
      <c r="T12" s="8"/>
      <c r="X12" s="383"/>
      <c r="AB12" s="8"/>
      <c r="AD12" s="430">
        <v>80</v>
      </c>
      <c r="AI12" s="383"/>
      <c r="AJ12" s="383"/>
    </row>
    <row r="13" spans="1:38">
      <c r="A13" s="55">
        <v>1120</v>
      </c>
      <c r="B13" s="54" t="s">
        <v>132</v>
      </c>
      <c r="C13" s="8"/>
      <c r="D13" s="430"/>
      <c r="E13" s="105"/>
      <c r="J13" s="8"/>
      <c r="K13" s="8"/>
      <c r="M13" s="8"/>
      <c r="N13" s="8"/>
      <c r="P13" s="8"/>
      <c r="Q13" s="8"/>
      <c r="S13" s="430"/>
      <c r="T13" s="8"/>
      <c r="AB13" s="8"/>
      <c r="AD13" s="430"/>
    </row>
    <row r="14" spans="1:38">
      <c r="A14" s="55">
        <v>1211</v>
      </c>
      <c r="B14" s="54" t="s">
        <v>133</v>
      </c>
      <c r="C14" s="380">
        <v>134698</v>
      </c>
      <c r="D14" s="431">
        <v>713305</v>
      </c>
      <c r="E14" s="105"/>
      <c r="G14" s="383"/>
      <c r="J14" s="380">
        <v>235771.6</v>
      </c>
      <c r="K14" s="380">
        <v>281253.7</v>
      </c>
      <c r="M14" s="380">
        <v>281254</v>
      </c>
      <c r="N14" s="380">
        <v>204436.73</v>
      </c>
      <c r="P14" s="380">
        <v>204437</v>
      </c>
      <c r="Q14" s="380">
        <v>208553.87</v>
      </c>
      <c r="S14" s="431">
        <v>208554</v>
      </c>
      <c r="T14" s="380">
        <v>187620.2</v>
      </c>
      <c r="X14" s="383">
        <f>C14+C23+'ფორმა N2'!D9+'ფორმა N3'!D9-'ფორმა N4'!D11-'ფორმა N5'!D9</f>
        <v>713384.64</v>
      </c>
      <c r="Z14" s="383">
        <f>X14-D14-D23-D12</f>
        <v>-40.35999999998603</v>
      </c>
      <c r="AB14" s="380">
        <v>178131</v>
      </c>
      <c r="AD14" s="431">
        <v>123345.9</v>
      </c>
      <c r="AI14" s="383">
        <f>C14+C15+C23+'ფორმა N2'!D9+'ფორმა N3'!D9-'ფორმა N4'!D11-'ფორმა N5'!D9</f>
        <v>714187.64</v>
      </c>
      <c r="AJ14" s="383">
        <f>AI14-D14-D15-D23</f>
        <v>-0.35999999998603016</v>
      </c>
    </row>
    <row r="15" spans="1:38">
      <c r="A15" s="55">
        <v>1212</v>
      </c>
      <c r="B15" s="54" t="s">
        <v>134</v>
      </c>
      <c r="C15" s="380">
        <v>803</v>
      </c>
      <c r="D15" s="431">
        <v>763</v>
      </c>
      <c r="E15" s="105"/>
      <c r="J15" s="8"/>
      <c r="K15" s="8"/>
      <c r="M15" s="8"/>
      <c r="N15" s="8"/>
      <c r="P15" s="8"/>
      <c r="Q15" s="8"/>
      <c r="S15" s="430"/>
      <c r="T15" s="8"/>
      <c r="X15" s="383"/>
      <c r="Z15" s="383"/>
      <c r="AB15" s="8"/>
      <c r="AD15" s="430"/>
      <c r="AI15" s="383"/>
      <c r="AJ15" s="383"/>
    </row>
    <row r="16" spans="1:38">
      <c r="A16" s="55">
        <v>1213</v>
      </c>
      <c r="B16" s="54" t="s">
        <v>135</v>
      </c>
      <c r="C16" s="8"/>
      <c r="D16" s="430"/>
      <c r="E16" s="105"/>
      <c r="J16" s="8"/>
      <c r="K16" s="8"/>
      <c r="M16" s="8"/>
      <c r="N16" s="8"/>
      <c r="P16" s="8"/>
      <c r="Q16" s="8"/>
      <c r="S16" s="430"/>
      <c r="T16" s="8"/>
      <c r="AB16" s="8"/>
      <c r="AD16" s="430"/>
      <c r="AI16" s="383"/>
      <c r="AJ16" s="383"/>
    </row>
    <row r="17" spans="1:30">
      <c r="A17" s="55">
        <v>1214</v>
      </c>
      <c r="B17" s="54" t="s">
        <v>136</v>
      </c>
      <c r="C17" s="8"/>
      <c r="D17" s="430"/>
      <c r="E17" s="105"/>
      <c r="J17" s="8"/>
      <c r="K17" s="8"/>
      <c r="M17" s="8"/>
      <c r="N17" s="8"/>
      <c r="P17" s="8"/>
      <c r="Q17" s="8"/>
      <c r="S17" s="430"/>
      <c r="T17" s="8"/>
      <c r="AB17" s="8"/>
      <c r="AD17" s="430"/>
    </row>
    <row r="18" spans="1:30">
      <c r="A18" s="55">
        <v>1215</v>
      </c>
      <c r="B18" s="54" t="s">
        <v>137</v>
      </c>
      <c r="C18" s="8"/>
      <c r="D18" s="430"/>
      <c r="E18" s="105"/>
      <c r="J18" s="8"/>
      <c r="K18" s="8"/>
      <c r="M18" s="8"/>
      <c r="N18" s="8"/>
      <c r="P18" s="8"/>
      <c r="Q18" s="8"/>
      <c r="S18" s="430"/>
      <c r="T18" s="8"/>
      <c r="AB18" s="8"/>
      <c r="AD18" s="430"/>
    </row>
    <row r="19" spans="1:30">
      <c r="A19" s="55">
        <v>1300</v>
      </c>
      <c r="B19" s="54" t="s">
        <v>138</v>
      </c>
      <c r="C19" s="8"/>
      <c r="D19" s="430"/>
      <c r="E19" s="105"/>
      <c r="J19" s="8"/>
      <c r="K19" s="8"/>
      <c r="M19" s="8"/>
      <c r="N19" s="8"/>
      <c r="P19" s="8"/>
      <c r="Q19" s="8"/>
      <c r="S19" s="430"/>
      <c r="T19" s="8"/>
      <c r="AB19" s="8"/>
      <c r="AD19" s="430"/>
    </row>
    <row r="20" spans="1:30">
      <c r="A20" s="55">
        <v>1410</v>
      </c>
      <c r="B20" s="54" t="s">
        <v>139</v>
      </c>
      <c r="C20" s="8"/>
      <c r="D20" s="430"/>
      <c r="E20" s="105"/>
      <c r="J20" s="8"/>
      <c r="K20" s="8"/>
      <c r="M20" s="8"/>
      <c r="N20" s="8"/>
      <c r="P20" s="8"/>
      <c r="Q20" s="8"/>
      <c r="S20" s="430"/>
      <c r="T20" s="8"/>
      <c r="AB20" s="8"/>
      <c r="AD20" s="430"/>
    </row>
    <row r="21" spans="1:30">
      <c r="A21" s="55">
        <v>1421</v>
      </c>
      <c r="B21" s="54" t="s">
        <v>140</v>
      </c>
      <c r="C21" s="8"/>
      <c r="D21" s="430"/>
      <c r="E21" s="105"/>
      <c r="J21" s="8"/>
      <c r="K21" s="8"/>
      <c r="M21" s="8"/>
      <c r="N21" s="8"/>
      <c r="P21" s="8"/>
      <c r="Q21" s="8"/>
      <c r="S21" s="8"/>
      <c r="T21" s="8"/>
      <c r="AB21" s="8"/>
      <c r="AD21" s="430"/>
    </row>
    <row r="22" spans="1:30">
      <c r="A22" s="55">
        <v>1422</v>
      </c>
      <c r="B22" s="54" t="s">
        <v>141</v>
      </c>
      <c r="C22" s="8"/>
      <c r="D22" s="430"/>
      <c r="E22" s="105"/>
      <c r="J22" s="8"/>
      <c r="K22" s="8"/>
      <c r="M22" s="8"/>
      <c r="N22" s="8"/>
      <c r="P22" s="8"/>
      <c r="Q22" s="8"/>
      <c r="S22" s="8"/>
      <c r="T22" s="8"/>
      <c r="AB22" s="8"/>
      <c r="AD22" s="430"/>
    </row>
    <row r="23" spans="1:30">
      <c r="A23" s="55">
        <v>1423</v>
      </c>
      <c r="B23" s="54" t="s">
        <v>142</v>
      </c>
      <c r="C23" s="8">
        <v>120</v>
      </c>
      <c r="D23" s="430">
        <v>120</v>
      </c>
      <c r="E23" s="105"/>
      <c r="J23" s="8">
        <v>120</v>
      </c>
      <c r="K23" s="8">
        <v>120</v>
      </c>
      <c r="M23" s="8">
        <v>120</v>
      </c>
      <c r="N23" s="8">
        <v>120</v>
      </c>
      <c r="P23" s="8">
        <v>120</v>
      </c>
      <c r="Q23" s="8">
        <v>120</v>
      </c>
      <c r="S23" s="8">
        <v>120</v>
      </c>
      <c r="T23" s="8">
        <v>120</v>
      </c>
      <c r="AB23" s="8">
        <v>120</v>
      </c>
      <c r="AD23" s="430">
        <v>120</v>
      </c>
    </row>
    <row r="24" spans="1:30">
      <c r="A24" s="55">
        <v>1431</v>
      </c>
      <c r="B24" s="54" t="s">
        <v>143</v>
      </c>
      <c r="C24" s="8"/>
      <c r="D24" s="430"/>
      <c r="E24" s="105"/>
      <c r="J24" s="8"/>
      <c r="K24" s="8"/>
      <c r="M24" s="8"/>
      <c r="N24" s="8"/>
      <c r="P24" s="8"/>
      <c r="Q24" s="8"/>
      <c r="S24" s="8"/>
      <c r="T24" s="8"/>
      <c r="AB24" s="8"/>
      <c r="AD24" s="430"/>
    </row>
    <row r="25" spans="1:30">
      <c r="A25" s="55">
        <v>1432</v>
      </c>
      <c r="B25" s="54" t="s">
        <v>144</v>
      </c>
      <c r="C25" s="8"/>
      <c r="D25" s="430"/>
      <c r="E25" s="105"/>
      <c r="J25" s="8"/>
      <c r="K25" s="8"/>
      <c r="M25" s="8"/>
      <c r="N25" s="8"/>
      <c r="P25" s="8"/>
      <c r="Q25" s="8"/>
      <c r="S25" s="8"/>
      <c r="T25" s="8"/>
      <c r="AB25" s="8"/>
      <c r="AD25" s="430"/>
    </row>
    <row r="26" spans="1:30">
      <c r="A26" s="55">
        <v>1433</v>
      </c>
      <c r="B26" s="54" t="s">
        <v>145</v>
      </c>
      <c r="C26" s="431">
        <v>8801.69</v>
      </c>
      <c r="D26" s="431">
        <v>8801.69</v>
      </c>
      <c r="E26" s="105"/>
      <c r="J26" s="380">
        <v>8781.68</v>
      </c>
      <c r="K26" s="380">
        <v>8781.68</v>
      </c>
      <c r="M26" s="380">
        <v>8781.68</v>
      </c>
      <c r="N26" s="380">
        <v>8781.67</v>
      </c>
      <c r="P26" s="380">
        <v>8781.68</v>
      </c>
      <c r="Q26" s="380">
        <v>8781.67</v>
      </c>
      <c r="S26" s="380">
        <v>8781.68</v>
      </c>
      <c r="T26" s="380">
        <v>8781.67</v>
      </c>
      <c r="AB26" s="380">
        <v>8781.68</v>
      </c>
      <c r="AD26" s="431">
        <f>8881.68-80</f>
        <v>8801.68</v>
      </c>
    </row>
    <row r="27" spans="1:30">
      <c r="A27" s="55">
        <v>1441</v>
      </c>
      <c r="B27" s="54" t="s">
        <v>146</v>
      </c>
      <c r="C27" s="380">
        <f>43.34+6581.91</f>
        <v>6625.25</v>
      </c>
      <c r="D27" s="431">
        <f>4267.14+14243.33</f>
        <v>18510.47</v>
      </c>
      <c r="E27" s="105"/>
      <c r="J27" s="380">
        <f>43.34+6581.21</f>
        <v>6624.55</v>
      </c>
      <c r="K27" s="380">
        <f>43.34+11529.01</f>
        <v>11572.35</v>
      </c>
      <c r="M27" s="380">
        <v>11572</v>
      </c>
      <c r="N27" s="380">
        <f>4703.94+11707.88</f>
        <v>16411.82</v>
      </c>
      <c r="P27" s="380">
        <f>4703.94+11707.88</f>
        <v>16411.82</v>
      </c>
      <c r="Q27" s="380">
        <f>2373.64+6581.21</f>
        <v>8954.85</v>
      </c>
      <c r="S27" s="380">
        <f>2373.67+6581.21</f>
        <v>8954.880000000001</v>
      </c>
      <c r="T27" s="380">
        <f>4670.24+11633.74</f>
        <v>16303.98</v>
      </c>
      <c r="AB27" s="380">
        <f>4665.14+12372.51</f>
        <v>17037.650000000001</v>
      </c>
      <c r="AD27" s="431">
        <f>2442.04+11859.01</f>
        <v>14301.05</v>
      </c>
    </row>
    <row r="28" spans="1:30">
      <c r="A28" s="55">
        <v>1442</v>
      </c>
      <c r="B28" s="54" t="s">
        <v>147</v>
      </c>
      <c r="C28" s="380"/>
      <c r="D28" s="431"/>
      <c r="E28" s="105"/>
      <c r="J28" s="380">
        <f>2035.19+1100</f>
        <v>3135.19</v>
      </c>
      <c r="K28" s="380">
        <f>2366.77+1100</f>
        <v>3466.77</v>
      </c>
      <c r="M28" s="380">
        <v>3467</v>
      </c>
      <c r="N28" s="380">
        <f>2357.91+1100</f>
        <v>3457.91</v>
      </c>
      <c r="P28" s="380">
        <f>2357.91+1100-0.5</f>
        <v>3457.41</v>
      </c>
      <c r="Q28" s="380">
        <f>2033.51+1100+0.5</f>
        <v>3134.01</v>
      </c>
      <c r="S28" s="380">
        <f>2033.51+1100.5</f>
        <v>3134.01</v>
      </c>
      <c r="T28" s="380">
        <f>2073.51+2500+1100</f>
        <v>5673.51</v>
      </c>
      <c r="AB28" s="380">
        <f>1789.22+3750+1100</f>
        <v>6639.22</v>
      </c>
      <c r="AD28" s="431">
        <f>8193.97+1100</f>
        <v>9293.9699999999993</v>
      </c>
    </row>
    <row r="29" spans="1:30">
      <c r="A29" s="55">
        <v>1443</v>
      </c>
      <c r="B29" s="54" t="s">
        <v>148</v>
      </c>
      <c r="C29" s="8"/>
      <c r="D29" s="430"/>
      <c r="E29" s="105"/>
      <c r="J29" s="8"/>
      <c r="K29" s="8"/>
      <c r="M29" s="8"/>
      <c r="N29" s="8"/>
      <c r="P29" s="8"/>
      <c r="Q29" s="8"/>
      <c r="S29" s="8"/>
      <c r="T29" s="8"/>
      <c r="AB29" s="8"/>
      <c r="AD29" s="430"/>
    </row>
    <row r="30" spans="1:30">
      <c r="A30" s="55">
        <v>1444</v>
      </c>
      <c r="B30" s="54" t="s">
        <v>149</v>
      </c>
      <c r="C30" s="8"/>
      <c r="D30" s="430"/>
      <c r="E30" s="105"/>
      <c r="J30" s="8"/>
      <c r="K30" s="8"/>
      <c r="M30" s="8"/>
      <c r="N30" s="8"/>
      <c r="P30" s="8"/>
      <c r="Q30" s="8"/>
      <c r="S30" s="8"/>
      <c r="T30" s="8"/>
      <c r="AB30" s="8"/>
      <c r="AD30" s="430"/>
    </row>
    <row r="31" spans="1:30">
      <c r="A31" s="55">
        <v>1445</v>
      </c>
      <c r="B31" s="54" t="s">
        <v>150</v>
      </c>
      <c r="C31" s="8"/>
      <c r="D31" s="430"/>
      <c r="E31" s="105"/>
      <c r="J31" s="8"/>
      <c r="K31" s="8"/>
      <c r="M31" s="8"/>
      <c r="N31" s="8"/>
      <c r="P31" s="8"/>
      <c r="Q31" s="8"/>
      <c r="S31" s="8"/>
      <c r="T31" s="8"/>
      <c r="AB31" s="8"/>
      <c r="AD31" s="430"/>
    </row>
    <row r="32" spans="1:30">
      <c r="A32" s="55">
        <v>1446</v>
      </c>
      <c r="B32" s="54" t="s">
        <v>151</v>
      </c>
      <c r="C32" s="380">
        <f>219057.8+1100</f>
        <v>220157.8</v>
      </c>
      <c r="D32" s="431">
        <f>262803.8+1100</f>
        <v>263903.8</v>
      </c>
      <c r="E32" s="105"/>
      <c r="J32" s="8"/>
      <c r="K32" s="8"/>
      <c r="M32" s="8"/>
      <c r="N32" s="8"/>
      <c r="P32" s="8"/>
      <c r="Q32" s="8"/>
      <c r="S32" s="8"/>
      <c r="T32" s="8"/>
      <c r="AB32" s="8"/>
      <c r="AD32" s="430"/>
    </row>
    <row r="33" spans="1:36">
      <c r="A33" s="29"/>
      <c r="E33" s="105"/>
    </row>
    <row r="34" spans="1:36">
      <c r="A34" s="56" t="s">
        <v>182</v>
      </c>
      <c r="B34" s="54"/>
      <c r="C34" s="382">
        <f>SUM(C35:C42)</f>
        <v>93370.86</v>
      </c>
      <c r="D34" s="382">
        <f>SUM(D35:D42)</f>
        <v>105428.76000000001</v>
      </c>
      <c r="E34" s="105"/>
      <c r="J34" s="382">
        <f>SUM(J35:J42)</f>
        <v>117269.24</v>
      </c>
      <c r="K34" s="382">
        <f>SUM(K35:K42)</f>
        <v>117269.24</v>
      </c>
      <c r="M34" s="382">
        <f>SUM(M35:M42)</f>
        <v>117269.24</v>
      </c>
      <c r="N34" s="382">
        <f>SUM(N35:N42)</f>
        <v>117269.24</v>
      </c>
      <c r="P34" s="382">
        <f>SUM(P35:P42)</f>
        <v>117269.24</v>
      </c>
      <c r="Q34" s="382">
        <f>SUM(Q35:Q42)</f>
        <v>117269.24</v>
      </c>
      <c r="S34" s="382">
        <f>SUM(S35:S42)</f>
        <v>117269.24</v>
      </c>
      <c r="T34" s="382">
        <f>SUM(T35:T42)</f>
        <v>117269.24</v>
      </c>
      <c r="AB34" s="382">
        <f>SUM(AB35:AB42)</f>
        <v>117269.24</v>
      </c>
      <c r="AD34" s="382">
        <f>SUM(AD35:AD42)</f>
        <v>115176.35</v>
      </c>
    </row>
    <row r="35" spans="1:36">
      <c r="A35" s="55">
        <v>2110</v>
      </c>
      <c r="B35" s="54" t="s">
        <v>89</v>
      </c>
      <c r="C35" s="430"/>
      <c r="D35" s="430"/>
      <c r="E35" s="105"/>
      <c r="J35" s="8"/>
      <c r="K35" s="8"/>
      <c r="M35" s="8"/>
      <c r="N35" s="8"/>
      <c r="P35" s="8"/>
      <c r="Q35" s="8"/>
      <c r="S35" s="8"/>
      <c r="T35" s="8"/>
      <c r="AB35" s="8"/>
      <c r="AD35" s="8"/>
    </row>
    <row r="36" spans="1:36">
      <c r="A36" s="55">
        <v>2120</v>
      </c>
      <c r="B36" s="54" t="s">
        <v>152</v>
      </c>
      <c r="C36" s="431">
        <f>85902.86+1915</f>
        <v>87817.86</v>
      </c>
      <c r="D36" s="431">
        <f>85902.86+1915+12057.55</f>
        <v>99875.41</v>
      </c>
      <c r="E36" s="105"/>
      <c r="J36" s="8">
        <v>109152</v>
      </c>
      <c r="K36" s="8">
        <v>109152</v>
      </c>
      <c r="M36" s="8">
        <v>109152</v>
      </c>
      <c r="N36" s="8">
        <v>109152</v>
      </c>
      <c r="P36" s="8">
        <v>109152</v>
      </c>
      <c r="Q36" s="8">
        <v>109152</v>
      </c>
      <c r="S36" s="8">
        <v>109152</v>
      </c>
      <c r="T36" s="8">
        <v>109152</v>
      </c>
      <c r="AB36" s="430">
        <v>109152</v>
      </c>
      <c r="AD36" s="430">
        <v>109152</v>
      </c>
    </row>
    <row r="37" spans="1:36">
      <c r="A37" s="55">
        <v>2130</v>
      </c>
      <c r="B37" s="54" t="s">
        <v>90</v>
      </c>
      <c r="C37" s="430"/>
      <c r="D37" s="430"/>
      <c r="E37" s="105"/>
      <c r="J37" s="8"/>
      <c r="K37" s="8"/>
      <c r="M37" s="8"/>
      <c r="N37" s="8"/>
      <c r="P37" s="8"/>
      <c r="Q37" s="8"/>
      <c r="S37" s="8"/>
      <c r="T37" s="8"/>
      <c r="AB37" s="430"/>
      <c r="AD37" s="430"/>
    </row>
    <row r="38" spans="1:36">
      <c r="A38" s="55">
        <v>2140</v>
      </c>
      <c r="B38" s="54" t="s">
        <v>385</v>
      </c>
      <c r="C38" s="430"/>
      <c r="D38" s="430"/>
      <c r="E38" s="105"/>
      <c r="J38" s="8"/>
      <c r="K38" s="8"/>
      <c r="M38" s="8"/>
      <c r="N38" s="8"/>
      <c r="P38" s="8"/>
      <c r="Q38" s="8"/>
      <c r="S38" s="8"/>
      <c r="T38" s="8"/>
      <c r="AB38" s="430"/>
      <c r="AD38" s="430"/>
    </row>
    <row r="39" spans="1:36">
      <c r="A39" s="55">
        <v>2150</v>
      </c>
      <c r="B39" s="54" t="s">
        <v>387</v>
      </c>
      <c r="C39" s="430">
        <v>940</v>
      </c>
      <c r="D39" s="430">
        <v>940</v>
      </c>
      <c r="E39" s="105"/>
      <c r="J39" s="8">
        <v>1411</v>
      </c>
      <c r="K39" s="8">
        <v>1411</v>
      </c>
      <c r="M39" s="8">
        <v>1411</v>
      </c>
      <c r="N39" s="8">
        <v>1411</v>
      </c>
      <c r="P39" s="8">
        <v>1411</v>
      </c>
      <c r="Q39" s="8">
        <v>1411</v>
      </c>
      <c r="S39" s="8">
        <v>1411</v>
      </c>
      <c r="T39" s="8">
        <v>1411</v>
      </c>
      <c r="AB39" s="430">
        <v>1411</v>
      </c>
      <c r="AD39" s="430">
        <v>1411</v>
      </c>
    </row>
    <row r="40" spans="1:36">
      <c r="A40" s="55">
        <v>2220</v>
      </c>
      <c r="B40" s="54" t="s">
        <v>91</v>
      </c>
      <c r="C40" s="431">
        <v>4613</v>
      </c>
      <c r="D40" s="431">
        <v>4613.3500000000004</v>
      </c>
      <c r="E40" s="105"/>
      <c r="J40" s="380">
        <v>6706.24</v>
      </c>
      <c r="K40" s="380">
        <v>6706.24</v>
      </c>
      <c r="M40" s="380">
        <v>6706.24</v>
      </c>
      <c r="N40" s="380">
        <v>6706.24</v>
      </c>
      <c r="P40" s="380">
        <v>6706.24</v>
      </c>
      <c r="Q40" s="380">
        <v>6706.24</v>
      </c>
      <c r="S40" s="380">
        <v>6706.24</v>
      </c>
      <c r="T40" s="380">
        <v>6706.24</v>
      </c>
      <c r="AB40" s="431">
        <v>6706.24</v>
      </c>
      <c r="AD40" s="431">
        <v>4613.3500000000004</v>
      </c>
    </row>
    <row r="41" spans="1:36">
      <c r="A41" s="55">
        <v>2300</v>
      </c>
      <c r="B41" s="54" t="s">
        <v>153</v>
      </c>
      <c r="C41" s="430"/>
      <c r="D41" s="430"/>
      <c r="E41" s="105"/>
      <c r="J41" s="8"/>
      <c r="K41" s="8"/>
      <c r="M41" s="8"/>
      <c r="N41" s="8"/>
      <c r="P41" s="8"/>
      <c r="Q41" s="8"/>
      <c r="S41" s="8"/>
      <c r="T41" s="8"/>
      <c r="AB41" s="430"/>
      <c r="AD41" s="430"/>
    </row>
    <row r="42" spans="1:36">
      <c r="A42" s="55">
        <v>2400</v>
      </c>
      <c r="B42" s="54" t="s">
        <v>154</v>
      </c>
      <c r="C42" s="8"/>
      <c r="D42" s="8"/>
      <c r="E42" s="105"/>
      <c r="J42" s="8"/>
      <c r="K42" s="8"/>
      <c r="M42" s="8"/>
      <c r="N42" s="8"/>
      <c r="P42" s="8"/>
      <c r="Q42" s="8"/>
      <c r="S42" s="8"/>
      <c r="T42" s="8"/>
      <c r="AB42" s="8"/>
      <c r="AD42" s="8"/>
    </row>
    <row r="43" spans="1:36">
      <c r="A43" s="30"/>
      <c r="E43" s="105"/>
    </row>
    <row r="44" spans="1:36">
      <c r="A44" s="53" t="s">
        <v>186</v>
      </c>
      <c r="B44" s="54"/>
      <c r="C44" s="382">
        <f>SUM(C45,C64)</f>
        <v>464577.28000000003</v>
      </c>
      <c r="D44" s="382">
        <f>SUM(D45,D64)</f>
        <v>1110833.19</v>
      </c>
      <c r="E44" s="105"/>
      <c r="J44" s="382">
        <f>SUM(J45,J64)</f>
        <v>371701.75</v>
      </c>
      <c r="K44" s="382">
        <f>SUM(K45,K64)</f>
        <v>422463.94999999995</v>
      </c>
      <c r="M44" s="382">
        <f>SUM(M45,M64)</f>
        <v>422464.01</v>
      </c>
      <c r="N44" s="382">
        <f>SUM(N45,N64)</f>
        <v>350477.14999999991</v>
      </c>
      <c r="P44" s="382">
        <f>SUM(P45,P64)</f>
        <v>350477.14999999991</v>
      </c>
      <c r="Q44" s="382">
        <f>SUM(Q45,Q64)</f>
        <v>346813.6399999999</v>
      </c>
      <c r="S44" s="382">
        <f>SUM(S45,S64)</f>
        <v>346813.6399999999</v>
      </c>
      <c r="T44" s="382">
        <f>SUM(T45,T64)</f>
        <v>335768.64999999991</v>
      </c>
      <c r="AB44" s="382">
        <f>SUM(AB45,AB64)</f>
        <v>327979.14999999991</v>
      </c>
      <c r="AD44" s="382">
        <f>SUM(AD45,AD64)</f>
        <v>271119.1399999999</v>
      </c>
      <c r="AI44" s="383">
        <f>D45-C45</f>
        <v>-36255.330000000075</v>
      </c>
    </row>
    <row r="45" spans="1:36">
      <c r="A45" s="56" t="s">
        <v>183</v>
      </c>
      <c r="B45" s="54"/>
      <c r="C45" s="382">
        <f>SUM(C46:C61)</f>
        <v>1405278.48</v>
      </c>
      <c r="D45" s="382">
        <f>SUM(D46:D61)</f>
        <v>1369023.15</v>
      </c>
      <c r="E45" s="105"/>
      <c r="J45" s="382">
        <f>SUM(J46:J61)</f>
        <v>1417417.75</v>
      </c>
      <c r="K45" s="382">
        <f>SUM(K46:K61)</f>
        <v>1405185.15</v>
      </c>
      <c r="M45" s="382">
        <f>SUM(M46:M61)</f>
        <v>1405185.21</v>
      </c>
      <c r="N45" s="382">
        <f>SUM(N46:N61)</f>
        <v>1398660.15</v>
      </c>
      <c r="P45" s="382">
        <f>SUM(P46:P61)</f>
        <v>1398660.15</v>
      </c>
      <c r="Q45" s="382">
        <f>SUM(Q46:Q61)</f>
        <v>1404022.64</v>
      </c>
      <c r="S45" s="382">
        <f>SUM(S46:S61)</f>
        <v>1404022.64</v>
      </c>
      <c r="T45" s="382">
        <f>SUM(T46:T61)</f>
        <v>1400797.65</v>
      </c>
      <c r="W45" s="383">
        <f>D45-C45</f>
        <v>-36255.330000000075</v>
      </c>
      <c r="AB45" s="382">
        <f>SUM(AB46:AB61)</f>
        <v>1396685.15</v>
      </c>
      <c r="AD45" s="382">
        <f>SUM(AD46:AD61)</f>
        <v>1400696.14</v>
      </c>
      <c r="AI45" s="383">
        <f>D47-C47</f>
        <v>-36255.330000000075</v>
      </c>
    </row>
    <row r="46" spans="1:36">
      <c r="A46" s="55">
        <v>3100</v>
      </c>
      <c r="B46" s="54" t="s">
        <v>155</v>
      </c>
      <c r="C46" s="8"/>
      <c r="D46" s="8"/>
      <c r="E46" s="105"/>
      <c r="G46" s="383"/>
      <c r="J46" s="8"/>
      <c r="K46" s="8"/>
      <c r="M46" s="8"/>
      <c r="N46" s="8"/>
      <c r="P46" s="8"/>
      <c r="Q46" s="8"/>
      <c r="S46" s="8"/>
      <c r="T46" s="8"/>
      <c r="W46" s="383">
        <f>D45-C45</f>
        <v>-36255.330000000075</v>
      </c>
      <c r="AB46" s="8"/>
      <c r="AD46" s="8"/>
    </row>
    <row r="47" spans="1:36">
      <c r="A47" s="55">
        <v>3210</v>
      </c>
      <c r="B47" s="54" t="s">
        <v>156</v>
      </c>
      <c r="C47" s="380">
        <f>1369296+10884.34+9545.83+14648.16+812.5</f>
        <v>1405186.83</v>
      </c>
      <c r="D47" s="431">
        <f>1320234+8416.01+11420.83+13148.16+7562.5+8150</f>
        <v>1368931.5</v>
      </c>
      <c r="E47" s="105"/>
      <c r="J47" s="380">
        <f>1377171+8241.01+9545.83+21555.76+812.5</f>
        <v>1417326.1</v>
      </c>
      <c r="K47" s="380">
        <f>1376671+4416.01+9545.83+13648.16+812.5</f>
        <v>1405093.5</v>
      </c>
      <c r="M47" s="380">
        <f>1376671+4416.01+9545.83+13648.16+812.56</f>
        <v>1405093.56</v>
      </c>
      <c r="N47" s="380">
        <f>1368671+5766.01+9545.83+13773.16+812.5</f>
        <v>1398568.5</v>
      </c>
      <c r="P47" s="380">
        <f>1368671+5766.01+9545.83+13773.16+812.5</f>
        <v>1398568.5</v>
      </c>
      <c r="Q47" s="380">
        <f>1368671+6966.01+9545.82+15960.66+2787.5</f>
        <v>1403930.99</v>
      </c>
      <c r="S47" s="380">
        <f>1368671+6966.01+9545.82+15960.66+2787.5</f>
        <v>1403930.99</v>
      </c>
      <c r="T47" s="380">
        <f>1368671+6341.01+9545.83+15335.66+812.5</f>
        <v>1400706</v>
      </c>
      <c r="W47" s="383">
        <f>D47-C47</f>
        <v>-36255.330000000075</v>
      </c>
      <c r="AB47" s="380">
        <f>1368671+4416.01+9545.83+13148.16+812.5</f>
        <v>1396593.5</v>
      </c>
      <c r="AD47" s="431">
        <f>1370603+6295.01+9545.82+13348.16+812.5</f>
        <v>1400604.49</v>
      </c>
      <c r="AI47" s="383">
        <f>D47-C47</f>
        <v>-36255.330000000075</v>
      </c>
      <c r="AJ47" s="383"/>
    </row>
    <row r="48" spans="1:36">
      <c r="A48" s="55">
        <v>3221</v>
      </c>
      <c r="B48" s="54" t="s">
        <v>157</v>
      </c>
      <c r="C48" s="8"/>
      <c r="D48" s="430"/>
      <c r="E48" s="105"/>
      <c r="J48" s="8"/>
      <c r="K48" s="8"/>
      <c r="M48" s="8"/>
      <c r="N48" s="8"/>
      <c r="P48" s="8"/>
      <c r="Q48" s="8"/>
      <c r="S48" s="8"/>
      <c r="T48" s="8"/>
      <c r="AB48" s="8"/>
      <c r="AD48" s="430"/>
    </row>
    <row r="49" spans="1:30">
      <c r="A49" s="55">
        <v>3222</v>
      </c>
      <c r="B49" s="54" t="s">
        <v>158</v>
      </c>
      <c r="C49" s="8"/>
      <c r="D49" s="430"/>
      <c r="E49" s="105"/>
      <c r="J49" s="8"/>
      <c r="K49" s="8"/>
      <c r="M49" s="8"/>
      <c r="N49" s="8"/>
      <c r="P49" s="8"/>
      <c r="Q49" s="8"/>
      <c r="S49" s="8"/>
      <c r="T49" s="8"/>
      <c r="AB49" s="8"/>
      <c r="AD49" s="430"/>
    </row>
    <row r="50" spans="1:30">
      <c r="A50" s="55">
        <v>3223</v>
      </c>
      <c r="B50" s="54" t="s">
        <v>159</v>
      </c>
      <c r="C50" s="8"/>
      <c r="D50" s="430"/>
      <c r="E50" s="105"/>
      <c r="J50" s="8"/>
      <c r="K50" s="8"/>
      <c r="M50" s="8"/>
      <c r="N50" s="8"/>
      <c r="P50" s="8"/>
      <c r="Q50" s="8"/>
      <c r="S50" s="8"/>
      <c r="T50" s="8"/>
      <c r="AB50" s="8"/>
      <c r="AD50" s="430"/>
    </row>
    <row r="51" spans="1:30">
      <c r="A51" s="55">
        <v>3224</v>
      </c>
      <c r="B51" s="54" t="s">
        <v>160</v>
      </c>
      <c r="C51" s="8"/>
      <c r="D51" s="430"/>
      <c r="E51" s="105"/>
      <c r="J51" s="8"/>
      <c r="K51" s="8"/>
      <c r="M51" s="8"/>
      <c r="N51" s="8"/>
      <c r="P51" s="8"/>
      <c r="Q51" s="8"/>
      <c r="S51" s="8"/>
      <c r="T51" s="8"/>
      <c r="AB51" s="8"/>
      <c r="AD51" s="430"/>
    </row>
    <row r="52" spans="1:30">
      <c r="A52" s="55">
        <v>3231</v>
      </c>
      <c r="B52" s="54" t="s">
        <v>161</v>
      </c>
      <c r="C52" s="8"/>
      <c r="D52" s="430"/>
      <c r="E52" s="105"/>
      <c r="J52" s="8"/>
      <c r="K52" s="8"/>
      <c r="M52" s="8"/>
      <c r="N52" s="8"/>
      <c r="P52" s="8"/>
      <c r="Q52" s="8"/>
      <c r="S52" s="8"/>
      <c r="T52" s="8"/>
      <c r="AB52" s="8"/>
      <c r="AD52" s="430"/>
    </row>
    <row r="53" spans="1:30">
      <c r="A53" s="55">
        <v>3232</v>
      </c>
      <c r="B53" s="54" t="s">
        <v>162</v>
      </c>
      <c r="C53" s="8"/>
      <c r="D53" s="430"/>
      <c r="E53" s="105"/>
      <c r="J53" s="8"/>
      <c r="K53" s="8"/>
      <c r="M53" s="8"/>
      <c r="N53" s="8"/>
      <c r="P53" s="8"/>
      <c r="Q53" s="8"/>
      <c r="S53" s="8"/>
      <c r="T53" s="8"/>
      <c r="AB53" s="8"/>
      <c r="AD53" s="430"/>
    </row>
    <row r="54" spans="1:30">
      <c r="A54" s="55">
        <v>3234</v>
      </c>
      <c r="B54" s="54" t="s">
        <v>163</v>
      </c>
      <c r="C54" s="431">
        <v>91.65</v>
      </c>
      <c r="D54" s="431">
        <v>91.65</v>
      </c>
      <c r="E54" s="105"/>
      <c r="J54" s="380">
        <v>91.65</v>
      </c>
      <c r="K54" s="380">
        <v>91.65</v>
      </c>
      <c r="M54" s="380">
        <v>91.65</v>
      </c>
      <c r="N54" s="380">
        <v>91.65</v>
      </c>
      <c r="P54" s="380">
        <v>91.65</v>
      </c>
      <c r="Q54" s="380">
        <v>91.65</v>
      </c>
      <c r="S54" s="380">
        <v>91.65</v>
      </c>
      <c r="T54" s="380">
        <v>91.65</v>
      </c>
      <c r="AB54" s="380">
        <v>91.65</v>
      </c>
      <c r="AD54" s="431">
        <v>91.65</v>
      </c>
    </row>
    <row r="55" spans="1:30" ht="30">
      <c r="A55" s="55">
        <v>3236</v>
      </c>
      <c r="B55" s="54" t="s">
        <v>178</v>
      </c>
      <c r="C55" s="8"/>
      <c r="D55" s="430"/>
      <c r="E55" s="105"/>
      <c r="J55" s="8"/>
      <c r="K55" s="8"/>
      <c r="M55" s="8"/>
      <c r="N55" s="8"/>
      <c r="P55" s="8"/>
      <c r="Q55" s="8"/>
      <c r="S55" s="8"/>
      <c r="T55" s="8"/>
      <c r="AB55" s="8"/>
      <c r="AD55" s="430"/>
    </row>
    <row r="56" spans="1:30" ht="45">
      <c r="A56" s="55">
        <v>3237</v>
      </c>
      <c r="B56" s="54" t="s">
        <v>164</v>
      </c>
      <c r="C56" s="8"/>
      <c r="D56" s="430"/>
      <c r="E56" s="105"/>
      <c r="J56" s="8"/>
      <c r="K56" s="8"/>
      <c r="M56" s="8"/>
      <c r="N56" s="8"/>
      <c r="P56" s="8"/>
      <c r="Q56" s="8"/>
      <c r="S56" s="8"/>
      <c r="T56" s="8"/>
      <c r="AB56" s="8"/>
      <c r="AD56" s="430"/>
    </row>
    <row r="57" spans="1:30">
      <c r="A57" s="55">
        <v>3241</v>
      </c>
      <c r="B57" s="54" t="s">
        <v>165</v>
      </c>
      <c r="C57" s="8"/>
      <c r="D57" s="8"/>
      <c r="E57" s="105"/>
      <c r="J57" s="8"/>
      <c r="K57" s="8"/>
      <c r="M57" s="8"/>
      <c r="N57" s="8"/>
      <c r="P57" s="8"/>
      <c r="Q57" s="8"/>
      <c r="S57" s="8"/>
      <c r="T57" s="8"/>
      <c r="AB57" s="8"/>
      <c r="AD57" s="8"/>
    </row>
    <row r="58" spans="1:30">
      <c r="A58" s="55">
        <v>3242</v>
      </c>
      <c r="B58" s="54" t="s">
        <v>166</v>
      </c>
      <c r="C58" s="8"/>
      <c r="D58" s="8"/>
      <c r="E58" s="105"/>
      <c r="J58" s="8"/>
      <c r="K58" s="8"/>
      <c r="M58" s="8"/>
      <c r="N58" s="8"/>
      <c r="P58" s="8"/>
      <c r="Q58" s="8"/>
      <c r="S58" s="8"/>
      <c r="T58" s="8"/>
      <c r="AB58" s="8"/>
      <c r="AD58" s="8"/>
    </row>
    <row r="59" spans="1:30">
      <c r="A59" s="55">
        <v>3243</v>
      </c>
      <c r="B59" s="54" t="s">
        <v>167</v>
      </c>
      <c r="C59" s="8"/>
      <c r="D59" s="8"/>
      <c r="E59" s="105"/>
      <c r="J59" s="8"/>
      <c r="K59" s="8"/>
      <c r="M59" s="8"/>
      <c r="N59" s="8"/>
      <c r="P59" s="8"/>
      <c r="Q59" s="8"/>
      <c r="S59" s="8"/>
      <c r="T59" s="8"/>
      <c r="AB59" s="8"/>
      <c r="AD59" s="8"/>
    </row>
    <row r="60" spans="1:30">
      <c r="A60" s="55">
        <v>3245</v>
      </c>
      <c r="B60" s="54" t="s">
        <v>168</v>
      </c>
      <c r="C60" s="8"/>
      <c r="D60" s="8"/>
      <c r="E60" s="105"/>
      <c r="J60" s="8"/>
      <c r="K60" s="8"/>
      <c r="M60" s="8"/>
      <c r="N60" s="8"/>
      <c r="P60" s="8"/>
      <c r="Q60" s="8"/>
      <c r="S60" s="8"/>
      <c r="T60" s="8"/>
      <c r="AB60" s="8"/>
      <c r="AD60" s="8"/>
    </row>
    <row r="61" spans="1:30">
      <c r="A61" s="55">
        <v>3246</v>
      </c>
      <c r="B61" s="54" t="s">
        <v>169</v>
      </c>
      <c r="C61" s="8"/>
      <c r="D61" s="8"/>
      <c r="E61" s="105"/>
      <c r="J61" s="8"/>
      <c r="K61" s="8"/>
      <c r="M61" s="8"/>
      <c r="N61" s="8"/>
      <c r="P61" s="8"/>
      <c r="Q61" s="8"/>
      <c r="S61" s="8"/>
      <c r="T61" s="8"/>
      <c r="AB61" s="8"/>
      <c r="AD61" s="8"/>
    </row>
    <row r="62" spans="1:30">
      <c r="A62" s="30"/>
      <c r="E62" s="105"/>
    </row>
    <row r="63" spans="1:30">
      <c r="A63" s="31"/>
      <c r="E63" s="105"/>
    </row>
    <row r="64" spans="1:30">
      <c r="A64" s="56" t="s">
        <v>184</v>
      </c>
      <c r="B64" s="54"/>
      <c r="C64" s="382">
        <f>SUM(C65:C67)</f>
        <v>-940701.2</v>
      </c>
      <c r="D64" s="382">
        <f>SUM(D65:D67)</f>
        <v>-258189.96</v>
      </c>
      <c r="E64" s="105"/>
      <c r="J64" s="84">
        <f>SUM(J65:J67)</f>
        <v>-1045716</v>
      </c>
      <c r="K64" s="84">
        <f>SUM(K65:K67)</f>
        <v>-982721.2</v>
      </c>
      <c r="M64" s="84">
        <f>SUM(M65:M67)</f>
        <v>-982721.2</v>
      </c>
      <c r="N64" s="84">
        <f>SUM(N65:N67)</f>
        <v>-1048183</v>
      </c>
      <c r="P64" s="84">
        <f>SUM(P65:P67)</f>
        <v>-1048183</v>
      </c>
      <c r="Q64" s="84">
        <f>SUM(Q65:Q67)</f>
        <v>-1057209</v>
      </c>
      <c r="S64" s="84">
        <f>SUM(S65:S67)</f>
        <v>-1057209</v>
      </c>
      <c r="T64" s="84">
        <f>SUM(T65:T67)</f>
        <v>-1065029</v>
      </c>
      <c r="AB64" s="84">
        <f>SUM(AB65:AB67)</f>
        <v>-1068706</v>
      </c>
      <c r="AD64" s="84">
        <f>SUM(AD65:AD67)</f>
        <v>-1129577</v>
      </c>
    </row>
    <row r="65" spans="1:30">
      <c r="A65" s="55">
        <v>5100</v>
      </c>
      <c r="B65" s="54" t="s">
        <v>244</v>
      </c>
      <c r="C65" s="8"/>
      <c r="D65" s="8"/>
      <c r="E65" s="105"/>
      <c r="J65" s="8"/>
      <c r="K65" s="8"/>
      <c r="M65" s="8"/>
      <c r="N65" s="8"/>
      <c r="P65" s="8"/>
      <c r="Q65" s="8"/>
      <c r="S65" s="8"/>
      <c r="T65" s="8"/>
      <c r="AB65" s="8"/>
      <c r="AD65" s="8"/>
    </row>
    <row r="66" spans="1:30">
      <c r="A66" s="55">
        <v>5220</v>
      </c>
      <c r="B66" s="54" t="s">
        <v>407</v>
      </c>
      <c r="C66" s="8"/>
      <c r="D66" s="8"/>
      <c r="E66" s="105"/>
      <c r="J66" s="8"/>
      <c r="K66" s="8"/>
      <c r="M66" s="8"/>
      <c r="N66" s="8"/>
      <c r="P66" s="8"/>
      <c r="Q66" s="8"/>
      <c r="S66" s="8"/>
      <c r="T66" s="8"/>
      <c r="AB66" s="8"/>
      <c r="AD66" s="8"/>
    </row>
    <row r="67" spans="1:30">
      <c r="A67" s="55">
        <v>5230</v>
      </c>
      <c r="B67" s="54" t="s">
        <v>408</v>
      </c>
      <c r="C67" s="380">
        <v>-940701.2</v>
      </c>
      <c r="D67" s="431">
        <v>-258189.96</v>
      </c>
      <c r="E67" s="105"/>
      <c r="J67" s="8">
        <v>-1045716</v>
      </c>
      <c r="K67" s="8">
        <v>-982721.2</v>
      </c>
      <c r="M67" s="8">
        <v>-982721.2</v>
      </c>
      <c r="N67" s="8">
        <v>-1048183</v>
      </c>
      <c r="P67" s="8">
        <v>-1048183</v>
      </c>
      <c r="Q67" s="8">
        <v>-1057209</v>
      </c>
      <c r="S67" s="8">
        <v>-1057209</v>
      </c>
      <c r="T67" s="8">
        <v>-1065029</v>
      </c>
      <c r="AB67" s="8">
        <v>-1068706</v>
      </c>
      <c r="AD67" s="430">
        <f>-1129577</f>
        <v>-1129577</v>
      </c>
    </row>
    <row r="68" spans="1:30">
      <c r="A68" s="30"/>
      <c r="E68" s="105"/>
    </row>
    <row r="69" spans="1:30">
      <c r="A69" s="2"/>
      <c r="E69" s="105"/>
    </row>
    <row r="70" spans="1:30">
      <c r="A70" s="53" t="s">
        <v>185</v>
      </c>
      <c r="B70" s="54"/>
      <c r="C70" s="8"/>
      <c r="D70" s="8"/>
      <c r="E70" s="105"/>
      <c r="J70" s="8"/>
      <c r="K70" s="8"/>
      <c r="M70" s="8"/>
      <c r="N70" s="8"/>
      <c r="P70" s="8"/>
      <c r="Q70" s="8"/>
      <c r="S70" s="8"/>
      <c r="T70" s="8"/>
      <c r="AB70" s="8"/>
      <c r="AD70" s="8"/>
    </row>
    <row r="71" spans="1:30" ht="30">
      <c r="A71" s="55">
        <v>1</v>
      </c>
      <c r="B71" s="54" t="s">
        <v>170</v>
      </c>
      <c r="C71" s="8"/>
      <c r="D71" s="8"/>
      <c r="E71" s="105"/>
      <c r="J71" s="8"/>
      <c r="K71" s="8"/>
      <c r="M71" s="8"/>
      <c r="N71" s="8"/>
      <c r="P71" s="8"/>
      <c r="Q71" s="8"/>
      <c r="S71" s="8"/>
      <c r="T71" s="8"/>
      <c r="AB71" s="8"/>
      <c r="AD71" s="8"/>
    </row>
    <row r="72" spans="1:30">
      <c r="A72" s="55">
        <v>2</v>
      </c>
      <c r="B72" s="54" t="s">
        <v>171</v>
      </c>
      <c r="C72" s="8"/>
      <c r="D72" s="8"/>
      <c r="E72" s="105"/>
      <c r="J72" s="8"/>
      <c r="K72" s="8"/>
      <c r="M72" s="8"/>
      <c r="N72" s="8"/>
      <c r="P72" s="8"/>
      <c r="Q72" s="8"/>
      <c r="S72" s="8"/>
      <c r="T72" s="8"/>
      <c r="AB72" s="8"/>
      <c r="AD72" s="8"/>
    </row>
    <row r="73" spans="1:30">
      <c r="A73" s="55">
        <v>3</v>
      </c>
      <c r="B73" s="54" t="s">
        <v>172</v>
      </c>
      <c r="C73" s="8"/>
      <c r="D73" s="8"/>
      <c r="E73" s="105"/>
      <c r="J73" s="8"/>
      <c r="K73" s="8"/>
      <c r="M73" s="8"/>
      <c r="N73" s="8"/>
      <c r="P73" s="8"/>
      <c r="Q73" s="8"/>
      <c r="S73" s="8"/>
      <c r="T73" s="8"/>
      <c r="AB73" s="8"/>
      <c r="AD73" s="8"/>
    </row>
    <row r="74" spans="1:30">
      <c r="A74" s="55">
        <v>4</v>
      </c>
      <c r="B74" s="54" t="s">
        <v>350</v>
      </c>
      <c r="C74" s="8"/>
      <c r="D74" s="8"/>
      <c r="E74" s="105"/>
      <c r="J74" s="8"/>
      <c r="K74" s="8"/>
      <c r="M74" s="8"/>
      <c r="N74" s="8"/>
      <c r="P74" s="8"/>
      <c r="Q74" s="8"/>
      <c r="S74" s="8"/>
      <c r="T74" s="8"/>
      <c r="AB74" s="8"/>
      <c r="AD74" s="8"/>
    </row>
    <row r="75" spans="1:30">
      <c r="A75" s="55">
        <v>5</v>
      </c>
      <c r="B75" s="54" t="s">
        <v>173</v>
      </c>
      <c r="C75" s="8"/>
      <c r="D75" s="8"/>
      <c r="E75" s="105"/>
      <c r="J75" s="8"/>
      <c r="K75" s="8"/>
      <c r="M75" s="8"/>
      <c r="N75" s="8"/>
      <c r="P75" s="8"/>
      <c r="Q75" s="8"/>
      <c r="S75" s="8"/>
      <c r="T75" s="8"/>
      <c r="AB75" s="8"/>
      <c r="AD75" s="8"/>
    </row>
    <row r="76" spans="1:30">
      <c r="A76" s="55">
        <v>6</v>
      </c>
      <c r="B76" s="54" t="s">
        <v>174</v>
      </c>
      <c r="C76" s="8"/>
      <c r="D76" s="8"/>
      <c r="E76" s="105"/>
      <c r="J76" s="8"/>
      <c r="K76" s="8"/>
      <c r="M76" s="8"/>
      <c r="N76" s="8"/>
      <c r="P76" s="8"/>
      <c r="Q76" s="8"/>
      <c r="S76" s="8"/>
      <c r="T76" s="8"/>
      <c r="AB76" s="8"/>
      <c r="AD76" s="8"/>
    </row>
    <row r="77" spans="1:30">
      <c r="A77" s="55">
        <v>7</v>
      </c>
      <c r="B77" s="54" t="s">
        <v>175</v>
      </c>
      <c r="C77" s="8"/>
      <c r="D77" s="8"/>
      <c r="E77" s="105"/>
      <c r="J77" s="8"/>
      <c r="K77" s="8"/>
      <c r="M77" s="8"/>
      <c r="N77" s="8"/>
      <c r="P77" s="8"/>
      <c r="Q77" s="8"/>
      <c r="S77" s="8"/>
      <c r="T77" s="8"/>
      <c r="AB77" s="8"/>
      <c r="AD77" s="8"/>
    </row>
    <row r="78" spans="1:30">
      <c r="A78" s="55">
        <v>8</v>
      </c>
      <c r="B78" s="54" t="s">
        <v>176</v>
      </c>
      <c r="C78" s="8"/>
      <c r="D78" s="8"/>
      <c r="E78" s="105"/>
      <c r="J78" s="8"/>
      <c r="K78" s="8"/>
      <c r="M78" s="8"/>
      <c r="N78" s="8"/>
      <c r="P78" s="8"/>
      <c r="Q78" s="8"/>
      <c r="S78" s="8"/>
      <c r="T78" s="8"/>
      <c r="AB78" s="8"/>
      <c r="AD78" s="8"/>
    </row>
    <row r="79" spans="1:30">
      <c r="A79" s="55">
        <v>9</v>
      </c>
      <c r="B79" s="54" t="s">
        <v>177</v>
      </c>
      <c r="C79" s="8"/>
      <c r="D79" s="8"/>
      <c r="E79" s="105"/>
      <c r="J79" s="8"/>
      <c r="K79" s="8"/>
      <c r="M79" s="8"/>
      <c r="N79" s="8"/>
      <c r="P79" s="8"/>
      <c r="Q79" s="8"/>
      <c r="S79" s="8"/>
      <c r="T79" s="8"/>
      <c r="AB79" s="8"/>
      <c r="AD79" s="8"/>
    </row>
    <row r="83" spans="1:6">
      <c r="A83" s="2"/>
      <c r="B83" s="2"/>
    </row>
    <row r="84" spans="1:6">
      <c r="A84" s="68" t="s">
        <v>96</v>
      </c>
      <c r="B84" s="2"/>
      <c r="E84" s="5"/>
    </row>
    <row r="85" spans="1:6">
      <c r="A85" s="2"/>
      <c r="B85" s="2"/>
      <c r="E85"/>
      <c r="F85"/>
    </row>
    <row r="86" spans="1:6">
      <c r="A86" s="2"/>
      <c r="B86" s="2"/>
      <c r="D86" s="12"/>
      <c r="E86"/>
      <c r="F86"/>
    </row>
    <row r="87" spans="1:6">
      <c r="A87"/>
      <c r="B87" s="68" t="s">
        <v>415</v>
      </c>
      <c r="D87" s="12"/>
      <c r="E87"/>
      <c r="F87"/>
    </row>
    <row r="88" spans="1:6">
      <c r="A88"/>
      <c r="B88" s="2" t="s">
        <v>416</v>
      </c>
      <c r="D88" s="12"/>
      <c r="E88"/>
      <c r="F88"/>
    </row>
    <row r="89" spans="1:6" customFormat="1" ht="12.75">
      <c r="B89" s="64" t="s">
        <v>128</v>
      </c>
    </row>
    <row r="90" spans="1:6" customFormat="1" ht="12.75"/>
    <row r="91" spans="1:6" customFormat="1" ht="12.75"/>
    <row r="92" spans="1:6" customFormat="1" ht="12.75"/>
    <row r="93" spans="1:6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view="pageBreakPreview" zoomScale="70" zoomScaleSheetLayoutView="70" workbookViewId="0">
      <selection activeCell="H12" sqref="H12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3" t="s">
        <v>422</v>
      </c>
      <c r="B1" s="75"/>
      <c r="C1" s="75"/>
      <c r="D1" s="75"/>
      <c r="E1" s="75"/>
      <c r="F1" s="75"/>
      <c r="G1" s="75"/>
      <c r="H1" s="75"/>
      <c r="I1" s="566" t="s">
        <v>98</v>
      </c>
      <c r="J1" s="566"/>
      <c r="K1" s="105"/>
    </row>
    <row r="2" spans="1:11">
      <c r="A2" s="75" t="s">
        <v>129</v>
      </c>
      <c r="B2" s="75"/>
      <c r="C2" s="75"/>
      <c r="D2" s="75"/>
      <c r="E2" s="75"/>
      <c r="F2" s="75"/>
      <c r="G2" s="75"/>
      <c r="H2" s="75"/>
      <c r="I2" s="564" t="s">
        <v>943</v>
      </c>
      <c r="J2" s="565"/>
      <c r="K2" s="105"/>
    </row>
    <row r="3" spans="1:11">
      <c r="A3" s="75"/>
      <c r="B3" s="75"/>
      <c r="C3" s="75"/>
      <c r="D3" s="75"/>
      <c r="E3" s="75"/>
      <c r="F3" s="75"/>
      <c r="G3" s="75"/>
      <c r="H3" s="75"/>
      <c r="I3" s="74"/>
      <c r="J3" s="74"/>
      <c r="K3" s="105"/>
    </row>
    <row r="4" spans="1:11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124"/>
      <c r="G4" s="75"/>
      <c r="H4" s="75"/>
      <c r="I4" s="75"/>
      <c r="J4" s="75"/>
      <c r="K4" s="105"/>
    </row>
    <row r="5" spans="1:11">
      <c r="A5" s="110" t="s">
        <v>654</v>
      </c>
      <c r="B5" s="236"/>
      <c r="C5" s="236"/>
      <c r="D5" s="236"/>
      <c r="E5" s="236"/>
      <c r="F5" s="237"/>
      <c r="G5" s="236"/>
      <c r="H5" s="236"/>
      <c r="I5" s="236"/>
      <c r="J5" s="236"/>
      <c r="K5" s="105"/>
    </row>
    <row r="6" spans="1:11">
      <c r="A6" s="76"/>
      <c r="B6" s="76"/>
      <c r="C6" s="75"/>
      <c r="D6" s="75"/>
      <c r="E6" s="75"/>
      <c r="F6" s="124"/>
      <c r="G6" s="75"/>
      <c r="H6" s="75"/>
      <c r="I6" s="75"/>
      <c r="J6" s="75"/>
      <c r="K6" s="105"/>
    </row>
    <row r="7" spans="1:11">
      <c r="A7" s="125"/>
      <c r="B7" s="122"/>
      <c r="C7" s="122"/>
      <c r="D7" s="122"/>
      <c r="E7" s="122"/>
      <c r="F7" s="122"/>
      <c r="G7" s="122"/>
      <c r="H7" s="122"/>
      <c r="I7" s="122"/>
      <c r="J7" s="122"/>
      <c r="K7" s="105"/>
    </row>
    <row r="8" spans="1:11" s="26" customFormat="1" ht="45">
      <c r="A8" s="127" t="s">
        <v>64</v>
      </c>
      <c r="B8" s="127" t="s">
        <v>100</v>
      </c>
      <c r="C8" s="128" t="s">
        <v>102</v>
      </c>
      <c r="D8" s="128" t="s">
        <v>264</v>
      </c>
      <c r="E8" s="128" t="s">
        <v>101</v>
      </c>
      <c r="F8" s="126" t="s">
        <v>245</v>
      </c>
      <c r="G8" s="126" t="s">
        <v>284</v>
      </c>
      <c r="H8" s="126" t="s">
        <v>285</v>
      </c>
      <c r="I8" s="126" t="s">
        <v>246</v>
      </c>
      <c r="J8" s="129" t="s">
        <v>103</v>
      </c>
      <c r="K8" s="105"/>
    </row>
    <row r="9" spans="1:11" s="26" customFormat="1">
      <c r="A9" s="157">
        <v>1</v>
      </c>
      <c r="B9" s="157">
        <v>2</v>
      </c>
      <c r="C9" s="158">
        <v>3</v>
      </c>
      <c r="D9" s="158">
        <v>4</v>
      </c>
      <c r="E9" s="158">
        <v>5</v>
      </c>
      <c r="F9" s="158">
        <v>6</v>
      </c>
      <c r="G9" s="158">
        <v>7</v>
      </c>
      <c r="H9" s="158">
        <v>8</v>
      </c>
      <c r="I9" s="158">
        <v>9</v>
      </c>
      <c r="J9" s="158">
        <v>10</v>
      </c>
      <c r="K9" s="105"/>
    </row>
    <row r="10" spans="1:11" s="26" customFormat="1" ht="30">
      <c r="A10" s="157">
        <v>1</v>
      </c>
      <c r="B10" s="352" t="s">
        <v>471</v>
      </c>
      <c r="C10" s="353" t="s">
        <v>472</v>
      </c>
      <c r="D10" s="354" t="s">
        <v>473</v>
      </c>
      <c r="E10" s="355" t="s">
        <v>474</v>
      </c>
      <c r="F10" s="158">
        <v>134698</v>
      </c>
      <c r="G10" s="485">
        <v>983107</v>
      </c>
      <c r="H10" s="485">
        <v>404500.32</v>
      </c>
      <c r="I10" s="158">
        <f>F10+G10-H10</f>
        <v>713304.67999999993</v>
      </c>
      <c r="J10" s="158"/>
      <c r="K10" s="105"/>
    </row>
    <row r="11" spans="1:11" s="26" customFormat="1" ht="30">
      <c r="A11" s="157">
        <v>2</v>
      </c>
      <c r="B11" s="356" t="s">
        <v>471</v>
      </c>
      <c r="C11" s="357" t="s">
        <v>475</v>
      </c>
      <c r="D11" s="358" t="s">
        <v>476</v>
      </c>
      <c r="E11" s="359" t="s">
        <v>474</v>
      </c>
      <c r="F11" s="158"/>
      <c r="G11" s="485"/>
      <c r="H11" s="485"/>
      <c r="I11" s="158">
        <f t="shared" ref="I11" si="0">F11+G11-H11</f>
        <v>0</v>
      </c>
      <c r="J11" s="158"/>
      <c r="K11" s="105"/>
    </row>
    <row r="12" spans="1:11" s="26" customFormat="1" ht="30">
      <c r="A12" s="157">
        <v>3</v>
      </c>
      <c r="B12" s="356" t="s">
        <v>471</v>
      </c>
      <c r="C12" s="357" t="s">
        <v>475</v>
      </c>
      <c r="D12" s="358" t="s">
        <v>477</v>
      </c>
      <c r="E12" s="359" t="s">
        <v>474</v>
      </c>
      <c r="F12" s="361">
        <v>803</v>
      </c>
      <c r="G12" s="360">
        <v>0</v>
      </c>
      <c r="H12" s="506">
        <v>40.04</v>
      </c>
      <c r="I12" s="158">
        <f>F12+G12-H12</f>
        <v>762.96</v>
      </c>
      <c r="J12" s="360"/>
      <c r="K12" s="105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104"/>
      <c r="C15" s="104"/>
      <c r="D15" s="104"/>
      <c r="E15" s="104"/>
      <c r="F15" s="104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4"/>
      <c r="G16" s="104"/>
      <c r="H16" s="104"/>
      <c r="I16" s="104"/>
      <c r="J16" s="104"/>
    </row>
    <row r="17" spans="1:10">
      <c r="A17" s="104"/>
      <c r="B17" s="232" t="s">
        <v>96</v>
      </c>
      <c r="C17" s="104"/>
      <c r="D17" s="104"/>
      <c r="E17" s="104"/>
      <c r="F17" s="233"/>
      <c r="G17" s="104"/>
      <c r="H17" s="104"/>
      <c r="I17" s="104"/>
      <c r="J17" s="104"/>
    </row>
    <row r="18" spans="1:10">
      <c r="A18" s="104"/>
      <c r="B18" s="104"/>
      <c r="C18" s="104"/>
      <c r="D18" s="104"/>
      <c r="E18" s="104"/>
      <c r="F18" s="101"/>
      <c r="G18" s="101"/>
      <c r="H18" s="101"/>
      <c r="I18" s="101"/>
      <c r="J18" s="101"/>
    </row>
    <row r="19" spans="1:10">
      <c r="A19" s="104"/>
      <c r="B19" s="104"/>
      <c r="C19" s="270"/>
      <c r="D19" s="104"/>
      <c r="E19" s="104"/>
      <c r="F19" s="270"/>
      <c r="G19" s="271"/>
      <c r="H19" s="271"/>
      <c r="I19" s="101"/>
      <c r="J19" s="101"/>
    </row>
    <row r="20" spans="1:10">
      <c r="A20" s="101"/>
      <c r="B20" s="104"/>
      <c r="C20" s="234" t="s">
        <v>257</v>
      </c>
      <c r="D20" s="234"/>
      <c r="E20" s="104"/>
      <c r="F20" s="104" t="s">
        <v>262</v>
      </c>
      <c r="G20" s="101"/>
      <c r="H20" s="101"/>
      <c r="I20" s="101"/>
      <c r="J20" s="101"/>
    </row>
    <row r="21" spans="1:10">
      <c r="A21" s="101"/>
      <c r="B21" s="104"/>
      <c r="C21" s="235" t="s">
        <v>128</v>
      </c>
      <c r="D21" s="104"/>
      <c r="E21" s="104"/>
      <c r="F21" s="104" t="s">
        <v>258</v>
      </c>
      <c r="G21" s="101"/>
      <c r="H21" s="101"/>
      <c r="I21" s="101"/>
      <c r="J21" s="101"/>
    </row>
    <row r="22" spans="1:10" customFormat="1">
      <c r="A22" s="101"/>
      <c r="B22" s="104"/>
      <c r="C22" s="104"/>
      <c r="D22" s="235"/>
      <c r="E22" s="101"/>
      <c r="F22" s="101"/>
      <c r="G22" s="101"/>
      <c r="H22" s="101"/>
      <c r="I22" s="101"/>
      <c r="J22" s="101"/>
    </row>
    <row r="23" spans="1:10" customFormat="1" ht="12.75">
      <c r="A23" s="101"/>
      <c r="B23" s="101"/>
      <c r="C23" s="101"/>
      <c r="D23" s="101"/>
      <c r="E23" s="101"/>
      <c r="F23" s="101"/>
      <c r="G23" s="101"/>
      <c r="H23" s="101"/>
      <c r="I23" s="101"/>
      <c r="J23" s="101"/>
    </row>
    <row r="24" spans="1:10" customFormat="1" ht="12.75"/>
    <row r="25" spans="1:10" customFormat="1" ht="12.75"/>
    <row r="26" spans="1:10" customFormat="1" ht="12.75"/>
    <row r="27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2"/>
  </dataValidations>
  <printOptions gridLines="1"/>
  <pageMargins left="0.25" right="0.25" top="0.75" bottom="0.75" header="0.3" footer="0.3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G2" sqref="G2:H2"/>
    </sheetView>
  </sheetViews>
  <sheetFormatPr defaultRowHeight="15"/>
  <cols>
    <col min="1" max="1" width="12" style="183" customWidth="1"/>
    <col min="2" max="2" width="13.28515625" style="183" customWidth="1"/>
    <col min="3" max="3" width="21.42578125" style="183" customWidth="1"/>
    <col min="4" max="4" width="17.85546875" style="183" customWidth="1"/>
    <col min="5" max="5" width="12.7109375" style="183" customWidth="1"/>
    <col min="6" max="6" width="36.85546875" style="183" customWidth="1"/>
    <col min="7" max="7" width="22.28515625" style="183" customWidth="1"/>
    <col min="8" max="8" width="0.5703125" style="183" customWidth="1"/>
    <col min="9" max="16384" width="9.140625" style="183"/>
  </cols>
  <sheetData>
    <row r="1" spans="1:8">
      <c r="A1" s="73" t="s">
        <v>353</v>
      </c>
      <c r="B1" s="75"/>
      <c r="C1" s="75"/>
      <c r="D1" s="75"/>
      <c r="E1" s="75"/>
      <c r="F1" s="75"/>
      <c r="G1" s="163" t="s">
        <v>98</v>
      </c>
      <c r="H1" s="164"/>
    </row>
    <row r="2" spans="1:8">
      <c r="A2" s="75" t="s">
        <v>129</v>
      </c>
      <c r="B2" s="75"/>
      <c r="C2" s="75"/>
      <c r="D2" s="75"/>
      <c r="E2" s="75"/>
      <c r="F2" s="75"/>
      <c r="G2" s="564" t="s">
        <v>943</v>
      </c>
      <c r="H2" s="565"/>
    </row>
    <row r="3" spans="1:8">
      <c r="A3" s="75"/>
      <c r="B3" s="75"/>
      <c r="C3" s="75"/>
      <c r="D3" s="75"/>
      <c r="E3" s="75"/>
      <c r="F3" s="75"/>
      <c r="G3" s="102"/>
      <c r="H3" s="164"/>
    </row>
    <row r="4" spans="1:8">
      <c r="A4" s="76" t="str">
        <f>'[3]ფორმა N2'!A4</f>
        <v>ანგარიშვალდებული პირის დასახელება:</v>
      </c>
      <c r="B4" s="75"/>
      <c r="C4" s="75"/>
      <c r="D4" s="75"/>
      <c r="E4" s="75"/>
      <c r="F4" s="75"/>
      <c r="G4" s="75"/>
      <c r="H4" s="104"/>
    </row>
    <row r="5" spans="1:8">
      <c r="A5" s="110" t="s">
        <v>654</v>
      </c>
      <c r="B5" s="221"/>
      <c r="C5" s="221"/>
      <c r="D5" s="221"/>
      <c r="E5" s="221"/>
      <c r="F5" s="221"/>
      <c r="G5" s="221"/>
      <c r="H5" s="104"/>
    </row>
    <row r="6" spans="1:8">
      <c r="A6" s="76"/>
      <c r="B6" s="75"/>
      <c r="C6" s="75"/>
      <c r="D6" s="75"/>
      <c r="E6" s="75"/>
      <c r="F6" s="75"/>
      <c r="G6" s="75"/>
      <c r="H6" s="104"/>
    </row>
    <row r="7" spans="1:8">
      <c r="A7" s="75"/>
      <c r="B7" s="75"/>
      <c r="C7" s="75"/>
      <c r="D7" s="75"/>
      <c r="E7" s="75"/>
      <c r="F7" s="75"/>
      <c r="G7" s="75"/>
      <c r="H7" s="105"/>
    </row>
    <row r="8" spans="1:8" ht="45.75" customHeight="1">
      <c r="A8" s="165" t="s">
        <v>303</v>
      </c>
      <c r="B8" s="165" t="s">
        <v>130</v>
      </c>
      <c r="C8" s="166" t="s">
        <v>351</v>
      </c>
      <c r="D8" s="166" t="s">
        <v>352</v>
      </c>
      <c r="E8" s="166" t="s">
        <v>264</v>
      </c>
      <c r="F8" s="165" t="s">
        <v>310</v>
      </c>
      <c r="G8" s="166" t="s">
        <v>304</v>
      </c>
      <c r="H8" s="105"/>
    </row>
    <row r="9" spans="1:8">
      <c r="A9" s="167" t="s">
        <v>305</v>
      </c>
      <c r="B9" s="168"/>
      <c r="C9" s="169"/>
      <c r="D9" s="170"/>
      <c r="E9" s="170"/>
      <c r="F9" s="170"/>
      <c r="G9" s="171">
        <v>0</v>
      </c>
      <c r="H9" s="105"/>
    </row>
    <row r="10" spans="1:8" ht="15.75">
      <c r="A10" s="168">
        <v>1</v>
      </c>
      <c r="B10" s="155"/>
      <c r="C10" s="172"/>
      <c r="D10" s="173"/>
      <c r="E10" s="173"/>
      <c r="F10" s="173"/>
      <c r="G10" s="174" t="str">
        <f>IF(ISBLANK(B10),"",G9+C10-D10)</f>
        <v/>
      </c>
      <c r="H10" s="105"/>
    </row>
    <row r="11" spans="1:8" ht="15.75">
      <c r="A11" s="168">
        <v>2</v>
      </c>
      <c r="B11" s="155"/>
      <c r="C11" s="172"/>
      <c r="D11" s="173"/>
      <c r="E11" s="173"/>
      <c r="F11" s="173"/>
      <c r="G11" s="174" t="str">
        <f t="shared" ref="G11" si="0">IF(ISBLANK(B11),"",G10+C11-D11)</f>
        <v/>
      </c>
      <c r="H11" s="105"/>
    </row>
    <row r="12" spans="1:8" ht="15.75">
      <c r="A12" s="168">
        <v>3</v>
      </c>
      <c r="B12" s="155"/>
      <c r="C12" s="172"/>
      <c r="D12" s="173"/>
      <c r="E12" s="173"/>
      <c r="F12" s="173"/>
      <c r="G12" s="174" t="str">
        <f t="shared" ref="G12:G38" si="1">IF(ISBLANK(B12),"",G11+C12-D12)</f>
        <v/>
      </c>
      <c r="H12" s="105"/>
    </row>
    <row r="13" spans="1:8" ht="15.75">
      <c r="A13" s="168">
        <v>4</v>
      </c>
      <c r="B13" s="155"/>
      <c r="C13" s="172"/>
      <c r="D13" s="173"/>
      <c r="E13" s="173"/>
      <c r="F13" s="173"/>
      <c r="G13" s="174" t="str">
        <f t="shared" si="1"/>
        <v/>
      </c>
      <c r="H13" s="105"/>
    </row>
    <row r="14" spans="1:8" ht="15.75">
      <c r="A14" s="168">
        <v>5</v>
      </c>
      <c r="B14" s="155"/>
      <c r="C14" s="172"/>
      <c r="D14" s="173"/>
      <c r="E14" s="173"/>
      <c r="F14" s="173"/>
      <c r="G14" s="174" t="str">
        <f t="shared" si="1"/>
        <v/>
      </c>
      <c r="H14" s="105"/>
    </row>
    <row r="15" spans="1:8" ht="15.75">
      <c r="A15" s="168">
        <v>6</v>
      </c>
      <c r="B15" s="155"/>
      <c r="C15" s="172"/>
      <c r="D15" s="173"/>
      <c r="E15" s="173"/>
      <c r="F15" s="173"/>
      <c r="G15" s="174" t="str">
        <f t="shared" si="1"/>
        <v/>
      </c>
      <c r="H15" s="105"/>
    </row>
    <row r="16" spans="1:8" ht="15.75">
      <c r="A16" s="168">
        <v>7</v>
      </c>
      <c r="B16" s="155"/>
      <c r="C16" s="172"/>
      <c r="D16" s="173"/>
      <c r="E16" s="173"/>
      <c r="F16" s="173"/>
      <c r="G16" s="174" t="str">
        <f t="shared" si="1"/>
        <v/>
      </c>
      <c r="H16" s="105"/>
    </row>
    <row r="17" spans="1:8" ht="15.75">
      <c r="A17" s="168">
        <v>8</v>
      </c>
      <c r="B17" s="155"/>
      <c r="C17" s="172"/>
      <c r="D17" s="173"/>
      <c r="E17" s="173"/>
      <c r="F17" s="173"/>
      <c r="G17" s="174" t="str">
        <f t="shared" si="1"/>
        <v/>
      </c>
      <c r="H17" s="105"/>
    </row>
    <row r="18" spans="1:8" ht="15.75">
      <c r="A18" s="168">
        <v>9</v>
      </c>
      <c r="B18" s="155"/>
      <c r="C18" s="172"/>
      <c r="D18" s="173"/>
      <c r="E18" s="173"/>
      <c r="F18" s="173"/>
      <c r="G18" s="174" t="str">
        <f t="shared" si="1"/>
        <v/>
      </c>
      <c r="H18" s="105"/>
    </row>
    <row r="19" spans="1:8" ht="15.75">
      <c r="A19" s="168">
        <v>10</v>
      </c>
      <c r="B19" s="155"/>
      <c r="C19" s="172"/>
      <c r="D19" s="173"/>
      <c r="E19" s="173"/>
      <c r="F19" s="173"/>
      <c r="G19" s="174" t="str">
        <f t="shared" si="1"/>
        <v/>
      </c>
      <c r="H19" s="105"/>
    </row>
    <row r="20" spans="1:8" ht="15.75">
      <c r="A20" s="168">
        <v>11</v>
      </c>
      <c r="B20" s="155"/>
      <c r="C20" s="172"/>
      <c r="D20" s="173"/>
      <c r="E20" s="173"/>
      <c r="F20" s="173"/>
      <c r="G20" s="174" t="str">
        <f t="shared" si="1"/>
        <v/>
      </c>
      <c r="H20" s="105"/>
    </row>
    <row r="21" spans="1:8" ht="15.75">
      <c r="A21" s="168">
        <v>12</v>
      </c>
      <c r="B21" s="155"/>
      <c r="C21" s="172"/>
      <c r="D21" s="173"/>
      <c r="E21" s="173"/>
      <c r="F21" s="173"/>
      <c r="G21" s="174" t="str">
        <f t="shared" si="1"/>
        <v/>
      </c>
      <c r="H21" s="105"/>
    </row>
    <row r="22" spans="1:8" ht="15.75">
      <c r="A22" s="168">
        <v>13</v>
      </c>
      <c r="B22" s="155"/>
      <c r="C22" s="172"/>
      <c r="D22" s="173"/>
      <c r="E22" s="173"/>
      <c r="F22" s="173"/>
      <c r="G22" s="174" t="str">
        <f t="shared" si="1"/>
        <v/>
      </c>
      <c r="H22" s="105"/>
    </row>
    <row r="23" spans="1:8" ht="15.75">
      <c r="A23" s="168">
        <v>14</v>
      </c>
      <c r="B23" s="155"/>
      <c r="C23" s="172"/>
      <c r="D23" s="173"/>
      <c r="E23" s="173"/>
      <c r="F23" s="173"/>
      <c r="G23" s="174" t="str">
        <f t="shared" si="1"/>
        <v/>
      </c>
      <c r="H23" s="105"/>
    </row>
    <row r="24" spans="1:8" ht="15.75">
      <c r="A24" s="168">
        <v>15</v>
      </c>
      <c r="B24" s="155"/>
      <c r="C24" s="172"/>
      <c r="D24" s="173"/>
      <c r="E24" s="173"/>
      <c r="F24" s="173"/>
      <c r="G24" s="174" t="str">
        <f t="shared" si="1"/>
        <v/>
      </c>
      <c r="H24" s="105"/>
    </row>
    <row r="25" spans="1:8" ht="15.75">
      <c r="A25" s="168">
        <v>16</v>
      </c>
      <c r="B25" s="155"/>
      <c r="C25" s="172"/>
      <c r="D25" s="173"/>
      <c r="E25" s="173"/>
      <c r="F25" s="173"/>
      <c r="G25" s="174" t="str">
        <f t="shared" si="1"/>
        <v/>
      </c>
      <c r="H25" s="105"/>
    </row>
    <row r="26" spans="1:8" ht="15.75">
      <c r="A26" s="168">
        <v>17</v>
      </c>
      <c r="B26" s="155"/>
      <c r="C26" s="172"/>
      <c r="D26" s="173"/>
      <c r="E26" s="173"/>
      <c r="F26" s="173"/>
      <c r="G26" s="174" t="str">
        <f t="shared" si="1"/>
        <v/>
      </c>
      <c r="H26" s="105"/>
    </row>
    <row r="27" spans="1:8" ht="15.75">
      <c r="A27" s="168">
        <v>18</v>
      </c>
      <c r="B27" s="155"/>
      <c r="C27" s="172"/>
      <c r="D27" s="173"/>
      <c r="E27" s="173"/>
      <c r="F27" s="173"/>
      <c r="G27" s="174" t="str">
        <f t="shared" si="1"/>
        <v/>
      </c>
      <c r="H27" s="105"/>
    </row>
    <row r="28" spans="1:8" ht="15.75">
      <c r="A28" s="168">
        <v>19</v>
      </c>
      <c r="B28" s="155"/>
      <c r="C28" s="172"/>
      <c r="D28" s="173"/>
      <c r="E28" s="173"/>
      <c r="F28" s="173"/>
      <c r="G28" s="174" t="str">
        <f t="shared" si="1"/>
        <v/>
      </c>
      <c r="H28" s="105"/>
    </row>
    <row r="29" spans="1:8" ht="15.75">
      <c r="A29" s="168">
        <v>20</v>
      </c>
      <c r="B29" s="155"/>
      <c r="C29" s="172"/>
      <c r="D29" s="173"/>
      <c r="E29" s="173"/>
      <c r="F29" s="173"/>
      <c r="G29" s="174" t="str">
        <f t="shared" si="1"/>
        <v/>
      </c>
      <c r="H29" s="105"/>
    </row>
    <row r="30" spans="1:8" ht="15.75">
      <c r="A30" s="168">
        <v>21</v>
      </c>
      <c r="B30" s="155"/>
      <c r="C30" s="175"/>
      <c r="D30" s="176"/>
      <c r="E30" s="176"/>
      <c r="F30" s="176"/>
      <c r="G30" s="174" t="str">
        <f t="shared" si="1"/>
        <v/>
      </c>
      <c r="H30" s="105"/>
    </row>
    <row r="31" spans="1:8" ht="15.75">
      <c r="A31" s="168">
        <v>22</v>
      </c>
      <c r="B31" s="155"/>
      <c r="C31" s="175"/>
      <c r="D31" s="176"/>
      <c r="E31" s="176"/>
      <c r="F31" s="176"/>
      <c r="G31" s="174" t="str">
        <f t="shared" si="1"/>
        <v/>
      </c>
      <c r="H31" s="105"/>
    </row>
    <row r="32" spans="1:8" ht="15.75">
      <c r="A32" s="168">
        <v>23</v>
      </c>
      <c r="B32" s="155"/>
      <c r="C32" s="175"/>
      <c r="D32" s="176"/>
      <c r="E32" s="176"/>
      <c r="F32" s="176"/>
      <c r="G32" s="174" t="str">
        <f t="shared" si="1"/>
        <v/>
      </c>
      <c r="H32" s="105"/>
    </row>
    <row r="33" spans="1:10" ht="15.75">
      <c r="A33" s="168">
        <v>24</v>
      </c>
      <c r="B33" s="155"/>
      <c r="C33" s="175"/>
      <c r="D33" s="176"/>
      <c r="E33" s="176"/>
      <c r="F33" s="176"/>
      <c r="G33" s="174" t="str">
        <f t="shared" si="1"/>
        <v/>
      </c>
      <c r="H33" s="105"/>
    </row>
    <row r="34" spans="1:10" ht="15.75">
      <c r="A34" s="168">
        <v>25</v>
      </c>
      <c r="B34" s="155"/>
      <c r="C34" s="175"/>
      <c r="D34" s="176"/>
      <c r="E34" s="176"/>
      <c r="F34" s="176"/>
      <c r="G34" s="174" t="str">
        <f t="shared" si="1"/>
        <v/>
      </c>
      <c r="H34" s="105"/>
    </row>
    <row r="35" spans="1:10" ht="15.75">
      <c r="A35" s="168">
        <v>26</v>
      </c>
      <c r="B35" s="155"/>
      <c r="C35" s="175"/>
      <c r="D35" s="176"/>
      <c r="E35" s="176"/>
      <c r="F35" s="176"/>
      <c r="G35" s="174" t="str">
        <f t="shared" si="1"/>
        <v/>
      </c>
      <c r="H35" s="105"/>
    </row>
    <row r="36" spans="1:10" ht="15.75">
      <c r="A36" s="168">
        <v>27</v>
      </c>
      <c r="B36" s="155"/>
      <c r="C36" s="175"/>
      <c r="D36" s="176"/>
      <c r="E36" s="176"/>
      <c r="F36" s="176"/>
      <c r="G36" s="174" t="str">
        <f t="shared" si="1"/>
        <v/>
      </c>
      <c r="H36" s="105"/>
    </row>
    <row r="37" spans="1:10" ht="15.75">
      <c r="A37" s="168">
        <v>28</v>
      </c>
      <c r="B37" s="155"/>
      <c r="C37" s="175"/>
      <c r="D37" s="176"/>
      <c r="E37" s="176"/>
      <c r="F37" s="176"/>
      <c r="G37" s="174" t="str">
        <f t="shared" si="1"/>
        <v/>
      </c>
      <c r="H37" s="105"/>
    </row>
    <row r="38" spans="1:10" ht="15.75">
      <c r="A38" s="168">
        <v>29</v>
      </c>
      <c r="B38" s="155"/>
      <c r="C38" s="175"/>
      <c r="D38" s="176"/>
      <c r="E38" s="176"/>
      <c r="F38" s="176"/>
      <c r="G38" s="174" t="str">
        <f t="shared" si="1"/>
        <v/>
      </c>
      <c r="H38" s="105"/>
    </row>
    <row r="39" spans="1:10" ht="15.75">
      <c r="A39" s="168" t="s">
        <v>268</v>
      </c>
      <c r="B39" s="155"/>
      <c r="C39" s="175"/>
      <c r="D39" s="176"/>
      <c r="E39" s="176"/>
      <c r="F39" s="176"/>
      <c r="G39" s="174" t="str">
        <f>IF(ISBLANK(B39),"",#REF!+C39-D39)</f>
        <v/>
      </c>
      <c r="H39" s="105"/>
    </row>
    <row r="40" spans="1:10">
      <c r="A40" s="177" t="s">
        <v>306</v>
      </c>
      <c r="B40" s="178"/>
      <c r="C40" s="179"/>
      <c r="D40" s="180"/>
      <c r="E40" s="180"/>
      <c r="F40" s="181"/>
      <c r="G40" s="182">
        <v>0</v>
      </c>
      <c r="H40" s="105"/>
    </row>
    <row r="44" spans="1:10">
      <c r="B44" s="185" t="s">
        <v>96</v>
      </c>
      <c r="F44" s="186"/>
    </row>
    <row r="45" spans="1:10">
      <c r="F45" s="184"/>
      <c r="G45" s="184"/>
      <c r="H45" s="184"/>
      <c r="I45" s="184"/>
      <c r="J45" s="184"/>
    </row>
    <row r="46" spans="1:10">
      <c r="C46" s="187"/>
      <c r="F46" s="187"/>
      <c r="G46" s="188"/>
      <c r="H46" s="184"/>
      <c r="I46" s="184"/>
      <c r="J46" s="184"/>
    </row>
    <row r="47" spans="1:10">
      <c r="A47" s="184"/>
      <c r="C47" s="189" t="s">
        <v>257</v>
      </c>
      <c r="F47" s="190" t="s">
        <v>262</v>
      </c>
      <c r="G47" s="188"/>
      <c r="H47" s="184"/>
      <c r="I47" s="184"/>
      <c r="J47" s="184"/>
    </row>
    <row r="48" spans="1:10">
      <c r="A48" s="184"/>
      <c r="C48" s="191" t="s">
        <v>128</v>
      </c>
      <c r="F48" s="183" t="s">
        <v>258</v>
      </c>
      <c r="G48" s="184"/>
      <c r="H48" s="184"/>
      <c r="I48" s="184"/>
      <c r="J48" s="184"/>
    </row>
    <row r="49" spans="2:2" s="184" customFormat="1">
      <c r="B49" s="183"/>
    </row>
    <row r="50" spans="2:2" s="184" customFormat="1" ht="12.75"/>
    <row r="51" spans="2:2" s="184" customFormat="1" ht="12.75"/>
    <row r="52" spans="2:2" s="184" customFormat="1" ht="12.75"/>
    <row r="53" spans="2:2" s="184" customFormat="1" ht="12.75"/>
  </sheetData>
  <mergeCells count="1">
    <mergeCell ref="G2:H2"/>
  </mergeCells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P16" sqref="P16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35" t="s">
        <v>294</v>
      </c>
      <c r="B1" s="136"/>
      <c r="C1" s="136"/>
      <c r="D1" s="136"/>
      <c r="E1" s="136"/>
      <c r="F1" s="77"/>
      <c r="G1" s="77"/>
      <c r="H1" s="77"/>
      <c r="I1" s="579" t="s">
        <v>98</v>
      </c>
      <c r="J1" s="579"/>
      <c r="K1" s="142"/>
    </row>
    <row r="2" spans="1:12" s="22" customFormat="1" ht="15">
      <c r="A2" s="105" t="s">
        <v>129</v>
      </c>
      <c r="B2" s="136"/>
      <c r="C2" s="136"/>
      <c r="D2" s="136"/>
      <c r="E2" s="136"/>
      <c r="F2" s="137"/>
      <c r="G2" s="138"/>
      <c r="H2" s="138"/>
      <c r="I2" s="564" t="s">
        <v>943</v>
      </c>
      <c r="J2" s="565"/>
      <c r="K2" s="142"/>
    </row>
    <row r="3" spans="1:12" s="22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4"/>
      <c r="K3" s="142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5"/>
      <c r="F4" s="76"/>
      <c r="G4" s="76"/>
      <c r="H4" s="76"/>
      <c r="I4" s="124"/>
      <c r="J4" s="75"/>
      <c r="K4" s="105"/>
      <c r="L4" s="22"/>
    </row>
    <row r="5" spans="1:12" s="2" customFormat="1" ht="15">
      <c r="A5" s="110" t="s">
        <v>654</v>
      </c>
      <c r="B5" s="119"/>
      <c r="C5" s="119"/>
      <c r="D5" s="119"/>
      <c r="E5" s="119"/>
      <c r="F5" s="57"/>
      <c r="G5" s="57"/>
      <c r="H5" s="57"/>
      <c r="I5" s="130"/>
      <c r="J5" s="57"/>
      <c r="K5" s="105"/>
    </row>
    <row r="6" spans="1:12" s="22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131"/>
      <c r="B7" s="578" t="s">
        <v>209</v>
      </c>
      <c r="C7" s="578"/>
      <c r="D7" s="578" t="s">
        <v>282</v>
      </c>
      <c r="E7" s="578"/>
      <c r="F7" s="578" t="s">
        <v>283</v>
      </c>
      <c r="G7" s="578"/>
      <c r="H7" s="154" t="s">
        <v>269</v>
      </c>
      <c r="I7" s="578" t="s">
        <v>212</v>
      </c>
      <c r="J7" s="578"/>
      <c r="K7" s="143"/>
    </row>
    <row r="8" spans="1:12" ht="15">
      <c r="A8" s="132" t="s">
        <v>104</v>
      </c>
      <c r="B8" s="133" t="s">
        <v>211</v>
      </c>
      <c r="C8" s="134" t="s">
        <v>210</v>
      </c>
      <c r="D8" s="133" t="s">
        <v>211</v>
      </c>
      <c r="E8" s="134" t="s">
        <v>210</v>
      </c>
      <c r="F8" s="133" t="s">
        <v>211</v>
      </c>
      <c r="G8" s="134" t="s">
        <v>210</v>
      </c>
      <c r="H8" s="134" t="s">
        <v>210</v>
      </c>
      <c r="I8" s="133" t="s">
        <v>211</v>
      </c>
      <c r="J8" s="134" t="s">
        <v>210</v>
      </c>
      <c r="K8" s="143"/>
    </row>
    <row r="9" spans="1:12" ht="15">
      <c r="A9" s="58" t="s">
        <v>105</v>
      </c>
      <c r="B9" s="81">
        <f>SUM(B10,B14,B17)</f>
        <v>1665</v>
      </c>
      <c r="C9" s="81">
        <f>SUM(C10,C14,C17)</f>
        <v>88758.44</v>
      </c>
      <c r="D9" s="81">
        <f t="shared" ref="D9:J9" si="0">SUM(D10,D14,D17)</f>
        <v>1440</v>
      </c>
      <c r="E9" s="81">
        <f>SUM(E10,E14,E17)</f>
        <v>12057.55</v>
      </c>
      <c r="F9" s="81">
        <f t="shared" si="0"/>
        <v>0</v>
      </c>
      <c r="G9" s="81">
        <f>SUM(G10,G14,G17)</f>
        <v>0</v>
      </c>
      <c r="H9" s="81">
        <f>SUM(H10,H14,H17)</f>
        <v>0</v>
      </c>
      <c r="I9" s="81">
        <f>SUM(I10,I14,I17)</f>
        <v>3105</v>
      </c>
      <c r="J9" s="81">
        <f t="shared" si="0"/>
        <v>100815.99</v>
      </c>
      <c r="K9" s="143"/>
    </row>
    <row r="10" spans="1:12" ht="15">
      <c r="A10" s="59" t="s">
        <v>106</v>
      </c>
      <c r="B10" s="131">
        <f>SUM(B11:B13)</f>
        <v>0</v>
      </c>
      <c r="C10" s="131">
        <f>SUM(C11:C13)</f>
        <v>0</v>
      </c>
      <c r="D10" s="131">
        <f t="shared" ref="D10:J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131">
        <f>SUM(I11:I13)</f>
        <v>0</v>
      </c>
      <c r="J10" s="131">
        <f t="shared" si="1"/>
        <v>0</v>
      </c>
      <c r="K10" s="143"/>
    </row>
    <row r="11" spans="1:12" ht="15">
      <c r="A11" s="59" t="s">
        <v>107</v>
      </c>
      <c r="B11" s="25"/>
      <c r="C11" s="25"/>
      <c r="D11" s="25"/>
      <c r="E11" s="464"/>
      <c r="F11" s="25"/>
      <c r="G11" s="25"/>
      <c r="H11" s="25"/>
      <c r="I11" s="25"/>
      <c r="J11" s="25"/>
      <c r="K11" s="143"/>
    </row>
    <row r="12" spans="1:12" ht="15">
      <c r="A12" s="59" t="s">
        <v>108</v>
      </c>
      <c r="B12" s="25"/>
      <c r="C12" s="25"/>
      <c r="D12" s="25"/>
      <c r="E12" s="464"/>
      <c r="F12" s="25"/>
      <c r="G12" s="25"/>
      <c r="H12" s="25"/>
      <c r="I12" s="25"/>
      <c r="J12" s="25"/>
      <c r="K12" s="143"/>
    </row>
    <row r="13" spans="1:12" ht="15">
      <c r="A13" s="59" t="s">
        <v>109</v>
      </c>
      <c r="B13" s="25"/>
      <c r="C13" s="25"/>
      <c r="D13" s="25"/>
      <c r="E13" s="464"/>
      <c r="F13" s="25"/>
      <c r="G13" s="25"/>
      <c r="H13" s="25"/>
      <c r="I13" s="25"/>
      <c r="J13" s="25"/>
      <c r="K13" s="143"/>
    </row>
    <row r="14" spans="1:12" ht="15">
      <c r="A14" s="59" t="s">
        <v>110</v>
      </c>
      <c r="B14" s="131">
        <f>SUM(B15:B16)</f>
        <v>1664</v>
      </c>
      <c r="C14" s="131">
        <f>SUM(C15:C16)</f>
        <v>87817.86</v>
      </c>
      <c r="D14" s="131">
        <f t="shared" ref="D14:J14" si="2">SUM(D15:D16)</f>
        <v>1440</v>
      </c>
      <c r="E14" s="131">
        <f>SUM(E15:E16)</f>
        <v>12057.55</v>
      </c>
      <c r="F14" s="131">
        <f t="shared" si="2"/>
        <v>0</v>
      </c>
      <c r="G14" s="131">
        <f>SUM(G15:G16)</f>
        <v>0</v>
      </c>
      <c r="H14" s="131">
        <f>SUM(H15:H16)</f>
        <v>0</v>
      </c>
      <c r="I14" s="131">
        <f>SUM(I15:I16)</f>
        <v>3104</v>
      </c>
      <c r="J14" s="131">
        <f t="shared" si="2"/>
        <v>99875.41</v>
      </c>
      <c r="K14" s="143"/>
    </row>
    <row r="15" spans="1:12" ht="15">
      <c r="A15" s="59" t="s">
        <v>111</v>
      </c>
      <c r="B15" s="25">
        <v>1</v>
      </c>
      <c r="C15" s="25">
        <v>26426.77</v>
      </c>
      <c r="D15" s="25"/>
      <c r="E15" s="25"/>
      <c r="F15" s="25"/>
      <c r="G15" s="25"/>
      <c r="H15" s="25">
        <v>0</v>
      </c>
      <c r="I15" s="25">
        <f>B15+D15-F15</f>
        <v>1</v>
      </c>
      <c r="J15" s="25">
        <f>C15+E15-G15-H15</f>
        <v>26426.77</v>
      </c>
      <c r="K15" s="143"/>
    </row>
    <row r="16" spans="1:12" ht="15">
      <c r="A16" s="59" t="s">
        <v>112</v>
      </c>
      <c r="B16" s="25">
        <v>1663</v>
      </c>
      <c r="C16" s="25">
        <v>61391.09</v>
      </c>
      <c r="D16" s="25">
        <v>1440</v>
      </c>
      <c r="E16" s="25">
        <v>12057.55</v>
      </c>
      <c r="F16" s="25"/>
      <c r="G16" s="25"/>
      <c r="H16" s="25">
        <v>0</v>
      </c>
      <c r="I16" s="25">
        <f>B16+D16-F16</f>
        <v>3103</v>
      </c>
      <c r="J16" s="25">
        <f>C16+E16-G16-H16</f>
        <v>73448.639999999999</v>
      </c>
      <c r="K16" s="143"/>
    </row>
    <row r="17" spans="1:11" ht="15">
      <c r="A17" s="59" t="s">
        <v>113</v>
      </c>
      <c r="B17" s="131">
        <f>SUM(B18:B19,B22,B23)</f>
        <v>1</v>
      </c>
      <c r="C17" s="131">
        <f>SUM(C18:C19,C22,C23)</f>
        <v>940.58</v>
      </c>
      <c r="D17" s="131">
        <f t="shared" ref="D17:J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131">
        <f>SUM(I18:I19,I22,I23)</f>
        <v>1</v>
      </c>
      <c r="J17" s="131">
        <f t="shared" si="3"/>
        <v>940.58</v>
      </c>
      <c r="K17" s="143"/>
    </row>
    <row r="18" spans="1:11" ht="15">
      <c r="A18" s="59" t="s">
        <v>114</v>
      </c>
      <c r="B18" s="25"/>
      <c r="C18" s="25"/>
      <c r="D18" s="25"/>
      <c r="E18" s="25"/>
      <c r="F18" s="25"/>
      <c r="G18" s="25"/>
      <c r="H18" s="25"/>
      <c r="I18" s="25"/>
      <c r="J18" s="25"/>
      <c r="K18" s="143"/>
    </row>
    <row r="19" spans="1:11" ht="15">
      <c r="A19" s="59" t="s">
        <v>115</v>
      </c>
      <c r="B19" s="131">
        <f>SUM(B20:B21)</f>
        <v>1</v>
      </c>
      <c r="C19" s="131">
        <f>SUM(C20:C21)</f>
        <v>940.58</v>
      </c>
      <c r="D19" s="131">
        <f t="shared" ref="D19:J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131">
        <f>SUM(I20:I21)</f>
        <v>1</v>
      </c>
      <c r="J19" s="131">
        <f t="shared" si="4"/>
        <v>940.58</v>
      </c>
      <c r="K19" s="143"/>
    </row>
    <row r="20" spans="1:11" ht="15">
      <c r="A20" s="59" t="s">
        <v>116</v>
      </c>
      <c r="B20" s="25"/>
      <c r="C20" s="25"/>
      <c r="D20" s="25"/>
      <c r="E20" s="25"/>
      <c r="F20" s="25"/>
      <c r="G20" s="25"/>
      <c r="H20" s="25"/>
      <c r="I20" s="25"/>
      <c r="J20" s="25"/>
      <c r="K20" s="143"/>
    </row>
    <row r="21" spans="1:11" ht="15">
      <c r="A21" s="59" t="s">
        <v>117</v>
      </c>
      <c r="B21" s="25">
        <v>1</v>
      </c>
      <c r="C21" s="25">
        <v>940.58</v>
      </c>
      <c r="D21" s="25"/>
      <c r="E21" s="25"/>
      <c r="F21" s="25"/>
      <c r="G21" s="25"/>
      <c r="H21" s="25">
        <v>0</v>
      </c>
      <c r="I21" s="25">
        <f>B21+D21-F21</f>
        <v>1</v>
      </c>
      <c r="J21" s="25">
        <f>C21+E21-G21-H21</f>
        <v>940.58</v>
      </c>
      <c r="K21" s="143"/>
    </row>
    <row r="22" spans="1:11" ht="15">
      <c r="A22" s="59" t="s">
        <v>118</v>
      </c>
      <c r="B22" s="25"/>
      <c r="C22" s="25"/>
      <c r="D22" s="25"/>
      <c r="E22" s="25"/>
      <c r="F22" s="25"/>
      <c r="G22" s="25"/>
      <c r="H22" s="25"/>
      <c r="I22" s="25"/>
      <c r="J22" s="25"/>
      <c r="K22" s="143"/>
    </row>
    <row r="23" spans="1:11" ht="15">
      <c r="A23" s="59" t="s">
        <v>119</v>
      </c>
      <c r="B23" s="25"/>
      <c r="C23" s="25"/>
      <c r="D23" s="25"/>
      <c r="E23" s="25"/>
      <c r="F23" s="25"/>
      <c r="G23" s="25"/>
      <c r="H23" s="25"/>
      <c r="I23" s="25"/>
      <c r="J23" s="25"/>
      <c r="K23" s="143"/>
    </row>
    <row r="24" spans="1:11" ht="15">
      <c r="A24" s="58" t="s">
        <v>120</v>
      </c>
      <c r="B24" s="81">
        <f>SUM(B25:B31)</f>
        <v>2248</v>
      </c>
      <c r="C24" s="81">
        <f t="shared" ref="C24:J24" si="5">SUM(C25:C31)</f>
        <v>4613.3500000000004</v>
      </c>
      <c r="D24" s="81">
        <f t="shared" si="5"/>
        <v>18600</v>
      </c>
      <c r="E24" s="81">
        <f t="shared" si="5"/>
        <v>46507</v>
      </c>
      <c r="F24" s="81">
        <f t="shared" si="5"/>
        <v>18600</v>
      </c>
      <c r="G24" s="81">
        <f t="shared" si="5"/>
        <v>46507</v>
      </c>
      <c r="H24" s="81">
        <f t="shared" si="5"/>
        <v>0</v>
      </c>
      <c r="I24" s="81">
        <f t="shared" si="5"/>
        <v>2248</v>
      </c>
      <c r="J24" s="81">
        <f t="shared" si="5"/>
        <v>4613.3499999999985</v>
      </c>
      <c r="K24" s="143"/>
    </row>
    <row r="25" spans="1:11" ht="15">
      <c r="A25" s="59" t="s">
        <v>247</v>
      </c>
      <c r="B25" s="25"/>
      <c r="C25" s="25"/>
      <c r="D25" s="25"/>
      <c r="E25" s="25"/>
      <c r="F25" s="25"/>
      <c r="G25" s="25"/>
      <c r="H25" s="25"/>
      <c r="I25" s="25"/>
      <c r="J25" s="25"/>
      <c r="K25" s="143"/>
    </row>
    <row r="26" spans="1:11" ht="15">
      <c r="A26" s="59" t="s">
        <v>248</v>
      </c>
      <c r="B26" s="25"/>
      <c r="C26" s="25"/>
      <c r="D26" s="25"/>
      <c r="E26" s="25"/>
      <c r="F26" s="25"/>
      <c r="G26" s="25"/>
      <c r="H26" s="25"/>
      <c r="I26" s="25"/>
      <c r="J26" s="25"/>
      <c r="K26" s="143"/>
    </row>
    <row r="27" spans="1:11" ht="15">
      <c r="A27" s="59" t="s">
        <v>249</v>
      </c>
      <c r="B27" s="25"/>
      <c r="C27" s="25"/>
      <c r="D27" s="25"/>
      <c r="E27" s="25"/>
      <c r="F27" s="25"/>
      <c r="G27" s="25"/>
      <c r="H27" s="25"/>
      <c r="I27" s="25"/>
      <c r="J27" s="25"/>
      <c r="K27" s="143"/>
    </row>
    <row r="28" spans="1:11" ht="15">
      <c r="A28" s="59" t="s">
        <v>250</v>
      </c>
      <c r="B28" s="25"/>
      <c r="C28" s="25"/>
      <c r="D28" s="25"/>
      <c r="E28" s="25"/>
      <c r="F28" s="25"/>
      <c r="G28" s="25"/>
      <c r="H28" s="25"/>
      <c r="I28" s="25"/>
      <c r="J28" s="25"/>
      <c r="K28" s="143"/>
    </row>
    <row r="29" spans="1:11" ht="15">
      <c r="A29" s="59" t="s">
        <v>251</v>
      </c>
      <c r="B29" s="25"/>
      <c r="C29" s="25"/>
      <c r="D29" s="25"/>
      <c r="E29" s="25"/>
      <c r="F29" s="25"/>
      <c r="G29" s="25"/>
      <c r="H29" s="25"/>
      <c r="I29" s="25"/>
      <c r="J29" s="25"/>
      <c r="K29" s="143"/>
    </row>
    <row r="30" spans="1:11" ht="15">
      <c r="A30" s="59" t="s">
        <v>252</v>
      </c>
      <c r="B30" s="25"/>
      <c r="C30" s="25"/>
      <c r="D30" s="25"/>
      <c r="E30" s="25"/>
      <c r="F30" s="25"/>
      <c r="G30" s="25"/>
      <c r="H30" s="25"/>
      <c r="I30" s="25"/>
      <c r="J30" s="25"/>
      <c r="K30" s="143"/>
    </row>
    <row r="31" spans="1:11" ht="15">
      <c r="A31" s="59" t="s">
        <v>253</v>
      </c>
      <c r="B31" s="25">
        <v>2248</v>
      </c>
      <c r="C31" s="25">
        <v>4613.3500000000004</v>
      </c>
      <c r="D31" s="25">
        <v>18600</v>
      </c>
      <c r="E31" s="25">
        <v>46507</v>
      </c>
      <c r="F31" s="25">
        <v>18600</v>
      </c>
      <c r="G31" s="25">
        <v>46507</v>
      </c>
      <c r="H31" s="25"/>
      <c r="I31" s="25">
        <f>B31+D31-F31</f>
        <v>2248</v>
      </c>
      <c r="J31" s="25">
        <f>C31+E31-G31-H31</f>
        <v>4613.3499999999985</v>
      </c>
      <c r="K31" s="143"/>
    </row>
    <row r="32" spans="1:11" ht="15">
      <c r="A32" s="58" t="s">
        <v>121</v>
      </c>
      <c r="B32" s="81">
        <f>SUM(B33:B35)</f>
        <v>0</v>
      </c>
      <c r="C32" s="81">
        <f>SUM(C33:C35)</f>
        <v>0</v>
      </c>
      <c r="D32" s="81">
        <f t="shared" ref="D32:J32" si="6">SUM(D33:D35)</f>
        <v>0</v>
      </c>
      <c r="E32" s="81">
        <f>SUM(E33:E35)</f>
        <v>0</v>
      </c>
      <c r="F32" s="81">
        <f t="shared" si="6"/>
        <v>0</v>
      </c>
      <c r="G32" s="81">
        <f>SUM(G33:G35)</f>
        <v>0</v>
      </c>
      <c r="H32" s="81">
        <f>SUM(H33:H35)</f>
        <v>0</v>
      </c>
      <c r="I32" s="81">
        <f>SUM(I33:I35)</f>
        <v>0</v>
      </c>
      <c r="J32" s="81">
        <f t="shared" si="6"/>
        <v>0</v>
      </c>
      <c r="K32" s="143"/>
    </row>
    <row r="33" spans="1:11" ht="15">
      <c r="A33" s="59" t="s">
        <v>254</v>
      </c>
      <c r="B33" s="25"/>
      <c r="C33" s="25"/>
      <c r="D33" s="25"/>
      <c r="E33" s="25"/>
      <c r="F33" s="25"/>
      <c r="G33" s="25"/>
      <c r="H33" s="25"/>
      <c r="I33" s="25"/>
      <c r="J33" s="25"/>
      <c r="K33" s="143"/>
    </row>
    <row r="34" spans="1:11" ht="15">
      <c r="A34" s="59" t="s">
        <v>255</v>
      </c>
      <c r="B34" s="25"/>
      <c r="C34" s="25"/>
      <c r="D34" s="25"/>
      <c r="E34" s="25"/>
      <c r="F34" s="25"/>
      <c r="G34" s="25"/>
      <c r="H34" s="25"/>
      <c r="I34" s="25"/>
      <c r="J34" s="25"/>
      <c r="K34" s="143"/>
    </row>
    <row r="35" spans="1:11" ht="15">
      <c r="A35" s="59" t="s">
        <v>256</v>
      </c>
      <c r="B35" s="25"/>
      <c r="C35" s="25"/>
      <c r="D35" s="25"/>
      <c r="E35" s="25"/>
      <c r="F35" s="25"/>
      <c r="G35" s="25"/>
      <c r="H35" s="25"/>
      <c r="I35" s="25"/>
      <c r="J35" s="25"/>
      <c r="K35" s="143"/>
    </row>
    <row r="36" spans="1:11" ht="15">
      <c r="A36" s="58" t="s">
        <v>122</v>
      </c>
      <c r="B36" s="81">
        <f t="shared" ref="B36:J36" si="7">SUM(B37:B39,B42)</f>
        <v>0</v>
      </c>
      <c r="C36" s="81">
        <f t="shared" si="7"/>
        <v>0</v>
      </c>
      <c r="D36" s="81">
        <f t="shared" si="7"/>
        <v>0</v>
      </c>
      <c r="E36" s="81">
        <f t="shared" si="7"/>
        <v>0</v>
      </c>
      <c r="F36" s="81">
        <f t="shared" si="7"/>
        <v>0</v>
      </c>
      <c r="G36" s="81">
        <f t="shared" si="7"/>
        <v>0</v>
      </c>
      <c r="H36" s="81">
        <f t="shared" si="7"/>
        <v>0</v>
      </c>
      <c r="I36" s="81">
        <f t="shared" si="7"/>
        <v>0</v>
      </c>
      <c r="J36" s="81">
        <f t="shared" si="7"/>
        <v>0</v>
      </c>
      <c r="K36" s="143"/>
    </row>
    <row r="37" spans="1:11" ht="15">
      <c r="A37" s="59" t="s">
        <v>123</v>
      </c>
      <c r="B37" s="25"/>
      <c r="C37" s="25"/>
      <c r="D37" s="25"/>
      <c r="E37" s="25"/>
      <c r="F37" s="25"/>
      <c r="G37" s="25"/>
      <c r="H37" s="25"/>
      <c r="I37" s="25"/>
      <c r="J37" s="25"/>
      <c r="K37" s="143"/>
    </row>
    <row r="38" spans="1:11" ht="15">
      <c r="A38" s="59" t="s">
        <v>124</v>
      </c>
      <c r="B38" s="25"/>
      <c r="C38" s="25"/>
      <c r="D38" s="25"/>
      <c r="E38" s="25"/>
      <c r="F38" s="25"/>
      <c r="G38" s="25"/>
      <c r="H38" s="25"/>
      <c r="I38" s="25"/>
      <c r="J38" s="25"/>
      <c r="K38" s="143"/>
    </row>
    <row r="39" spans="1:11" ht="15">
      <c r="A39" s="59" t="s">
        <v>125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>
      <c r="A40" s="59" t="s">
        <v>409</v>
      </c>
      <c r="B40" s="25"/>
      <c r="C40" s="25"/>
      <c r="D40" s="25"/>
      <c r="E40" s="25"/>
      <c r="F40" s="25"/>
      <c r="G40" s="25"/>
      <c r="H40" s="25"/>
      <c r="I40" s="25"/>
      <c r="J40" s="25"/>
      <c r="K40" s="143"/>
    </row>
    <row r="41" spans="1:11" ht="15">
      <c r="A41" s="59" t="s">
        <v>126</v>
      </c>
      <c r="B41" s="25"/>
      <c r="C41" s="25"/>
      <c r="D41" s="25"/>
      <c r="E41" s="25"/>
      <c r="F41" s="25"/>
      <c r="G41" s="25"/>
      <c r="H41" s="25"/>
      <c r="I41" s="25"/>
      <c r="J41" s="25"/>
      <c r="K41" s="143"/>
    </row>
    <row r="42" spans="1:11" ht="15">
      <c r="A42" s="59" t="s">
        <v>127</v>
      </c>
      <c r="B42" s="25"/>
      <c r="C42" s="25"/>
      <c r="D42" s="25"/>
      <c r="E42" s="25"/>
      <c r="F42" s="25"/>
      <c r="G42" s="25"/>
      <c r="H42" s="25"/>
      <c r="I42" s="25"/>
      <c r="J42" s="25"/>
      <c r="K42" s="143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70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9"/>
      <c r="C48" s="69"/>
      <c r="F48" s="69"/>
      <c r="G48" s="72"/>
      <c r="H48" s="69"/>
      <c r="I48"/>
      <c r="J48"/>
    </row>
    <row r="49" spans="1:10" s="2" customFormat="1" ht="15">
      <c r="B49" s="68" t="s">
        <v>257</v>
      </c>
      <c r="F49" s="12" t="s">
        <v>262</v>
      </c>
      <c r="G49" s="71"/>
      <c r="I49"/>
      <c r="J49"/>
    </row>
    <row r="50" spans="1:10" s="2" customFormat="1" ht="15">
      <c r="B50" s="64" t="s">
        <v>128</v>
      </c>
      <c r="F50" s="2" t="s">
        <v>258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H2" sqref="H2:I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2" customWidth="1"/>
    <col min="11" max="11" width="12.7109375" style="62" customWidth="1"/>
    <col min="12" max="12" width="9.140625" style="63"/>
    <col min="13" max="16384" width="9.140625" style="24"/>
  </cols>
  <sheetData>
    <row r="1" spans="1:12" s="22" customFormat="1" ht="15">
      <c r="A1" s="135" t="s">
        <v>295</v>
      </c>
      <c r="B1" s="136"/>
      <c r="C1" s="136"/>
      <c r="D1" s="136"/>
      <c r="E1" s="136"/>
      <c r="F1" s="136"/>
      <c r="G1" s="142"/>
      <c r="H1" s="99" t="s">
        <v>187</v>
      </c>
      <c r="I1" s="142"/>
      <c r="J1" s="65"/>
      <c r="K1" s="65"/>
      <c r="L1" s="65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44"/>
      <c r="H2" s="564" t="s">
        <v>943</v>
      </c>
      <c r="I2" s="565"/>
      <c r="J2" s="65"/>
      <c r="K2" s="65"/>
      <c r="L2" s="65"/>
    </row>
    <row r="3" spans="1:12" s="22" customFormat="1" ht="15">
      <c r="A3" s="136"/>
      <c r="B3" s="136"/>
      <c r="C3" s="136"/>
      <c r="D3" s="136"/>
      <c r="E3" s="136"/>
      <c r="F3" s="136"/>
      <c r="G3" s="144"/>
      <c r="H3" s="139"/>
      <c r="I3" s="144"/>
      <c r="J3" s="65"/>
      <c r="K3" s="65"/>
      <c r="L3" s="65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136"/>
      <c r="F4" s="136"/>
      <c r="G4" s="136"/>
      <c r="H4" s="136"/>
      <c r="I4" s="142"/>
      <c r="J4" s="62"/>
      <c r="K4" s="62"/>
      <c r="L4" s="22"/>
    </row>
    <row r="5" spans="1:12" s="2" customFormat="1" ht="15">
      <c r="A5" s="110" t="s">
        <v>654</v>
      </c>
      <c r="B5" s="119"/>
      <c r="C5" s="119"/>
      <c r="D5" s="119"/>
      <c r="E5" s="146"/>
      <c r="F5" s="147"/>
      <c r="G5" s="147"/>
      <c r="H5" s="147"/>
      <c r="I5" s="142"/>
      <c r="J5" s="62"/>
      <c r="K5" s="62"/>
      <c r="L5" s="12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42"/>
      <c r="J6" s="62"/>
      <c r="K6" s="62"/>
      <c r="L6" s="62"/>
    </row>
    <row r="7" spans="1:12" ht="30">
      <c r="A7" s="132" t="s">
        <v>64</v>
      </c>
      <c r="B7" s="132" t="s">
        <v>362</v>
      </c>
      <c r="C7" s="134" t="s">
        <v>363</v>
      </c>
      <c r="D7" s="134" t="s">
        <v>224</v>
      </c>
      <c r="E7" s="134" t="s">
        <v>229</v>
      </c>
      <c r="F7" s="134" t="s">
        <v>230</v>
      </c>
      <c r="G7" s="134" t="s">
        <v>231</v>
      </c>
      <c r="H7" s="134" t="s">
        <v>232</v>
      </c>
      <c r="I7" s="142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4">
        <v>8</v>
      </c>
      <c r="I8" s="142"/>
    </row>
    <row r="9" spans="1:12" ht="15">
      <c r="A9" s="66">
        <v>1</v>
      </c>
      <c r="B9" s="25"/>
      <c r="C9" s="25"/>
      <c r="D9" s="25"/>
      <c r="E9" s="25"/>
      <c r="F9" s="25"/>
      <c r="G9" s="155"/>
      <c r="H9" s="25"/>
      <c r="I9" s="142"/>
    </row>
    <row r="10" spans="1:12" ht="15">
      <c r="A10" s="66">
        <v>2</v>
      </c>
      <c r="B10" s="25"/>
      <c r="C10" s="25"/>
      <c r="D10" s="25"/>
      <c r="E10" s="25"/>
      <c r="F10" s="25"/>
      <c r="G10" s="155"/>
      <c r="H10" s="25"/>
      <c r="I10" s="142"/>
    </row>
    <row r="11" spans="1:12" ht="15">
      <c r="A11" s="66">
        <v>3</v>
      </c>
      <c r="B11" s="25"/>
      <c r="C11" s="25"/>
      <c r="D11" s="25"/>
      <c r="E11" s="25"/>
      <c r="F11" s="25"/>
      <c r="G11" s="155"/>
      <c r="H11" s="25"/>
      <c r="I11" s="142"/>
    </row>
    <row r="12" spans="1:12" ht="15">
      <c r="A12" s="66">
        <v>4</v>
      </c>
      <c r="B12" s="25"/>
      <c r="C12" s="25"/>
      <c r="D12" s="25"/>
      <c r="E12" s="25"/>
      <c r="F12" s="25"/>
      <c r="G12" s="155"/>
      <c r="H12" s="25"/>
      <c r="I12" s="142"/>
    </row>
    <row r="13" spans="1:12" ht="15">
      <c r="A13" s="66">
        <v>5</v>
      </c>
      <c r="B13" s="25"/>
      <c r="C13" s="25"/>
      <c r="D13" s="25"/>
      <c r="E13" s="25"/>
      <c r="F13" s="25"/>
      <c r="G13" s="155"/>
      <c r="H13" s="25"/>
      <c r="I13" s="142"/>
    </row>
    <row r="14" spans="1:12" ht="15">
      <c r="A14" s="66">
        <v>6</v>
      </c>
      <c r="B14" s="25"/>
      <c r="C14" s="25"/>
      <c r="D14" s="25"/>
      <c r="E14" s="25"/>
      <c r="F14" s="25"/>
      <c r="G14" s="155"/>
      <c r="H14" s="25"/>
      <c r="I14" s="142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155"/>
      <c r="H15" s="25"/>
      <c r="I15" s="142"/>
      <c r="J15" s="62"/>
      <c r="K15" s="62"/>
      <c r="L15" s="62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155"/>
      <c r="H16" s="25"/>
      <c r="I16" s="142"/>
      <c r="J16" s="62"/>
      <c r="K16" s="62"/>
      <c r="L16" s="62"/>
    </row>
    <row r="17" spans="1:12" s="22" customFormat="1" ht="15">
      <c r="A17" s="66">
        <v>9</v>
      </c>
      <c r="B17" s="25"/>
      <c r="C17" s="25"/>
      <c r="D17" s="25"/>
      <c r="E17" s="25"/>
      <c r="F17" s="25"/>
      <c r="G17" s="155"/>
      <c r="H17" s="25"/>
      <c r="I17" s="142"/>
      <c r="J17" s="62"/>
      <c r="K17" s="62"/>
      <c r="L17" s="62"/>
    </row>
    <row r="18" spans="1:12" s="22" customFormat="1" ht="15">
      <c r="A18" s="66">
        <v>10</v>
      </c>
      <c r="B18" s="25"/>
      <c r="C18" s="25"/>
      <c r="D18" s="25"/>
      <c r="E18" s="25"/>
      <c r="F18" s="25"/>
      <c r="G18" s="155"/>
      <c r="H18" s="25"/>
      <c r="I18" s="142"/>
      <c r="J18" s="62"/>
      <c r="K18" s="62"/>
      <c r="L18" s="62"/>
    </row>
    <row r="19" spans="1:12" s="22" customFormat="1" ht="15">
      <c r="A19" s="66">
        <v>11</v>
      </c>
      <c r="B19" s="25"/>
      <c r="C19" s="25"/>
      <c r="D19" s="25"/>
      <c r="E19" s="25"/>
      <c r="F19" s="25"/>
      <c r="G19" s="155"/>
      <c r="H19" s="25"/>
      <c r="I19" s="142"/>
      <c r="J19" s="62"/>
      <c r="K19" s="62"/>
      <c r="L19" s="62"/>
    </row>
    <row r="20" spans="1:12" s="22" customFormat="1" ht="15">
      <c r="A20" s="66">
        <v>12</v>
      </c>
      <c r="B20" s="25"/>
      <c r="C20" s="25"/>
      <c r="D20" s="25"/>
      <c r="E20" s="25"/>
      <c r="F20" s="25"/>
      <c r="G20" s="155"/>
      <c r="H20" s="25"/>
      <c r="I20" s="142"/>
      <c r="J20" s="62"/>
      <c r="K20" s="62"/>
      <c r="L20" s="62"/>
    </row>
    <row r="21" spans="1:12" s="22" customFormat="1" ht="15">
      <c r="A21" s="66">
        <v>13</v>
      </c>
      <c r="B21" s="25"/>
      <c r="C21" s="25"/>
      <c r="D21" s="25"/>
      <c r="E21" s="25"/>
      <c r="F21" s="25"/>
      <c r="G21" s="155"/>
      <c r="H21" s="25"/>
      <c r="I21" s="142"/>
      <c r="J21" s="62"/>
      <c r="K21" s="62"/>
      <c r="L21" s="62"/>
    </row>
    <row r="22" spans="1:12" s="22" customFormat="1" ht="15">
      <c r="A22" s="66">
        <v>14</v>
      </c>
      <c r="B22" s="25"/>
      <c r="C22" s="25"/>
      <c r="D22" s="25"/>
      <c r="E22" s="25"/>
      <c r="F22" s="25"/>
      <c r="G22" s="155"/>
      <c r="H22" s="25"/>
      <c r="I22" s="142"/>
      <c r="J22" s="62"/>
      <c r="K22" s="62"/>
      <c r="L22" s="62"/>
    </row>
    <row r="23" spans="1:12" s="22" customFormat="1" ht="15">
      <c r="A23" s="66">
        <v>15</v>
      </c>
      <c r="B23" s="25"/>
      <c r="C23" s="25"/>
      <c r="D23" s="25"/>
      <c r="E23" s="25"/>
      <c r="F23" s="25"/>
      <c r="G23" s="155"/>
      <c r="H23" s="25"/>
      <c r="I23" s="142"/>
      <c r="J23" s="62"/>
      <c r="K23" s="62"/>
      <c r="L23" s="62"/>
    </row>
    <row r="24" spans="1:12" s="22" customFormat="1" ht="15">
      <c r="A24" s="66">
        <v>16</v>
      </c>
      <c r="B24" s="25"/>
      <c r="C24" s="25"/>
      <c r="D24" s="25"/>
      <c r="E24" s="25"/>
      <c r="F24" s="25"/>
      <c r="G24" s="155"/>
      <c r="H24" s="25"/>
      <c r="I24" s="142"/>
      <c r="J24" s="62"/>
      <c r="K24" s="62"/>
      <c r="L24" s="62"/>
    </row>
    <row r="25" spans="1:12" s="22" customFormat="1" ht="15">
      <c r="A25" s="66">
        <v>17</v>
      </c>
      <c r="B25" s="25"/>
      <c r="C25" s="25"/>
      <c r="D25" s="25"/>
      <c r="E25" s="25"/>
      <c r="F25" s="25"/>
      <c r="G25" s="155"/>
      <c r="H25" s="25"/>
      <c r="I25" s="142"/>
      <c r="J25" s="62"/>
      <c r="K25" s="62"/>
      <c r="L25" s="62"/>
    </row>
    <row r="26" spans="1:12" s="22" customFormat="1" ht="15">
      <c r="A26" s="66">
        <v>18</v>
      </c>
      <c r="B26" s="25"/>
      <c r="C26" s="25"/>
      <c r="D26" s="25"/>
      <c r="E26" s="25"/>
      <c r="F26" s="25"/>
      <c r="G26" s="155"/>
      <c r="H26" s="25"/>
      <c r="I26" s="142"/>
      <c r="J26" s="62"/>
      <c r="K26" s="62"/>
      <c r="L26" s="62"/>
    </row>
    <row r="27" spans="1:12" s="22" customFormat="1" ht="15">
      <c r="A27" s="66" t="s">
        <v>268</v>
      </c>
      <c r="B27" s="25"/>
      <c r="C27" s="25"/>
      <c r="D27" s="25"/>
      <c r="E27" s="25"/>
      <c r="F27" s="25"/>
      <c r="G27" s="155"/>
      <c r="H27" s="25"/>
      <c r="I27" s="142"/>
      <c r="J27" s="62"/>
      <c r="K27" s="62"/>
      <c r="L27" s="62"/>
    </row>
    <row r="28" spans="1:12" s="22" customFormat="1">
      <c r="J28" s="62"/>
      <c r="K28" s="62"/>
      <c r="L28" s="62"/>
    </row>
    <row r="29" spans="1:12" s="22" customFormat="1"/>
    <row r="30" spans="1:12" s="22" customFormat="1">
      <c r="A30" s="24"/>
    </row>
    <row r="31" spans="1:12" s="2" customFormat="1" ht="15">
      <c r="B31" s="70" t="s">
        <v>96</v>
      </c>
      <c r="E31" s="5"/>
    </row>
    <row r="32" spans="1:12" s="2" customFormat="1" ht="15">
      <c r="C32" s="69"/>
      <c r="E32" s="69"/>
      <c r="F32" s="72"/>
      <c r="G32"/>
      <c r="H32"/>
      <c r="I32"/>
    </row>
    <row r="33" spans="1:9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9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I2" sqref="I2:J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3" customWidth="1"/>
    <col min="11" max="16384" width="9.140625" style="24"/>
  </cols>
  <sheetData>
    <row r="1" spans="1:12" s="22" customFormat="1" ht="15">
      <c r="A1" s="135" t="s">
        <v>296</v>
      </c>
      <c r="B1" s="136"/>
      <c r="C1" s="136"/>
      <c r="D1" s="136"/>
      <c r="E1" s="136"/>
      <c r="F1" s="136"/>
      <c r="G1" s="136"/>
      <c r="H1" s="142"/>
      <c r="I1" s="77" t="s">
        <v>187</v>
      </c>
      <c r="J1" s="149"/>
    </row>
    <row r="2" spans="1:12" s="22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64" t="s">
        <v>943</v>
      </c>
      <c r="J2" s="565"/>
    </row>
    <row r="3" spans="1:12" s="22" customFormat="1" ht="15">
      <c r="A3" s="136"/>
      <c r="B3" s="136"/>
      <c r="C3" s="136"/>
      <c r="D3" s="136"/>
      <c r="E3" s="136"/>
      <c r="F3" s="136"/>
      <c r="G3" s="136"/>
      <c r="H3" s="139"/>
      <c r="I3" s="139"/>
      <c r="J3" s="149"/>
    </row>
    <row r="4" spans="1:12" s="2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45"/>
      <c r="J4" s="104"/>
      <c r="L4" s="22"/>
    </row>
    <row r="5" spans="1:12" s="2" customFormat="1" ht="15">
      <c r="A5" s="110" t="s">
        <v>654</v>
      </c>
      <c r="B5" s="119"/>
      <c r="C5" s="119"/>
      <c r="D5" s="119"/>
      <c r="E5" s="146"/>
      <c r="F5" s="147"/>
      <c r="G5" s="147"/>
      <c r="H5" s="147"/>
      <c r="I5" s="146"/>
      <c r="J5" s="104"/>
    </row>
    <row r="6" spans="1:12" s="22" customFormat="1" ht="13.5">
      <c r="A6" s="140"/>
      <c r="B6" s="141"/>
      <c r="C6" s="141"/>
      <c r="D6" s="141"/>
      <c r="E6" s="136"/>
      <c r="F6" s="136"/>
      <c r="G6" s="136"/>
      <c r="H6" s="136"/>
      <c r="I6" s="136"/>
      <c r="J6" s="144"/>
    </row>
    <row r="7" spans="1:12" ht="3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235</v>
      </c>
      <c r="F7" s="134" t="s">
        <v>236</v>
      </c>
      <c r="G7" s="134" t="s">
        <v>230</v>
      </c>
      <c r="H7" s="134" t="s">
        <v>231</v>
      </c>
      <c r="I7" s="134" t="s">
        <v>232</v>
      </c>
      <c r="J7" s="150"/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50"/>
    </row>
    <row r="9" spans="1:12" ht="28.5">
      <c r="A9" s="66">
        <v>1</v>
      </c>
      <c r="B9" s="374" t="s">
        <v>649</v>
      </c>
      <c r="C9" s="375" t="s">
        <v>650</v>
      </c>
      <c r="D9" s="376" t="s">
        <v>651</v>
      </c>
      <c r="E9" s="376">
        <v>2012</v>
      </c>
      <c r="F9" s="376" t="s">
        <v>652</v>
      </c>
      <c r="G9" s="376">
        <v>66066.13</v>
      </c>
      <c r="H9" s="377" t="s">
        <v>653</v>
      </c>
      <c r="I9" s="25"/>
      <c r="J9" s="150"/>
    </row>
    <row r="10" spans="1:12" ht="15">
      <c r="A10" s="66">
        <v>2</v>
      </c>
      <c r="B10" s="25"/>
      <c r="C10" s="25"/>
      <c r="D10" s="25"/>
      <c r="E10" s="25"/>
      <c r="F10" s="25"/>
      <c r="G10" s="25"/>
      <c r="H10" s="155"/>
      <c r="I10" s="25"/>
      <c r="J10" s="150"/>
    </row>
    <row r="11" spans="1:12" ht="15">
      <c r="A11" s="66">
        <v>3</v>
      </c>
      <c r="B11" s="25"/>
      <c r="C11" s="25"/>
      <c r="D11" s="25"/>
      <c r="E11" s="25"/>
      <c r="F11" s="25"/>
      <c r="G11" s="25"/>
      <c r="H11" s="155"/>
      <c r="I11" s="25"/>
      <c r="J11" s="150"/>
    </row>
    <row r="12" spans="1:12" ht="15">
      <c r="A12" s="66">
        <v>4</v>
      </c>
      <c r="B12" s="25"/>
      <c r="C12" s="25"/>
      <c r="D12" s="25"/>
      <c r="E12" s="25"/>
      <c r="F12" s="25"/>
      <c r="G12" s="25"/>
      <c r="H12" s="155"/>
      <c r="I12" s="25"/>
      <c r="J12" s="150"/>
    </row>
    <row r="13" spans="1:12" ht="15">
      <c r="A13" s="66">
        <v>5</v>
      </c>
      <c r="B13" s="25"/>
      <c r="C13" s="25"/>
      <c r="D13" s="25"/>
      <c r="E13" s="25"/>
      <c r="F13" s="25"/>
      <c r="G13" s="25"/>
      <c r="H13" s="155"/>
      <c r="I13" s="25"/>
      <c r="J13" s="150"/>
    </row>
    <row r="14" spans="1:12" ht="15">
      <c r="A14" s="66">
        <v>6</v>
      </c>
      <c r="B14" s="25"/>
      <c r="C14" s="25"/>
      <c r="D14" s="25"/>
      <c r="E14" s="25"/>
      <c r="F14" s="25"/>
      <c r="G14" s="25"/>
      <c r="H14" s="155"/>
      <c r="I14" s="25"/>
      <c r="J14" s="150"/>
    </row>
    <row r="15" spans="1:12" s="22" customFormat="1" ht="15">
      <c r="A15" s="66">
        <v>7</v>
      </c>
      <c r="B15" s="25"/>
      <c r="C15" s="25"/>
      <c r="D15" s="25"/>
      <c r="E15" s="25"/>
      <c r="F15" s="25"/>
      <c r="G15" s="25"/>
      <c r="H15" s="155"/>
      <c r="I15" s="25"/>
      <c r="J15" s="144"/>
    </row>
    <row r="16" spans="1:12" s="22" customFormat="1" ht="15">
      <c r="A16" s="66">
        <v>8</v>
      </c>
      <c r="B16" s="25"/>
      <c r="C16" s="25"/>
      <c r="D16" s="25"/>
      <c r="E16" s="25"/>
      <c r="F16" s="25"/>
      <c r="G16" s="25"/>
      <c r="H16" s="155"/>
      <c r="I16" s="25"/>
      <c r="J16" s="144"/>
    </row>
    <row r="17" spans="1:10" s="22" customFormat="1" ht="15">
      <c r="A17" s="66">
        <v>9</v>
      </c>
      <c r="B17" s="25"/>
      <c r="C17" s="25"/>
      <c r="D17" s="25"/>
      <c r="E17" s="25"/>
      <c r="F17" s="25"/>
      <c r="G17" s="25"/>
      <c r="H17" s="155"/>
      <c r="I17" s="25"/>
      <c r="J17" s="144"/>
    </row>
    <row r="18" spans="1:10" s="22" customFormat="1" ht="15">
      <c r="A18" s="66">
        <v>10</v>
      </c>
      <c r="B18" s="25"/>
      <c r="C18" s="25"/>
      <c r="D18" s="25"/>
      <c r="E18" s="25"/>
      <c r="F18" s="25"/>
      <c r="G18" s="25"/>
      <c r="H18" s="155"/>
      <c r="I18" s="25"/>
      <c r="J18" s="144"/>
    </row>
    <row r="19" spans="1:10" s="22" customFormat="1" ht="15">
      <c r="A19" s="66">
        <v>11</v>
      </c>
      <c r="B19" s="25"/>
      <c r="C19" s="25"/>
      <c r="D19" s="25"/>
      <c r="E19" s="25"/>
      <c r="F19" s="25"/>
      <c r="G19" s="25"/>
      <c r="H19" s="155"/>
      <c r="I19" s="25"/>
      <c r="J19" s="144"/>
    </row>
    <row r="20" spans="1:10" s="22" customFormat="1" ht="15">
      <c r="A20" s="66">
        <v>12</v>
      </c>
      <c r="B20" s="25"/>
      <c r="C20" s="25"/>
      <c r="D20" s="25"/>
      <c r="E20" s="25"/>
      <c r="F20" s="25"/>
      <c r="G20" s="25"/>
      <c r="H20" s="155"/>
      <c r="I20" s="25"/>
      <c r="J20" s="144"/>
    </row>
    <row r="21" spans="1:10" s="22" customFormat="1" ht="15">
      <c r="A21" s="66">
        <v>13</v>
      </c>
      <c r="B21" s="25"/>
      <c r="C21" s="25"/>
      <c r="D21" s="25"/>
      <c r="E21" s="25"/>
      <c r="F21" s="25"/>
      <c r="G21" s="25"/>
      <c r="H21" s="155"/>
      <c r="I21" s="25"/>
      <c r="J21" s="144"/>
    </row>
    <row r="22" spans="1:10" s="22" customFormat="1" ht="15">
      <c r="A22" s="66">
        <v>14</v>
      </c>
      <c r="B22" s="25"/>
      <c r="C22" s="25"/>
      <c r="D22" s="25"/>
      <c r="E22" s="25"/>
      <c r="F22" s="25"/>
      <c r="G22" s="25"/>
      <c r="H22" s="155"/>
      <c r="I22" s="25"/>
      <c r="J22" s="144"/>
    </row>
    <row r="23" spans="1:10" s="22" customFormat="1" ht="15">
      <c r="A23" s="66">
        <v>15</v>
      </c>
      <c r="B23" s="25"/>
      <c r="C23" s="25"/>
      <c r="D23" s="25"/>
      <c r="E23" s="25"/>
      <c r="F23" s="25"/>
      <c r="G23" s="25"/>
      <c r="H23" s="155"/>
      <c r="I23" s="25"/>
      <c r="J23" s="144"/>
    </row>
    <row r="24" spans="1:10" s="22" customFormat="1" ht="15">
      <c r="A24" s="66">
        <v>16</v>
      </c>
      <c r="B24" s="25"/>
      <c r="C24" s="25"/>
      <c r="D24" s="25"/>
      <c r="E24" s="25"/>
      <c r="F24" s="25"/>
      <c r="G24" s="25"/>
      <c r="H24" s="155"/>
      <c r="I24" s="25"/>
      <c r="J24" s="144"/>
    </row>
    <row r="25" spans="1:10" s="22" customFormat="1" ht="15">
      <c r="A25" s="66">
        <v>17</v>
      </c>
      <c r="B25" s="25"/>
      <c r="C25" s="25"/>
      <c r="D25" s="25"/>
      <c r="E25" s="25"/>
      <c r="F25" s="25"/>
      <c r="G25" s="25"/>
      <c r="H25" s="155"/>
      <c r="I25" s="25"/>
      <c r="J25" s="144"/>
    </row>
    <row r="26" spans="1:10" s="22" customFormat="1" ht="15">
      <c r="A26" s="66">
        <v>18</v>
      </c>
      <c r="B26" s="25"/>
      <c r="C26" s="25"/>
      <c r="D26" s="25"/>
      <c r="E26" s="25"/>
      <c r="F26" s="25"/>
      <c r="G26" s="25"/>
      <c r="H26" s="155"/>
      <c r="I26" s="25"/>
      <c r="J26" s="144"/>
    </row>
    <row r="27" spans="1:10" s="22" customFormat="1" ht="15">
      <c r="A27" s="66" t="s">
        <v>268</v>
      </c>
      <c r="B27" s="25"/>
      <c r="C27" s="25"/>
      <c r="D27" s="25"/>
      <c r="E27" s="25"/>
      <c r="F27" s="25"/>
      <c r="G27" s="25"/>
      <c r="H27" s="155"/>
      <c r="I27" s="25"/>
      <c r="J27" s="144"/>
    </row>
    <row r="28" spans="1:10" s="22" customFormat="1">
      <c r="J28" s="62"/>
    </row>
    <row r="29" spans="1:10" s="22" customFormat="1"/>
    <row r="30" spans="1:10" s="22" customFormat="1">
      <c r="A30" s="24"/>
    </row>
    <row r="31" spans="1:10" s="2" customFormat="1" ht="15">
      <c r="B31" s="70" t="s">
        <v>96</v>
      </c>
      <c r="E31" s="5"/>
    </row>
    <row r="32" spans="1:10" s="2" customFormat="1" ht="15">
      <c r="C32" s="69"/>
      <c r="E32" s="69"/>
      <c r="F32" s="72"/>
      <c r="G32" s="72"/>
      <c r="H32"/>
      <c r="I32"/>
    </row>
    <row r="33" spans="1:10" s="2" customFormat="1" ht="15">
      <c r="A33"/>
      <c r="C33" s="68" t="s">
        <v>257</v>
      </c>
      <c r="E33" s="12" t="s">
        <v>262</v>
      </c>
      <c r="F33" s="71"/>
      <c r="G33"/>
      <c r="H33"/>
      <c r="I33"/>
    </row>
    <row r="34" spans="1:10" s="2" customFormat="1" ht="15">
      <c r="A34"/>
      <c r="C34" s="64" t="s">
        <v>128</v>
      </c>
      <c r="E34" s="2" t="s">
        <v>258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62"/>
    </row>
    <row r="38" spans="1:10" s="22" customFormat="1">
      <c r="J38" s="62"/>
    </row>
    <row r="39" spans="1:10" s="22" customFormat="1">
      <c r="J39" s="62"/>
    </row>
    <row r="40" spans="1:10" s="22" customFormat="1">
      <c r="J40" s="62"/>
    </row>
    <row r="41" spans="1:10" s="22" customFormat="1">
      <c r="J41" s="62"/>
    </row>
    <row r="42" spans="1:10" s="22" customFormat="1">
      <c r="J42" s="62"/>
    </row>
    <row r="43" spans="1:10" s="22" customFormat="1">
      <c r="J43" s="62"/>
    </row>
    <row r="44" spans="1:10" s="22" customFormat="1">
      <c r="J44" s="62"/>
    </row>
    <row r="45" spans="1:10" s="22" customFormat="1">
      <c r="J45" s="62"/>
    </row>
    <row r="46" spans="1:10" s="22" customFormat="1">
      <c r="J46" s="62"/>
    </row>
    <row r="47" spans="1:10" s="22" customFormat="1">
      <c r="J47" s="62"/>
    </row>
    <row r="48" spans="1:10" s="22" customFormat="1">
      <c r="J48" s="62"/>
    </row>
    <row r="49" spans="10:10" s="22" customFormat="1">
      <c r="J49" s="62"/>
    </row>
    <row r="50" spans="10:10" s="22" customFormat="1">
      <c r="J50" s="62"/>
    </row>
    <row r="51" spans="10:10" s="22" customFormat="1">
      <c r="J51" s="62"/>
    </row>
    <row r="52" spans="10:10" s="22" customFormat="1">
      <c r="J52" s="62"/>
    </row>
    <row r="53" spans="10:10" s="22" customFormat="1">
      <c r="J53" s="62"/>
    </row>
    <row r="54" spans="10:10" s="22" customFormat="1">
      <c r="J54" s="62"/>
    </row>
  </sheetData>
  <mergeCells count="1">
    <mergeCell ref="I2:J2"/>
  </mergeCells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G2" sqref="G2:H2"/>
    </sheetView>
  </sheetViews>
  <sheetFormatPr defaultRowHeight="12.75"/>
  <cols>
    <col min="1" max="1" width="4.85546875" style="211" customWidth="1"/>
    <col min="2" max="2" width="37.42578125" style="211" customWidth="1"/>
    <col min="3" max="3" width="21.5703125" style="211" customWidth="1"/>
    <col min="4" max="4" width="20" style="211" customWidth="1"/>
    <col min="5" max="5" width="18.7109375" style="211" customWidth="1"/>
    <col min="6" max="6" width="24.140625" style="211" customWidth="1"/>
    <col min="7" max="7" width="27.140625" style="211" customWidth="1"/>
    <col min="8" max="8" width="0.7109375" style="211" customWidth="1"/>
    <col min="9" max="16384" width="9.140625" style="211"/>
  </cols>
  <sheetData>
    <row r="1" spans="1:8" s="195" customFormat="1" ht="15">
      <c r="A1" s="192" t="s">
        <v>316</v>
      </c>
      <c r="B1" s="193"/>
      <c r="C1" s="193"/>
      <c r="D1" s="193"/>
      <c r="E1" s="193"/>
      <c r="F1" s="77"/>
      <c r="G1" s="77" t="s">
        <v>98</v>
      </c>
      <c r="H1" s="196"/>
    </row>
    <row r="2" spans="1:8" s="195" customFormat="1" ht="15">
      <c r="A2" s="196" t="s">
        <v>307</v>
      </c>
      <c r="B2" s="193"/>
      <c r="C2" s="193"/>
      <c r="D2" s="193"/>
      <c r="E2" s="194"/>
      <c r="F2" s="194"/>
      <c r="G2" s="564" t="s">
        <v>943</v>
      </c>
      <c r="H2" s="565"/>
    </row>
    <row r="3" spans="1:8" s="195" customFormat="1">
      <c r="A3" s="196"/>
      <c r="B3" s="193"/>
      <c r="C3" s="193"/>
      <c r="D3" s="193"/>
      <c r="E3" s="194"/>
      <c r="F3" s="194"/>
      <c r="G3" s="194"/>
      <c r="H3" s="196"/>
    </row>
    <row r="4" spans="1:8" s="195" customFormat="1" ht="15">
      <c r="A4" s="114" t="s">
        <v>263</v>
      </c>
      <c r="B4" s="193"/>
      <c r="C4" s="193"/>
      <c r="D4" s="193"/>
      <c r="E4" s="197"/>
      <c r="F4" s="197"/>
      <c r="G4" s="194"/>
      <c r="H4" s="196"/>
    </row>
    <row r="5" spans="1:8" s="195" customFormat="1">
      <c r="A5" s="110" t="s">
        <v>654</v>
      </c>
      <c r="B5" s="198"/>
      <c r="C5" s="198"/>
      <c r="D5" s="198"/>
      <c r="E5" s="198"/>
      <c r="F5" s="198"/>
      <c r="G5" s="199"/>
      <c r="H5" s="196"/>
    </row>
    <row r="6" spans="1:8" s="212" customFormat="1">
      <c r="A6" s="200"/>
      <c r="B6" s="200"/>
      <c r="C6" s="200"/>
      <c r="D6" s="200"/>
      <c r="E6" s="200"/>
      <c r="F6" s="200"/>
      <c r="G6" s="200"/>
      <c r="H6" s="197"/>
    </row>
    <row r="7" spans="1:8" s="195" customFormat="1" ht="51">
      <c r="A7" s="231" t="s">
        <v>64</v>
      </c>
      <c r="B7" s="203" t="s">
        <v>311</v>
      </c>
      <c r="C7" s="203" t="s">
        <v>312</v>
      </c>
      <c r="D7" s="203" t="s">
        <v>313</v>
      </c>
      <c r="E7" s="203" t="s">
        <v>314</v>
      </c>
      <c r="F7" s="203" t="s">
        <v>315</v>
      </c>
      <c r="G7" s="203" t="s">
        <v>308</v>
      </c>
      <c r="H7" s="196"/>
    </row>
    <row r="8" spans="1:8" s="195" customFormat="1">
      <c r="A8" s="201">
        <v>1</v>
      </c>
      <c r="B8" s="202">
        <v>2</v>
      </c>
      <c r="C8" s="202">
        <v>3</v>
      </c>
      <c r="D8" s="202">
        <v>4</v>
      </c>
      <c r="E8" s="203">
        <v>5</v>
      </c>
      <c r="F8" s="203">
        <v>6</v>
      </c>
      <c r="G8" s="203">
        <v>7</v>
      </c>
      <c r="H8" s="196"/>
    </row>
    <row r="9" spans="1:8" s="195" customFormat="1">
      <c r="A9" s="213">
        <v>1</v>
      </c>
      <c r="B9" s="204"/>
      <c r="C9" s="204"/>
      <c r="D9" s="205"/>
      <c r="E9" s="204"/>
      <c r="F9" s="204"/>
      <c r="G9" s="204"/>
      <c r="H9" s="196"/>
    </row>
    <row r="10" spans="1:8" s="195" customFormat="1">
      <c r="A10" s="213">
        <v>2</v>
      </c>
      <c r="B10" s="204"/>
      <c r="C10" s="204"/>
      <c r="D10" s="205"/>
      <c r="E10" s="204"/>
      <c r="F10" s="204"/>
      <c r="G10" s="204"/>
      <c r="H10" s="196"/>
    </row>
    <row r="11" spans="1:8" s="195" customFormat="1">
      <c r="A11" s="213">
        <v>3</v>
      </c>
      <c r="B11" s="204"/>
      <c r="C11" s="204"/>
      <c r="D11" s="205"/>
      <c r="E11" s="204"/>
      <c r="F11" s="204"/>
      <c r="G11" s="204"/>
      <c r="H11" s="196"/>
    </row>
    <row r="12" spans="1:8" s="195" customFormat="1">
      <c r="A12" s="213">
        <v>4</v>
      </c>
      <c r="B12" s="204"/>
      <c r="C12" s="204"/>
      <c r="D12" s="205"/>
      <c r="E12" s="204"/>
      <c r="F12" s="204"/>
      <c r="G12" s="204"/>
      <c r="H12" s="196"/>
    </row>
    <row r="13" spans="1:8" s="195" customFormat="1">
      <c r="A13" s="213">
        <v>5</v>
      </c>
      <c r="B13" s="204"/>
      <c r="C13" s="204"/>
      <c r="D13" s="205"/>
      <c r="E13" s="204"/>
      <c r="F13" s="204"/>
      <c r="G13" s="204"/>
      <c r="H13" s="196"/>
    </row>
    <row r="14" spans="1:8" s="195" customFormat="1">
      <c r="A14" s="213">
        <v>6</v>
      </c>
      <c r="B14" s="204"/>
      <c r="C14" s="204"/>
      <c r="D14" s="205"/>
      <c r="E14" s="204"/>
      <c r="F14" s="204"/>
      <c r="G14" s="204"/>
      <c r="H14" s="196"/>
    </row>
    <row r="15" spans="1:8" s="195" customFormat="1">
      <c r="A15" s="213">
        <v>7</v>
      </c>
      <c r="B15" s="204"/>
      <c r="C15" s="204"/>
      <c r="D15" s="205"/>
      <c r="E15" s="204"/>
      <c r="F15" s="204"/>
      <c r="G15" s="204"/>
      <c r="H15" s="196"/>
    </row>
    <row r="16" spans="1:8" s="195" customFormat="1">
      <c r="A16" s="213">
        <v>8</v>
      </c>
      <c r="B16" s="204"/>
      <c r="C16" s="204"/>
      <c r="D16" s="205"/>
      <c r="E16" s="204"/>
      <c r="F16" s="204"/>
      <c r="G16" s="204"/>
      <c r="H16" s="196"/>
    </row>
    <row r="17" spans="1:11" s="195" customFormat="1">
      <c r="A17" s="213">
        <v>9</v>
      </c>
      <c r="B17" s="204"/>
      <c r="C17" s="204"/>
      <c r="D17" s="205"/>
      <c r="E17" s="204"/>
      <c r="F17" s="204"/>
      <c r="G17" s="204"/>
      <c r="H17" s="196"/>
    </row>
    <row r="18" spans="1:11" s="195" customFormat="1">
      <c r="A18" s="213">
        <v>10</v>
      </c>
      <c r="B18" s="204"/>
      <c r="C18" s="204"/>
      <c r="D18" s="205"/>
      <c r="E18" s="204"/>
      <c r="F18" s="204"/>
      <c r="G18" s="204"/>
      <c r="H18" s="196"/>
    </row>
    <row r="19" spans="1:11" s="195" customFormat="1">
      <c r="A19" s="213" t="s">
        <v>266</v>
      </c>
      <c r="B19" s="204"/>
      <c r="C19" s="204"/>
      <c r="D19" s="205"/>
      <c r="E19" s="204"/>
      <c r="F19" s="204"/>
      <c r="G19" s="204"/>
      <c r="H19" s="196"/>
    </row>
    <row r="22" spans="1:11" s="195" customFormat="1"/>
    <row r="23" spans="1:11" s="195" customFormat="1"/>
    <row r="24" spans="1:11" s="21" customFormat="1" ht="15">
      <c r="B24" s="206" t="s">
        <v>96</v>
      </c>
      <c r="C24" s="206"/>
    </row>
    <row r="25" spans="1:11" s="21" customFormat="1" ht="15">
      <c r="B25" s="206"/>
      <c r="C25" s="206"/>
    </row>
    <row r="26" spans="1:11" s="21" customFormat="1" ht="15">
      <c r="C26" s="208"/>
      <c r="F26" s="208"/>
      <c r="G26" s="208"/>
      <c r="H26" s="207"/>
    </row>
    <row r="27" spans="1:11" s="21" customFormat="1" ht="15">
      <c r="C27" s="209" t="s">
        <v>257</v>
      </c>
      <c r="F27" s="206" t="s">
        <v>309</v>
      </c>
      <c r="J27" s="207"/>
      <c r="K27" s="207"/>
    </row>
    <row r="28" spans="1:11" s="21" customFormat="1" ht="15">
      <c r="C28" s="209" t="s">
        <v>128</v>
      </c>
      <c r="F28" s="210" t="s">
        <v>258</v>
      </c>
      <c r="J28" s="207"/>
      <c r="K28" s="207"/>
    </row>
    <row r="29" spans="1:11" s="195" customFormat="1" ht="15">
      <c r="C29" s="209"/>
      <c r="J29" s="212"/>
      <c r="K29" s="21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1"/>
  <sheetViews>
    <sheetView showGridLines="0" view="pageBreakPreview" zoomScale="70" zoomScaleSheetLayoutView="7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8" width="0" style="2" hidden="1" customWidth="1"/>
    <col min="9" max="9" width="15.85546875" style="2" hidden="1" customWidth="1"/>
    <col min="10" max="23" width="0" style="2" hidden="1" customWidth="1"/>
    <col min="24" max="16384" width="9.140625" style="2"/>
  </cols>
  <sheetData>
    <row r="1" spans="1:23">
      <c r="A1" s="73" t="s">
        <v>291</v>
      </c>
      <c r="B1" s="75"/>
      <c r="C1" s="566" t="s">
        <v>98</v>
      </c>
      <c r="D1" s="566"/>
      <c r="E1" s="108"/>
    </row>
    <row r="2" spans="1:23">
      <c r="A2" s="75" t="s">
        <v>129</v>
      </c>
      <c r="B2" s="75"/>
      <c r="C2" s="564" t="s">
        <v>943</v>
      </c>
      <c r="D2" s="565"/>
      <c r="E2" s="108"/>
    </row>
    <row r="3" spans="1:23">
      <c r="A3" s="73"/>
      <c r="B3" s="75"/>
      <c r="C3" s="74"/>
      <c r="D3" s="74"/>
      <c r="E3" s="108"/>
    </row>
    <row r="4" spans="1:23">
      <c r="A4" s="76" t="s">
        <v>263</v>
      </c>
      <c r="B4" s="102"/>
      <c r="C4" s="103"/>
      <c r="D4" s="75"/>
      <c r="E4" s="108"/>
    </row>
    <row r="5" spans="1:23">
      <c r="A5" s="110" t="s">
        <v>654</v>
      </c>
      <c r="B5" s="12"/>
      <c r="C5" s="12"/>
      <c r="E5" s="108"/>
    </row>
    <row r="6" spans="1:23">
      <c r="A6" s="104"/>
      <c r="B6" s="104"/>
      <c r="C6" s="104"/>
      <c r="D6" s="105"/>
      <c r="E6" s="108"/>
    </row>
    <row r="7" spans="1:23">
      <c r="A7" s="75"/>
      <c r="B7" s="75"/>
      <c r="C7" s="75"/>
      <c r="D7" s="75"/>
      <c r="E7" s="108"/>
    </row>
    <row r="8" spans="1:23" s="6" customFormat="1" ht="39" customHeight="1">
      <c r="A8" s="106" t="s">
        <v>64</v>
      </c>
      <c r="B8" s="78" t="s">
        <v>238</v>
      </c>
      <c r="C8" s="78" t="s">
        <v>66</v>
      </c>
      <c r="D8" s="78" t="s">
        <v>67</v>
      </c>
      <c r="E8" s="108"/>
      <c r="G8" s="2"/>
      <c r="H8" s="2"/>
      <c r="J8" s="6" t="s">
        <v>675</v>
      </c>
      <c r="M8" s="6" t="s">
        <v>676</v>
      </c>
      <c r="Q8" s="6" t="s">
        <v>852</v>
      </c>
      <c r="T8" s="6" t="s">
        <v>853</v>
      </c>
      <c r="W8" s="6" t="s">
        <v>854</v>
      </c>
    </row>
    <row r="9" spans="1:23" s="7" customFormat="1" ht="16.5" customHeight="1">
      <c r="A9" s="238">
        <v>1</v>
      </c>
      <c r="B9" s="238" t="s">
        <v>65</v>
      </c>
      <c r="C9" s="382">
        <f>SUM(C10,C25)</f>
        <v>0</v>
      </c>
      <c r="D9" s="382">
        <f>SUM(D10,D25)</f>
        <v>0</v>
      </c>
      <c r="E9" s="108"/>
      <c r="G9" s="2">
        <f t="shared" ref="G9:G30" si="0">P:P+S:S+V:V</f>
        <v>2890</v>
      </c>
      <c r="H9" s="2">
        <f t="shared" ref="H9:H30" si="1">Q:Q+T:T+W:W</f>
        <v>20</v>
      </c>
      <c r="J9" s="84">
        <f>SUM(J10,J25)</f>
        <v>83484</v>
      </c>
      <c r="K9" s="84">
        <f>SUM(K10,K25)</f>
        <v>83484</v>
      </c>
      <c r="M9" s="84">
        <f>SUM(M10,M25)</f>
        <v>0</v>
      </c>
      <c r="N9" s="84">
        <f>SUM(N10,N25)</f>
        <v>0</v>
      </c>
      <c r="P9" s="382">
        <f>SUM(P10,P25)</f>
        <v>2890</v>
      </c>
      <c r="Q9" s="84">
        <f>SUM(Q10,Q25)</f>
        <v>20</v>
      </c>
      <c r="S9" s="382">
        <f>SUM(S10,S25)</f>
        <v>0</v>
      </c>
      <c r="T9" s="84">
        <f>SUM(T10,T25)</f>
        <v>0</v>
      </c>
      <c r="V9" s="382">
        <f>SUM(V10,V25)</f>
        <v>0</v>
      </c>
      <c r="W9" s="84">
        <f>SUM(W10,W25)</f>
        <v>0</v>
      </c>
    </row>
    <row r="10" spans="1:23" s="7" customFormat="1" ht="16.5" customHeight="1">
      <c r="A10" s="86">
        <v>1.1000000000000001</v>
      </c>
      <c r="B10" s="86" t="s">
        <v>69</v>
      </c>
      <c r="C10" s="84">
        <f>SUM(C11,C12,C15,C18,C24)</f>
        <v>0</v>
      </c>
      <c r="D10" s="84">
        <f>SUM(D11,D12,D15,D18,D23,D24)</f>
        <v>0</v>
      </c>
      <c r="E10" s="108"/>
      <c r="G10" s="2">
        <f t="shared" si="0"/>
        <v>20</v>
      </c>
      <c r="H10" s="2">
        <f t="shared" si="1"/>
        <v>20</v>
      </c>
      <c r="J10" s="84">
        <f>SUM(J11,J12,J15,J18,J24)</f>
        <v>83484</v>
      </c>
      <c r="K10" s="84">
        <f>SUM(K11,K12,K15,K18,K23,K24)</f>
        <v>83484</v>
      </c>
      <c r="M10" s="84">
        <f>SUM(M11,M12,M15,M18,M24)</f>
        <v>0</v>
      </c>
      <c r="N10" s="84">
        <f>SUM(N11,N12,N15,N18,N23,N24)</f>
        <v>0</v>
      </c>
      <c r="P10" s="84">
        <f>SUM(P11,P12,P15,P18,P24)</f>
        <v>20</v>
      </c>
      <c r="Q10" s="84">
        <f>SUM(Q11,Q12,Q15,Q18,Q23,Q24)</f>
        <v>20</v>
      </c>
      <c r="S10" s="84">
        <f>SUM(S11,S12,S15,S18,S24)</f>
        <v>0</v>
      </c>
      <c r="T10" s="84">
        <f>SUM(T11,T12,T15,T18,T23,T24)</f>
        <v>0</v>
      </c>
      <c r="V10" s="84">
        <f>SUM(V11,V12,V15,V18,V24)</f>
        <v>0</v>
      </c>
      <c r="W10" s="84">
        <f>SUM(W11,W12,W15,W18,W23,W24)</f>
        <v>0</v>
      </c>
    </row>
    <row r="11" spans="1:23" s="9" customFormat="1" ht="16.5" customHeight="1">
      <c r="A11" s="87" t="s">
        <v>30</v>
      </c>
      <c r="B11" s="87" t="s">
        <v>68</v>
      </c>
      <c r="C11" s="8">
        <v>0</v>
      </c>
      <c r="D11" s="8">
        <v>0</v>
      </c>
      <c r="E11" s="108"/>
      <c r="G11" s="2">
        <f t="shared" si="0"/>
        <v>20</v>
      </c>
      <c r="H11" s="2">
        <f t="shared" si="1"/>
        <v>20</v>
      </c>
      <c r="J11" s="8">
        <v>20</v>
      </c>
      <c r="K11" s="8">
        <v>20</v>
      </c>
      <c r="M11" s="8">
        <v>0</v>
      </c>
      <c r="N11" s="8">
        <v>0</v>
      </c>
      <c r="P11" s="8">
        <v>20</v>
      </c>
      <c r="Q11" s="8">
        <v>20</v>
      </c>
      <c r="S11" s="8"/>
      <c r="T11" s="8"/>
      <c r="V11" s="8"/>
      <c r="W11" s="8"/>
    </row>
    <row r="12" spans="1:23" s="10" customFormat="1" ht="16.5" customHeight="1">
      <c r="A12" s="87" t="s">
        <v>31</v>
      </c>
      <c r="B12" s="87" t="s">
        <v>298</v>
      </c>
      <c r="C12" s="107">
        <f>SUM(C13:C14)</f>
        <v>0</v>
      </c>
      <c r="D12" s="107">
        <f>SUM(D13:D14)</f>
        <v>0</v>
      </c>
      <c r="E12" s="108"/>
      <c r="G12" s="2">
        <f t="shared" si="0"/>
        <v>0</v>
      </c>
      <c r="H12" s="2">
        <f t="shared" si="1"/>
        <v>0</v>
      </c>
      <c r="I12" s="67"/>
      <c r="J12" s="107">
        <f>SUM(J13:J14)</f>
        <v>0</v>
      </c>
      <c r="K12" s="107">
        <f>SUM(K13:K14)</f>
        <v>0</v>
      </c>
      <c r="M12" s="107">
        <f>SUM(M13:M14)</f>
        <v>0</v>
      </c>
      <c r="N12" s="107">
        <f>SUM(N13:N14)</f>
        <v>0</v>
      </c>
      <c r="P12" s="107">
        <f>SUM(P13:P14)</f>
        <v>0</v>
      </c>
      <c r="Q12" s="107">
        <f>SUM(Q13:Q14)</f>
        <v>0</v>
      </c>
      <c r="S12" s="107">
        <f>SUM(S13:S14)</f>
        <v>0</v>
      </c>
      <c r="T12" s="107">
        <f>SUM(T13:T14)</f>
        <v>0</v>
      </c>
      <c r="V12" s="107">
        <f>SUM(V13:V14)</f>
        <v>0</v>
      </c>
      <c r="W12" s="107">
        <f>SUM(W13:W14)</f>
        <v>0</v>
      </c>
    </row>
    <row r="13" spans="1:23" s="3" customFormat="1" ht="16.5" customHeight="1">
      <c r="A13" s="96" t="s">
        <v>70</v>
      </c>
      <c r="B13" s="96" t="s">
        <v>301</v>
      </c>
      <c r="C13" s="8">
        <v>0</v>
      </c>
      <c r="D13" s="8">
        <v>0</v>
      </c>
      <c r="E13" s="108"/>
      <c r="G13" s="2">
        <f t="shared" si="0"/>
        <v>0</v>
      </c>
      <c r="H13" s="2">
        <f t="shared" si="1"/>
        <v>0</v>
      </c>
      <c r="J13" s="8"/>
      <c r="K13" s="8"/>
      <c r="M13" s="8"/>
      <c r="N13" s="8"/>
      <c r="P13" s="8"/>
      <c r="Q13" s="8"/>
      <c r="S13" s="8"/>
      <c r="T13" s="8"/>
      <c r="V13" s="8"/>
      <c r="W13" s="8"/>
    </row>
    <row r="14" spans="1:23" s="3" customFormat="1" ht="16.5" customHeight="1">
      <c r="A14" s="96" t="s">
        <v>97</v>
      </c>
      <c r="B14" s="96" t="s">
        <v>86</v>
      </c>
      <c r="C14" s="8"/>
      <c r="D14" s="8"/>
      <c r="E14" s="108"/>
      <c r="G14" s="2">
        <f t="shared" si="0"/>
        <v>0</v>
      </c>
      <c r="H14" s="2">
        <f t="shared" si="1"/>
        <v>0</v>
      </c>
      <c r="J14" s="8"/>
      <c r="K14" s="8"/>
      <c r="M14" s="8"/>
      <c r="N14" s="8"/>
      <c r="P14" s="8"/>
      <c r="Q14" s="8"/>
      <c r="S14" s="8"/>
      <c r="T14" s="8"/>
      <c r="V14" s="8"/>
      <c r="W14" s="8"/>
    </row>
    <row r="15" spans="1:23" s="3" customFormat="1" ht="16.5" customHeight="1">
      <c r="A15" s="87" t="s">
        <v>71</v>
      </c>
      <c r="B15" s="87" t="s">
        <v>72</v>
      </c>
      <c r="C15" s="107">
        <f>SUM(C16:C17)</f>
        <v>0</v>
      </c>
      <c r="D15" s="107">
        <f>SUM(D16:D17)</f>
        <v>0</v>
      </c>
      <c r="E15" s="108"/>
      <c r="G15" s="2">
        <f t="shared" si="0"/>
        <v>0</v>
      </c>
      <c r="H15" s="2">
        <f t="shared" si="1"/>
        <v>0</v>
      </c>
      <c r="J15" s="107">
        <f>SUM(J16:J17)</f>
        <v>83464</v>
      </c>
      <c r="K15" s="107">
        <f>SUM(K16:K17)</f>
        <v>83464</v>
      </c>
      <c r="M15" s="107">
        <f>SUM(M16:M17)</f>
        <v>0</v>
      </c>
      <c r="N15" s="107">
        <f>SUM(N16:N17)</f>
        <v>0</v>
      </c>
      <c r="P15" s="107">
        <f>SUM(P16:P17)</f>
        <v>0</v>
      </c>
      <c r="Q15" s="107">
        <f>SUM(Q16:Q17)</f>
        <v>0</v>
      </c>
      <c r="S15" s="107">
        <f>SUM(S16:S17)</f>
        <v>0</v>
      </c>
      <c r="T15" s="107">
        <f>SUM(T16:T17)</f>
        <v>0</v>
      </c>
      <c r="V15" s="107">
        <f>SUM(V16:V17)</f>
        <v>0</v>
      </c>
      <c r="W15" s="107">
        <f>SUM(W16:W17)</f>
        <v>0</v>
      </c>
    </row>
    <row r="16" spans="1:23" s="3" customFormat="1" ht="16.5" customHeight="1">
      <c r="A16" s="96" t="s">
        <v>73</v>
      </c>
      <c r="B16" s="96" t="s">
        <v>75</v>
      </c>
      <c r="C16" s="8">
        <v>0</v>
      </c>
      <c r="D16" s="8">
        <v>0</v>
      </c>
      <c r="E16" s="108"/>
      <c r="G16" s="2">
        <f t="shared" si="0"/>
        <v>0</v>
      </c>
      <c r="H16" s="2">
        <f t="shared" si="1"/>
        <v>0</v>
      </c>
      <c r="J16" s="8">
        <v>63737</v>
      </c>
      <c r="K16" s="8">
        <v>63737</v>
      </c>
      <c r="M16" s="8">
        <v>0</v>
      </c>
      <c r="N16" s="8">
        <v>0</v>
      </c>
      <c r="P16" s="8">
        <v>0</v>
      </c>
      <c r="Q16" s="8">
        <v>0</v>
      </c>
      <c r="S16" s="8">
        <v>0</v>
      </c>
      <c r="T16" s="8">
        <v>0</v>
      </c>
      <c r="V16" s="8">
        <v>0</v>
      </c>
      <c r="W16" s="8">
        <v>0</v>
      </c>
    </row>
    <row r="17" spans="1:23" s="3" customFormat="1" ht="30">
      <c r="A17" s="96" t="s">
        <v>74</v>
      </c>
      <c r="B17" s="96" t="s">
        <v>99</v>
      </c>
      <c r="C17" s="8">
        <v>0</v>
      </c>
      <c r="D17" s="8">
        <v>0</v>
      </c>
      <c r="E17" s="108"/>
      <c r="G17" s="2">
        <f t="shared" si="0"/>
        <v>0</v>
      </c>
      <c r="H17" s="2">
        <f t="shared" si="1"/>
        <v>0</v>
      </c>
      <c r="J17" s="8">
        <v>19727</v>
      </c>
      <c r="K17" s="8">
        <v>19727</v>
      </c>
      <c r="M17" s="8">
        <v>0</v>
      </c>
      <c r="N17" s="8">
        <v>0</v>
      </c>
      <c r="P17" s="8">
        <v>0</v>
      </c>
      <c r="Q17" s="8">
        <v>0</v>
      </c>
      <c r="S17" s="8">
        <v>0</v>
      </c>
      <c r="T17" s="8">
        <v>0</v>
      </c>
      <c r="V17" s="8">
        <v>0</v>
      </c>
      <c r="W17" s="8">
        <v>0</v>
      </c>
    </row>
    <row r="18" spans="1:23" s="3" customFormat="1" ht="16.5" customHeigh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08"/>
      <c r="G18" s="2">
        <f t="shared" si="0"/>
        <v>0</v>
      </c>
      <c r="H18" s="2">
        <f t="shared" si="1"/>
        <v>0</v>
      </c>
      <c r="J18" s="107">
        <f>SUM(J19:J22)</f>
        <v>0</v>
      </c>
      <c r="K18" s="107">
        <f>SUM(K19:K22)</f>
        <v>0</v>
      </c>
      <c r="M18" s="107">
        <f>SUM(M19:M22)</f>
        <v>0</v>
      </c>
      <c r="N18" s="107">
        <f>SUM(N19:N22)</f>
        <v>0</v>
      </c>
      <c r="P18" s="107">
        <f>SUM(P19:P22)</f>
        <v>0</v>
      </c>
      <c r="Q18" s="107">
        <f>SUM(Q19:Q22)</f>
        <v>0</v>
      </c>
      <c r="S18" s="107">
        <f>SUM(S19:S22)</f>
        <v>0</v>
      </c>
      <c r="T18" s="107">
        <f>SUM(T19:T22)</f>
        <v>0</v>
      </c>
      <c r="V18" s="107">
        <f>SUM(V19:V22)</f>
        <v>0</v>
      </c>
      <c r="W18" s="107">
        <f>SUM(W19:W22)</f>
        <v>0</v>
      </c>
    </row>
    <row r="19" spans="1:23" s="3" customFormat="1" ht="16.5" customHeight="1">
      <c r="A19" s="96" t="s">
        <v>77</v>
      </c>
      <c r="B19" s="96" t="s">
        <v>78</v>
      </c>
      <c r="C19" s="8"/>
      <c r="D19" s="8"/>
      <c r="E19" s="108"/>
      <c r="G19" s="2">
        <f t="shared" si="0"/>
        <v>0</v>
      </c>
      <c r="H19" s="2">
        <f t="shared" si="1"/>
        <v>0</v>
      </c>
      <c r="J19" s="8"/>
      <c r="K19" s="8"/>
      <c r="M19" s="8"/>
      <c r="N19" s="8"/>
      <c r="P19" s="8"/>
      <c r="Q19" s="8"/>
      <c r="S19" s="8"/>
      <c r="T19" s="8"/>
      <c r="V19" s="8"/>
      <c r="W19" s="8"/>
    </row>
    <row r="20" spans="1:23" s="3" customFormat="1" ht="30">
      <c r="A20" s="96" t="s">
        <v>81</v>
      </c>
      <c r="B20" s="96" t="s">
        <v>79</v>
      </c>
      <c r="C20" s="8"/>
      <c r="D20" s="8"/>
      <c r="E20" s="108"/>
      <c r="G20" s="2">
        <f t="shared" si="0"/>
        <v>0</v>
      </c>
      <c r="H20" s="2">
        <f t="shared" si="1"/>
        <v>0</v>
      </c>
      <c r="J20" s="8"/>
      <c r="K20" s="8"/>
      <c r="M20" s="8"/>
      <c r="N20" s="8"/>
      <c r="P20" s="8"/>
      <c r="Q20" s="8"/>
      <c r="S20" s="8"/>
      <c r="T20" s="8"/>
      <c r="V20" s="8"/>
      <c r="W20" s="8"/>
    </row>
    <row r="21" spans="1:23" s="3" customFormat="1" ht="16.5" customHeight="1">
      <c r="A21" s="96" t="s">
        <v>82</v>
      </c>
      <c r="B21" s="96" t="s">
        <v>80</v>
      </c>
      <c r="C21" s="8"/>
      <c r="D21" s="8"/>
      <c r="E21" s="108"/>
      <c r="G21" s="2">
        <f t="shared" si="0"/>
        <v>0</v>
      </c>
      <c r="H21" s="2">
        <f t="shared" si="1"/>
        <v>0</v>
      </c>
      <c r="J21" s="8"/>
      <c r="K21" s="8"/>
      <c r="M21" s="8"/>
      <c r="N21" s="8"/>
      <c r="P21" s="8"/>
      <c r="Q21" s="8"/>
      <c r="S21" s="8"/>
      <c r="T21" s="8"/>
      <c r="V21" s="8"/>
      <c r="W21" s="8"/>
    </row>
    <row r="22" spans="1:23" s="3" customFormat="1" ht="16.5" customHeight="1">
      <c r="A22" s="96" t="s">
        <v>83</v>
      </c>
      <c r="B22" s="96" t="s">
        <v>413</v>
      </c>
      <c r="C22" s="8"/>
      <c r="D22" s="8"/>
      <c r="E22" s="108"/>
      <c r="G22" s="2">
        <f t="shared" si="0"/>
        <v>0</v>
      </c>
      <c r="H22" s="2">
        <f t="shared" si="1"/>
        <v>0</v>
      </c>
      <c r="J22" s="8"/>
      <c r="K22" s="8"/>
      <c r="M22" s="8"/>
      <c r="N22" s="8"/>
      <c r="P22" s="8"/>
      <c r="Q22" s="8"/>
      <c r="S22" s="8"/>
      <c r="T22" s="8"/>
      <c r="V22" s="8"/>
      <c r="W22" s="8"/>
    </row>
    <row r="23" spans="1:23" s="3" customFormat="1" ht="16.5" customHeight="1">
      <c r="A23" s="87" t="s">
        <v>84</v>
      </c>
      <c r="B23" s="87" t="s">
        <v>414</v>
      </c>
      <c r="C23" s="263"/>
      <c r="D23" s="8"/>
      <c r="E23" s="108"/>
      <c r="G23" s="2">
        <f t="shared" si="0"/>
        <v>0</v>
      </c>
      <c r="H23" s="2">
        <f t="shared" si="1"/>
        <v>0</v>
      </c>
      <c r="J23" s="263"/>
      <c r="K23" s="8"/>
      <c r="M23" s="263"/>
      <c r="N23" s="8"/>
      <c r="P23" s="263"/>
      <c r="Q23" s="8"/>
      <c r="S23" s="263"/>
      <c r="T23" s="8"/>
      <c r="V23" s="263"/>
      <c r="W23" s="8"/>
    </row>
    <row r="24" spans="1:23" s="3" customFormat="1">
      <c r="A24" s="87" t="s">
        <v>240</v>
      </c>
      <c r="B24" s="87" t="s">
        <v>420</v>
      </c>
      <c r="C24" s="8"/>
      <c r="D24" s="8"/>
      <c r="E24" s="108"/>
      <c r="G24" s="2">
        <f t="shared" si="0"/>
        <v>0</v>
      </c>
      <c r="H24" s="2">
        <f t="shared" si="1"/>
        <v>0</v>
      </c>
      <c r="J24" s="8"/>
      <c r="K24" s="8"/>
      <c r="M24" s="8"/>
      <c r="N24" s="8"/>
      <c r="P24" s="8"/>
      <c r="Q24" s="8"/>
      <c r="S24" s="8"/>
      <c r="T24" s="8"/>
      <c r="V24" s="8"/>
      <c r="W24" s="8"/>
    </row>
    <row r="25" spans="1:23" ht="16.5" customHeight="1">
      <c r="A25" s="86">
        <v>1.2</v>
      </c>
      <c r="B25" s="86" t="s">
        <v>85</v>
      </c>
      <c r="C25" s="382">
        <f>SUM(C26,C30)</f>
        <v>0</v>
      </c>
      <c r="D25" s="382">
        <f>SUM(D26,D30)</f>
        <v>0</v>
      </c>
      <c r="E25" s="108"/>
      <c r="G25" s="2">
        <f t="shared" si="0"/>
        <v>2870</v>
      </c>
      <c r="H25" s="2">
        <f t="shared" si="1"/>
        <v>0</v>
      </c>
      <c r="J25" s="84">
        <f>SUM(J26,J30)</f>
        <v>0</v>
      </c>
      <c r="K25" s="84">
        <f>SUM(K26,K30)</f>
        <v>0</v>
      </c>
      <c r="M25" s="84">
        <f>SUM(M26,M30)</f>
        <v>0</v>
      </c>
      <c r="N25" s="84">
        <f>SUM(N26,N30)</f>
        <v>0</v>
      </c>
      <c r="P25" s="382">
        <f>SUM(P26,P30)</f>
        <v>2870</v>
      </c>
      <c r="Q25" s="84">
        <f>SUM(Q26,Q30)</f>
        <v>0</v>
      </c>
      <c r="S25" s="382">
        <f>SUM(S26,S30)</f>
        <v>0</v>
      </c>
      <c r="T25" s="84">
        <f>SUM(T26,T30)</f>
        <v>0</v>
      </c>
      <c r="V25" s="382">
        <f>SUM(V26,V30)</f>
        <v>0</v>
      </c>
      <c r="W25" s="84">
        <f>SUM(W26,W30)</f>
        <v>0</v>
      </c>
    </row>
    <row r="26" spans="1:23" ht="16.5" customHeight="1">
      <c r="A26" s="87" t="s">
        <v>32</v>
      </c>
      <c r="B26" s="87" t="s">
        <v>301</v>
      </c>
      <c r="C26" s="107">
        <f>SUM(C27:C29)</f>
        <v>0</v>
      </c>
      <c r="D26" s="107">
        <f>SUM(D27:D29)</f>
        <v>0</v>
      </c>
      <c r="E26" s="108"/>
      <c r="G26" s="2">
        <f t="shared" si="0"/>
        <v>2870</v>
      </c>
      <c r="H26" s="2">
        <f t="shared" si="1"/>
        <v>0</v>
      </c>
      <c r="J26" s="107">
        <f>SUM(J27:J29)</f>
        <v>0</v>
      </c>
      <c r="K26" s="107">
        <f>SUM(K27:K29)</f>
        <v>0</v>
      </c>
      <c r="M26" s="107">
        <f>SUM(M27:M29)</f>
        <v>0</v>
      </c>
      <c r="N26" s="107">
        <f>SUM(N27:N29)</f>
        <v>0</v>
      </c>
      <c r="P26" s="107">
        <f>SUM(P27:P29)</f>
        <v>2870</v>
      </c>
      <c r="Q26" s="107">
        <f>SUM(Q27:Q29)</f>
        <v>0</v>
      </c>
      <c r="S26" s="107">
        <f>SUM(S27:S29)</f>
        <v>0</v>
      </c>
      <c r="T26" s="107">
        <f>SUM(T27:T29)</f>
        <v>0</v>
      </c>
      <c r="V26" s="107">
        <f>SUM(V27:V29)</f>
        <v>0</v>
      </c>
      <c r="W26" s="107">
        <f>SUM(W27:W29)</f>
        <v>0</v>
      </c>
    </row>
    <row r="27" spans="1:23">
      <c r="A27" s="239" t="s">
        <v>87</v>
      </c>
      <c r="B27" s="239" t="s">
        <v>299</v>
      </c>
      <c r="C27" s="8"/>
      <c r="D27" s="8"/>
      <c r="E27" s="108"/>
      <c r="G27" s="2">
        <f t="shared" si="0"/>
        <v>2870</v>
      </c>
      <c r="H27" s="2">
        <f t="shared" si="1"/>
        <v>0</v>
      </c>
      <c r="J27" s="8"/>
      <c r="K27" s="8"/>
      <c r="P27" s="8">
        <v>2870</v>
      </c>
      <c r="Q27" s="8"/>
      <c r="S27" s="8"/>
      <c r="T27" s="8"/>
      <c r="V27" s="8"/>
      <c r="W27" s="8"/>
    </row>
    <row r="28" spans="1:23">
      <c r="A28" s="239" t="s">
        <v>88</v>
      </c>
      <c r="B28" s="239" t="s">
        <v>302</v>
      </c>
      <c r="C28" s="8"/>
      <c r="D28" s="8"/>
      <c r="E28" s="108"/>
      <c r="G28" s="2">
        <f t="shared" si="0"/>
        <v>0</v>
      </c>
      <c r="H28" s="2">
        <f t="shared" si="1"/>
        <v>0</v>
      </c>
      <c r="J28" s="8"/>
      <c r="K28" s="8"/>
      <c r="P28" s="8"/>
      <c r="Q28" s="8"/>
      <c r="S28" s="8"/>
      <c r="T28" s="8"/>
      <c r="V28" s="8"/>
      <c r="W28" s="8"/>
    </row>
    <row r="29" spans="1:23">
      <c r="A29" s="239" t="s">
        <v>423</v>
      </c>
      <c r="B29" s="239" t="s">
        <v>300</v>
      </c>
      <c r="C29" s="8"/>
      <c r="D29" s="8"/>
      <c r="E29" s="108"/>
      <c r="G29" s="2">
        <f t="shared" si="0"/>
        <v>0</v>
      </c>
      <c r="H29" s="2">
        <f t="shared" si="1"/>
        <v>0</v>
      </c>
      <c r="J29" s="8"/>
      <c r="K29" s="8"/>
      <c r="P29" s="8"/>
      <c r="Q29" s="8"/>
      <c r="S29" s="8"/>
      <c r="T29" s="8"/>
      <c r="V29" s="8"/>
      <c r="W29" s="8"/>
    </row>
    <row r="30" spans="1:23">
      <c r="A30" s="87" t="s">
        <v>33</v>
      </c>
      <c r="B30" s="249" t="s">
        <v>419</v>
      </c>
      <c r="C30" s="380">
        <v>0</v>
      </c>
      <c r="D30" s="380">
        <v>0</v>
      </c>
      <c r="E30" s="108"/>
      <c r="G30" s="2">
        <f t="shared" si="0"/>
        <v>0</v>
      </c>
      <c r="H30" s="2">
        <f t="shared" si="1"/>
        <v>0</v>
      </c>
      <c r="P30" s="380">
        <v>0</v>
      </c>
      <c r="Q30" s="8"/>
      <c r="S30" s="380">
        <v>0</v>
      </c>
      <c r="T30" s="8"/>
      <c r="V30" s="380">
        <v>0</v>
      </c>
      <c r="W30" s="8"/>
    </row>
    <row r="31" spans="1:23">
      <c r="D31" s="26"/>
      <c r="E31" s="109"/>
      <c r="F31" s="26"/>
      <c r="G31" s="26"/>
      <c r="H31" s="26"/>
    </row>
    <row r="32" spans="1:23">
      <c r="A32" s="1"/>
      <c r="D32" s="26"/>
      <c r="E32" s="109"/>
      <c r="F32" s="26"/>
      <c r="G32" s="26"/>
      <c r="H32" s="26"/>
    </row>
    <row r="33" spans="1:11">
      <c r="D33" s="26"/>
      <c r="E33" s="109"/>
      <c r="F33" s="26"/>
      <c r="G33" s="26"/>
      <c r="H33" s="26"/>
    </row>
    <row r="34" spans="1:11">
      <c r="D34" s="26"/>
      <c r="E34" s="109"/>
      <c r="F34" s="26"/>
      <c r="G34" s="26"/>
      <c r="H34" s="26"/>
    </row>
    <row r="35" spans="1:11">
      <c r="A35" s="68" t="s">
        <v>96</v>
      </c>
      <c r="D35" s="26"/>
      <c r="E35" s="109"/>
      <c r="F35" s="26"/>
      <c r="G35" s="26"/>
      <c r="H35" s="26"/>
    </row>
    <row r="36" spans="1:11">
      <c r="D36" s="26"/>
      <c r="E36" s="110"/>
      <c r="F36" s="110"/>
      <c r="G36" s="110"/>
      <c r="H36" s="110"/>
      <c r="I36"/>
      <c r="J36"/>
      <c r="K36"/>
    </row>
    <row r="37" spans="1:11">
      <c r="D37" s="111"/>
      <c r="E37" s="110"/>
      <c r="F37" s="110"/>
      <c r="G37" s="110"/>
      <c r="H37" s="110"/>
      <c r="I37"/>
      <c r="J37"/>
      <c r="K37"/>
    </row>
    <row r="38" spans="1:11">
      <c r="A38"/>
      <c r="B38" s="68" t="s">
        <v>260</v>
      </c>
      <c r="D38" s="111"/>
      <c r="E38" s="110"/>
      <c r="F38" s="110"/>
      <c r="G38" s="110"/>
      <c r="H38" s="110"/>
      <c r="I38"/>
      <c r="J38"/>
      <c r="K38"/>
    </row>
    <row r="39" spans="1:11">
      <c r="A39"/>
      <c r="B39" s="2" t="s">
        <v>259</v>
      </c>
      <c r="D39" s="111"/>
      <c r="E39" s="110"/>
      <c r="F39" s="110"/>
      <c r="G39" s="110"/>
      <c r="H39" s="110"/>
      <c r="I39"/>
      <c r="J39"/>
      <c r="K39"/>
    </row>
    <row r="40" spans="1:11" customFormat="1" ht="12.75">
      <c r="B40" s="64" t="s">
        <v>128</v>
      </c>
      <c r="D40" s="110"/>
      <c r="E40" s="110"/>
      <c r="F40" s="110"/>
      <c r="G40" s="110"/>
      <c r="H40" s="110"/>
    </row>
    <row r="41" spans="1:11">
      <c r="D41" s="26"/>
      <c r="E41" s="109"/>
      <c r="F41" s="26"/>
      <c r="G41" s="26"/>
      <c r="H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view="pageBreakPreview" topLeftCell="A88" zoomScale="70" zoomScaleNormal="80" zoomScaleSheetLayoutView="70" workbookViewId="0">
      <selection activeCell="N96" sqref="N96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  <col min="13" max="13" width="9.140625" customWidth="1"/>
  </cols>
  <sheetData>
    <row r="1" spans="1:12" ht="15">
      <c r="A1" s="135" t="s">
        <v>425</v>
      </c>
      <c r="B1" s="136"/>
      <c r="C1" s="136"/>
      <c r="D1" s="136"/>
      <c r="E1" s="136"/>
      <c r="F1" s="136"/>
      <c r="G1" s="136"/>
      <c r="H1" s="136"/>
      <c r="I1" s="136"/>
      <c r="J1" s="136"/>
      <c r="K1" s="77" t="s">
        <v>98</v>
      </c>
    </row>
    <row r="2" spans="1:12" ht="15">
      <c r="A2" s="105" t="s">
        <v>129</v>
      </c>
      <c r="B2" s="136"/>
      <c r="C2" s="136"/>
      <c r="D2" s="136"/>
      <c r="E2" s="136"/>
      <c r="F2" s="136"/>
      <c r="G2" s="136"/>
      <c r="H2" s="136"/>
      <c r="I2" s="136"/>
      <c r="J2" s="136"/>
      <c r="K2" s="587" t="s">
        <v>943</v>
      </c>
      <c r="L2" s="588"/>
    </row>
    <row r="3" spans="1:12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</row>
    <row r="4" spans="1:12" ht="15">
      <c r="A4" s="75" t="str">
        <f>'ფორმა N2'!A4</f>
        <v>ანგარიშვალდებული პირის დასახელება:</v>
      </c>
      <c r="B4" s="75"/>
      <c r="C4" s="75"/>
      <c r="D4" s="76"/>
      <c r="E4" s="145"/>
      <c r="F4" s="136"/>
      <c r="G4" s="136"/>
      <c r="H4" s="136"/>
      <c r="I4" s="136"/>
      <c r="J4" s="136"/>
      <c r="K4" s="145"/>
    </row>
    <row r="5" spans="1:12" s="184" customFormat="1" ht="15">
      <c r="A5" s="110" t="s">
        <v>654</v>
      </c>
      <c r="B5" s="79"/>
      <c r="C5" s="79"/>
      <c r="D5" s="79"/>
      <c r="E5" s="222"/>
      <c r="F5" s="223"/>
      <c r="G5" s="223"/>
      <c r="H5" s="223"/>
      <c r="I5" s="223"/>
      <c r="J5" s="223"/>
      <c r="K5" s="222"/>
    </row>
    <row r="6" spans="1:12" ht="13.5">
      <c r="A6" s="140"/>
      <c r="B6" s="141"/>
      <c r="C6" s="141"/>
      <c r="D6" s="141"/>
      <c r="E6" s="136"/>
      <c r="F6" s="136"/>
      <c r="G6" s="136"/>
      <c r="H6" s="136"/>
      <c r="I6" s="136"/>
      <c r="J6" s="136"/>
      <c r="K6" s="136"/>
    </row>
    <row r="7" spans="1:12" ht="60">
      <c r="A7" s="148" t="s">
        <v>64</v>
      </c>
      <c r="B7" s="134" t="s">
        <v>364</v>
      </c>
      <c r="C7" s="134" t="s">
        <v>365</v>
      </c>
      <c r="D7" s="134" t="s">
        <v>367</v>
      </c>
      <c r="E7" s="134" t="s">
        <v>366</v>
      </c>
      <c r="F7" s="134" t="s">
        <v>375</v>
      </c>
      <c r="G7" s="134" t="s">
        <v>376</v>
      </c>
      <c r="H7" s="134" t="s">
        <v>370</v>
      </c>
      <c r="I7" s="134" t="s">
        <v>371</v>
      </c>
      <c r="J7" s="134" t="s">
        <v>383</v>
      </c>
      <c r="K7" s="134" t="s">
        <v>372</v>
      </c>
    </row>
    <row r="8" spans="1:12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4">
        <v>9</v>
      </c>
      <c r="J8" s="132">
        <v>10</v>
      </c>
      <c r="K8" s="134">
        <v>11</v>
      </c>
    </row>
    <row r="9" spans="1:12" ht="30">
      <c r="A9" s="476">
        <v>1</v>
      </c>
      <c r="B9" s="508" t="s">
        <v>478</v>
      </c>
      <c r="C9" s="509" t="s">
        <v>641</v>
      </c>
      <c r="D9" s="509" t="s">
        <v>877</v>
      </c>
      <c r="E9" s="509">
        <v>156.80000000000001</v>
      </c>
      <c r="F9" s="509">
        <v>800</v>
      </c>
      <c r="G9" s="509"/>
      <c r="H9" s="508"/>
      <c r="I9" s="508"/>
      <c r="J9" s="509" t="s">
        <v>479</v>
      </c>
      <c r="K9" s="508" t="s">
        <v>643</v>
      </c>
    </row>
    <row r="10" spans="1:12" ht="45" customHeight="1">
      <c r="A10" s="476">
        <v>2</v>
      </c>
      <c r="B10" s="508" t="s">
        <v>480</v>
      </c>
      <c r="C10" s="509" t="s">
        <v>641</v>
      </c>
      <c r="D10" s="509" t="s">
        <v>892</v>
      </c>
      <c r="E10" s="510">
        <v>70</v>
      </c>
      <c r="F10" s="510">
        <v>1200</v>
      </c>
      <c r="G10" s="510"/>
      <c r="H10" s="511"/>
      <c r="I10" s="508"/>
      <c r="J10" s="512" t="s">
        <v>481</v>
      </c>
      <c r="K10" s="508" t="s">
        <v>482</v>
      </c>
    </row>
    <row r="11" spans="1:12" ht="60" customHeight="1">
      <c r="A11" s="476">
        <v>3</v>
      </c>
      <c r="B11" s="508" t="s">
        <v>483</v>
      </c>
      <c r="C11" s="509" t="s">
        <v>641</v>
      </c>
      <c r="D11" s="509" t="s">
        <v>687</v>
      </c>
      <c r="E11" s="509">
        <v>106</v>
      </c>
      <c r="F11" s="509">
        <v>800</v>
      </c>
      <c r="G11" s="509"/>
      <c r="H11" s="508"/>
      <c r="I11" s="508"/>
      <c r="J11" s="513" t="s">
        <v>484</v>
      </c>
      <c r="K11" s="508" t="s">
        <v>485</v>
      </c>
    </row>
    <row r="12" spans="1:12" ht="30">
      <c r="A12" s="476">
        <v>4</v>
      </c>
      <c r="B12" s="508" t="s">
        <v>486</v>
      </c>
      <c r="C12" s="509" t="s">
        <v>641</v>
      </c>
      <c r="D12" s="509" t="s">
        <v>892</v>
      </c>
      <c r="E12" s="510">
        <v>135.69999999999999</v>
      </c>
      <c r="F12" s="510">
        <v>625</v>
      </c>
      <c r="G12" s="510"/>
      <c r="H12" s="511"/>
      <c r="I12" s="508"/>
      <c r="J12" s="509">
        <v>26001002376</v>
      </c>
      <c r="K12" s="508" t="s">
        <v>487</v>
      </c>
    </row>
    <row r="13" spans="1:12" ht="45" customHeight="1">
      <c r="A13" s="476">
        <v>5</v>
      </c>
      <c r="B13" s="508" t="s">
        <v>488</v>
      </c>
      <c r="C13" s="509" t="s">
        <v>641</v>
      </c>
      <c r="D13" s="509" t="s">
        <v>892</v>
      </c>
      <c r="E13" s="510">
        <v>70</v>
      </c>
      <c r="F13" s="510">
        <v>500</v>
      </c>
      <c r="G13" s="510"/>
      <c r="H13" s="511"/>
      <c r="I13" s="508"/>
      <c r="J13" s="510">
        <v>225063123</v>
      </c>
      <c r="K13" s="508" t="s">
        <v>489</v>
      </c>
    </row>
    <row r="14" spans="1:12" ht="30" customHeight="1">
      <c r="A14" s="476">
        <v>6</v>
      </c>
      <c r="B14" s="508" t="s">
        <v>490</v>
      </c>
      <c r="C14" s="509" t="s">
        <v>641</v>
      </c>
      <c r="D14" s="509" t="s">
        <v>892</v>
      </c>
      <c r="E14" s="509">
        <v>219</v>
      </c>
      <c r="F14" s="509">
        <v>800</v>
      </c>
      <c r="G14" s="509"/>
      <c r="H14" s="508"/>
      <c r="I14" s="508"/>
      <c r="J14" s="513" t="s">
        <v>491</v>
      </c>
      <c r="K14" s="508" t="s">
        <v>492</v>
      </c>
    </row>
    <row r="15" spans="1:12" ht="45" customHeight="1">
      <c r="A15" s="476">
        <v>7</v>
      </c>
      <c r="B15" s="508" t="s">
        <v>493</v>
      </c>
      <c r="C15" s="509" t="s">
        <v>641</v>
      </c>
      <c r="D15" s="509" t="s">
        <v>892</v>
      </c>
      <c r="E15" s="510">
        <v>100.2</v>
      </c>
      <c r="F15" s="510">
        <v>625</v>
      </c>
      <c r="G15" s="510"/>
      <c r="H15" s="511"/>
      <c r="I15" s="508"/>
      <c r="J15" s="512" t="s">
        <v>494</v>
      </c>
      <c r="K15" s="508" t="s">
        <v>495</v>
      </c>
    </row>
    <row r="16" spans="1:12" ht="45" customHeight="1">
      <c r="A16" s="580">
        <v>8</v>
      </c>
      <c r="B16" s="586" t="s">
        <v>496</v>
      </c>
      <c r="C16" s="509" t="s">
        <v>641</v>
      </c>
      <c r="D16" s="509" t="s">
        <v>892</v>
      </c>
      <c r="E16" s="589">
        <v>87.1</v>
      </c>
      <c r="F16" s="510">
        <v>400</v>
      </c>
      <c r="G16" s="510"/>
      <c r="H16" s="511"/>
      <c r="I16" s="508"/>
      <c r="J16" s="512" t="s">
        <v>497</v>
      </c>
      <c r="K16" s="508" t="s">
        <v>498</v>
      </c>
    </row>
    <row r="17" spans="1:11" ht="60" customHeight="1">
      <c r="A17" s="581"/>
      <c r="B17" s="586"/>
      <c r="C17" s="509" t="s">
        <v>641</v>
      </c>
      <c r="D17" s="509" t="s">
        <v>892</v>
      </c>
      <c r="E17" s="589"/>
      <c r="F17" s="510">
        <v>400</v>
      </c>
      <c r="G17" s="510"/>
      <c r="H17" s="511"/>
      <c r="I17" s="508"/>
      <c r="J17" s="512" t="s">
        <v>499</v>
      </c>
      <c r="K17" s="508" t="s">
        <v>500</v>
      </c>
    </row>
    <row r="18" spans="1:11" ht="45">
      <c r="A18" s="476">
        <v>9</v>
      </c>
      <c r="B18" s="508" t="s">
        <v>501</v>
      </c>
      <c r="C18" s="509" t="s">
        <v>641</v>
      </c>
      <c r="D18" s="509" t="s">
        <v>892</v>
      </c>
      <c r="E18" s="510">
        <v>110</v>
      </c>
      <c r="F18" s="510">
        <v>800</v>
      </c>
      <c r="G18" s="510"/>
      <c r="H18" s="511"/>
      <c r="I18" s="508"/>
      <c r="J18" s="510">
        <v>47001000294</v>
      </c>
      <c r="K18" s="508" t="s">
        <v>502</v>
      </c>
    </row>
    <row r="19" spans="1:11" ht="45" customHeight="1">
      <c r="A19" s="580">
        <v>10</v>
      </c>
      <c r="B19" s="586" t="s">
        <v>503</v>
      </c>
      <c r="C19" s="509" t="s">
        <v>641</v>
      </c>
      <c r="D19" s="509" t="s">
        <v>892</v>
      </c>
      <c r="E19" s="589">
        <v>140.9</v>
      </c>
      <c r="F19" s="510">
        <v>250</v>
      </c>
      <c r="G19" s="510"/>
      <c r="H19" s="511"/>
      <c r="I19" s="508"/>
      <c r="J19" s="510">
        <v>62007000585</v>
      </c>
      <c r="K19" s="508" t="s">
        <v>504</v>
      </c>
    </row>
    <row r="20" spans="1:11" ht="30" customHeight="1">
      <c r="A20" s="581"/>
      <c r="B20" s="586"/>
      <c r="C20" s="509" t="s">
        <v>641</v>
      </c>
      <c r="D20" s="509" t="s">
        <v>892</v>
      </c>
      <c r="E20" s="589"/>
      <c r="F20" s="510">
        <v>250</v>
      </c>
      <c r="G20" s="510"/>
      <c r="H20" s="511"/>
      <c r="I20" s="508"/>
      <c r="J20" s="512" t="s">
        <v>505</v>
      </c>
      <c r="K20" s="508" t="s">
        <v>506</v>
      </c>
    </row>
    <row r="21" spans="1:11" ht="30">
      <c r="A21" s="476">
        <v>11</v>
      </c>
      <c r="B21" s="508" t="s">
        <v>507</v>
      </c>
      <c r="C21" s="509" t="s">
        <v>641</v>
      </c>
      <c r="D21" s="509" t="s">
        <v>687</v>
      </c>
      <c r="E21" s="510">
        <v>100</v>
      </c>
      <c r="F21" s="510">
        <v>625</v>
      </c>
      <c r="G21" s="510"/>
      <c r="H21" s="511"/>
      <c r="I21" s="508"/>
      <c r="J21" s="510">
        <v>230030613</v>
      </c>
      <c r="K21" s="508" t="s">
        <v>508</v>
      </c>
    </row>
    <row r="22" spans="1:11" ht="30" customHeight="1">
      <c r="A22" s="476">
        <v>12</v>
      </c>
      <c r="B22" s="508" t="s">
        <v>509</v>
      </c>
      <c r="C22" s="509" t="s">
        <v>641</v>
      </c>
      <c r="D22" s="509" t="s">
        <v>892</v>
      </c>
      <c r="E22" s="509">
        <v>126.77</v>
      </c>
      <c r="F22" s="509">
        <v>3335.7</v>
      </c>
      <c r="G22" s="513" t="s">
        <v>510</v>
      </c>
      <c r="H22" s="508" t="s">
        <v>645</v>
      </c>
      <c r="I22" s="508" t="s">
        <v>644</v>
      </c>
      <c r="J22" s="513"/>
      <c r="K22" s="508"/>
    </row>
    <row r="23" spans="1:11" ht="30" customHeight="1">
      <c r="A23" s="476">
        <v>13</v>
      </c>
      <c r="B23" s="508" t="s">
        <v>511</v>
      </c>
      <c r="C23" s="509" t="s">
        <v>641</v>
      </c>
      <c r="D23" s="509" t="s">
        <v>687</v>
      </c>
      <c r="E23" s="510">
        <v>46</v>
      </c>
      <c r="F23" s="510">
        <v>375</v>
      </c>
      <c r="G23" s="510"/>
      <c r="H23" s="511"/>
      <c r="I23" s="508"/>
      <c r="J23" s="512" t="s">
        <v>512</v>
      </c>
      <c r="K23" s="508" t="s">
        <v>513</v>
      </c>
    </row>
    <row r="24" spans="1:11" ht="45" customHeight="1">
      <c r="A24" s="476">
        <v>14</v>
      </c>
      <c r="B24" s="508" t="s">
        <v>514</v>
      </c>
      <c r="C24" s="509" t="s">
        <v>641</v>
      </c>
      <c r="D24" s="509" t="s">
        <v>687</v>
      </c>
      <c r="E24" s="510">
        <v>90</v>
      </c>
      <c r="F24" s="510">
        <v>500</v>
      </c>
      <c r="G24" s="510"/>
      <c r="H24" s="511"/>
      <c r="I24" s="508"/>
      <c r="J24" s="509">
        <v>53001007238</v>
      </c>
      <c r="K24" s="508" t="s">
        <v>515</v>
      </c>
    </row>
    <row r="25" spans="1:11" ht="45" customHeight="1">
      <c r="A25" s="476">
        <v>15</v>
      </c>
      <c r="B25" s="508" t="s">
        <v>516</v>
      </c>
      <c r="C25" s="509" t="s">
        <v>641</v>
      </c>
      <c r="D25" s="509" t="s">
        <v>892</v>
      </c>
      <c r="E25" s="510">
        <v>161</v>
      </c>
      <c r="F25" s="510">
        <v>625</v>
      </c>
      <c r="G25" s="510"/>
      <c r="H25" s="511"/>
      <c r="I25" s="508"/>
      <c r="J25" s="509">
        <v>61008000273</v>
      </c>
      <c r="K25" s="508" t="s">
        <v>647</v>
      </c>
    </row>
    <row r="26" spans="1:11" ht="75" customHeight="1">
      <c r="A26" s="476">
        <v>16</v>
      </c>
      <c r="B26" s="508" t="s">
        <v>517</v>
      </c>
      <c r="C26" s="509" t="s">
        <v>641</v>
      </c>
      <c r="D26" s="509" t="s">
        <v>892</v>
      </c>
      <c r="E26" s="510">
        <v>72</v>
      </c>
      <c r="F26" s="510">
        <v>1250</v>
      </c>
      <c r="G26" s="510"/>
      <c r="H26" s="511"/>
      <c r="I26" s="508"/>
      <c r="J26" s="512" t="s">
        <v>518</v>
      </c>
      <c r="K26" s="508" t="s">
        <v>519</v>
      </c>
    </row>
    <row r="27" spans="1:11" ht="30">
      <c r="A27" s="476">
        <v>17</v>
      </c>
      <c r="B27" s="508" t="s">
        <v>520</v>
      </c>
      <c r="C27" s="509" t="s">
        <v>641</v>
      </c>
      <c r="D27" s="509" t="s">
        <v>642</v>
      </c>
      <c r="E27" s="510">
        <v>150</v>
      </c>
      <c r="F27" s="510">
        <v>300</v>
      </c>
      <c r="G27" s="510"/>
      <c r="H27" s="511"/>
      <c r="I27" s="508"/>
      <c r="J27" s="514" t="s">
        <v>684</v>
      </c>
      <c r="K27" s="508" t="s">
        <v>685</v>
      </c>
    </row>
    <row r="28" spans="1:11" ht="45" customHeight="1">
      <c r="A28" s="476">
        <v>18</v>
      </c>
      <c r="B28" s="508" t="s">
        <v>521</v>
      </c>
      <c r="C28" s="509" t="s">
        <v>641</v>
      </c>
      <c r="D28" s="509" t="s">
        <v>687</v>
      </c>
      <c r="E28" s="509">
        <v>45</v>
      </c>
      <c r="F28" s="509">
        <v>625</v>
      </c>
      <c r="G28" s="509"/>
      <c r="H28" s="508"/>
      <c r="I28" s="508"/>
      <c r="J28" s="509" t="s">
        <v>522</v>
      </c>
      <c r="K28" s="508" t="s">
        <v>523</v>
      </c>
    </row>
    <row r="29" spans="1:11" ht="30" customHeight="1">
      <c r="A29" s="476">
        <v>19</v>
      </c>
      <c r="B29" s="508" t="s">
        <v>524</v>
      </c>
      <c r="C29" s="509" t="s">
        <v>641</v>
      </c>
      <c r="D29" s="509" t="s">
        <v>642</v>
      </c>
      <c r="E29" s="510">
        <v>188.9</v>
      </c>
      <c r="F29" s="510">
        <v>1000</v>
      </c>
      <c r="G29" s="510"/>
      <c r="H29" s="511"/>
      <c r="I29" s="508"/>
      <c r="J29" s="514" t="s">
        <v>525</v>
      </c>
      <c r="K29" s="508" t="s">
        <v>526</v>
      </c>
    </row>
    <row r="30" spans="1:11" ht="60" customHeight="1">
      <c r="A30" s="476">
        <v>20</v>
      </c>
      <c r="B30" s="508" t="s">
        <v>527</v>
      </c>
      <c r="C30" s="509" t="s">
        <v>641</v>
      </c>
      <c r="D30" s="509" t="s">
        <v>892</v>
      </c>
      <c r="E30" s="510">
        <v>60</v>
      </c>
      <c r="F30" s="510">
        <v>800</v>
      </c>
      <c r="G30" s="510"/>
      <c r="H30" s="511"/>
      <c r="I30" s="508"/>
      <c r="J30" s="514" t="s">
        <v>528</v>
      </c>
      <c r="K30" s="508" t="s">
        <v>529</v>
      </c>
    </row>
    <row r="31" spans="1:11" ht="45" customHeight="1">
      <c r="A31" s="476">
        <v>21</v>
      </c>
      <c r="B31" s="508" t="s">
        <v>530</v>
      </c>
      <c r="C31" s="509" t="s">
        <v>641</v>
      </c>
      <c r="D31" s="509" t="s">
        <v>687</v>
      </c>
      <c r="E31" s="510">
        <v>190</v>
      </c>
      <c r="F31" s="510">
        <v>6337.83</v>
      </c>
      <c r="G31" s="510"/>
      <c r="H31" s="511"/>
      <c r="I31" s="508"/>
      <c r="J31" s="514" t="s">
        <v>531</v>
      </c>
      <c r="K31" s="508" t="s">
        <v>532</v>
      </c>
    </row>
    <row r="32" spans="1:11" ht="45" customHeight="1">
      <c r="A32" s="476">
        <v>22</v>
      </c>
      <c r="B32" s="508" t="s">
        <v>533</v>
      </c>
      <c r="C32" s="509" t="s">
        <v>641</v>
      </c>
      <c r="D32" s="509" t="s">
        <v>892</v>
      </c>
      <c r="E32" s="510">
        <v>50</v>
      </c>
      <c r="F32" s="510">
        <v>300</v>
      </c>
      <c r="G32" s="510"/>
      <c r="H32" s="511"/>
      <c r="I32" s="508"/>
      <c r="J32" s="514" t="s">
        <v>534</v>
      </c>
      <c r="K32" s="508" t="s">
        <v>535</v>
      </c>
    </row>
    <row r="33" spans="1:11" ht="60" customHeight="1">
      <c r="A33" s="580">
        <v>23</v>
      </c>
      <c r="B33" s="586" t="s">
        <v>537</v>
      </c>
      <c r="C33" s="509" t="s">
        <v>641</v>
      </c>
      <c r="D33" s="509" t="s">
        <v>892</v>
      </c>
      <c r="E33" s="590">
        <v>130</v>
      </c>
      <c r="F33" s="509">
        <v>4002.84</v>
      </c>
      <c r="G33" s="513" t="s">
        <v>538</v>
      </c>
      <c r="H33" s="511" t="s">
        <v>539</v>
      </c>
      <c r="I33" s="508" t="s">
        <v>540</v>
      </c>
      <c r="J33" s="476"/>
      <c r="K33" s="515"/>
    </row>
    <row r="34" spans="1:11" ht="60" customHeight="1">
      <c r="A34" s="581"/>
      <c r="B34" s="586"/>
      <c r="C34" s="509" t="s">
        <v>641</v>
      </c>
      <c r="D34" s="509" t="s">
        <v>892</v>
      </c>
      <c r="E34" s="590"/>
      <c r="F34" s="509">
        <v>889.52</v>
      </c>
      <c r="G34" s="513" t="s">
        <v>541</v>
      </c>
      <c r="H34" s="511" t="s">
        <v>542</v>
      </c>
      <c r="I34" s="508" t="s">
        <v>540</v>
      </c>
      <c r="J34" s="476"/>
      <c r="K34" s="515"/>
    </row>
    <row r="35" spans="1:11" ht="60" customHeight="1">
      <c r="A35" s="476">
        <v>24</v>
      </c>
      <c r="B35" s="508" t="s">
        <v>543</v>
      </c>
      <c r="C35" s="509" t="s">
        <v>641</v>
      </c>
      <c r="D35" s="509" t="s">
        <v>892</v>
      </c>
      <c r="E35" s="510">
        <v>82.9</v>
      </c>
      <c r="F35" s="509">
        <v>375</v>
      </c>
      <c r="G35" s="512" t="s">
        <v>544</v>
      </c>
      <c r="H35" s="511" t="s">
        <v>545</v>
      </c>
      <c r="I35" s="508" t="s">
        <v>546</v>
      </c>
      <c r="J35" s="476"/>
      <c r="K35" s="515"/>
    </row>
    <row r="36" spans="1:11" ht="45" customHeight="1">
      <c r="A36" s="476">
        <v>25</v>
      </c>
      <c r="B36" s="508" t="s">
        <v>547</v>
      </c>
      <c r="C36" s="509" t="s">
        <v>641</v>
      </c>
      <c r="D36" s="509" t="s">
        <v>892</v>
      </c>
      <c r="E36" s="510">
        <v>65</v>
      </c>
      <c r="F36" s="509">
        <v>1000</v>
      </c>
      <c r="G36" s="512" t="s">
        <v>548</v>
      </c>
      <c r="H36" s="511" t="s">
        <v>536</v>
      </c>
      <c r="I36" s="508" t="s">
        <v>549</v>
      </c>
      <c r="J36" s="476"/>
      <c r="K36" s="515"/>
    </row>
    <row r="37" spans="1:11" ht="30" customHeight="1">
      <c r="A37" s="476">
        <v>26</v>
      </c>
      <c r="B37" s="508" t="s">
        <v>550</v>
      </c>
      <c r="C37" s="509" t="s">
        <v>641</v>
      </c>
      <c r="D37" s="509" t="s">
        <v>892</v>
      </c>
      <c r="E37" s="510">
        <v>81.55</v>
      </c>
      <c r="F37" s="509">
        <v>500</v>
      </c>
      <c r="G37" s="510">
        <v>24001004130</v>
      </c>
      <c r="H37" s="511" t="s">
        <v>551</v>
      </c>
      <c r="I37" s="508" t="s">
        <v>552</v>
      </c>
      <c r="J37" s="476"/>
      <c r="K37" s="515"/>
    </row>
    <row r="38" spans="1:11" ht="30" customHeight="1">
      <c r="A38" s="476">
        <v>27</v>
      </c>
      <c r="B38" s="508" t="s">
        <v>553</v>
      </c>
      <c r="C38" s="509" t="s">
        <v>641</v>
      </c>
      <c r="D38" s="509" t="s">
        <v>892</v>
      </c>
      <c r="E38" s="510">
        <v>60.8</v>
      </c>
      <c r="F38" s="509">
        <v>375</v>
      </c>
      <c r="G38" s="512" t="s">
        <v>554</v>
      </c>
      <c r="H38" s="511" t="s">
        <v>555</v>
      </c>
      <c r="I38" s="508" t="s">
        <v>556</v>
      </c>
      <c r="J38" s="476"/>
      <c r="K38" s="515"/>
    </row>
    <row r="39" spans="1:11" ht="30" customHeight="1">
      <c r="A39" s="476">
        <v>28</v>
      </c>
      <c r="B39" s="508" t="s">
        <v>557</v>
      </c>
      <c r="C39" s="509" t="s">
        <v>641</v>
      </c>
      <c r="D39" s="509" t="s">
        <v>892</v>
      </c>
      <c r="E39" s="510">
        <v>107</v>
      </c>
      <c r="F39" s="509">
        <v>750</v>
      </c>
      <c r="G39" s="510">
        <v>62005023736</v>
      </c>
      <c r="H39" s="511" t="s">
        <v>558</v>
      </c>
      <c r="I39" s="508" t="s">
        <v>559</v>
      </c>
      <c r="J39" s="476"/>
      <c r="K39" s="515"/>
    </row>
    <row r="40" spans="1:11" ht="45" customHeight="1">
      <c r="A40" s="476">
        <v>29</v>
      </c>
      <c r="B40" s="508" t="s">
        <v>560</v>
      </c>
      <c r="C40" s="509" t="s">
        <v>641</v>
      </c>
      <c r="D40" s="509" t="s">
        <v>892</v>
      </c>
      <c r="E40" s="510">
        <v>223</v>
      </c>
      <c r="F40" s="509">
        <v>450</v>
      </c>
      <c r="G40" s="512" t="s">
        <v>561</v>
      </c>
      <c r="H40" s="511" t="s">
        <v>562</v>
      </c>
      <c r="I40" s="508" t="s">
        <v>563</v>
      </c>
      <c r="J40" s="476"/>
      <c r="K40" s="515"/>
    </row>
    <row r="41" spans="1:11" ht="30" customHeight="1">
      <c r="A41" s="476">
        <v>30</v>
      </c>
      <c r="B41" s="508" t="s">
        <v>564</v>
      </c>
      <c r="C41" s="509" t="s">
        <v>641</v>
      </c>
      <c r="D41" s="509" t="s">
        <v>892</v>
      </c>
      <c r="E41" s="509">
        <v>90</v>
      </c>
      <c r="F41" s="509">
        <v>437.5</v>
      </c>
      <c r="G41" s="513" t="s">
        <v>565</v>
      </c>
      <c r="H41" s="511" t="s">
        <v>566</v>
      </c>
      <c r="I41" s="508" t="s">
        <v>567</v>
      </c>
      <c r="J41" s="476"/>
      <c r="K41" s="515"/>
    </row>
    <row r="42" spans="1:11" ht="30" customHeight="1">
      <c r="A42" s="476">
        <v>31</v>
      </c>
      <c r="B42" s="508" t="s">
        <v>568</v>
      </c>
      <c r="C42" s="509" t="s">
        <v>641</v>
      </c>
      <c r="D42" s="509" t="s">
        <v>687</v>
      </c>
      <c r="E42" s="510">
        <v>155</v>
      </c>
      <c r="F42" s="509">
        <v>350</v>
      </c>
      <c r="G42" s="510">
        <v>25001049879</v>
      </c>
      <c r="H42" s="511" t="s">
        <v>536</v>
      </c>
      <c r="I42" s="508" t="s">
        <v>569</v>
      </c>
      <c r="J42" s="476"/>
      <c r="K42" s="515"/>
    </row>
    <row r="43" spans="1:11" ht="60" customHeight="1">
      <c r="A43" s="476">
        <v>32</v>
      </c>
      <c r="B43" s="508" t="s">
        <v>570</v>
      </c>
      <c r="C43" s="509" t="s">
        <v>641</v>
      </c>
      <c r="D43" s="509" t="s">
        <v>892</v>
      </c>
      <c r="E43" s="510">
        <v>112.5</v>
      </c>
      <c r="F43" s="509">
        <v>625</v>
      </c>
      <c r="G43" s="510">
        <v>61002004053</v>
      </c>
      <c r="H43" s="511" t="s">
        <v>571</v>
      </c>
      <c r="I43" s="508" t="s">
        <v>572</v>
      </c>
      <c r="J43" s="476"/>
      <c r="K43" s="515"/>
    </row>
    <row r="44" spans="1:11" ht="45" customHeight="1">
      <c r="A44" s="476">
        <v>33</v>
      </c>
      <c r="B44" s="508" t="s">
        <v>573</v>
      </c>
      <c r="C44" s="509" t="s">
        <v>641</v>
      </c>
      <c r="D44" s="509" t="s">
        <v>892</v>
      </c>
      <c r="E44" s="510">
        <v>55</v>
      </c>
      <c r="F44" s="509">
        <v>400</v>
      </c>
      <c r="G44" s="510">
        <v>47001003904</v>
      </c>
      <c r="H44" s="511" t="s">
        <v>574</v>
      </c>
      <c r="I44" s="508" t="s">
        <v>575</v>
      </c>
      <c r="J44" s="476"/>
      <c r="K44" s="515"/>
    </row>
    <row r="45" spans="1:11" ht="45" customHeight="1">
      <c r="A45" s="476">
        <v>34</v>
      </c>
      <c r="B45" s="508" t="s">
        <v>576</v>
      </c>
      <c r="C45" s="509" t="s">
        <v>641</v>
      </c>
      <c r="D45" s="509" t="s">
        <v>687</v>
      </c>
      <c r="E45" s="510">
        <v>60</v>
      </c>
      <c r="F45" s="509">
        <v>250</v>
      </c>
      <c r="G45" s="510">
        <v>14001022774</v>
      </c>
      <c r="H45" s="511" t="s">
        <v>577</v>
      </c>
      <c r="I45" s="508" t="s">
        <v>578</v>
      </c>
      <c r="J45" s="476"/>
      <c r="K45" s="515"/>
    </row>
    <row r="46" spans="1:11" ht="45" customHeight="1">
      <c r="A46" s="476">
        <v>35</v>
      </c>
      <c r="B46" s="508" t="s">
        <v>579</v>
      </c>
      <c r="C46" s="509" t="s">
        <v>641</v>
      </c>
      <c r="D46" s="509" t="s">
        <v>687</v>
      </c>
      <c r="E46" s="510">
        <v>136</v>
      </c>
      <c r="F46" s="509">
        <v>525</v>
      </c>
      <c r="G46" s="509">
        <v>38001047179</v>
      </c>
      <c r="H46" s="511" t="s">
        <v>580</v>
      </c>
      <c r="I46" s="508" t="s">
        <v>581</v>
      </c>
      <c r="J46" s="476"/>
      <c r="K46" s="515"/>
    </row>
    <row r="47" spans="1:11" ht="30" customHeight="1">
      <c r="A47" s="476">
        <v>36</v>
      </c>
      <c r="B47" s="508" t="s">
        <v>582</v>
      </c>
      <c r="C47" s="509" t="s">
        <v>641</v>
      </c>
      <c r="D47" s="509" t="s">
        <v>892</v>
      </c>
      <c r="E47" s="510">
        <v>94.1</v>
      </c>
      <c r="F47" s="509">
        <v>500</v>
      </c>
      <c r="G47" s="510">
        <v>54001031206</v>
      </c>
      <c r="H47" s="511" t="s">
        <v>583</v>
      </c>
      <c r="I47" s="508" t="s">
        <v>584</v>
      </c>
      <c r="J47" s="476"/>
      <c r="K47" s="515"/>
    </row>
    <row r="48" spans="1:11" ht="30" customHeight="1">
      <c r="A48" s="476">
        <v>37</v>
      </c>
      <c r="B48" s="508" t="s">
        <v>585</v>
      </c>
      <c r="C48" s="509" t="s">
        <v>641</v>
      </c>
      <c r="D48" s="509" t="s">
        <v>687</v>
      </c>
      <c r="E48" s="510">
        <v>84.1</v>
      </c>
      <c r="F48" s="509">
        <v>625</v>
      </c>
      <c r="G48" s="512" t="s">
        <v>586</v>
      </c>
      <c r="H48" s="511" t="s">
        <v>648</v>
      </c>
      <c r="I48" s="508" t="s">
        <v>587</v>
      </c>
      <c r="J48" s="476"/>
      <c r="K48" s="515"/>
    </row>
    <row r="49" spans="1:11" ht="45" customHeight="1">
      <c r="A49" s="476">
        <v>38</v>
      </c>
      <c r="B49" s="508" t="s">
        <v>588</v>
      </c>
      <c r="C49" s="509" t="s">
        <v>641</v>
      </c>
      <c r="D49" s="509" t="s">
        <v>642</v>
      </c>
      <c r="E49" s="510">
        <v>90</v>
      </c>
      <c r="F49" s="509">
        <v>700</v>
      </c>
      <c r="G49" s="512" t="s">
        <v>589</v>
      </c>
      <c r="H49" s="511" t="s">
        <v>590</v>
      </c>
      <c r="I49" s="508" t="s">
        <v>591</v>
      </c>
      <c r="J49" s="476"/>
      <c r="K49" s="515"/>
    </row>
    <row r="50" spans="1:11" ht="45" customHeight="1">
      <c r="A50" s="476">
        <v>39</v>
      </c>
      <c r="B50" s="508" t="s">
        <v>592</v>
      </c>
      <c r="C50" s="509" t="s">
        <v>641</v>
      </c>
      <c r="D50" s="509" t="s">
        <v>892</v>
      </c>
      <c r="E50" s="510">
        <v>110</v>
      </c>
      <c r="F50" s="509">
        <v>737.5</v>
      </c>
      <c r="G50" s="510">
        <v>3760818</v>
      </c>
      <c r="H50" s="511" t="s">
        <v>593</v>
      </c>
      <c r="I50" s="508" t="s">
        <v>594</v>
      </c>
      <c r="J50" s="476"/>
      <c r="K50" s="515"/>
    </row>
    <row r="51" spans="1:11" ht="45" customHeight="1">
      <c r="A51" s="476">
        <v>40</v>
      </c>
      <c r="B51" s="508" t="s">
        <v>595</v>
      </c>
      <c r="C51" s="509" t="s">
        <v>641</v>
      </c>
      <c r="D51" s="509" t="s">
        <v>687</v>
      </c>
      <c r="E51" s="510">
        <v>130</v>
      </c>
      <c r="F51" s="509">
        <v>500</v>
      </c>
      <c r="G51" s="514" t="s">
        <v>596</v>
      </c>
      <c r="H51" s="511" t="s">
        <v>597</v>
      </c>
      <c r="I51" s="508" t="s">
        <v>598</v>
      </c>
      <c r="J51" s="476"/>
      <c r="K51" s="515"/>
    </row>
    <row r="52" spans="1:11" ht="30" customHeight="1">
      <c r="A52" s="476">
        <v>41</v>
      </c>
      <c r="B52" s="508" t="s">
        <v>599</v>
      </c>
      <c r="C52" s="509" t="s">
        <v>641</v>
      </c>
      <c r="D52" s="509" t="s">
        <v>892</v>
      </c>
      <c r="E52" s="510">
        <v>54</v>
      </c>
      <c r="F52" s="509">
        <v>313</v>
      </c>
      <c r="G52" s="510">
        <v>49001006224</v>
      </c>
      <c r="H52" s="511" t="s">
        <v>600</v>
      </c>
      <c r="I52" s="508" t="s">
        <v>601</v>
      </c>
      <c r="J52" s="476"/>
      <c r="K52" s="515"/>
    </row>
    <row r="53" spans="1:11" ht="45" customHeight="1">
      <c r="A53" s="476">
        <v>42</v>
      </c>
      <c r="B53" s="508" t="s">
        <v>602</v>
      </c>
      <c r="C53" s="509" t="s">
        <v>641</v>
      </c>
      <c r="D53" s="509" t="s">
        <v>892</v>
      </c>
      <c r="E53" s="510">
        <v>80.3</v>
      </c>
      <c r="F53" s="509">
        <v>625</v>
      </c>
      <c r="G53" s="510">
        <v>33001022458</v>
      </c>
      <c r="H53" s="511" t="s">
        <v>603</v>
      </c>
      <c r="I53" s="508" t="s">
        <v>604</v>
      </c>
      <c r="J53" s="476"/>
      <c r="K53" s="515"/>
    </row>
    <row r="54" spans="1:11" ht="30" customHeight="1">
      <c r="A54" s="476">
        <v>43</v>
      </c>
      <c r="B54" s="508" t="s">
        <v>605</v>
      </c>
      <c r="C54" s="509" t="s">
        <v>641</v>
      </c>
      <c r="D54" s="509" t="s">
        <v>892</v>
      </c>
      <c r="E54" s="510">
        <v>60</v>
      </c>
      <c r="F54" s="509">
        <v>500</v>
      </c>
      <c r="G54" s="510">
        <v>29001003140</v>
      </c>
      <c r="H54" s="511" t="s">
        <v>606</v>
      </c>
      <c r="I54" s="508" t="s">
        <v>607</v>
      </c>
      <c r="J54" s="476"/>
      <c r="K54" s="515"/>
    </row>
    <row r="55" spans="1:11" ht="30" customHeight="1">
      <c r="A55" s="476">
        <v>44</v>
      </c>
      <c r="B55" s="508" t="s">
        <v>608</v>
      </c>
      <c r="C55" s="509" t="s">
        <v>641</v>
      </c>
      <c r="D55" s="509" t="s">
        <v>687</v>
      </c>
      <c r="E55" s="510">
        <v>50</v>
      </c>
      <c r="F55" s="509">
        <v>350</v>
      </c>
      <c r="G55" s="514" t="s">
        <v>609</v>
      </c>
      <c r="H55" s="511" t="s">
        <v>610</v>
      </c>
      <c r="I55" s="508" t="s">
        <v>611</v>
      </c>
      <c r="J55" s="476"/>
      <c r="K55" s="515"/>
    </row>
    <row r="56" spans="1:11" ht="30" customHeight="1">
      <c r="A56" s="476">
        <v>45</v>
      </c>
      <c r="B56" s="508" t="s">
        <v>612</v>
      </c>
      <c r="C56" s="509" t="s">
        <v>641</v>
      </c>
      <c r="D56" s="509" t="s">
        <v>892</v>
      </c>
      <c r="E56" s="510">
        <v>73</v>
      </c>
      <c r="F56" s="509">
        <v>500</v>
      </c>
      <c r="G56" s="512" t="s">
        <v>613</v>
      </c>
      <c r="H56" s="511" t="s">
        <v>614</v>
      </c>
      <c r="I56" s="508" t="s">
        <v>615</v>
      </c>
      <c r="J56" s="476"/>
      <c r="K56" s="515"/>
    </row>
    <row r="57" spans="1:11" ht="30" customHeight="1">
      <c r="A57" s="476">
        <v>46</v>
      </c>
      <c r="B57" s="508" t="s">
        <v>616</v>
      </c>
      <c r="C57" s="509" t="s">
        <v>641</v>
      </c>
      <c r="D57" s="509" t="s">
        <v>892</v>
      </c>
      <c r="E57" s="510">
        <v>169.7</v>
      </c>
      <c r="F57" s="509">
        <v>625</v>
      </c>
      <c r="G57" s="514" t="s">
        <v>617</v>
      </c>
      <c r="H57" s="511" t="s">
        <v>555</v>
      </c>
      <c r="I57" s="508" t="s">
        <v>618</v>
      </c>
      <c r="J57" s="476"/>
      <c r="K57" s="515"/>
    </row>
    <row r="58" spans="1:11" ht="30" customHeight="1">
      <c r="A58" s="476">
        <v>47</v>
      </c>
      <c r="B58" s="508" t="s">
        <v>619</v>
      </c>
      <c r="C58" s="509" t="s">
        <v>641</v>
      </c>
      <c r="D58" s="509" t="s">
        <v>642</v>
      </c>
      <c r="E58" s="509">
        <v>112.8</v>
      </c>
      <c r="F58" s="509">
        <v>2223.8000000000002</v>
      </c>
      <c r="G58" s="509" t="s">
        <v>620</v>
      </c>
      <c r="H58" s="511" t="s">
        <v>621</v>
      </c>
      <c r="I58" s="508" t="s">
        <v>622</v>
      </c>
      <c r="J58" s="476"/>
      <c r="K58" s="515"/>
    </row>
    <row r="59" spans="1:11" ht="30" customHeight="1">
      <c r="A59" s="476">
        <v>48</v>
      </c>
      <c r="B59" s="508" t="s">
        <v>626</v>
      </c>
      <c r="C59" s="509" t="s">
        <v>641</v>
      </c>
      <c r="D59" s="509" t="s">
        <v>892</v>
      </c>
      <c r="E59" s="510">
        <v>180</v>
      </c>
      <c r="F59" s="509">
        <v>562.5</v>
      </c>
      <c r="G59" s="514" t="s">
        <v>627</v>
      </c>
      <c r="H59" s="511" t="s">
        <v>628</v>
      </c>
      <c r="I59" s="508" t="s">
        <v>629</v>
      </c>
      <c r="J59" s="476"/>
      <c r="K59" s="515"/>
    </row>
    <row r="60" spans="1:11" ht="30" customHeight="1">
      <c r="A60" s="476">
        <v>49</v>
      </c>
      <c r="B60" s="508" t="s">
        <v>630</v>
      </c>
      <c r="C60" s="509" t="s">
        <v>641</v>
      </c>
      <c r="D60" s="509" t="s">
        <v>892</v>
      </c>
      <c r="E60" s="510">
        <v>99</v>
      </c>
      <c r="F60" s="509">
        <v>800</v>
      </c>
      <c r="G60" s="514" t="s">
        <v>631</v>
      </c>
      <c r="H60" s="511" t="s">
        <v>621</v>
      </c>
      <c r="I60" s="508" t="s">
        <v>632</v>
      </c>
      <c r="J60" s="476"/>
      <c r="K60" s="515"/>
    </row>
    <row r="61" spans="1:11" ht="45" customHeight="1">
      <c r="A61" s="476">
        <v>50</v>
      </c>
      <c r="B61" s="508" t="s">
        <v>633</v>
      </c>
      <c r="C61" s="509" t="s">
        <v>641</v>
      </c>
      <c r="D61" s="509" t="s">
        <v>687</v>
      </c>
      <c r="E61" s="510">
        <v>90</v>
      </c>
      <c r="F61" s="509">
        <v>562.5</v>
      </c>
      <c r="G61" s="514" t="s">
        <v>634</v>
      </c>
      <c r="H61" s="511" t="s">
        <v>635</v>
      </c>
      <c r="I61" s="508" t="s">
        <v>636</v>
      </c>
      <c r="J61" s="476"/>
      <c r="K61" s="515"/>
    </row>
    <row r="62" spans="1:11" ht="45" customHeight="1">
      <c r="A62" s="476">
        <v>51</v>
      </c>
      <c r="B62" s="516" t="s">
        <v>686</v>
      </c>
      <c r="C62" s="509" t="s">
        <v>641</v>
      </c>
      <c r="D62" s="509" t="s">
        <v>892</v>
      </c>
      <c r="E62" s="510">
        <v>64.3</v>
      </c>
      <c r="F62" s="509" t="s">
        <v>637</v>
      </c>
      <c r="G62" s="514" t="s">
        <v>638</v>
      </c>
      <c r="H62" s="508" t="s">
        <v>639</v>
      </c>
      <c r="I62" s="511" t="s">
        <v>640</v>
      </c>
      <c r="J62" s="476"/>
      <c r="K62" s="515"/>
    </row>
    <row r="63" spans="1:11" ht="45" customHeight="1">
      <c r="A63" s="476">
        <v>52</v>
      </c>
      <c r="B63" s="516" t="s">
        <v>655</v>
      </c>
      <c r="C63" s="509" t="s">
        <v>641</v>
      </c>
      <c r="D63" s="509" t="s">
        <v>687</v>
      </c>
      <c r="E63" s="510">
        <v>115.92</v>
      </c>
      <c r="F63" s="509">
        <v>2223.8000000000002</v>
      </c>
      <c r="G63" s="514"/>
      <c r="H63" s="508"/>
      <c r="I63" s="511"/>
      <c r="J63" s="514" t="s">
        <v>657</v>
      </c>
      <c r="K63" s="515" t="s">
        <v>658</v>
      </c>
    </row>
    <row r="64" spans="1:11" ht="45" customHeight="1">
      <c r="A64" s="476">
        <v>53</v>
      </c>
      <c r="B64" s="516" t="s">
        <v>679</v>
      </c>
      <c r="C64" s="509" t="s">
        <v>641</v>
      </c>
      <c r="D64" s="509" t="s">
        <v>687</v>
      </c>
      <c r="E64" s="510">
        <v>250</v>
      </c>
      <c r="F64" s="509">
        <v>625</v>
      </c>
      <c r="G64" s="514" t="s">
        <v>680</v>
      </c>
      <c r="H64" s="508" t="s">
        <v>681</v>
      </c>
      <c r="I64" s="511" t="s">
        <v>682</v>
      </c>
      <c r="J64" s="514"/>
      <c r="K64" s="515"/>
    </row>
    <row r="65" spans="1:11" ht="30" customHeight="1">
      <c r="A65" s="476">
        <v>54</v>
      </c>
      <c r="B65" s="516" t="s">
        <v>848</v>
      </c>
      <c r="C65" s="509" t="s">
        <v>641</v>
      </c>
      <c r="D65" s="509" t="s">
        <v>892</v>
      </c>
      <c r="E65" s="510">
        <v>95</v>
      </c>
      <c r="F65" s="509">
        <v>550</v>
      </c>
      <c r="G65" s="514"/>
      <c r="H65" s="508"/>
      <c r="I65" s="511"/>
      <c r="J65" s="514" t="s">
        <v>849</v>
      </c>
      <c r="K65" s="515" t="s">
        <v>850</v>
      </c>
    </row>
    <row r="66" spans="1:11" ht="45" customHeight="1">
      <c r="A66" s="476">
        <v>55</v>
      </c>
      <c r="B66" s="508" t="s">
        <v>867</v>
      </c>
      <c r="C66" s="509" t="s">
        <v>641</v>
      </c>
      <c r="D66" s="509" t="s">
        <v>877</v>
      </c>
      <c r="E66" s="510">
        <v>63</v>
      </c>
      <c r="F66" s="510">
        <v>1779.04</v>
      </c>
      <c r="G66" s="510">
        <v>62001003330</v>
      </c>
      <c r="H66" s="511" t="s">
        <v>646</v>
      </c>
      <c r="I66" s="508" t="s">
        <v>861</v>
      </c>
      <c r="J66" s="514"/>
      <c r="K66" s="515"/>
    </row>
    <row r="67" spans="1:11" ht="30" customHeight="1">
      <c r="A67" s="476">
        <v>56</v>
      </c>
      <c r="B67" s="508" t="s">
        <v>863</v>
      </c>
      <c r="C67" s="509" t="s">
        <v>641</v>
      </c>
      <c r="D67" s="509" t="s">
        <v>879</v>
      </c>
      <c r="E67" s="509">
        <v>289.39999999999998</v>
      </c>
      <c r="F67" s="509">
        <v>2000</v>
      </c>
      <c r="G67" s="509"/>
      <c r="H67" s="517"/>
      <c r="I67" s="518"/>
      <c r="J67" s="519" t="s">
        <v>831</v>
      </c>
      <c r="K67" s="515" t="s">
        <v>830</v>
      </c>
    </row>
    <row r="68" spans="1:11" ht="45" customHeight="1">
      <c r="A68" s="476">
        <v>57</v>
      </c>
      <c r="B68" s="508" t="s">
        <v>864</v>
      </c>
      <c r="C68" s="509" t="s">
        <v>641</v>
      </c>
      <c r="D68" s="509" t="s">
        <v>892</v>
      </c>
      <c r="E68" s="509">
        <v>100.4</v>
      </c>
      <c r="F68" s="509">
        <v>375</v>
      </c>
      <c r="G68" s="509">
        <v>27001007074</v>
      </c>
      <c r="H68" s="517" t="s">
        <v>625</v>
      </c>
      <c r="I68" s="518" t="s">
        <v>865</v>
      </c>
      <c r="J68" s="519"/>
      <c r="K68" s="515"/>
    </row>
    <row r="69" spans="1:11" ht="30" customHeight="1">
      <c r="A69" s="476">
        <v>58</v>
      </c>
      <c r="B69" s="508" t="s">
        <v>868</v>
      </c>
      <c r="C69" s="509" t="s">
        <v>641</v>
      </c>
      <c r="D69" s="509" t="s">
        <v>656</v>
      </c>
      <c r="E69" s="509">
        <v>119.8</v>
      </c>
      <c r="F69" s="509">
        <v>800</v>
      </c>
      <c r="G69" s="509"/>
      <c r="H69" s="517"/>
      <c r="I69" s="518"/>
      <c r="J69" s="519" t="s">
        <v>869</v>
      </c>
      <c r="K69" s="515" t="s">
        <v>870</v>
      </c>
    </row>
    <row r="70" spans="1:11" ht="45" customHeight="1">
      <c r="A70" s="476">
        <v>59</v>
      </c>
      <c r="B70" s="508" t="s">
        <v>871</v>
      </c>
      <c r="C70" s="509" t="s">
        <v>641</v>
      </c>
      <c r="D70" s="509" t="s">
        <v>687</v>
      </c>
      <c r="E70" s="509">
        <v>89</v>
      </c>
      <c r="F70" s="509">
        <v>900</v>
      </c>
      <c r="G70" s="509">
        <v>61006012731</v>
      </c>
      <c r="H70" s="517" t="s">
        <v>872</v>
      </c>
      <c r="I70" s="518" t="s">
        <v>873</v>
      </c>
      <c r="J70" s="519"/>
      <c r="K70" s="515"/>
    </row>
    <row r="71" spans="1:11" ht="30" customHeight="1">
      <c r="A71" s="476">
        <v>60</v>
      </c>
      <c r="B71" s="508" t="s">
        <v>623</v>
      </c>
      <c r="C71" s="509" t="s">
        <v>641</v>
      </c>
      <c r="D71" s="509" t="s">
        <v>687</v>
      </c>
      <c r="E71" s="509">
        <v>41.25</v>
      </c>
      <c r="F71" s="509">
        <v>875</v>
      </c>
      <c r="G71" s="509">
        <v>60001129329</v>
      </c>
      <c r="H71" s="511" t="s">
        <v>571</v>
      </c>
      <c r="I71" s="508" t="s">
        <v>624</v>
      </c>
      <c r="J71" s="476"/>
      <c r="K71" s="515"/>
    </row>
    <row r="72" spans="1:11" ht="45" customHeight="1">
      <c r="A72" s="476">
        <v>61</v>
      </c>
      <c r="B72" s="508" t="s">
        <v>874</v>
      </c>
      <c r="C72" s="509" t="s">
        <v>641</v>
      </c>
      <c r="D72" s="509" t="s">
        <v>892</v>
      </c>
      <c r="E72" s="509">
        <v>185.6</v>
      </c>
      <c r="F72" s="509">
        <v>2779.75</v>
      </c>
      <c r="G72" s="514" t="s">
        <v>875</v>
      </c>
      <c r="H72" s="517" t="s">
        <v>566</v>
      </c>
      <c r="I72" s="518" t="s">
        <v>563</v>
      </c>
      <c r="J72" s="487"/>
      <c r="K72" s="515"/>
    </row>
    <row r="73" spans="1:11" ht="45" customHeight="1">
      <c r="A73" s="476">
        <v>62</v>
      </c>
      <c r="B73" s="508" t="s">
        <v>880</v>
      </c>
      <c r="C73" s="509" t="s">
        <v>641</v>
      </c>
      <c r="D73" s="509" t="s">
        <v>892</v>
      </c>
      <c r="E73" s="509">
        <v>138.80000000000001</v>
      </c>
      <c r="F73" s="509">
        <v>1000</v>
      </c>
      <c r="G73" s="514" t="s">
        <v>881</v>
      </c>
      <c r="H73" s="517" t="s">
        <v>882</v>
      </c>
      <c r="I73" s="518" t="s">
        <v>883</v>
      </c>
      <c r="J73" s="487"/>
      <c r="K73" s="515"/>
    </row>
    <row r="74" spans="1:11" ht="45" customHeight="1">
      <c r="A74" s="476">
        <v>63</v>
      </c>
      <c r="B74" s="508" t="s">
        <v>884</v>
      </c>
      <c r="C74" s="509" t="s">
        <v>641</v>
      </c>
      <c r="D74" s="509" t="s">
        <v>879</v>
      </c>
      <c r="E74" s="509">
        <v>202.81</v>
      </c>
      <c r="F74" s="509">
        <v>4920.16</v>
      </c>
      <c r="G74" s="514"/>
      <c r="H74" s="517"/>
      <c r="I74" s="518"/>
      <c r="J74" s="487">
        <v>54001007223</v>
      </c>
      <c r="K74" s="515" t="s">
        <v>885</v>
      </c>
    </row>
    <row r="75" spans="1:11" ht="75" customHeight="1">
      <c r="A75" s="476">
        <v>64</v>
      </c>
      <c r="B75" s="508" t="s">
        <v>886</v>
      </c>
      <c r="C75" s="509" t="s">
        <v>641</v>
      </c>
      <c r="D75" s="509" t="s">
        <v>892</v>
      </c>
      <c r="E75" s="509">
        <v>91</v>
      </c>
      <c r="F75" s="509">
        <v>1250</v>
      </c>
      <c r="G75" s="514" t="s">
        <v>887</v>
      </c>
      <c r="H75" s="517" t="s">
        <v>888</v>
      </c>
      <c r="I75" s="518" t="s">
        <v>889</v>
      </c>
      <c r="J75" s="487"/>
      <c r="K75" s="515"/>
    </row>
    <row r="76" spans="1:11" ht="45" customHeight="1">
      <c r="A76" s="476">
        <v>65</v>
      </c>
      <c r="B76" s="508" t="s">
        <v>890</v>
      </c>
      <c r="C76" s="509" t="s">
        <v>641</v>
      </c>
      <c r="D76" s="509" t="s">
        <v>687</v>
      </c>
      <c r="E76" s="509">
        <v>88.21</v>
      </c>
      <c r="F76" s="509">
        <v>1000</v>
      </c>
      <c r="G76" s="514"/>
      <c r="H76" s="517"/>
      <c r="I76" s="518"/>
      <c r="J76" s="487">
        <v>61004018088</v>
      </c>
      <c r="K76" s="515" t="s">
        <v>891</v>
      </c>
    </row>
    <row r="77" spans="1:11" ht="45">
      <c r="A77" s="476">
        <v>66</v>
      </c>
      <c r="B77" s="508" t="s">
        <v>893</v>
      </c>
      <c r="C77" s="509" t="s">
        <v>641</v>
      </c>
      <c r="D77" s="509" t="s">
        <v>894</v>
      </c>
      <c r="E77" s="510">
        <v>120</v>
      </c>
      <c r="F77" s="510">
        <v>875</v>
      </c>
      <c r="G77" s="510"/>
      <c r="H77" s="517"/>
      <c r="I77" s="518"/>
      <c r="J77" s="520" t="s">
        <v>895</v>
      </c>
      <c r="K77" s="508" t="s">
        <v>896</v>
      </c>
    </row>
    <row r="78" spans="1:11" ht="45" customHeight="1">
      <c r="A78" s="476">
        <v>67</v>
      </c>
      <c r="B78" s="508" t="s">
        <v>897</v>
      </c>
      <c r="C78" s="509" t="s">
        <v>641</v>
      </c>
      <c r="D78" s="509" t="s">
        <v>894</v>
      </c>
      <c r="E78" s="510">
        <v>327.14999999999998</v>
      </c>
      <c r="F78" s="510">
        <v>2000</v>
      </c>
      <c r="G78" s="510"/>
      <c r="H78" s="517"/>
      <c r="I78" s="518"/>
      <c r="J78" s="520" t="s">
        <v>898</v>
      </c>
      <c r="K78" s="508" t="s">
        <v>899</v>
      </c>
    </row>
    <row r="79" spans="1:11" ht="45" customHeight="1">
      <c r="A79" s="476">
        <v>68</v>
      </c>
      <c r="B79" s="508" t="s">
        <v>900</v>
      </c>
      <c r="C79" s="509" t="s">
        <v>641</v>
      </c>
      <c r="D79" s="509" t="s">
        <v>892</v>
      </c>
      <c r="E79" s="510">
        <v>183.25</v>
      </c>
      <c r="F79" s="510">
        <v>2223.8000000000002</v>
      </c>
      <c r="G79" s="510"/>
      <c r="H79" s="517"/>
      <c r="I79" s="518"/>
      <c r="J79" s="520" t="s">
        <v>901</v>
      </c>
      <c r="K79" s="508" t="s">
        <v>902</v>
      </c>
    </row>
    <row r="80" spans="1:11" ht="45" customHeight="1">
      <c r="A80" s="476">
        <v>69</v>
      </c>
      <c r="B80" s="508" t="s">
        <v>903</v>
      </c>
      <c r="C80" s="509" t="s">
        <v>641</v>
      </c>
      <c r="D80" s="509" t="s">
        <v>892</v>
      </c>
      <c r="E80" s="510">
        <v>650</v>
      </c>
      <c r="F80" s="510">
        <v>1875</v>
      </c>
      <c r="G80" s="510"/>
      <c r="H80" s="517"/>
      <c r="I80" s="518"/>
      <c r="J80" s="520" t="s">
        <v>904</v>
      </c>
      <c r="K80" s="508" t="s">
        <v>905</v>
      </c>
    </row>
    <row r="81" spans="1:11" ht="45" customHeight="1">
      <c r="A81" s="580">
        <v>70</v>
      </c>
      <c r="B81" s="582" t="s">
        <v>906</v>
      </c>
      <c r="C81" s="584" t="s">
        <v>641</v>
      </c>
      <c r="D81" s="584" t="s">
        <v>892</v>
      </c>
      <c r="E81" s="591">
        <v>331.82</v>
      </c>
      <c r="F81" s="510">
        <v>2223.8000000000002</v>
      </c>
      <c r="G81" s="510"/>
      <c r="H81" s="517"/>
      <c r="I81" s="518"/>
      <c r="J81" s="520" t="s">
        <v>907</v>
      </c>
      <c r="K81" s="508" t="s">
        <v>908</v>
      </c>
    </row>
    <row r="82" spans="1:11" ht="45" customHeight="1">
      <c r="A82" s="581"/>
      <c r="B82" s="583"/>
      <c r="C82" s="585"/>
      <c r="D82" s="585"/>
      <c r="E82" s="592"/>
      <c r="F82" s="510">
        <v>2223.8000000000002</v>
      </c>
      <c r="G82" s="510"/>
      <c r="H82" s="517"/>
      <c r="I82" s="518"/>
      <c r="J82" s="520" t="s">
        <v>909</v>
      </c>
      <c r="K82" s="508" t="s">
        <v>910</v>
      </c>
    </row>
    <row r="83" spans="1:11" ht="45" customHeight="1">
      <c r="A83" s="476">
        <v>71</v>
      </c>
      <c r="B83" s="508" t="s">
        <v>911</v>
      </c>
      <c r="C83" s="509" t="s">
        <v>641</v>
      </c>
      <c r="D83" s="509" t="s">
        <v>877</v>
      </c>
      <c r="E83" s="510">
        <v>22.08</v>
      </c>
      <c r="F83" s="510">
        <v>375</v>
      </c>
      <c r="G83" s="510"/>
      <c r="H83" s="517"/>
      <c r="I83" s="518"/>
      <c r="J83" s="520" t="s">
        <v>912</v>
      </c>
      <c r="K83" s="508" t="s">
        <v>913</v>
      </c>
    </row>
    <row r="84" spans="1:11" ht="45" customHeight="1">
      <c r="A84" s="476">
        <v>72</v>
      </c>
      <c r="B84" s="508" t="s">
        <v>920</v>
      </c>
      <c r="C84" s="509" t="s">
        <v>641</v>
      </c>
      <c r="D84" s="509" t="s">
        <v>894</v>
      </c>
      <c r="E84" s="510">
        <v>160.69999999999999</v>
      </c>
      <c r="F84" s="510">
        <v>875</v>
      </c>
      <c r="G84" s="510">
        <v>16001000957</v>
      </c>
      <c r="H84" s="517" t="s">
        <v>921</v>
      </c>
      <c r="I84" s="518" t="s">
        <v>922</v>
      </c>
      <c r="J84" s="520"/>
      <c r="K84" s="508"/>
    </row>
    <row r="85" spans="1:11" ht="45" customHeight="1">
      <c r="A85" s="476">
        <v>73</v>
      </c>
      <c r="B85" s="508" t="s">
        <v>923</v>
      </c>
      <c r="C85" s="509" t="s">
        <v>641</v>
      </c>
      <c r="D85" s="509" t="s">
        <v>877</v>
      </c>
      <c r="E85" s="510">
        <v>113.4</v>
      </c>
      <c r="F85" s="510">
        <v>1433.3</v>
      </c>
      <c r="G85" s="510">
        <v>12001016317</v>
      </c>
      <c r="H85" s="517" t="s">
        <v>924</v>
      </c>
      <c r="I85" s="518" t="s">
        <v>925</v>
      </c>
      <c r="J85" s="520"/>
      <c r="K85" s="508"/>
    </row>
    <row r="86" spans="1:11" ht="45" customHeight="1">
      <c r="A86" s="476">
        <v>74</v>
      </c>
      <c r="B86" s="508" t="s">
        <v>926</v>
      </c>
      <c r="C86" s="509" t="s">
        <v>641</v>
      </c>
      <c r="D86" s="509" t="s">
        <v>877</v>
      </c>
      <c r="E86" s="510">
        <v>51.05</v>
      </c>
      <c r="F86" s="510">
        <v>312.5</v>
      </c>
      <c r="G86" s="510">
        <v>33001012635</v>
      </c>
      <c r="H86" s="517" t="s">
        <v>927</v>
      </c>
      <c r="I86" s="518" t="s">
        <v>928</v>
      </c>
      <c r="J86" s="520"/>
      <c r="K86" s="508"/>
    </row>
    <row r="87" spans="1:11" ht="45" customHeight="1">
      <c r="A87" s="476">
        <v>75</v>
      </c>
      <c r="B87" s="508" t="s">
        <v>929</v>
      </c>
      <c r="C87" s="509" t="s">
        <v>641</v>
      </c>
      <c r="D87" s="509" t="s">
        <v>878</v>
      </c>
      <c r="E87" s="510">
        <v>102.03</v>
      </c>
      <c r="F87" s="510">
        <v>1250</v>
      </c>
      <c r="G87" s="510">
        <v>60001014677</v>
      </c>
      <c r="H87" s="517" t="s">
        <v>930</v>
      </c>
      <c r="I87" s="518" t="s">
        <v>931</v>
      </c>
      <c r="J87" s="520"/>
      <c r="K87" s="508"/>
    </row>
    <row r="88" spans="1:11" ht="32.25" customHeight="1">
      <c r="A88" s="476">
        <v>76</v>
      </c>
      <c r="B88" s="508" t="s">
        <v>932</v>
      </c>
      <c r="C88" s="509" t="s">
        <v>641</v>
      </c>
      <c r="D88" s="509" t="s">
        <v>878</v>
      </c>
      <c r="E88" s="510">
        <v>214.07</v>
      </c>
      <c r="F88" s="510">
        <v>1250</v>
      </c>
      <c r="G88" s="510">
        <v>57001016787</v>
      </c>
      <c r="H88" s="517" t="s">
        <v>933</v>
      </c>
      <c r="I88" s="518" t="s">
        <v>934</v>
      </c>
      <c r="J88" s="520"/>
      <c r="K88" s="508"/>
    </row>
    <row r="89" spans="1:11" ht="45" customHeight="1">
      <c r="A89" s="476">
        <v>77</v>
      </c>
      <c r="B89" s="508" t="s">
        <v>935</v>
      </c>
      <c r="C89" s="509" t="s">
        <v>641</v>
      </c>
      <c r="D89" s="509" t="s">
        <v>878</v>
      </c>
      <c r="E89" s="510">
        <v>218.1</v>
      </c>
      <c r="F89" s="510">
        <v>3936.13</v>
      </c>
      <c r="G89" s="510"/>
      <c r="H89" s="517"/>
      <c r="I89" s="518"/>
      <c r="J89" s="520" t="s">
        <v>936</v>
      </c>
      <c r="K89" s="508" t="s">
        <v>937</v>
      </c>
    </row>
    <row r="90" spans="1:11" ht="36.75" customHeight="1">
      <c r="A90" s="476">
        <v>78</v>
      </c>
      <c r="B90" s="508" t="s">
        <v>938</v>
      </c>
      <c r="C90" s="509" t="s">
        <v>641</v>
      </c>
      <c r="D90" s="509" t="s">
        <v>914</v>
      </c>
      <c r="E90" s="510">
        <v>364</v>
      </c>
      <c r="F90" s="510">
        <v>708</v>
      </c>
      <c r="G90" s="510"/>
      <c r="H90" s="517"/>
      <c r="I90" s="518"/>
      <c r="J90" s="520" t="s">
        <v>939</v>
      </c>
      <c r="K90" s="508" t="s">
        <v>940</v>
      </c>
    </row>
    <row r="91" spans="1:11" ht="35.25" customHeight="1">
      <c r="A91" s="476">
        <v>79</v>
      </c>
      <c r="B91" s="508" t="s">
        <v>619</v>
      </c>
      <c r="C91" s="509" t="s">
        <v>641</v>
      </c>
      <c r="D91" s="509" t="s">
        <v>642</v>
      </c>
      <c r="E91" s="509">
        <v>112.8</v>
      </c>
      <c r="F91" s="509">
        <v>2223.8000000000002</v>
      </c>
      <c r="G91" s="513" t="s">
        <v>941</v>
      </c>
      <c r="H91" s="511" t="s">
        <v>882</v>
      </c>
      <c r="I91" s="508" t="s">
        <v>942</v>
      </c>
      <c r="J91" s="476"/>
      <c r="K91" s="515"/>
    </row>
    <row r="92" spans="1:11" ht="35.25" customHeight="1">
      <c r="A92" s="476">
        <v>80</v>
      </c>
      <c r="B92" s="508" t="s">
        <v>1543</v>
      </c>
      <c r="C92" s="509" t="s">
        <v>1544</v>
      </c>
      <c r="D92" s="509" t="s">
        <v>914</v>
      </c>
      <c r="E92" s="509"/>
      <c r="F92" s="509">
        <v>1500</v>
      </c>
      <c r="G92" s="513"/>
      <c r="H92" s="517"/>
      <c r="I92" s="518"/>
      <c r="J92" s="487">
        <v>237100070</v>
      </c>
      <c r="K92" s="515" t="s">
        <v>1545</v>
      </c>
    </row>
    <row r="93" spans="1:11" ht="35.25" customHeight="1">
      <c r="A93" s="476">
        <v>81</v>
      </c>
      <c r="B93" s="508" t="s">
        <v>911</v>
      </c>
      <c r="C93" s="509" t="s">
        <v>1544</v>
      </c>
      <c r="D93" s="509" t="s">
        <v>914</v>
      </c>
      <c r="E93" s="509">
        <v>104</v>
      </c>
      <c r="F93" s="509">
        <v>100</v>
      </c>
      <c r="G93" s="513"/>
      <c r="H93" s="517"/>
      <c r="I93" s="518"/>
      <c r="J93" s="487">
        <v>232555302</v>
      </c>
      <c r="K93" s="515" t="s">
        <v>1546</v>
      </c>
    </row>
    <row r="94" spans="1:11" ht="35.25" customHeight="1">
      <c r="A94" s="476">
        <v>82</v>
      </c>
      <c r="B94" s="508" t="s">
        <v>1547</v>
      </c>
      <c r="C94" s="509" t="s">
        <v>641</v>
      </c>
      <c r="D94" s="509" t="s">
        <v>1548</v>
      </c>
      <c r="E94" s="509">
        <v>50</v>
      </c>
      <c r="F94" s="509">
        <v>125</v>
      </c>
      <c r="G94" s="513" t="s">
        <v>1082</v>
      </c>
      <c r="H94" s="517" t="s">
        <v>1549</v>
      </c>
      <c r="I94" s="518" t="s">
        <v>1550</v>
      </c>
      <c r="J94" s="487"/>
      <c r="K94" s="515"/>
    </row>
    <row r="95" spans="1:11" ht="35.25" customHeight="1">
      <c r="A95" s="476">
        <v>83</v>
      </c>
      <c r="B95" s="508" t="s">
        <v>1551</v>
      </c>
      <c r="C95" s="509" t="s">
        <v>641</v>
      </c>
      <c r="D95" s="509" t="s">
        <v>1548</v>
      </c>
      <c r="E95" s="509">
        <v>20</v>
      </c>
      <c r="F95" s="509">
        <v>50</v>
      </c>
      <c r="G95" s="513" t="s">
        <v>1080</v>
      </c>
      <c r="H95" s="517" t="s">
        <v>1552</v>
      </c>
      <c r="I95" s="518" t="s">
        <v>1553</v>
      </c>
      <c r="J95" s="487"/>
      <c r="K95" s="515"/>
    </row>
    <row r="96" spans="1:11" ht="35.25" customHeight="1">
      <c r="A96" s="476">
        <v>84</v>
      </c>
      <c r="B96" s="508" t="s">
        <v>1551</v>
      </c>
      <c r="C96" s="509" t="s">
        <v>641</v>
      </c>
      <c r="D96" s="509" t="s">
        <v>1548</v>
      </c>
      <c r="E96" s="509">
        <v>20</v>
      </c>
      <c r="F96" s="509">
        <v>50</v>
      </c>
      <c r="G96" s="513" t="s">
        <v>1077</v>
      </c>
      <c r="H96" s="517" t="s">
        <v>1086</v>
      </c>
      <c r="I96" s="518" t="s">
        <v>540</v>
      </c>
      <c r="J96" s="487"/>
      <c r="K96" s="515"/>
    </row>
    <row r="97" spans="1:11" ht="35.25" customHeight="1">
      <c r="A97" s="476">
        <v>85</v>
      </c>
      <c r="B97" s="508" t="s">
        <v>1554</v>
      </c>
      <c r="C97" s="509" t="s">
        <v>641</v>
      </c>
      <c r="D97" s="509" t="s">
        <v>1555</v>
      </c>
      <c r="E97" s="509">
        <v>22</v>
      </c>
      <c r="F97" s="509">
        <v>380</v>
      </c>
      <c r="G97" s="513" t="s">
        <v>1556</v>
      </c>
      <c r="H97" s="517" t="s">
        <v>1557</v>
      </c>
      <c r="I97" s="518" t="s">
        <v>1558</v>
      </c>
      <c r="J97" s="487"/>
      <c r="K97" s="515"/>
    </row>
    <row r="98" spans="1:11" ht="35.25" customHeight="1">
      <c r="A98" s="476">
        <v>86</v>
      </c>
      <c r="B98" s="508" t="s">
        <v>1554</v>
      </c>
      <c r="C98" s="509" t="s">
        <v>641</v>
      </c>
      <c r="D98" s="509" t="s">
        <v>1559</v>
      </c>
      <c r="E98" s="509">
        <v>70</v>
      </c>
      <c r="F98" s="509">
        <v>380</v>
      </c>
      <c r="G98" s="513" t="s">
        <v>1560</v>
      </c>
      <c r="H98" s="517" t="s">
        <v>545</v>
      </c>
      <c r="I98" s="518" t="s">
        <v>1561</v>
      </c>
      <c r="J98" s="487"/>
      <c r="K98" s="515"/>
    </row>
    <row r="99" spans="1:11" ht="35.25" customHeight="1">
      <c r="A99" s="476">
        <v>87</v>
      </c>
      <c r="B99" s="508" t="s">
        <v>900</v>
      </c>
      <c r="C99" s="509" t="s">
        <v>641</v>
      </c>
      <c r="D99" s="509" t="s">
        <v>1562</v>
      </c>
      <c r="E99" s="509">
        <v>183.25</v>
      </c>
      <c r="F99" s="509">
        <v>2146</v>
      </c>
      <c r="G99" s="513" t="s">
        <v>1563</v>
      </c>
      <c r="H99" s="517" t="s">
        <v>1564</v>
      </c>
      <c r="I99" s="518" t="s">
        <v>1565</v>
      </c>
      <c r="J99" s="487"/>
      <c r="K99" s="515"/>
    </row>
    <row r="100" spans="1:11" ht="15">
      <c r="A100" s="66" t="s">
        <v>268</v>
      </c>
      <c r="B100" s="25"/>
      <c r="C100" s="25"/>
      <c r="D100" s="25"/>
      <c r="E100" s="25"/>
      <c r="F100" s="25"/>
      <c r="G100" s="25"/>
      <c r="H100" s="219"/>
      <c r="I100" s="219"/>
      <c r="J100" s="219"/>
      <c r="K100" s="25"/>
    </row>
    <row r="101" spans="1:11" ht="15">
      <c r="A101" s="2"/>
      <c r="B101" s="70" t="s">
        <v>96</v>
      </c>
      <c r="C101" s="2"/>
      <c r="D101" s="2"/>
      <c r="E101" s="5"/>
      <c r="F101" s="2"/>
      <c r="G101" s="2"/>
      <c r="H101" s="2"/>
      <c r="I101" s="2"/>
      <c r="J101" s="2"/>
      <c r="K101" s="2"/>
    </row>
    <row r="102" spans="1:11" ht="15">
      <c r="B102" s="2"/>
      <c r="C102" s="68" t="s">
        <v>257</v>
      </c>
      <c r="D102" s="2"/>
      <c r="F102" s="12" t="s">
        <v>262</v>
      </c>
    </row>
    <row r="103" spans="1:11" ht="15">
      <c r="B103" s="2"/>
      <c r="C103" s="2"/>
      <c r="D103" s="2"/>
      <c r="F103" s="2" t="s">
        <v>258</v>
      </c>
    </row>
    <row r="104" spans="1:11" ht="15">
      <c r="B104" s="2"/>
      <c r="C104" s="64" t="s">
        <v>128</v>
      </c>
    </row>
  </sheetData>
  <mergeCells count="15">
    <mergeCell ref="K2:L2"/>
    <mergeCell ref="E16:E17"/>
    <mergeCell ref="E19:E20"/>
    <mergeCell ref="E33:E34"/>
    <mergeCell ref="D81:D82"/>
    <mergeCell ref="E81:E82"/>
    <mergeCell ref="A81:A82"/>
    <mergeCell ref="B81:B82"/>
    <mergeCell ref="C81:C82"/>
    <mergeCell ref="A16:A17"/>
    <mergeCell ref="B16:B17"/>
    <mergeCell ref="A19:A20"/>
    <mergeCell ref="B19:B20"/>
    <mergeCell ref="A33:A34"/>
    <mergeCell ref="B33:B34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view="pageBreakPreview" topLeftCell="A65" zoomScale="70" zoomScaleSheetLayoutView="70" workbookViewId="0">
      <selection activeCell="I149" sqref="I149"/>
    </sheetView>
  </sheetViews>
  <sheetFormatPr defaultRowHeight="12.75"/>
  <cols>
    <col min="1" max="1" width="11.7109375" style="184" customWidth="1"/>
    <col min="2" max="2" width="21.140625" style="184" customWidth="1"/>
    <col min="3" max="3" width="21.5703125" style="184" customWidth="1"/>
    <col min="4" max="4" width="19.140625" style="184" customWidth="1"/>
    <col min="5" max="5" width="15.140625" style="184" customWidth="1"/>
    <col min="6" max="6" width="20.85546875" style="184" customWidth="1"/>
    <col min="7" max="7" width="23.85546875" style="184" customWidth="1"/>
    <col min="8" max="8" width="19" style="184" customWidth="1"/>
    <col min="9" max="9" width="21.140625" style="184" customWidth="1"/>
    <col min="10" max="10" width="17" style="184" customWidth="1"/>
    <col min="11" max="11" width="21.5703125" style="184" customWidth="1"/>
    <col min="12" max="12" width="24.42578125" style="184" customWidth="1"/>
    <col min="13" max="16384" width="9.140625" style="184"/>
  </cols>
  <sheetData>
    <row r="1" spans="1:13" customFormat="1" ht="15">
      <c r="A1" s="135" t="s">
        <v>426</v>
      </c>
      <c r="B1" s="135"/>
      <c r="C1" s="136"/>
      <c r="D1" s="136"/>
      <c r="E1" s="136"/>
      <c r="F1" s="136"/>
      <c r="G1" s="136"/>
      <c r="H1" s="136"/>
      <c r="I1" s="136"/>
      <c r="J1" s="136"/>
      <c r="K1" s="142"/>
      <c r="L1" s="77" t="s">
        <v>98</v>
      </c>
    </row>
    <row r="2" spans="1:13" customFormat="1" ht="15">
      <c r="A2" s="105" t="s">
        <v>129</v>
      </c>
      <c r="B2" s="105"/>
      <c r="C2" s="136"/>
      <c r="D2" s="136"/>
      <c r="E2" s="136"/>
      <c r="F2" s="136"/>
      <c r="G2" s="136"/>
      <c r="H2" s="136"/>
      <c r="I2" s="136"/>
      <c r="J2" s="136"/>
      <c r="K2" s="142"/>
      <c r="L2" s="587" t="s">
        <v>943</v>
      </c>
      <c r="M2" s="588"/>
    </row>
    <row r="3" spans="1:13" customFormat="1" ht="15">
      <c r="A3" s="136"/>
      <c r="B3" s="136"/>
      <c r="C3" s="136"/>
      <c r="D3" s="136"/>
      <c r="E3" s="136"/>
      <c r="F3" s="136"/>
      <c r="G3" s="136"/>
      <c r="H3" s="136"/>
      <c r="I3" s="136"/>
      <c r="J3" s="136"/>
      <c r="K3" s="139"/>
      <c r="L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75"/>
      <c r="E4" s="76"/>
      <c r="F4" s="145"/>
      <c r="G4" s="136"/>
      <c r="H4" s="136"/>
      <c r="I4" s="136"/>
      <c r="J4" s="136"/>
      <c r="K4" s="136"/>
      <c r="L4" s="136"/>
    </row>
    <row r="5" spans="1:13" ht="15">
      <c r="A5" s="110" t="s">
        <v>654</v>
      </c>
      <c r="B5" s="221"/>
      <c r="C5" s="79"/>
      <c r="D5" s="79"/>
      <c r="E5" s="79"/>
      <c r="F5" s="222"/>
      <c r="G5" s="223"/>
      <c r="H5" s="223"/>
      <c r="I5" s="223"/>
      <c r="J5" s="223"/>
      <c r="K5" s="223"/>
      <c r="L5" s="222"/>
    </row>
    <row r="6" spans="1:13" customFormat="1" ht="13.5">
      <c r="A6" s="140"/>
      <c r="B6" s="140"/>
      <c r="C6" s="141"/>
      <c r="D6" s="141"/>
      <c r="E6" s="141"/>
      <c r="F6" s="136"/>
      <c r="G6" s="136"/>
      <c r="H6" s="136"/>
      <c r="I6" s="136"/>
      <c r="J6" s="136"/>
      <c r="K6" s="136"/>
      <c r="L6" s="136"/>
    </row>
    <row r="7" spans="1:13" customFormat="1" ht="60">
      <c r="A7" s="148" t="s">
        <v>64</v>
      </c>
      <c r="B7" s="132" t="s">
        <v>237</v>
      </c>
      <c r="C7" s="134" t="s">
        <v>233</v>
      </c>
      <c r="D7" s="134" t="s">
        <v>234</v>
      </c>
      <c r="E7" s="134" t="s">
        <v>338</v>
      </c>
      <c r="F7" s="134" t="s">
        <v>236</v>
      </c>
      <c r="G7" s="134" t="s">
        <v>374</v>
      </c>
      <c r="H7" s="134" t="s">
        <v>376</v>
      </c>
      <c r="I7" s="134" t="s">
        <v>370</v>
      </c>
      <c r="J7" s="134" t="s">
        <v>371</v>
      </c>
      <c r="K7" s="134" t="s">
        <v>383</v>
      </c>
      <c r="L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4</v>
      </c>
      <c r="E8" s="134">
        <v>5</v>
      </c>
      <c r="F8" s="132">
        <v>6</v>
      </c>
      <c r="G8" s="134">
        <v>7</v>
      </c>
      <c r="H8" s="132">
        <v>8</v>
      </c>
      <c r="I8" s="132">
        <v>9</v>
      </c>
      <c r="J8" s="132">
        <v>10</v>
      </c>
      <c r="K8" s="134">
        <v>11</v>
      </c>
      <c r="L8" s="134">
        <v>12</v>
      </c>
    </row>
    <row r="9" spans="1:13" customFormat="1" ht="15">
      <c r="A9" s="66">
        <v>1</v>
      </c>
      <c r="B9" s="443" t="s">
        <v>1150</v>
      </c>
      <c r="C9" s="501" t="s">
        <v>1151</v>
      </c>
      <c r="D9" s="445" t="s">
        <v>1152</v>
      </c>
      <c r="E9" s="445" t="s">
        <v>1153</v>
      </c>
      <c r="F9" s="475" t="s">
        <v>1154</v>
      </c>
      <c r="G9" s="66">
        <v>180</v>
      </c>
      <c r="H9" s="66">
        <v>40001005956</v>
      </c>
      <c r="I9" s="466" t="s">
        <v>1155</v>
      </c>
      <c r="J9" s="466" t="s">
        <v>1156</v>
      </c>
      <c r="K9" s="502"/>
      <c r="L9" s="66"/>
    </row>
    <row r="10" spans="1:13" customFormat="1" ht="15">
      <c r="A10" s="593">
        <v>2</v>
      </c>
      <c r="B10" s="473" t="s">
        <v>1150</v>
      </c>
      <c r="C10" s="503" t="s">
        <v>1157</v>
      </c>
      <c r="D10" s="474" t="s">
        <v>1158</v>
      </c>
      <c r="E10" s="474" t="s">
        <v>1159</v>
      </c>
      <c r="F10" s="475" t="s">
        <v>1160</v>
      </c>
      <c r="G10" s="580">
        <v>6300</v>
      </c>
      <c r="H10" s="477"/>
      <c r="I10" s="593"/>
      <c r="J10" s="593"/>
      <c r="K10" s="597">
        <v>445454721</v>
      </c>
      <c r="L10" s="593" t="s">
        <v>1161</v>
      </c>
    </row>
    <row r="11" spans="1:13" customFormat="1" ht="15">
      <c r="A11" s="594"/>
      <c r="B11" s="443" t="s">
        <v>1150</v>
      </c>
      <c r="C11" s="501" t="s">
        <v>1162</v>
      </c>
      <c r="D11" s="445" t="s">
        <v>1163</v>
      </c>
      <c r="E11" s="474" t="s">
        <v>1164</v>
      </c>
      <c r="F11" s="475" t="s">
        <v>1165</v>
      </c>
      <c r="G11" s="596"/>
      <c r="H11" s="476"/>
      <c r="I11" s="594"/>
      <c r="J11" s="594"/>
      <c r="K11" s="598"/>
      <c r="L11" s="594"/>
    </row>
    <row r="12" spans="1:13" customFormat="1" ht="15">
      <c r="A12" s="594"/>
      <c r="B12" s="473" t="s">
        <v>1150</v>
      </c>
      <c r="C12" s="503" t="s">
        <v>1166</v>
      </c>
      <c r="D12" s="474" t="s">
        <v>1167</v>
      </c>
      <c r="E12" s="474" t="s">
        <v>1168</v>
      </c>
      <c r="F12" s="475" t="s">
        <v>1169</v>
      </c>
      <c r="G12" s="596"/>
      <c r="H12" s="476"/>
      <c r="I12" s="594"/>
      <c r="J12" s="594"/>
      <c r="K12" s="598"/>
      <c r="L12" s="594"/>
    </row>
    <row r="13" spans="1:13" customFormat="1" ht="15">
      <c r="A13" s="595"/>
      <c r="B13" s="473" t="s">
        <v>1150</v>
      </c>
      <c r="C13" s="503" t="s">
        <v>1157</v>
      </c>
      <c r="D13" s="474" t="s">
        <v>1170</v>
      </c>
      <c r="E13" s="474" t="s">
        <v>1168</v>
      </c>
      <c r="F13" s="475" t="s">
        <v>1171</v>
      </c>
      <c r="G13" s="581"/>
      <c r="H13" s="476"/>
      <c r="I13" s="595"/>
      <c r="J13" s="595"/>
      <c r="K13" s="599"/>
      <c r="L13" s="595"/>
    </row>
    <row r="14" spans="1:13" customFormat="1" ht="15" customHeight="1">
      <c r="A14" s="593">
        <v>3</v>
      </c>
      <c r="B14" s="473" t="s">
        <v>1150</v>
      </c>
      <c r="C14" s="503" t="s">
        <v>1172</v>
      </c>
      <c r="D14" s="474" t="s">
        <v>1173</v>
      </c>
      <c r="E14" s="474" t="s">
        <v>1164</v>
      </c>
      <c r="F14" s="475" t="s">
        <v>1174</v>
      </c>
      <c r="G14" s="580">
        <v>2240</v>
      </c>
      <c r="H14" s="476"/>
      <c r="I14" s="593"/>
      <c r="J14" s="593"/>
      <c r="K14" s="597">
        <v>246754150</v>
      </c>
      <c r="L14" s="593" t="s">
        <v>1175</v>
      </c>
    </row>
    <row r="15" spans="1:13" customFormat="1" ht="15">
      <c r="A15" s="594"/>
      <c r="B15" s="473" t="s">
        <v>1150</v>
      </c>
      <c r="C15" s="503" t="s">
        <v>1172</v>
      </c>
      <c r="D15" s="474" t="s">
        <v>1173</v>
      </c>
      <c r="E15" s="474" t="s">
        <v>1159</v>
      </c>
      <c r="F15" s="475" t="s">
        <v>1176</v>
      </c>
      <c r="G15" s="596"/>
      <c r="H15" s="476"/>
      <c r="I15" s="594"/>
      <c r="J15" s="594"/>
      <c r="K15" s="598"/>
      <c r="L15" s="594"/>
    </row>
    <row r="16" spans="1:13" customFormat="1" ht="15">
      <c r="A16" s="594"/>
      <c r="B16" s="473" t="s">
        <v>1150</v>
      </c>
      <c r="C16" s="503" t="s">
        <v>1172</v>
      </c>
      <c r="D16" s="474" t="s">
        <v>1177</v>
      </c>
      <c r="E16" s="474" t="s">
        <v>1164</v>
      </c>
      <c r="F16" s="475" t="s">
        <v>1178</v>
      </c>
      <c r="G16" s="596"/>
      <c r="H16" s="476"/>
      <c r="I16" s="594"/>
      <c r="J16" s="594"/>
      <c r="K16" s="598"/>
      <c r="L16" s="594"/>
    </row>
    <row r="17" spans="1:12" customFormat="1" ht="15">
      <c r="A17" s="595"/>
      <c r="B17" s="473" t="s">
        <v>1150</v>
      </c>
      <c r="C17" s="503" t="s">
        <v>1172</v>
      </c>
      <c r="D17" s="474" t="s">
        <v>1173</v>
      </c>
      <c r="E17" s="474" t="s">
        <v>1168</v>
      </c>
      <c r="F17" s="475" t="s">
        <v>1179</v>
      </c>
      <c r="G17" s="581"/>
      <c r="H17" s="476"/>
      <c r="I17" s="595"/>
      <c r="J17" s="595"/>
      <c r="K17" s="599"/>
      <c r="L17" s="595"/>
    </row>
    <row r="18" spans="1:12" customFormat="1" ht="15">
      <c r="A18" s="593">
        <v>4</v>
      </c>
      <c r="B18" s="473" t="s">
        <v>1150</v>
      </c>
      <c r="C18" s="503" t="s">
        <v>1166</v>
      </c>
      <c r="D18" s="474" t="s">
        <v>1180</v>
      </c>
      <c r="E18" s="474" t="s">
        <v>1181</v>
      </c>
      <c r="F18" s="475" t="s">
        <v>1182</v>
      </c>
      <c r="G18" s="580">
        <v>2000</v>
      </c>
      <c r="H18" s="476"/>
      <c r="I18" s="466"/>
      <c r="J18" s="466"/>
      <c r="K18" s="597">
        <v>246954247</v>
      </c>
      <c r="L18" s="593" t="s">
        <v>1183</v>
      </c>
    </row>
    <row r="19" spans="1:12" customFormat="1" ht="15">
      <c r="A19" s="594"/>
      <c r="B19" s="473" t="s">
        <v>1150</v>
      </c>
      <c r="C19" s="503" t="s">
        <v>1166</v>
      </c>
      <c r="D19" s="474" t="s">
        <v>1184</v>
      </c>
      <c r="E19" s="474" t="s">
        <v>1159</v>
      </c>
      <c r="F19" s="475" t="s">
        <v>1185</v>
      </c>
      <c r="G19" s="596"/>
      <c r="H19" s="476"/>
      <c r="I19" s="466"/>
      <c r="J19" s="466"/>
      <c r="K19" s="598"/>
      <c r="L19" s="594"/>
    </row>
    <row r="20" spans="1:12" customFormat="1" ht="15">
      <c r="A20" s="594"/>
      <c r="B20" s="473" t="s">
        <v>1150</v>
      </c>
      <c r="C20" s="503" t="s">
        <v>1166</v>
      </c>
      <c r="D20" s="474" t="s">
        <v>1186</v>
      </c>
      <c r="E20" s="474" t="s">
        <v>1187</v>
      </c>
      <c r="F20" s="475" t="s">
        <v>1188</v>
      </c>
      <c r="G20" s="596"/>
      <c r="H20" s="476"/>
      <c r="I20" s="466"/>
      <c r="J20" s="466"/>
      <c r="K20" s="598"/>
      <c r="L20" s="594"/>
    </row>
    <row r="21" spans="1:12" customFormat="1" ht="15">
      <c r="A21" s="595"/>
      <c r="B21" s="473" t="s">
        <v>1150</v>
      </c>
      <c r="C21" s="503" t="s">
        <v>1166</v>
      </c>
      <c r="D21" s="474" t="s">
        <v>1189</v>
      </c>
      <c r="E21" s="474" t="s">
        <v>1153</v>
      </c>
      <c r="F21" s="475" t="s">
        <v>1190</v>
      </c>
      <c r="G21" s="581"/>
      <c r="H21" s="476"/>
      <c r="I21" s="466"/>
      <c r="J21" s="466"/>
      <c r="K21" s="599"/>
      <c r="L21" s="595"/>
    </row>
    <row r="22" spans="1:12" customFormat="1" ht="15" customHeight="1">
      <c r="A22" s="593">
        <v>5</v>
      </c>
      <c r="B22" s="473" t="s">
        <v>1150</v>
      </c>
      <c r="C22" s="503" t="s">
        <v>1166</v>
      </c>
      <c r="D22" s="474" t="s">
        <v>1191</v>
      </c>
      <c r="E22" s="474" t="s">
        <v>1181</v>
      </c>
      <c r="F22" s="475" t="s">
        <v>1192</v>
      </c>
      <c r="G22" s="580">
        <v>2750</v>
      </c>
      <c r="H22" s="476"/>
      <c r="I22" s="466"/>
      <c r="J22" s="466"/>
      <c r="K22" s="597">
        <v>246754150</v>
      </c>
      <c r="L22" s="593" t="s">
        <v>1175</v>
      </c>
    </row>
    <row r="23" spans="1:12" customFormat="1" ht="15">
      <c r="A23" s="594"/>
      <c r="B23" s="473" t="s">
        <v>1150</v>
      </c>
      <c r="C23" s="503" t="s">
        <v>1166</v>
      </c>
      <c r="D23" s="474" t="s">
        <v>1191</v>
      </c>
      <c r="E23" s="474" t="s">
        <v>1168</v>
      </c>
      <c r="F23" s="475" t="s">
        <v>1193</v>
      </c>
      <c r="G23" s="596"/>
      <c r="H23" s="476"/>
      <c r="I23" s="466"/>
      <c r="J23" s="466"/>
      <c r="K23" s="598"/>
      <c r="L23" s="594"/>
    </row>
    <row r="24" spans="1:12" customFormat="1" ht="15">
      <c r="A24" s="594"/>
      <c r="B24" s="473" t="s">
        <v>1150</v>
      </c>
      <c r="C24" s="503" t="s">
        <v>1166</v>
      </c>
      <c r="D24" s="474" t="s">
        <v>1194</v>
      </c>
      <c r="E24" s="474" t="s">
        <v>1168</v>
      </c>
      <c r="F24" s="475" t="s">
        <v>1195</v>
      </c>
      <c r="G24" s="596"/>
      <c r="H24" s="476"/>
      <c r="I24" s="466"/>
      <c r="J24" s="466"/>
      <c r="K24" s="598"/>
      <c r="L24" s="594"/>
    </row>
    <row r="25" spans="1:12" customFormat="1" ht="15">
      <c r="A25" s="595"/>
      <c r="B25" s="473" t="s">
        <v>1150</v>
      </c>
      <c r="C25" s="503" t="s">
        <v>1196</v>
      </c>
      <c r="D25" s="474" t="s">
        <v>1197</v>
      </c>
      <c r="E25" s="474" t="s">
        <v>1198</v>
      </c>
      <c r="F25" s="475" t="s">
        <v>1199</v>
      </c>
      <c r="G25" s="581"/>
      <c r="H25" s="476"/>
      <c r="I25" s="466"/>
      <c r="J25" s="466"/>
      <c r="K25" s="599"/>
      <c r="L25" s="595"/>
    </row>
    <row r="26" spans="1:12" customFormat="1" ht="15">
      <c r="A26" s="66">
        <v>6</v>
      </c>
      <c r="B26" s="473" t="s">
        <v>1150</v>
      </c>
      <c r="C26" s="503" t="s">
        <v>1166</v>
      </c>
      <c r="D26" s="474" t="s">
        <v>1200</v>
      </c>
      <c r="E26" s="474" t="s">
        <v>1201</v>
      </c>
      <c r="F26" s="475" t="s">
        <v>1202</v>
      </c>
      <c r="G26" s="476">
        <v>1200</v>
      </c>
      <c r="H26" s="476"/>
      <c r="I26" s="466"/>
      <c r="J26" s="466"/>
      <c r="K26" s="502">
        <v>61006002046</v>
      </c>
      <c r="L26" s="66" t="s">
        <v>1203</v>
      </c>
    </row>
    <row r="27" spans="1:12" customFormat="1" ht="15">
      <c r="A27" s="66">
        <v>7</v>
      </c>
      <c r="B27" s="473" t="s">
        <v>1150</v>
      </c>
      <c r="C27" s="503" t="s">
        <v>1204</v>
      </c>
      <c r="D27" s="474" t="s">
        <v>1205</v>
      </c>
      <c r="E27" s="474" t="s">
        <v>1206</v>
      </c>
      <c r="F27" s="475" t="s">
        <v>1207</v>
      </c>
      <c r="G27" s="476">
        <v>1000</v>
      </c>
      <c r="H27" s="476"/>
      <c r="I27" s="466"/>
      <c r="J27" s="466"/>
      <c r="K27" s="502" t="s">
        <v>1208</v>
      </c>
      <c r="L27" s="66" t="s">
        <v>1209</v>
      </c>
    </row>
    <row r="28" spans="1:12" customFormat="1" ht="15">
      <c r="A28" s="66">
        <v>8</v>
      </c>
      <c r="B28" s="473" t="s">
        <v>1150</v>
      </c>
      <c r="C28" s="503" t="s">
        <v>1196</v>
      </c>
      <c r="D28" s="474" t="s">
        <v>1210</v>
      </c>
      <c r="E28" s="474" t="s">
        <v>1211</v>
      </c>
      <c r="F28" s="475" t="s">
        <v>1212</v>
      </c>
      <c r="G28" s="476">
        <v>750</v>
      </c>
      <c r="H28" s="476"/>
      <c r="I28" s="466"/>
      <c r="J28" s="466"/>
      <c r="K28" s="502">
        <v>61009003151</v>
      </c>
      <c r="L28" s="66" t="s">
        <v>1213</v>
      </c>
    </row>
    <row r="29" spans="1:12" customFormat="1" ht="15">
      <c r="A29" s="66">
        <v>9</v>
      </c>
      <c r="B29" s="473" t="s">
        <v>1150</v>
      </c>
      <c r="C29" s="503" t="s">
        <v>1151</v>
      </c>
      <c r="D29" s="474" t="s">
        <v>1214</v>
      </c>
      <c r="E29" s="474" t="s">
        <v>1164</v>
      </c>
      <c r="F29" s="475" t="s">
        <v>1215</v>
      </c>
      <c r="G29" s="476">
        <v>187.5</v>
      </c>
      <c r="H29" s="476"/>
      <c r="I29" s="466"/>
      <c r="J29" s="466"/>
      <c r="K29" s="502">
        <v>13001024965</v>
      </c>
      <c r="L29" s="66" t="s">
        <v>1216</v>
      </c>
    </row>
    <row r="30" spans="1:12" customFormat="1" ht="15">
      <c r="A30" s="66">
        <v>10</v>
      </c>
      <c r="B30" s="473" t="s">
        <v>1150</v>
      </c>
      <c r="C30" s="503" t="s">
        <v>1151</v>
      </c>
      <c r="D30" s="474" t="s">
        <v>1217</v>
      </c>
      <c r="E30" s="474" t="s">
        <v>1159</v>
      </c>
      <c r="F30" s="475" t="s">
        <v>1218</v>
      </c>
      <c r="G30" s="476">
        <v>187.5</v>
      </c>
      <c r="H30" s="66">
        <v>13001008962</v>
      </c>
      <c r="I30" s="466" t="s">
        <v>1219</v>
      </c>
      <c r="J30" s="466" t="s">
        <v>1220</v>
      </c>
      <c r="K30" s="502"/>
      <c r="L30" s="66"/>
    </row>
    <row r="31" spans="1:12" customFormat="1" ht="15">
      <c r="A31" s="66">
        <v>11</v>
      </c>
      <c r="B31" s="473" t="s">
        <v>1221</v>
      </c>
      <c r="C31" s="503" t="s">
        <v>1222</v>
      </c>
      <c r="D31" s="474" t="s">
        <v>1223</v>
      </c>
      <c r="E31" s="474" t="s">
        <v>1224</v>
      </c>
      <c r="F31" s="475" t="s">
        <v>1225</v>
      </c>
      <c r="G31" s="476">
        <v>187.5</v>
      </c>
      <c r="H31" s="476"/>
      <c r="I31" s="466"/>
      <c r="J31" s="466"/>
      <c r="K31" s="502">
        <v>14001004741</v>
      </c>
      <c r="L31" s="66" t="s">
        <v>1226</v>
      </c>
    </row>
    <row r="32" spans="1:12" customFormat="1" ht="15">
      <c r="A32" s="66">
        <v>12</v>
      </c>
      <c r="B32" s="473" t="s">
        <v>1150</v>
      </c>
      <c r="C32" s="503" t="s">
        <v>1166</v>
      </c>
      <c r="D32" s="474" t="s">
        <v>1227</v>
      </c>
      <c r="E32" s="474" t="s">
        <v>1211</v>
      </c>
      <c r="F32" s="475" t="s">
        <v>1228</v>
      </c>
      <c r="G32" s="476">
        <v>187.5</v>
      </c>
      <c r="H32" s="476"/>
      <c r="I32" s="466"/>
      <c r="J32" s="466"/>
      <c r="K32" s="502">
        <v>14001021323</v>
      </c>
      <c r="L32" s="66" t="s">
        <v>1229</v>
      </c>
    </row>
    <row r="33" spans="1:12" customFormat="1" ht="15">
      <c r="A33" s="66">
        <v>13</v>
      </c>
      <c r="B33" s="473" t="s">
        <v>1150</v>
      </c>
      <c r="C33" s="503" t="s">
        <v>1230</v>
      </c>
      <c r="D33" s="474" t="s">
        <v>1231</v>
      </c>
      <c r="E33" s="474" t="s">
        <v>1232</v>
      </c>
      <c r="F33" s="475" t="s">
        <v>1233</v>
      </c>
      <c r="G33" s="476">
        <v>500</v>
      </c>
      <c r="H33" s="476"/>
      <c r="I33" s="466"/>
      <c r="J33" s="466"/>
      <c r="K33" s="502">
        <v>20001006362</v>
      </c>
      <c r="L33" s="66" t="s">
        <v>1234</v>
      </c>
    </row>
    <row r="34" spans="1:12" customFormat="1" ht="15">
      <c r="A34" s="66">
        <v>14</v>
      </c>
      <c r="B34" s="473" t="s">
        <v>1150</v>
      </c>
      <c r="C34" s="503" t="s">
        <v>1235</v>
      </c>
      <c r="D34" s="474" t="s">
        <v>1152</v>
      </c>
      <c r="E34" s="474" t="s">
        <v>1168</v>
      </c>
      <c r="F34" s="475" t="s">
        <v>1236</v>
      </c>
      <c r="G34" s="476">
        <v>275</v>
      </c>
      <c r="H34" s="476"/>
      <c r="I34" s="466"/>
      <c r="J34" s="466"/>
      <c r="K34" s="502">
        <v>45001001843</v>
      </c>
      <c r="L34" s="66" t="s">
        <v>1237</v>
      </c>
    </row>
    <row r="35" spans="1:12" customFormat="1" ht="15">
      <c r="A35" s="66">
        <v>15</v>
      </c>
      <c r="B35" s="473" t="s">
        <v>1150</v>
      </c>
      <c r="C35" s="503" t="s">
        <v>1172</v>
      </c>
      <c r="D35" s="474" t="s">
        <v>1238</v>
      </c>
      <c r="E35" s="474" t="s">
        <v>1224</v>
      </c>
      <c r="F35" s="475" t="s">
        <v>1239</v>
      </c>
      <c r="G35" s="476">
        <v>275</v>
      </c>
      <c r="H35" s="66">
        <v>45001028275</v>
      </c>
      <c r="I35" s="466" t="s">
        <v>1240</v>
      </c>
      <c r="J35" s="466" t="s">
        <v>1241</v>
      </c>
      <c r="K35" s="502"/>
      <c r="L35" s="66"/>
    </row>
    <row r="36" spans="1:12" customFormat="1" ht="15">
      <c r="A36" s="593">
        <v>16</v>
      </c>
      <c r="B36" s="473" t="s">
        <v>1150</v>
      </c>
      <c r="C36" s="503" t="s">
        <v>1172</v>
      </c>
      <c r="D36" s="474" t="s">
        <v>1242</v>
      </c>
      <c r="E36" s="474" t="s">
        <v>1159</v>
      </c>
      <c r="F36" s="475" t="s">
        <v>1243</v>
      </c>
      <c r="G36" s="580">
        <v>750</v>
      </c>
      <c r="H36" s="476"/>
      <c r="I36" s="466"/>
      <c r="J36" s="466"/>
      <c r="K36" s="597">
        <v>438107987</v>
      </c>
      <c r="L36" s="593" t="s">
        <v>1244</v>
      </c>
    </row>
    <row r="37" spans="1:12" customFormat="1" ht="15">
      <c r="A37" s="594"/>
      <c r="B37" s="473" t="s">
        <v>1150</v>
      </c>
      <c r="C37" s="503" t="s">
        <v>1151</v>
      </c>
      <c r="D37" s="474" t="s">
        <v>1245</v>
      </c>
      <c r="E37" s="474" t="s">
        <v>1159</v>
      </c>
      <c r="F37" s="475" t="s">
        <v>1246</v>
      </c>
      <c r="G37" s="596"/>
      <c r="H37" s="476"/>
      <c r="I37" s="466"/>
      <c r="J37" s="466"/>
      <c r="K37" s="598"/>
      <c r="L37" s="594"/>
    </row>
    <row r="38" spans="1:12" customFormat="1" ht="15">
      <c r="A38" s="594"/>
      <c r="B38" s="473" t="s">
        <v>1150</v>
      </c>
      <c r="C38" s="503" t="s">
        <v>1151</v>
      </c>
      <c r="D38" s="474" t="s">
        <v>1247</v>
      </c>
      <c r="E38" s="474" t="s">
        <v>1164</v>
      </c>
      <c r="F38" s="475" t="s">
        <v>1248</v>
      </c>
      <c r="G38" s="596"/>
      <c r="H38" s="476"/>
      <c r="I38" s="466"/>
      <c r="J38" s="466"/>
      <c r="K38" s="598"/>
      <c r="L38" s="594"/>
    </row>
    <row r="39" spans="1:12" customFormat="1" ht="15">
      <c r="A39" s="594"/>
      <c r="B39" s="473" t="s">
        <v>1150</v>
      </c>
      <c r="C39" s="503" t="s">
        <v>1151</v>
      </c>
      <c r="D39" s="474" t="s">
        <v>1249</v>
      </c>
      <c r="E39" s="474" t="s">
        <v>1164</v>
      </c>
      <c r="F39" s="475" t="s">
        <v>1250</v>
      </c>
      <c r="G39" s="596"/>
      <c r="H39" s="476"/>
      <c r="I39" s="466"/>
      <c r="J39" s="466"/>
      <c r="K39" s="598"/>
      <c r="L39" s="594"/>
    </row>
    <row r="40" spans="1:12" customFormat="1" ht="15">
      <c r="A40" s="595"/>
      <c r="B40" s="473" t="s">
        <v>1150</v>
      </c>
      <c r="C40" s="503" t="s">
        <v>1235</v>
      </c>
      <c r="D40" s="474" t="s">
        <v>1251</v>
      </c>
      <c r="E40" s="474" t="s">
        <v>1181</v>
      </c>
      <c r="F40" s="475" t="s">
        <v>1252</v>
      </c>
      <c r="G40" s="581"/>
      <c r="H40" s="476"/>
      <c r="I40" s="466"/>
      <c r="J40" s="466"/>
      <c r="K40" s="599"/>
      <c r="L40" s="595"/>
    </row>
    <row r="41" spans="1:12" customFormat="1" ht="15">
      <c r="A41" s="66">
        <v>17</v>
      </c>
      <c r="B41" s="473" t="s">
        <v>1150</v>
      </c>
      <c r="C41" s="503" t="s">
        <v>1151</v>
      </c>
      <c r="D41" s="474" t="s">
        <v>1253</v>
      </c>
      <c r="E41" s="474" t="s">
        <v>1187</v>
      </c>
      <c r="F41" s="475" t="s">
        <v>1254</v>
      </c>
      <c r="G41" s="476">
        <v>187.5</v>
      </c>
      <c r="H41" s="66">
        <v>25001003796</v>
      </c>
      <c r="I41" s="466" t="s">
        <v>1255</v>
      </c>
      <c r="J41" s="466" t="s">
        <v>1256</v>
      </c>
      <c r="K41" s="502"/>
      <c r="L41" s="66"/>
    </row>
    <row r="42" spans="1:12" customFormat="1" ht="15">
      <c r="A42" s="66">
        <v>18</v>
      </c>
      <c r="B42" s="473" t="s">
        <v>1150</v>
      </c>
      <c r="C42" s="503" t="s">
        <v>1166</v>
      </c>
      <c r="D42" s="474" t="s">
        <v>1257</v>
      </c>
      <c r="E42" s="474" t="s">
        <v>1258</v>
      </c>
      <c r="F42" s="475" t="s">
        <v>1259</v>
      </c>
      <c r="G42" s="476">
        <v>212.5</v>
      </c>
      <c r="H42" s="476"/>
      <c r="I42" s="466"/>
      <c r="J42" s="466"/>
      <c r="K42" s="502">
        <v>25001003315</v>
      </c>
      <c r="L42" s="66" t="s">
        <v>1260</v>
      </c>
    </row>
    <row r="43" spans="1:12" customFormat="1" ht="15">
      <c r="A43" s="66">
        <v>19</v>
      </c>
      <c r="B43" s="473" t="s">
        <v>1150</v>
      </c>
      <c r="C43" s="503" t="s">
        <v>1166</v>
      </c>
      <c r="D43" s="474" t="s">
        <v>1261</v>
      </c>
      <c r="E43" s="474" t="s">
        <v>1159</v>
      </c>
      <c r="F43" s="475" t="s">
        <v>1262</v>
      </c>
      <c r="G43" s="476">
        <v>500</v>
      </c>
      <c r="H43" s="476"/>
      <c r="I43" s="466"/>
      <c r="J43" s="466"/>
      <c r="K43" s="502">
        <v>46001002921</v>
      </c>
      <c r="L43" s="66" t="s">
        <v>1263</v>
      </c>
    </row>
    <row r="44" spans="1:12" customFormat="1" ht="15">
      <c r="A44" s="66">
        <v>20</v>
      </c>
      <c r="B44" s="473" t="s">
        <v>1150</v>
      </c>
      <c r="C44" s="503" t="s">
        <v>1166</v>
      </c>
      <c r="D44" s="474" t="s">
        <v>1191</v>
      </c>
      <c r="E44" s="474" t="s">
        <v>1159</v>
      </c>
      <c r="F44" s="475" t="s">
        <v>1264</v>
      </c>
      <c r="G44" s="476">
        <v>500</v>
      </c>
      <c r="H44" s="476"/>
      <c r="I44" s="466"/>
      <c r="J44" s="466"/>
      <c r="K44" s="502">
        <v>46001000784</v>
      </c>
      <c r="L44" s="66" t="s">
        <v>1265</v>
      </c>
    </row>
    <row r="45" spans="1:12" customFormat="1" ht="15">
      <c r="A45" s="66">
        <v>21</v>
      </c>
      <c r="B45" s="473" t="s">
        <v>1150</v>
      </c>
      <c r="C45" s="503" t="s">
        <v>1266</v>
      </c>
      <c r="D45" s="474" t="s">
        <v>1267</v>
      </c>
      <c r="E45" s="474" t="s">
        <v>1268</v>
      </c>
      <c r="F45" s="475" t="s">
        <v>1269</v>
      </c>
      <c r="G45" s="476">
        <v>1250</v>
      </c>
      <c r="H45" s="476"/>
      <c r="I45" s="466"/>
      <c r="J45" s="466"/>
      <c r="K45" s="502" t="s">
        <v>1270</v>
      </c>
      <c r="L45" s="66" t="s">
        <v>1271</v>
      </c>
    </row>
    <row r="46" spans="1:12" customFormat="1" ht="15">
      <c r="A46" s="66">
        <v>22</v>
      </c>
      <c r="B46" s="473" t="s">
        <v>1150</v>
      </c>
      <c r="C46" s="503" t="s">
        <v>1166</v>
      </c>
      <c r="D46" s="474" t="s">
        <v>1272</v>
      </c>
      <c r="E46" s="474" t="s">
        <v>1273</v>
      </c>
      <c r="F46" s="475" t="s">
        <v>1274</v>
      </c>
      <c r="G46" s="476">
        <v>1250</v>
      </c>
      <c r="H46" s="476"/>
      <c r="I46" s="466"/>
      <c r="J46" s="504"/>
      <c r="K46" s="502">
        <v>33001056376</v>
      </c>
      <c r="L46" s="66" t="s">
        <v>1275</v>
      </c>
    </row>
    <row r="47" spans="1:12" customFormat="1" ht="15">
      <c r="A47" s="66">
        <v>23</v>
      </c>
      <c r="B47" s="473" t="s">
        <v>1150</v>
      </c>
      <c r="C47" s="503" t="s">
        <v>1166</v>
      </c>
      <c r="D47" s="474" t="s">
        <v>1276</v>
      </c>
      <c r="E47" s="474" t="s">
        <v>1159</v>
      </c>
      <c r="F47" s="475" t="s">
        <v>1277</v>
      </c>
      <c r="G47" s="476">
        <v>330</v>
      </c>
      <c r="H47" s="476"/>
      <c r="I47" s="466"/>
      <c r="J47" s="466"/>
      <c r="K47" s="502">
        <v>26001012856</v>
      </c>
      <c r="L47" s="66" t="s">
        <v>1278</v>
      </c>
    </row>
    <row r="48" spans="1:12" customFormat="1" ht="15">
      <c r="A48" s="66">
        <v>24</v>
      </c>
      <c r="B48" s="473" t="s">
        <v>1150</v>
      </c>
      <c r="C48" s="503" t="s">
        <v>1166</v>
      </c>
      <c r="D48" s="474" t="s">
        <v>1279</v>
      </c>
      <c r="E48" s="474" t="s">
        <v>1168</v>
      </c>
      <c r="F48" s="475" t="s">
        <v>1280</v>
      </c>
      <c r="G48" s="476">
        <v>330</v>
      </c>
      <c r="H48" s="476"/>
      <c r="I48" s="466"/>
      <c r="J48" s="466"/>
      <c r="K48" s="502">
        <v>61001051308</v>
      </c>
      <c r="L48" s="66" t="s">
        <v>1281</v>
      </c>
    </row>
    <row r="49" spans="1:12" customFormat="1" ht="15">
      <c r="A49" s="66">
        <v>25</v>
      </c>
      <c r="B49" s="473" t="s">
        <v>1150</v>
      </c>
      <c r="C49" s="503" t="s">
        <v>1151</v>
      </c>
      <c r="D49" s="474" t="s">
        <v>1282</v>
      </c>
      <c r="E49" s="474" t="s">
        <v>1283</v>
      </c>
      <c r="F49" s="475" t="s">
        <v>1284</v>
      </c>
      <c r="G49" s="476">
        <v>375</v>
      </c>
      <c r="H49" s="476"/>
      <c r="I49" s="466"/>
      <c r="J49" s="466"/>
      <c r="K49" s="502">
        <v>44001001542</v>
      </c>
      <c r="L49" s="66" t="s">
        <v>1285</v>
      </c>
    </row>
    <row r="50" spans="1:12" customFormat="1" ht="15">
      <c r="A50" s="66">
        <v>26</v>
      </c>
      <c r="B50" s="473" t="s">
        <v>1150</v>
      </c>
      <c r="C50" s="503" t="s">
        <v>1166</v>
      </c>
      <c r="D50" s="474" t="s">
        <v>1194</v>
      </c>
      <c r="E50" s="474" t="s">
        <v>1159</v>
      </c>
      <c r="F50" s="475" t="s">
        <v>1286</v>
      </c>
      <c r="G50" s="476">
        <v>375</v>
      </c>
      <c r="H50" s="476"/>
      <c r="I50" s="466"/>
      <c r="J50" s="466"/>
      <c r="K50" s="502">
        <v>44001000994</v>
      </c>
      <c r="L50" s="66" t="s">
        <v>1287</v>
      </c>
    </row>
    <row r="51" spans="1:12" customFormat="1" ht="15">
      <c r="A51" s="593">
        <v>27</v>
      </c>
      <c r="B51" s="473" t="s">
        <v>1150</v>
      </c>
      <c r="C51" s="503" t="s">
        <v>1166</v>
      </c>
      <c r="D51" s="474" t="s">
        <v>1288</v>
      </c>
      <c r="E51" s="474" t="s">
        <v>1168</v>
      </c>
      <c r="F51" s="475" t="s">
        <v>1289</v>
      </c>
      <c r="G51" s="580">
        <v>400</v>
      </c>
      <c r="H51" s="476"/>
      <c r="I51" s="466"/>
      <c r="J51" s="466"/>
      <c r="K51" s="597">
        <v>436032507</v>
      </c>
      <c r="L51" s="593" t="s">
        <v>1290</v>
      </c>
    </row>
    <row r="52" spans="1:12" customFormat="1" ht="15">
      <c r="A52" s="594"/>
      <c r="B52" s="473" t="s">
        <v>1150</v>
      </c>
      <c r="C52" s="503" t="s">
        <v>1166</v>
      </c>
      <c r="D52" s="474" t="s">
        <v>1291</v>
      </c>
      <c r="E52" s="474" t="s">
        <v>1292</v>
      </c>
      <c r="F52" s="475" t="s">
        <v>1293</v>
      </c>
      <c r="G52" s="596"/>
      <c r="H52" s="476"/>
      <c r="I52" s="466"/>
      <c r="J52" s="466"/>
      <c r="K52" s="598"/>
      <c r="L52" s="594"/>
    </row>
    <row r="53" spans="1:12" customFormat="1" ht="15">
      <c r="A53" s="594"/>
      <c r="B53" s="473" t="s">
        <v>1221</v>
      </c>
      <c r="C53" s="503" t="s">
        <v>1166</v>
      </c>
      <c r="D53" s="474" t="s">
        <v>1294</v>
      </c>
      <c r="E53" s="474" t="s">
        <v>1198</v>
      </c>
      <c r="F53" s="475" t="s">
        <v>1295</v>
      </c>
      <c r="G53" s="596"/>
      <c r="H53" s="476"/>
      <c r="I53" s="466"/>
      <c r="J53" s="466"/>
      <c r="K53" s="598"/>
      <c r="L53" s="594"/>
    </row>
    <row r="54" spans="1:12" customFormat="1" ht="15">
      <c r="A54" s="595"/>
      <c r="B54" s="473" t="s">
        <v>1150</v>
      </c>
      <c r="C54" s="503" t="s">
        <v>1166</v>
      </c>
      <c r="D54" s="474" t="s">
        <v>1296</v>
      </c>
      <c r="E54" s="474" t="s">
        <v>1164</v>
      </c>
      <c r="F54" s="475" t="s">
        <v>1297</v>
      </c>
      <c r="G54" s="581"/>
      <c r="H54" s="476"/>
      <c r="I54" s="466"/>
      <c r="J54" s="466"/>
      <c r="K54" s="599"/>
      <c r="L54" s="595"/>
    </row>
    <row r="55" spans="1:12" customFormat="1" ht="15">
      <c r="A55" s="66">
        <v>28</v>
      </c>
      <c r="B55" s="473" t="s">
        <v>1150</v>
      </c>
      <c r="C55" s="503" t="s">
        <v>1166</v>
      </c>
      <c r="D55" s="474" t="s">
        <v>1227</v>
      </c>
      <c r="E55" s="474" t="s">
        <v>1187</v>
      </c>
      <c r="F55" s="475" t="s">
        <v>1298</v>
      </c>
      <c r="G55" s="476">
        <v>312.5</v>
      </c>
      <c r="H55" s="66">
        <v>23001010499</v>
      </c>
      <c r="I55" s="466" t="s">
        <v>1299</v>
      </c>
      <c r="J55" s="466" t="s">
        <v>1300</v>
      </c>
      <c r="K55" s="502"/>
      <c r="L55" s="66"/>
    </row>
    <row r="56" spans="1:12" customFormat="1" ht="15">
      <c r="A56" s="66">
        <v>29</v>
      </c>
      <c r="B56" s="473" t="s">
        <v>1150</v>
      </c>
      <c r="C56" s="503" t="s">
        <v>1151</v>
      </c>
      <c r="D56" s="474" t="s">
        <v>1301</v>
      </c>
      <c r="E56" s="474" t="s">
        <v>1187</v>
      </c>
      <c r="F56" s="475" t="s">
        <v>1302</v>
      </c>
      <c r="G56" s="476">
        <v>125</v>
      </c>
      <c r="H56" s="476"/>
      <c r="I56" s="466"/>
      <c r="J56" s="466"/>
      <c r="K56" s="502">
        <v>16001001965</v>
      </c>
      <c r="L56" s="66" t="s">
        <v>1303</v>
      </c>
    </row>
    <row r="57" spans="1:12" customFormat="1" ht="30">
      <c r="A57" s="66">
        <v>30</v>
      </c>
      <c r="B57" s="473" t="s">
        <v>1150</v>
      </c>
      <c r="C57" s="503" t="s">
        <v>1166</v>
      </c>
      <c r="D57" s="474" t="s">
        <v>1304</v>
      </c>
      <c r="E57" s="474" t="s">
        <v>1232</v>
      </c>
      <c r="F57" s="475" t="s">
        <v>1305</v>
      </c>
      <c r="G57" s="476">
        <v>125</v>
      </c>
      <c r="H57" s="476"/>
      <c r="I57" s="466"/>
      <c r="J57" s="466"/>
      <c r="K57" s="502">
        <v>16001007594</v>
      </c>
      <c r="L57" s="66" t="s">
        <v>1306</v>
      </c>
    </row>
    <row r="58" spans="1:12" customFormat="1" ht="15">
      <c r="A58" s="66">
        <v>31</v>
      </c>
      <c r="B58" s="473" t="s">
        <v>1150</v>
      </c>
      <c r="C58" s="503" t="s">
        <v>1166</v>
      </c>
      <c r="D58" s="474" t="s">
        <v>1184</v>
      </c>
      <c r="E58" s="474" t="s">
        <v>1168</v>
      </c>
      <c r="F58" s="475" t="s">
        <v>1307</v>
      </c>
      <c r="G58" s="476">
        <v>400</v>
      </c>
      <c r="H58" s="476"/>
      <c r="I58" s="466"/>
      <c r="J58" s="466"/>
      <c r="K58" s="502">
        <v>49001004532</v>
      </c>
      <c r="L58" s="66" t="s">
        <v>1308</v>
      </c>
    </row>
    <row r="59" spans="1:12" customFormat="1" ht="15">
      <c r="A59" s="66">
        <v>32</v>
      </c>
      <c r="B59" s="473" t="s">
        <v>1150</v>
      </c>
      <c r="C59" s="503" t="s">
        <v>1166</v>
      </c>
      <c r="D59" s="474" t="s">
        <v>1288</v>
      </c>
      <c r="E59" s="474" t="s">
        <v>1159</v>
      </c>
      <c r="F59" s="475" t="s">
        <v>1309</v>
      </c>
      <c r="G59" s="476">
        <v>1125</v>
      </c>
      <c r="H59" s="476"/>
      <c r="I59" s="466"/>
      <c r="J59" s="466"/>
      <c r="K59" s="502">
        <v>27001003303</v>
      </c>
      <c r="L59" s="66" t="s">
        <v>1310</v>
      </c>
    </row>
    <row r="60" spans="1:12" customFormat="1" ht="15">
      <c r="A60" s="66">
        <v>33</v>
      </c>
      <c r="B60" s="473" t="s">
        <v>1150</v>
      </c>
      <c r="C60" s="503" t="s">
        <v>1166</v>
      </c>
      <c r="D60" s="474" t="s">
        <v>1311</v>
      </c>
      <c r="E60" s="474" t="s">
        <v>1292</v>
      </c>
      <c r="F60" s="475" t="s">
        <v>1312</v>
      </c>
      <c r="G60" s="476">
        <v>687.5</v>
      </c>
      <c r="H60" s="476"/>
      <c r="I60" s="466"/>
      <c r="J60" s="466"/>
      <c r="K60" s="502">
        <v>27001001732</v>
      </c>
      <c r="L60" s="66" t="s">
        <v>1313</v>
      </c>
    </row>
    <row r="61" spans="1:12" customFormat="1" ht="15">
      <c r="A61" s="66">
        <v>34</v>
      </c>
      <c r="B61" s="473" t="s">
        <v>1150</v>
      </c>
      <c r="C61" s="503" t="s">
        <v>1166</v>
      </c>
      <c r="D61" s="474" t="s">
        <v>1288</v>
      </c>
      <c r="E61" s="474" t="s">
        <v>1187</v>
      </c>
      <c r="F61" s="475" t="s">
        <v>1314</v>
      </c>
      <c r="G61" s="476">
        <v>420</v>
      </c>
      <c r="H61" s="476"/>
      <c r="I61" s="466"/>
      <c r="J61" s="466"/>
      <c r="K61" s="502" t="s">
        <v>1315</v>
      </c>
      <c r="L61" s="66" t="s">
        <v>1316</v>
      </c>
    </row>
    <row r="62" spans="1:12" customFormat="1" ht="15">
      <c r="A62" s="66">
        <v>35</v>
      </c>
      <c r="B62" s="473" t="s">
        <v>1150</v>
      </c>
      <c r="C62" s="503" t="s">
        <v>1151</v>
      </c>
      <c r="D62" s="474" t="s">
        <v>1317</v>
      </c>
      <c r="E62" s="474" t="s">
        <v>1292</v>
      </c>
      <c r="F62" s="475" t="s">
        <v>1318</v>
      </c>
      <c r="G62" s="476">
        <v>420</v>
      </c>
      <c r="H62" s="476"/>
      <c r="I62" s="466"/>
      <c r="J62" s="466"/>
      <c r="K62" s="502" t="s">
        <v>1319</v>
      </c>
      <c r="L62" s="66" t="s">
        <v>1320</v>
      </c>
    </row>
    <row r="63" spans="1:12" customFormat="1" ht="15">
      <c r="A63" s="66">
        <v>36</v>
      </c>
      <c r="B63" s="473" t="s">
        <v>1150</v>
      </c>
      <c r="C63" s="503" t="s">
        <v>1151</v>
      </c>
      <c r="D63" s="474" t="s">
        <v>1321</v>
      </c>
      <c r="E63" s="474" t="s">
        <v>1181</v>
      </c>
      <c r="F63" s="475" t="s">
        <v>1322</v>
      </c>
      <c r="G63" s="476">
        <v>480</v>
      </c>
      <c r="H63" s="476"/>
      <c r="I63" s="466"/>
      <c r="J63" s="466"/>
      <c r="K63" s="502">
        <v>32001014495</v>
      </c>
      <c r="L63" s="66" t="s">
        <v>1323</v>
      </c>
    </row>
    <row r="64" spans="1:12" customFormat="1" ht="15">
      <c r="A64" s="66">
        <v>37</v>
      </c>
      <c r="B64" s="473" t="s">
        <v>1221</v>
      </c>
      <c r="C64" s="503" t="s">
        <v>1151</v>
      </c>
      <c r="D64" s="474" t="s">
        <v>1249</v>
      </c>
      <c r="E64" s="474" t="s">
        <v>1258</v>
      </c>
      <c r="F64" s="475" t="s">
        <v>1324</v>
      </c>
      <c r="G64" s="476">
        <v>480</v>
      </c>
      <c r="H64" s="476"/>
      <c r="I64" s="466"/>
      <c r="J64" s="466"/>
      <c r="K64" s="502">
        <v>32001007637</v>
      </c>
      <c r="L64" s="66" t="s">
        <v>1325</v>
      </c>
    </row>
    <row r="65" spans="1:12" customFormat="1" ht="15">
      <c r="A65" s="66">
        <v>38</v>
      </c>
      <c r="B65" s="473" t="s">
        <v>1150</v>
      </c>
      <c r="C65" s="503" t="s">
        <v>1166</v>
      </c>
      <c r="D65" s="474" t="s">
        <v>1288</v>
      </c>
      <c r="E65" s="474" t="s">
        <v>1159</v>
      </c>
      <c r="F65" s="475" t="s">
        <v>1326</v>
      </c>
      <c r="G65" s="476">
        <v>225</v>
      </c>
      <c r="H65" s="476"/>
      <c r="I65" s="466"/>
      <c r="J65" s="466"/>
      <c r="K65" s="502">
        <v>11001011069</v>
      </c>
      <c r="L65" s="66" t="s">
        <v>1327</v>
      </c>
    </row>
    <row r="66" spans="1:12" customFormat="1" ht="15">
      <c r="A66" s="593">
        <v>39</v>
      </c>
      <c r="B66" s="473" t="s">
        <v>1150</v>
      </c>
      <c r="C66" s="503" t="s">
        <v>1328</v>
      </c>
      <c r="D66" s="474" t="s">
        <v>1329</v>
      </c>
      <c r="E66" s="474" t="s">
        <v>1224</v>
      </c>
      <c r="F66" s="475" t="s">
        <v>1330</v>
      </c>
      <c r="G66" s="580">
        <v>1032</v>
      </c>
      <c r="H66" s="476"/>
      <c r="I66" s="466"/>
      <c r="J66" s="466"/>
      <c r="K66" s="597">
        <v>224090917</v>
      </c>
      <c r="L66" s="593" t="s">
        <v>1331</v>
      </c>
    </row>
    <row r="67" spans="1:12" customFormat="1" ht="15">
      <c r="A67" s="595"/>
      <c r="B67" s="473" t="s">
        <v>1150</v>
      </c>
      <c r="C67" s="503" t="s">
        <v>1328</v>
      </c>
      <c r="D67" s="474" t="s">
        <v>1329</v>
      </c>
      <c r="E67" s="474" t="s">
        <v>1292</v>
      </c>
      <c r="F67" s="475" t="s">
        <v>1332</v>
      </c>
      <c r="G67" s="581"/>
      <c r="H67" s="476"/>
      <c r="I67" s="466"/>
      <c r="J67" s="466"/>
      <c r="K67" s="599"/>
      <c r="L67" s="595"/>
    </row>
    <row r="68" spans="1:12" customFormat="1" ht="15">
      <c r="A68" s="66">
        <v>40</v>
      </c>
      <c r="B68" s="473" t="s">
        <v>1150</v>
      </c>
      <c r="C68" s="503" t="s">
        <v>1151</v>
      </c>
      <c r="D68" s="474" t="s">
        <v>1249</v>
      </c>
      <c r="E68" s="474" t="s">
        <v>1164</v>
      </c>
      <c r="F68" s="475" t="s">
        <v>1333</v>
      </c>
      <c r="G68" s="476">
        <v>500</v>
      </c>
      <c r="H68" s="476"/>
      <c r="I68" s="466"/>
      <c r="J68" s="466"/>
      <c r="K68" s="502" t="s">
        <v>1334</v>
      </c>
      <c r="L68" s="66" t="s">
        <v>1335</v>
      </c>
    </row>
    <row r="69" spans="1:12" customFormat="1" ht="15">
      <c r="A69" s="66">
        <v>41</v>
      </c>
      <c r="B69" s="473" t="s">
        <v>1150</v>
      </c>
      <c r="C69" s="503" t="s">
        <v>1151</v>
      </c>
      <c r="D69" s="474" t="s">
        <v>1336</v>
      </c>
      <c r="E69" s="474" t="s">
        <v>1232</v>
      </c>
      <c r="F69" s="475" t="s">
        <v>1337</v>
      </c>
      <c r="G69" s="476">
        <v>275</v>
      </c>
      <c r="H69" s="476"/>
      <c r="I69" s="466"/>
      <c r="J69" s="466"/>
      <c r="K69" s="502" t="s">
        <v>1338</v>
      </c>
      <c r="L69" s="66" t="s">
        <v>1339</v>
      </c>
    </row>
    <row r="70" spans="1:12" customFormat="1" ht="15" customHeight="1">
      <c r="A70" s="593">
        <v>42</v>
      </c>
      <c r="B70" s="473" t="s">
        <v>1150</v>
      </c>
      <c r="C70" s="503" t="s">
        <v>1151</v>
      </c>
      <c r="D70" s="474" t="s">
        <v>1340</v>
      </c>
      <c r="E70" s="474" t="s">
        <v>1168</v>
      </c>
      <c r="F70" s="475" t="s">
        <v>1341</v>
      </c>
      <c r="G70" s="580">
        <v>1125</v>
      </c>
      <c r="H70" s="476"/>
      <c r="I70" s="466"/>
      <c r="J70" s="466"/>
      <c r="K70" s="597">
        <v>422717242</v>
      </c>
      <c r="L70" s="593" t="s">
        <v>1342</v>
      </c>
    </row>
    <row r="71" spans="1:12" customFormat="1" ht="15">
      <c r="A71" s="594"/>
      <c r="B71" s="473" t="s">
        <v>1150</v>
      </c>
      <c r="C71" s="503" t="s">
        <v>1151</v>
      </c>
      <c r="D71" s="474" t="s">
        <v>1343</v>
      </c>
      <c r="E71" s="474" t="s">
        <v>1181</v>
      </c>
      <c r="F71" s="475" t="s">
        <v>1344</v>
      </c>
      <c r="G71" s="596"/>
      <c r="H71" s="476"/>
      <c r="I71" s="466"/>
      <c r="J71" s="466"/>
      <c r="K71" s="598"/>
      <c r="L71" s="594"/>
    </row>
    <row r="72" spans="1:12" customFormat="1" ht="15">
      <c r="A72" s="595"/>
      <c r="B72" s="473" t="s">
        <v>1150</v>
      </c>
      <c r="C72" s="503" t="s">
        <v>1151</v>
      </c>
      <c r="D72" s="474" t="s">
        <v>1345</v>
      </c>
      <c r="E72" s="474" t="s">
        <v>1153</v>
      </c>
      <c r="F72" s="475" t="s">
        <v>1346</v>
      </c>
      <c r="G72" s="581"/>
      <c r="H72" s="476"/>
      <c r="I72" s="466"/>
      <c r="J72" s="466"/>
      <c r="K72" s="599"/>
      <c r="L72" s="595"/>
    </row>
    <row r="73" spans="1:12" customFormat="1" ht="15">
      <c r="A73" s="66">
        <v>43</v>
      </c>
      <c r="B73" s="473" t="s">
        <v>1150</v>
      </c>
      <c r="C73" s="503" t="s">
        <v>1347</v>
      </c>
      <c r="D73" s="474" t="s">
        <v>1227</v>
      </c>
      <c r="E73" s="474" t="s">
        <v>1283</v>
      </c>
      <c r="F73" s="475" t="s">
        <v>1348</v>
      </c>
      <c r="G73" s="476">
        <v>250</v>
      </c>
      <c r="H73" s="476"/>
      <c r="I73" s="466"/>
      <c r="J73" s="466"/>
      <c r="K73" s="502">
        <v>57001018043</v>
      </c>
      <c r="L73" s="66" t="s">
        <v>1349</v>
      </c>
    </row>
    <row r="74" spans="1:12" customFormat="1" ht="15">
      <c r="A74" s="66">
        <v>44</v>
      </c>
      <c r="B74" s="473" t="s">
        <v>1150</v>
      </c>
      <c r="C74" s="503" t="s">
        <v>1166</v>
      </c>
      <c r="D74" s="474" t="s">
        <v>1350</v>
      </c>
      <c r="E74" s="474" t="s">
        <v>1164</v>
      </c>
      <c r="F74" s="475" t="s">
        <v>1351</v>
      </c>
      <c r="G74" s="476">
        <v>160</v>
      </c>
      <c r="H74" s="476"/>
      <c r="I74" s="466"/>
      <c r="J74" s="466"/>
      <c r="K74" s="502" t="s">
        <v>1352</v>
      </c>
      <c r="L74" s="66" t="s">
        <v>1353</v>
      </c>
    </row>
    <row r="75" spans="1:12" customFormat="1" ht="15">
      <c r="A75" s="66">
        <v>45</v>
      </c>
      <c r="B75" s="473" t="s">
        <v>1150</v>
      </c>
      <c r="C75" s="503" t="s">
        <v>1151</v>
      </c>
      <c r="D75" s="474" t="s">
        <v>1354</v>
      </c>
      <c r="E75" s="474" t="s">
        <v>1181</v>
      </c>
      <c r="F75" s="475" t="s">
        <v>1355</v>
      </c>
      <c r="G75" s="476">
        <v>160</v>
      </c>
      <c r="H75" s="476"/>
      <c r="I75" s="466"/>
      <c r="J75" s="466"/>
      <c r="K75" s="502">
        <v>43001000261</v>
      </c>
      <c r="L75" s="66" t="s">
        <v>1356</v>
      </c>
    </row>
    <row r="76" spans="1:12" customFormat="1" ht="15">
      <c r="A76" s="593">
        <v>46</v>
      </c>
      <c r="B76" s="473" t="s">
        <v>1150</v>
      </c>
      <c r="C76" s="503" t="s">
        <v>1157</v>
      </c>
      <c r="D76" s="474" t="s">
        <v>1357</v>
      </c>
      <c r="E76" s="474" t="s">
        <v>1153</v>
      </c>
      <c r="F76" s="475" t="s">
        <v>1358</v>
      </c>
      <c r="G76" s="580">
        <v>1315</v>
      </c>
      <c r="H76" s="476"/>
      <c r="I76" s="466"/>
      <c r="J76" s="466"/>
      <c r="K76" s="597">
        <v>417881046</v>
      </c>
      <c r="L76" s="593" t="s">
        <v>1359</v>
      </c>
    </row>
    <row r="77" spans="1:12" customFormat="1" ht="15">
      <c r="A77" s="594"/>
      <c r="B77" s="473" t="s">
        <v>1150</v>
      </c>
      <c r="C77" s="503" t="s">
        <v>1166</v>
      </c>
      <c r="D77" s="474" t="s">
        <v>1227</v>
      </c>
      <c r="E77" s="474" t="s">
        <v>1187</v>
      </c>
      <c r="F77" s="475" t="s">
        <v>1360</v>
      </c>
      <c r="G77" s="596"/>
      <c r="H77" s="476"/>
      <c r="I77" s="466"/>
      <c r="J77" s="466"/>
      <c r="K77" s="598"/>
      <c r="L77" s="594"/>
    </row>
    <row r="78" spans="1:12" customFormat="1" ht="15">
      <c r="A78" s="594"/>
      <c r="B78" s="473" t="s">
        <v>1150</v>
      </c>
      <c r="C78" s="503" t="s">
        <v>1361</v>
      </c>
      <c r="D78" s="474" t="s">
        <v>1362</v>
      </c>
      <c r="E78" s="474" t="s">
        <v>1224</v>
      </c>
      <c r="F78" s="475" t="s">
        <v>1363</v>
      </c>
      <c r="G78" s="596"/>
      <c r="H78" s="476"/>
      <c r="I78" s="466"/>
      <c r="J78" s="466"/>
      <c r="K78" s="598"/>
      <c r="L78" s="594"/>
    </row>
    <row r="79" spans="1:12" customFormat="1" ht="15">
      <c r="A79" s="594"/>
      <c r="B79" s="473" t="s">
        <v>1150</v>
      </c>
      <c r="C79" s="503" t="s">
        <v>1364</v>
      </c>
      <c r="D79" s="474" t="s">
        <v>1365</v>
      </c>
      <c r="E79" s="474" t="s">
        <v>1268</v>
      </c>
      <c r="F79" s="475" t="s">
        <v>1366</v>
      </c>
      <c r="G79" s="596"/>
      <c r="H79" s="476"/>
      <c r="I79" s="466"/>
      <c r="J79" s="466"/>
      <c r="K79" s="598"/>
      <c r="L79" s="594"/>
    </row>
    <row r="80" spans="1:12" customFormat="1" ht="15">
      <c r="A80" s="594"/>
      <c r="B80" s="473" t="s">
        <v>1150</v>
      </c>
      <c r="C80" s="503" t="s">
        <v>1361</v>
      </c>
      <c r="D80" s="474" t="s">
        <v>1362</v>
      </c>
      <c r="E80" s="474" t="s">
        <v>1224</v>
      </c>
      <c r="F80" s="475" t="s">
        <v>1367</v>
      </c>
      <c r="G80" s="596"/>
      <c r="H80" s="476"/>
      <c r="I80" s="466"/>
      <c r="J80" s="466"/>
      <c r="K80" s="598"/>
      <c r="L80" s="594"/>
    </row>
    <row r="81" spans="1:12" customFormat="1" ht="15">
      <c r="A81" s="594"/>
      <c r="B81" s="473" t="s">
        <v>1150</v>
      </c>
      <c r="C81" s="503" t="s">
        <v>1364</v>
      </c>
      <c r="D81" s="474" t="s">
        <v>1368</v>
      </c>
      <c r="E81" s="474" t="s">
        <v>1273</v>
      </c>
      <c r="F81" s="475" t="s">
        <v>1369</v>
      </c>
      <c r="G81" s="596"/>
      <c r="H81" s="476"/>
      <c r="I81" s="466"/>
      <c r="J81" s="466"/>
      <c r="K81" s="598"/>
      <c r="L81" s="594"/>
    </row>
    <row r="82" spans="1:12" customFormat="1" ht="15">
      <c r="A82" s="595"/>
      <c r="B82" s="473" t="s">
        <v>1150</v>
      </c>
      <c r="C82" s="503" t="s">
        <v>1361</v>
      </c>
      <c r="D82" s="474" t="s">
        <v>1362</v>
      </c>
      <c r="E82" s="474" t="s">
        <v>1224</v>
      </c>
      <c r="F82" s="475" t="s">
        <v>1370</v>
      </c>
      <c r="G82" s="581"/>
      <c r="H82" s="476"/>
      <c r="I82" s="466"/>
      <c r="J82" s="466"/>
      <c r="K82" s="599"/>
      <c r="L82" s="595"/>
    </row>
    <row r="83" spans="1:12" customFormat="1" ht="15">
      <c r="A83" s="66">
        <v>47</v>
      </c>
      <c r="B83" s="473" t="s">
        <v>1150</v>
      </c>
      <c r="C83" s="503" t="s">
        <v>1166</v>
      </c>
      <c r="D83" s="474" t="s">
        <v>1288</v>
      </c>
      <c r="E83" s="474" t="s">
        <v>1168</v>
      </c>
      <c r="F83" s="475" t="s">
        <v>1371</v>
      </c>
      <c r="G83" s="476">
        <v>312.5</v>
      </c>
      <c r="H83" s="66">
        <v>41001013417</v>
      </c>
      <c r="I83" s="466" t="s">
        <v>1372</v>
      </c>
      <c r="J83" s="466" t="s">
        <v>1373</v>
      </c>
      <c r="K83" s="502"/>
      <c r="L83" s="66"/>
    </row>
    <row r="84" spans="1:12" customFormat="1" ht="15">
      <c r="A84" s="66">
        <v>48</v>
      </c>
      <c r="B84" s="473" t="s">
        <v>1150</v>
      </c>
      <c r="C84" s="503" t="s">
        <v>1151</v>
      </c>
      <c r="D84" s="474" t="s">
        <v>1217</v>
      </c>
      <c r="E84" s="474" t="s">
        <v>1153</v>
      </c>
      <c r="F84" s="475" t="s">
        <v>1374</v>
      </c>
      <c r="G84" s="476">
        <v>250</v>
      </c>
      <c r="H84" s="476"/>
      <c r="I84" s="466"/>
      <c r="J84" s="466"/>
      <c r="K84" s="502">
        <v>55001021754</v>
      </c>
      <c r="L84" s="66" t="s">
        <v>1375</v>
      </c>
    </row>
    <row r="85" spans="1:12" customFormat="1" ht="15">
      <c r="A85" s="66">
        <v>49</v>
      </c>
      <c r="B85" s="473" t="s">
        <v>1150</v>
      </c>
      <c r="C85" s="503" t="s">
        <v>1151</v>
      </c>
      <c r="D85" s="474" t="s">
        <v>1376</v>
      </c>
      <c r="E85" s="474" t="s">
        <v>1211</v>
      </c>
      <c r="F85" s="475" t="s">
        <v>1377</v>
      </c>
      <c r="G85" s="476">
        <v>275</v>
      </c>
      <c r="H85" s="476"/>
      <c r="I85" s="466"/>
      <c r="J85" s="466"/>
      <c r="K85" s="502" t="s">
        <v>1378</v>
      </c>
      <c r="L85" s="66" t="s">
        <v>1379</v>
      </c>
    </row>
    <row r="86" spans="1:12" customFormat="1" ht="15">
      <c r="A86" s="66">
        <v>50</v>
      </c>
      <c r="B86" s="473" t="s">
        <v>1150</v>
      </c>
      <c r="C86" s="503" t="s">
        <v>1151</v>
      </c>
      <c r="D86" s="474" t="s">
        <v>1380</v>
      </c>
      <c r="E86" s="474" t="s">
        <v>1381</v>
      </c>
      <c r="F86" s="475" t="s">
        <v>1382</v>
      </c>
      <c r="G86" s="476">
        <v>275</v>
      </c>
      <c r="H86" s="476"/>
      <c r="I86" s="466"/>
      <c r="J86" s="466"/>
      <c r="K86" s="502">
        <v>56001000902</v>
      </c>
      <c r="L86" s="66" t="s">
        <v>1383</v>
      </c>
    </row>
    <row r="87" spans="1:12" customFormat="1" ht="15">
      <c r="A87" s="66">
        <v>51</v>
      </c>
      <c r="B87" s="473" t="s">
        <v>1150</v>
      </c>
      <c r="C87" s="503" t="s">
        <v>1166</v>
      </c>
      <c r="D87" s="474" t="s">
        <v>1294</v>
      </c>
      <c r="E87" s="474" t="s">
        <v>1224</v>
      </c>
      <c r="F87" s="475" t="s">
        <v>1384</v>
      </c>
      <c r="G87" s="476">
        <v>320</v>
      </c>
      <c r="H87" s="476"/>
      <c r="I87" s="466"/>
      <c r="J87" s="466"/>
      <c r="K87" s="502">
        <v>53001013336</v>
      </c>
      <c r="L87" s="66" t="s">
        <v>1385</v>
      </c>
    </row>
    <row r="88" spans="1:12" customFormat="1" ht="15">
      <c r="A88" s="66">
        <v>52</v>
      </c>
      <c r="B88" s="473" t="s">
        <v>1150</v>
      </c>
      <c r="C88" s="503" t="s">
        <v>1166</v>
      </c>
      <c r="D88" s="474" t="s">
        <v>1386</v>
      </c>
      <c r="E88" s="474" t="s">
        <v>1181</v>
      </c>
      <c r="F88" s="475" t="s">
        <v>1387</v>
      </c>
      <c r="G88" s="476">
        <v>260</v>
      </c>
      <c r="H88" s="476"/>
      <c r="I88" s="466"/>
      <c r="J88" s="466"/>
      <c r="K88" s="502">
        <v>53001023115</v>
      </c>
      <c r="L88" s="66" t="s">
        <v>1388</v>
      </c>
    </row>
    <row r="89" spans="1:12" customFormat="1" ht="15">
      <c r="A89" s="593">
        <v>53</v>
      </c>
      <c r="B89" s="473" t="s">
        <v>1150</v>
      </c>
      <c r="C89" s="503" t="s">
        <v>1162</v>
      </c>
      <c r="D89" s="474" t="s">
        <v>1389</v>
      </c>
      <c r="E89" s="474" t="s">
        <v>1181</v>
      </c>
      <c r="F89" s="475" t="s">
        <v>1390</v>
      </c>
      <c r="G89" s="580">
        <v>2600</v>
      </c>
      <c r="H89" s="476"/>
      <c r="I89" s="466"/>
      <c r="J89" s="466"/>
      <c r="K89" s="597">
        <v>412716770</v>
      </c>
      <c r="L89" s="593" t="s">
        <v>1391</v>
      </c>
    </row>
    <row r="90" spans="1:12" customFormat="1" ht="15">
      <c r="A90" s="594"/>
      <c r="B90" s="473" t="s">
        <v>1150</v>
      </c>
      <c r="C90" s="503" t="s">
        <v>1230</v>
      </c>
      <c r="D90" s="474" t="s">
        <v>1392</v>
      </c>
      <c r="E90" s="474" t="s">
        <v>1159</v>
      </c>
      <c r="F90" s="475" t="s">
        <v>1393</v>
      </c>
      <c r="G90" s="596"/>
      <c r="H90" s="476"/>
      <c r="I90" s="466"/>
      <c r="J90" s="466"/>
      <c r="K90" s="598"/>
      <c r="L90" s="594"/>
    </row>
    <row r="91" spans="1:12" customFormat="1" ht="15">
      <c r="A91" s="594"/>
      <c r="B91" s="473" t="s">
        <v>1150</v>
      </c>
      <c r="C91" s="503" t="s">
        <v>1172</v>
      </c>
      <c r="D91" s="474" t="s">
        <v>1238</v>
      </c>
      <c r="E91" s="474" t="s">
        <v>1201</v>
      </c>
      <c r="F91" s="475" t="s">
        <v>1394</v>
      </c>
      <c r="G91" s="596"/>
      <c r="H91" s="476"/>
      <c r="I91" s="466"/>
      <c r="J91" s="466"/>
      <c r="K91" s="598"/>
      <c r="L91" s="594"/>
    </row>
    <row r="92" spans="1:12" customFormat="1" ht="15">
      <c r="A92" s="595"/>
      <c r="B92" s="473" t="s">
        <v>1150</v>
      </c>
      <c r="C92" s="503" t="s">
        <v>1166</v>
      </c>
      <c r="D92" s="474" t="s">
        <v>1184</v>
      </c>
      <c r="E92" s="474" t="s">
        <v>1168</v>
      </c>
      <c r="F92" s="475" t="s">
        <v>1395</v>
      </c>
      <c r="G92" s="581"/>
      <c r="H92" s="476"/>
      <c r="I92" s="466"/>
      <c r="J92" s="466"/>
      <c r="K92" s="599"/>
      <c r="L92" s="595"/>
    </row>
    <row r="93" spans="1:12" customFormat="1" ht="15">
      <c r="A93" s="66">
        <v>54</v>
      </c>
      <c r="B93" s="473" t="s">
        <v>1150</v>
      </c>
      <c r="C93" s="503" t="s">
        <v>1166</v>
      </c>
      <c r="D93" s="474" t="s">
        <v>1396</v>
      </c>
      <c r="E93" s="474" t="s">
        <v>1153</v>
      </c>
      <c r="F93" s="475" t="s">
        <v>1397</v>
      </c>
      <c r="G93" s="476">
        <v>264</v>
      </c>
      <c r="H93" s="476">
        <v>38001010067</v>
      </c>
      <c r="I93" s="466" t="s">
        <v>1398</v>
      </c>
      <c r="J93" s="466" t="s">
        <v>873</v>
      </c>
      <c r="K93" s="502"/>
      <c r="L93" s="66" t="s">
        <v>265</v>
      </c>
    </row>
    <row r="94" spans="1:12" customFormat="1" ht="15">
      <c r="A94" s="66">
        <v>55</v>
      </c>
      <c r="B94" s="473" t="s">
        <v>1150</v>
      </c>
      <c r="C94" s="501" t="s">
        <v>1166</v>
      </c>
      <c r="D94" s="445" t="s">
        <v>1399</v>
      </c>
      <c r="E94" s="446" t="s">
        <v>1283</v>
      </c>
      <c r="F94" s="475" t="s">
        <v>1400</v>
      </c>
      <c r="G94" s="66">
        <v>264</v>
      </c>
      <c r="H94" s="66"/>
      <c r="I94" s="466"/>
      <c r="J94" s="466"/>
      <c r="K94" s="502">
        <v>54001011131</v>
      </c>
      <c r="L94" s="66" t="s">
        <v>1401</v>
      </c>
    </row>
    <row r="95" spans="1:12" customFormat="1" ht="15">
      <c r="A95" s="66">
        <v>56</v>
      </c>
      <c r="B95" s="473" t="s">
        <v>1150</v>
      </c>
      <c r="C95" s="501" t="s">
        <v>1402</v>
      </c>
      <c r="D95" s="445" t="s">
        <v>1403</v>
      </c>
      <c r="E95" s="446" t="s">
        <v>1404</v>
      </c>
      <c r="F95" s="475" t="s">
        <v>1405</v>
      </c>
      <c r="G95" s="66">
        <v>700</v>
      </c>
      <c r="H95" s="66"/>
      <c r="I95" s="466"/>
      <c r="J95" s="466"/>
      <c r="K95" s="502">
        <v>37001001856</v>
      </c>
      <c r="L95" s="66" t="s">
        <v>1406</v>
      </c>
    </row>
    <row r="96" spans="1:12" customFormat="1" ht="15">
      <c r="A96" s="66">
        <v>57</v>
      </c>
      <c r="B96" s="473" t="s">
        <v>1150</v>
      </c>
      <c r="C96" s="501" t="s">
        <v>1151</v>
      </c>
      <c r="D96" s="445" t="s">
        <v>1407</v>
      </c>
      <c r="E96" s="446" t="s">
        <v>1153</v>
      </c>
      <c r="F96" s="475" t="s">
        <v>1408</v>
      </c>
      <c r="G96" s="66">
        <v>300</v>
      </c>
      <c r="H96" s="66"/>
      <c r="I96" s="466"/>
      <c r="J96" s="466"/>
      <c r="K96" s="502">
        <v>17001002009</v>
      </c>
      <c r="L96" s="66" t="s">
        <v>1409</v>
      </c>
    </row>
    <row r="97" spans="1:12" customFormat="1" ht="15">
      <c r="A97" s="66">
        <v>58</v>
      </c>
      <c r="B97" s="473" t="s">
        <v>1150</v>
      </c>
      <c r="C97" s="66" t="s">
        <v>1166</v>
      </c>
      <c r="D97" s="66" t="s">
        <v>1410</v>
      </c>
      <c r="E97" s="66">
        <v>1998</v>
      </c>
      <c r="F97" s="476" t="s">
        <v>1411</v>
      </c>
      <c r="G97" s="66">
        <v>300</v>
      </c>
      <c r="H97" s="66"/>
      <c r="I97" s="466"/>
      <c r="J97" s="466"/>
      <c r="K97" s="505">
        <v>17001019015</v>
      </c>
      <c r="L97" s="66" t="s">
        <v>1412</v>
      </c>
    </row>
    <row r="98" spans="1:12" customFormat="1" ht="15">
      <c r="A98" s="66">
        <v>59</v>
      </c>
      <c r="B98" s="473" t="s">
        <v>1150</v>
      </c>
      <c r="C98" s="66" t="s">
        <v>1166</v>
      </c>
      <c r="D98" s="66" t="s">
        <v>1413</v>
      </c>
      <c r="E98" s="66">
        <v>2006</v>
      </c>
      <c r="F98" s="476" t="s">
        <v>1414</v>
      </c>
      <c r="G98" s="66">
        <v>280</v>
      </c>
      <c r="H98" s="66"/>
      <c r="I98" s="466"/>
      <c r="J98" s="466"/>
      <c r="K98" s="505" t="s">
        <v>1415</v>
      </c>
      <c r="L98" s="66" t="s">
        <v>1416</v>
      </c>
    </row>
    <row r="99" spans="1:12" customFormat="1" ht="15">
      <c r="A99" s="66">
        <v>60</v>
      </c>
      <c r="B99" s="473" t="s">
        <v>1150</v>
      </c>
      <c r="C99" s="66" t="s">
        <v>1166</v>
      </c>
      <c r="D99" s="66" t="s">
        <v>1413</v>
      </c>
      <c r="E99" s="66">
        <v>2008</v>
      </c>
      <c r="F99" s="476" t="s">
        <v>1417</v>
      </c>
      <c r="G99" s="66">
        <v>280</v>
      </c>
      <c r="H99" s="66"/>
      <c r="I99" s="466"/>
      <c r="J99" s="466"/>
      <c r="K99" s="505" t="s">
        <v>1418</v>
      </c>
      <c r="L99" s="66" t="s">
        <v>1419</v>
      </c>
    </row>
    <row r="100" spans="1:12" customFormat="1" ht="30">
      <c r="A100" s="66">
        <v>61</v>
      </c>
      <c r="B100" s="473" t="s">
        <v>1150</v>
      </c>
      <c r="C100" s="66" t="s">
        <v>1151</v>
      </c>
      <c r="D100" s="66" t="s">
        <v>1420</v>
      </c>
      <c r="E100" s="66">
        <v>2007</v>
      </c>
      <c r="F100" s="476" t="s">
        <v>1421</v>
      </c>
      <c r="G100" s="66">
        <v>250</v>
      </c>
      <c r="H100" s="66"/>
      <c r="I100" s="466"/>
      <c r="J100" s="466"/>
      <c r="K100" s="505">
        <v>21001005646</v>
      </c>
      <c r="L100" s="66" t="s">
        <v>1422</v>
      </c>
    </row>
    <row r="101" spans="1:12" customFormat="1" ht="15">
      <c r="A101" s="66">
        <v>62</v>
      </c>
      <c r="B101" s="473" t="s">
        <v>1150</v>
      </c>
      <c r="C101" s="66" t="s">
        <v>1151</v>
      </c>
      <c r="D101" s="66" t="s">
        <v>1249</v>
      </c>
      <c r="E101" s="66">
        <v>1996</v>
      </c>
      <c r="F101" s="476" t="s">
        <v>1423</v>
      </c>
      <c r="G101" s="66">
        <v>250</v>
      </c>
      <c r="H101" s="66"/>
      <c r="I101" s="466"/>
      <c r="J101" s="466"/>
      <c r="K101" s="505">
        <v>21001012309</v>
      </c>
      <c r="L101" s="66" t="s">
        <v>1424</v>
      </c>
    </row>
    <row r="102" spans="1:12" customFormat="1" ht="15">
      <c r="A102" s="593">
        <v>63</v>
      </c>
      <c r="B102" s="473" t="s">
        <v>1150</v>
      </c>
      <c r="C102" s="66" t="s">
        <v>1166</v>
      </c>
      <c r="D102" s="66" t="s">
        <v>1425</v>
      </c>
      <c r="E102" s="66">
        <v>2009</v>
      </c>
      <c r="F102" s="476" t="s">
        <v>1426</v>
      </c>
      <c r="G102" s="593">
        <v>900</v>
      </c>
      <c r="H102" s="66"/>
      <c r="I102" s="466"/>
      <c r="J102" s="466"/>
      <c r="K102" s="597">
        <v>230095802</v>
      </c>
      <c r="L102" s="593" t="s">
        <v>1427</v>
      </c>
    </row>
    <row r="103" spans="1:12" customFormat="1" ht="15">
      <c r="A103" s="594"/>
      <c r="B103" s="473" t="s">
        <v>1150</v>
      </c>
      <c r="C103" s="66" t="s">
        <v>1166</v>
      </c>
      <c r="D103" s="66" t="s">
        <v>1288</v>
      </c>
      <c r="E103" s="66">
        <v>1998</v>
      </c>
      <c r="F103" s="476" t="s">
        <v>1428</v>
      </c>
      <c r="G103" s="594"/>
      <c r="H103" s="66"/>
      <c r="I103" s="466"/>
      <c r="J103" s="466"/>
      <c r="K103" s="598"/>
      <c r="L103" s="594"/>
    </row>
    <row r="104" spans="1:12" customFormat="1" ht="15">
      <c r="A104" s="594"/>
      <c r="B104" s="473" t="s">
        <v>1150</v>
      </c>
      <c r="C104" s="66" t="s">
        <v>1166</v>
      </c>
      <c r="D104" s="66" t="s">
        <v>1184</v>
      </c>
      <c r="E104" s="66">
        <v>1999</v>
      </c>
      <c r="F104" s="476" t="s">
        <v>1429</v>
      </c>
      <c r="G104" s="594"/>
      <c r="H104" s="66"/>
      <c r="I104" s="466"/>
      <c r="J104" s="466"/>
      <c r="K104" s="598"/>
      <c r="L104" s="594"/>
    </row>
    <row r="105" spans="1:12" customFormat="1" ht="15">
      <c r="A105" s="595"/>
      <c r="B105" s="473" t="s">
        <v>1150</v>
      </c>
      <c r="C105" s="66" t="s">
        <v>1166</v>
      </c>
      <c r="D105" s="66" t="s">
        <v>1430</v>
      </c>
      <c r="E105" s="66">
        <v>2007</v>
      </c>
      <c r="F105" s="476" t="s">
        <v>1431</v>
      </c>
      <c r="G105" s="595"/>
      <c r="H105" s="66"/>
      <c r="I105" s="466"/>
      <c r="J105" s="466"/>
      <c r="K105" s="599"/>
      <c r="L105" s="595"/>
    </row>
    <row r="106" spans="1:12" customFormat="1" ht="30">
      <c r="A106" s="66">
        <v>64</v>
      </c>
      <c r="B106" s="473" t="s">
        <v>1432</v>
      </c>
      <c r="C106" s="66" t="s">
        <v>1151</v>
      </c>
      <c r="D106" s="66" t="s">
        <v>1433</v>
      </c>
      <c r="E106" s="66">
        <v>2002</v>
      </c>
      <c r="F106" s="476" t="s">
        <v>1434</v>
      </c>
      <c r="G106" s="66">
        <v>187</v>
      </c>
      <c r="H106" s="66"/>
      <c r="I106" s="466"/>
      <c r="J106" s="466"/>
      <c r="K106" s="505">
        <v>61009009694</v>
      </c>
      <c r="L106" s="476" t="s">
        <v>1435</v>
      </c>
    </row>
    <row r="107" spans="1:12" customFormat="1" ht="15">
      <c r="A107" s="593">
        <v>65</v>
      </c>
      <c r="B107" s="473" t="s">
        <v>1150</v>
      </c>
      <c r="C107" s="66" t="s">
        <v>1151</v>
      </c>
      <c r="D107" s="66" t="s">
        <v>1436</v>
      </c>
      <c r="E107" s="66">
        <v>1995</v>
      </c>
      <c r="F107" s="476" t="s">
        <v>1437</v>
      </c>
      <c r="G107" s="593">
        <v>700</v>
      </c>
      <c r="H107" s="66"/>
      <c r="I107" s="466"/>
      <c r="J107" s="466"/>
      <c r="K107" s="597">
        <v>216394391</v>
      </c>
      <c r="L107" s="593" t="s">
        <v>1438</v>
      </c>
    </row>
    <row r="108" spans="1:12" customFormat="1" ht="15">
      <c r="A108" s="594"/>
      <c r="B108" s="473" t="s">
        <v>1150</v>
      </c>
      <c r="C108" s="66" t="s">
        <v>1166</v>
      </c>
      <c r="D108" s="66" t="s">
        <v>1227</v>
      </c>
      <c r="E108" s="66">
        <v>2002</v>
      </c>
      <c r="F108" s="476" t="s">
        <v>1439</v>
      </c>
      <c r="G108" s="594"/>
      <c r="H108" s="66"/>
      <c r="I108" s="466"/>
      <c r="J108" s="466"/>
      <c r="K108" s="598"/>
      <c r="L108" s="594"/>
    </row>
    <row r="109" spans="1:12" customFormat="1" ht="30">
      <c r="A109" s="594"/>
      <c r="B109" s="473" t="s">
        <v>1150</v>
      </c>
      <c r="C109" s="66" t="s">
        <v>1151</v>
      </c>
      <c r="D109" s="66" t="s">
        <v>1336</v>
      </c>
      <c r="E109" s="66">
        <v>1992</v>
      </c>
      <c r="F109" s="476" t="s">
        <v>1440</v>
      </c>
      <c r="G109" s="594"/>
      <c r="H109" s="66"/>
      <c r="I109" s="466"/>
      <c r="J109" s="466"/>
      <c r="K109" s="598"/>
      <c r="L109" s="594"/>
    </row>
    <row r="110" spans="1:12" customFormat="1" ht="15">
      <c r="A110" s="594"/>
      <c r="B110" s="473" t="s">
        <v>1150</v>
      </c>
      <c r="C110" s="66" t="s">
        <v>1151</v>
      </c>
      <c r="D110" s="66" t="s">
        <v>1249</v>
      </c>
      <c r="E110" s="66">
        <v>1991</v>
      </c>
      <c r="F110" s="476" t="s">
        <v>1441</v>
      </c>
      <c r="G110" s="594"/>
      <c r="H110" s="66"/>
      <c r="I110" s="466"/>
      <c r="J110" s="466"/>
      <c r="K110" s="598"/>
      <c r="L110" s="594"/>
    </row>
    <row r="111" spans="1:12" customFormat="1" ht="30">
      <c r="A111" s="594"/>
      <c r="B111" s="473" t="s">
        <v>1150</v>
      </c>
      <c r="C111" s="66" t="s">
        <v>1151</v>
      </c>
      <c r="D111" s="66" t="s">
        <v>1336</v>
      </c>
      <c r="E111" s="66">
        <v>1993</v>
      </c>
      <c r="F111" s="476" t="s">
        <v>1442</v>
      </c>
      <c r="G111" s="594"/>
      <c r="H111" s="66"/>
      <c r="I111" s="466"/>
      <c r="J111" s="466"/>
      <c r="K111" s="598"/>
      <c r="L111" s="594"/>
    </row>
    <row r="112" spans="1:12" customFormat="1" ht="30">
      <c r="A112" s="594"/>
      <c r="B112" s="473" t="s">
        <v>1150</v>
      </c>
      <c r="C112" s="66" t="s">
        <v>1151</v>
      </c>
      <c r="D112" s="66" t="s">
        <v>1443</v>
      </c>
      <c r="E112" s="66">
        <v>1994</v>
      </c>
      <c r="F112" s="476" t="s">
        <v>1444</v>
      </c>
      <c r="G112" s="594"/>
      <c r="H112" s="66"/>
      <c r="I112" s="466"/>
      <c r="J112" s="466"/>
      <c r="K112" s="598"/>
      <c r="L112" s="594"/>
    </row>
    <row r="113" spans="1:12" customFormat="1" ht="15">
      <c r="A113" s="594"/>
      <c r="B113" s="473" t="s">
        <v>1150</v>
      </c>
      <c r="C113" s="66" t="s">
        <v>1151</v>
      </c>
      <c r="D113" s="66" t="s">
        <v>1249</v>
      </c>
      <c r="E113" s="66">
        <v>1993</v>
      </c>
      <c r="F113" s="476" t="s">
        <v>1445</v>
      </c>
      <c r="G113" s="594"/>
      <c r="H113" s="66"/>
      <c r="I113" s="466"/>
      <c r="J113" s="466"/>
      <c r="K113" s="598"/>
      <c r="L113" s="594"/>
    </row>
    <row r="114" spans="1:12" customFormat="1" ht="15">
      <c r="A114" s="594"/>
      <c r="B114" s="473" t="s">
        <v>1150</v>
      </c>
      <c r="C114" s="66" t="s">
        <v>1151</v>
      </c>
      <c r="D114" s="66" t="s">
        <v>1249</v>
      </c>
      <c r="E114" s="66">
        <v>1993</v>
      </c>
      <c r="F114" s="476" t="s">
        <v>1446</v>
      </c>
      <c r="G114" s="594"/>
      <c r="H114" s="66"/>
      <c r="I114" s="466"/>
      <c r="J114" s="466"/>
      <c r="K114" s="598"/>
      <c r="L114" s="594"/>
    </row>
    <row r="115" spans="1:12" customFormat="1" ht="15">
      <c r="A115" s="594"/>
      <c r="B115" s="473" t="s">
        <v>1150</v>
      </c>
      <c r="C115" s="66" t="s">
        <v>1151</v>
      </c>
      <c r="D115" s="66" t="s">
        <v>1407</v>
      </c>
      <c r="E115" s="66">
        <v>1996</v>
      </c>
      <c r="F115" s="476" t="s">
        <v>1447</v>
      </c>
      <c r="G115" s="594"/>
      <c r="H115" s="66"/>
      <c r="I115" s="466"/>
      <c r="J115" s="466"/>
      <c r="K115" s="598"/>
      <c r="L115" s="594"/>
    </row>
    <row r="116" spans="1:12" customFormat="1" ht="30">
      <c r="A116" s="595"/>
      <c r="B116" s="473" t="s">
        <v>1150</v>
      </c>
      <c r="C116" s="66" t="s">
        <v>1151</v>
      </c>
      <c r="D116" s="66" t="s">
        <v>1336</v>
      </c>
      <c r="E116" s="66">
        <v>1990</v>
      </c>
      <c r="F116" s="476" t="s">
        <v>1448</v>
      </c>
      <c r="G116" s="595"/>
      <c r="H116" s="66"/>
      <c r="I116" s="466"/>
      <c r="J116" s="466"/>
      <c r="K116" s="599"/>
      <c r="L116" s="595"/>
    </row>
    <row r="117" spans="1:12" customFormat="1" ht="15">
      <c r="A117" s="593">
        <v>66</v>
      </c>
      <c r="B117" s="473" t="s">
        <v>1150</v>
      </c>
      <c r="C117" s="66" t="s">
        <v>1166</v>
      </c>
      <c r="D117" s="66" t="s">
        <v>1189</v>
      </c>
      <c r="E117" s="66">
        <v>1998</v>
      </c>
      <c r="F117" s="476" t="s">
        <v>1449</v>
      </c>
      <c r="G117" s="593">
        <v>780</v>
      </c>
      <c r="H117" s="66"/>
      <c r="I117" s="66"/>
      <c r="J117" s="66"/>
      <c r="K117" s="600">
        <v>434160070</v>
      </c>
      <c r="L117" s="601" t="s">
        <v>1450</v>
      </c>
    </row>
    <row r="118" spans="1:12" customFormat="1" ht="15">
      <c r="A118" s="594"/>
      <c r="B118" s="473" t="s">
        <v>1150</v>
      </c>
      <c r="C118" s="66" t="s">
        <v>1166</v>
      </c>
      <c r="D118" s="66" t="s">
        <v>1191</v>
      </c>
      <c r="E118" s="66">
        <v>1996</v>
      </c>
      <c r="F118" s="476" t="s">
        <v>1451</v>
      </c>
      <c r="G118" s="594"/>
      <c r="H118" s="66"/>
      <c r="I118" s="66"/>
      <c r="J118" s="66"/>
      <c r="K118" s="600"/>
      <c r="L118" s="601"/>
    </row>
    <row r="119" spans="1:12" customFormat="1" ht="15">
      <c r="A119" s="594"/>
      <c r="B119" s="473" t="s">
        <v>1150</v>
      </c>
      <c r="C119" s="66" t="s">
        <v>1166</v>
      </c>
      <c r="D119" s="66" t="s">
        <v>1452</v>
      </c>
      <c r="E119" s="66">
        <v>1997</v>
      </c>
      <c r="F119" s="476" t="s">
        <v>1453</v>
      </c>
      <c r="G119" s="594"/>
      <c r="H119" s="66"/>
      <c r="I119" s="66"/>
      <c r="J119" s="66"/>
      <c r="K119" s="600"/>
      <c r="L119" s="601"/>
    </row>
    <row r="120" spans="1:12" customFormat="1" ht="15">
      <c r="A120" s="594"/>
      <c r="B120" s="473" t="s">
        <v>1221</v>
      </c>
      <c r="C120" s="66" t="s">
        <v>1151</v>
      </c>
      <c r="D120" s="66" t="s">
        <v>1249</v>
      </c>
      <c r="E120" s="66">
        <v>1997</v>
      </c>
      <c r="F120" s="476" t="s">
        <v>1454</v>
      </c>
      <c r="G120" s="594"/>
      <c r="H120" s="66"/>
      <c r="I120" s="66"/>
      <c r="J120" s="66"/>
      <c r="K120" s="600"/>
      <c r="L120" s="601"/>
    </row>
    <row r="121" spans="1:12" customFormat="1" ht="15">
      <c r="A121" s="594"/>
      <c r="B121" s="473" t="s">
        <v>1150</v>
      </c>
      <c r="C121" s="66" t="s">
        <v>1166</v>
      </c>
      <c r="D121" s="66" t="s">
        <v>1410</v>
      </c>
      <c r="E121" s="66">
        <v>1998</v>
      </c>
      <c r="F121" s="476" t="s">
        <v>1455</v>
      </c>
      <c r="G121" s="594"/>
      <c r="H121" s="66"/>
      <c r="I121" s="66"/>
      <c r="J121" s="66"/>
      <c r="K121" s="600"/>
      <c r="L121" s="601"/>
    </row>
    <row r="122" spans="1:12" customFormat="1" ht="15">
      <c r="A122" s="594"/>
      <c r="B122" s="473" t="s">
        <v>1150</v>
      </c>
      <c r="C122" s="66" t="s">
        <v>1166</v>
      </c>
      <c r="D122" s="66" t="s">
        <v>1456</v>
      </c>
      <c r="E122" s="66">
        <v>1997</v>
      </c>
      <c r="F122" s="476" t="s">
        <v>1457</v>
      </c>
      <c r="G122" s="594"/>
      <c r="H122" s="66"/>
      <c r="I122" s="66"/>
      <c r="J122" s="66"/>
      <c r="K122" s="600"/>
      <c r="L122" s="601"/>
    </row>
    <row r="123" spans="1:12" customFormat="1" ht="15">
      <c r="A123" s="594"/>
      <c r="B123" s="473" t="s">
        <v>1150</v>
      </c>
      <c r="C123" s="66" t="s">
        <v>1166</v>
      </c>
      <c r="D123" s="66" t="s">
        <v>1257</v>
      </c>
      <c r="E123" s="66">
        <v>2002</v>
      </c>
      <c r="F123" s="476" t="s">
        <v>1458</v>
      </c>
      <c r="G123" s="594"/>
      <c r="H123" s="66"/>
      <c r="I123" s="66"/>
      <c r="J123" s="66"/>
      <c r="K123" s="600"/>
      <c r="L123" s="601"/>
    </row>
    <row r="124" spans="1:12" customFormat="1" ht="15">
      <c r="A124" s="594"/>
      <c r="B124" s="473" t="s">
        <v>1150</v>
      </c>
      <c r="C124" s="66" t="s">
        <v>1166</v>
      </c>
      <c r="D124" s="66" t="s">
        <v>1459</v>
      </c>
      <c r="E124" s="66">
        <v>1997</v>
      </c>
      <c r="F124" s="476" t="s">
        <v>1460</v>
      </c>
      <c r="G124" s="594"/>
      <c r="H124" s="66"/>
      <c r="I124" s="66"/>
      <c r="J124" s="66"/>
      <c r="K124" s="600"/>
      <c r="L124" s="601"/>
    </row>
    <row r="125" spans="1:12" customFormat="1" ht="15">
      <c r="A125" s="594"/>
      <c r="B125" s="473" t="s">
        <v>1150</v>
      </c>
      <c r="C125" s="66" t="s">
        <v>1151</v>
      </c>
      <c r="D125" s="66" t="s">
        <v>1461</v>
      </c>
      <c r="E125" s="66">
        <v>1999</v>
      </c>
      <c r="F125" s="476" t="s">
        <v>1462</v>
      </c>
      <c r="G125" s="594"/>
      <c r="H125" s="66"/>
      <c r="I125" s="66"/>
      <c r="J125" s="66"/>
      <c r="K125" s="600"/>
      <c r="L125" s="601"/>
    </row>
    <row r="126" spans="1:12" customFormat="1" ht="15">
      <c r="A126" s="595"/>
      <c r="B126" s="473" t="s">
        <v>1221</v>
      </c>
      <c r="C126" s="66" t="s">
        <v>1151</v>
      </c>
      <c r="D126" s="66" t="s">
        <v>1249</v>
      </c>
      <c r="E126" s="66">
        <v>1999</v>
      </c>
      <c r="F126" s="476" t="s">
        <v>1463</v>
      </c>
      <c r="G126" s="595"/>
      <c r="H126" s="66"/>
      <c r="I126" s="66"/>
      <c r="J126" s="66"/>
      <c r="K126" s="600"/>
      <c r="L126" s="601"/>
    </row>
    <row r="127" spans="1:12" customFormat="1" ht="15">
      <c r="A127" s="66">
        <v>67</v>
      </c>
      <c r="B127" s="473" t="s">
        <v>1150</v>
      </c>
      <c r="C127" s="66" t="s">
        <v>1166</v>
      </c>
      <c r="D127" s="66" t="s">
        <v>1288</v>
      </c>
      <c r="E127" s="66">
        <v>1998</v>
      </c>
      <c r="F127" s="476" t="s">
        <v>1464</v>
      </c>
      <c r="G127" s="66">
        <v>160</v>
      </c>
      <c r="H127" s="66"/>
      <c r="I127" s="66"/>
      <c r="J127" s="66"/>
      <c r="K127" s="502">
        <v>10001011347</v>
      </c>
      <c r="L127" s="66" t="s">
        <v>1465</v>
      </c>
    </row>
    <row r="128" spans="1:12" customFormat="1" ht="15">
      <c r="A128" s="66">
        <v>68</v>
      </c>
      <c r="B128" s="473" t="s">
        <v>1150</v>
      </c>
      <c r="C128" s="66" t="s">
        <v>1151</v>
      </c>
      <c r="D128" s="66" t="s">
        <v>1249</v>
      </c>
      <c r="E128" s="66">
        <v>2004</v>
      </c>
      <c r="F128" s="476" t="s">
        <v>1466</v>
      </c>
      <c r="G128" s="66">
        <v>160</v>
      </c>
      <c r="H128" s="66"/>
      <c r="I128" s="66"/>
      <c r="J128" s="66"/>
      <c r="K128" s="502" t="s">
        <v>1467</v>
      </c>
      <c r="L128" s="66" t="s">
        <v>1468</v>
      </c>
    </row>
    <row r="129" spans="1:12" customFormat="1" ht="15">
      <c r="A129" s="66">
        <v>69</v>
      </c>
      <c r="B129" s="473" t="s">
        <v>1150</v>
      </c>
      <c r="C129" s="66" t="s">
        <v>1166</v>
      </c>
      <c r="D129" s="66" t="s">
        <v>1191</v>
      </c>
      <c r="E129" s="66">
        <v>1996</v>
      </c>
      <c r="F129" s="476" t="s">
        <v>1469</v>
      </c>
      <c r="G129" s="66">
        <v>250</v>
      </c>
      <c r="H129" s="66"/>
      <c r="I129" s="66"/>
      <c r="J129" s="66"/>
      <c r="K129" s="502">
        <v>15001002930</v>
      </c>
      <c r="L129" s="66" t="s">
        <v>1470</v>
      </c>
    </row>
    <row r="130" spans="1:12" customFormat="1" ht="15">
      <c r="A130" s="66">
        <v>70</v>
      </c>
      <c r="B130" s="473" t="s">
        <v>1150</v>
      </c>
      <c r="C130" s="66" t="s">
        <v>1151</v>
      </c>
      <c r="D130" s="66" t="s">
        <v>1461</v>
      </c>
      <c r="E130" s="66">
        <v>1995</v>
      </c>
      <c r="F130" s="476" t="s">
        <v>1471</v>
      </c>
      <c r="G130" s="66">
        <v>175</v>
      </c>
      <c r="H130" s="66">
        <v>22001017210</v>
      </c>
      <c r="I130" s="66" t="s">
        <v>1472</v>
      </c>
      <c r="J130" s="66" t="s">
        <v>1473</v>
      </c>
      <c r="K130" s="502"/>
      <c r="L130" s="66"/>
    </row>
    <row r="131" spans="1:12" customFormat="1" ht="30">
      <c r="A131" s="593">
        <v>71</v>
      </c>
      <c r="B131" s="473" t="s">
        <v>1150</v>
      </c>
      <c r="C131" s="66" t="s">
        <v>1474</v>
      </c>
      <c r="D131" s="66" t="s">
        <v>1475</v>
      </c>
      <c r="E131" s="66">
        <v>2010</v>
      </c>
      <c r="F131" s="476" t="s">
        <v>1476</v>
      </c>
      <c r="G131" s="593">
        <v>1800</v>
      </c>
      <c r="H131" s="66"/>
      <c r="I131" s="66"/>
      <c r="J131" s="66"/>
      <c r="K131" s="597">
        <v>419997249</v>
      </c>
      <c r="L131" s="593" t="s">
        <v>1477</v>
      </c>
    </row>
    <row r="132" spans="1:12" customFormat="1" ht="30">
      <c r="A132" s="594"/>
      <c r="B132" s="473" t="s">
        <v>1150</v>
      </c>
      <c r="C132" s="66" t="s">
        <v>1474</v>
      </c>
      <c r="D132" s="66" t="s">
        <v>1475</v>
      </c>
      <c r="E132" s="66">
        <v>2013</v>
      </c>
      <c r="F132" s="476" t="s">
        <v>1478</v>
      </c>
      <c r="G132" s="594"/>
      <c r="H132" s="66"/>
      <c r="I132" s="66"/>
      <c r="J132" s="66"/>
      <c r="K132" s="598"/>
      <c r="L132" s="594"/>
    </row>
    <row r="133" spans="1:12" customFormat="1" ht="30">
      <c r="A133" s="595"/>
      <c r="B133" s="473" t="s">
        <v>1150</v>
      </c>
      <c r="C133" s="66" t="s">
        <v>1474</v>
      </c>
      <c r="D133" s="66" t="s">
        <v>1475</v>
      </c>
      <c r="E133" s="66">
        <v>2013</v>
      </c>
      <c r="F133" s="476" t="s">
        <v>1479</v>
      </c>
      <c r="G133" s="595"/>
      <c r="H133" s="66"/>
      <c r="I133" s="66"/>
      <c r="J133" s="66"/>
      <c r="K133" s="599"/>
      <c r="L133" s="595"/>
    </row>
    <row r="134" spans="1:12" customFormat="1" ht="15">
      <c r="A134" s="66">
        <v>72</v>
      </c>
      <c r="B134" s="473" t="s">
        <v>1150</v>
      </c>
      <c r="C134" s="66" t="s">
        <v>1364</v>
      </c>
      <c r="D134" s="66" t="s">
        <v>1480</v>
      </c>
      <c r="E134" s="66">
        <v>1991</v>
      </c>
      <c r="F134" s="476" t="s">
        <v>1481</v>
      </c>
      <c r="G134" s="66">
        <v>1250</v>
      </c>
      <c r="H134" s="66"/>
      <c r="I134" s="66"/>
      <c r="J134" s="66"/>
      <c r="K134" s="502">
        <v>220397693</v>
      </c>
      <c r="L134" s="66" t="s">
        <v>1482</v>
      </c>
    </row>
    <row r="135" spans="1:12" customFormat="1" ht="15">
      <c r="A135" s="66">
        <v>73</v>
      </c>
      <c r="B135" s="473" t="s">
        <v>1150</v>
      </c>
      <c r="C135" s="66" t="s">
        <v>1347</v>
      </c>
      <c r="D135" s="66" t="s">
        <v>1227</v>
      </c>
      <c r="E135" s="66">
        <v>2001</v>
      </c>
      <c r="F135" s="476" t="s">
        <v>1483</v>
      </c>
      <c r="G135" s="66">
        <v>437</v>
      </c>
      <c r="H135" s="66"/>
      <c r="I135" s="66"/>
      <c r="J135" s="66"/>
      <c r="K135" s="502">
        <v>48001000528</v>
      </c>
      <c r="L135" s="66" t="s">
        <v>1484</v>
      </c>
    </row>
    <row r="136" spans="1:12" customFormat="1" ht="15">
      <c r="A136" s="66">
        <v>74</v>
      </c>
      <c r="B136" s="473" t="s">
        <v>1150</v>
      </c>
      <c r="C136" s="66" t="s">
        <v>1196</v>
      </c>
      <c r="D136" s="66" t="s">
        <v>1485</v>
      </c>
      <c r="E136" s="66">
        <v>2004</v>
      </c>
      <c r="F136" s="476" t="s">
        <v>1486</v>
      </c>
      <c r="G136" s="66">
        <v>437</v>
      </c>
      <c r="H136" s="66"/>
      <c r="I136" s="66"/>
      <c r="J136" s="66"/>
      <c r="K136" s="502">
        <v>62004020693</v>
      </c>
      <c r="L136" s="66" t="s">
        <v>1487</v>
      </c>
    </row>
    <row r="137" spans="1:12" customFormat="1" ht="15">
      <c r="A137" s="66">
        <v>75</v>
      </c>
      <c r="B137" s="473" t="s">
        <v>1150</v>
      </c>
      <c r="C137" s="66" t="s">
        <v>1166</v>
      </c>
      <c r="D137" s="66" t="s">
        <v>1430</v>
      </c>
      <c r="E137" s="66">
        <v>2005</v>
      </c>
      <c r="F137" s="476" t="s">
        <v>1488</v>
      </c>
      <c r="G137" s="66">
        <v>400</v>
      </c>
      <c r="H137" s="66"/>
      <c r="I137" s="66"/>
      <c r="J137" s="66"/>
      <c r="K137" s="502">
        <v>39001014417</v>
      </c>
      <c r="L137" s="66" t="s">
        <v>1489</v>
      </c>
    </row>
    <row r="138" spans="1:12" customFormat="1" ht="15">
      <c r="A138" s="66">
        <v>76</v>
      </c>
      <c r="B138" s="473" t="s">
        <v>1150</v>
      </c>
      <c r="C138" s="66" t="s">
        <v>1166</v>
      </c>
      <c r="D138" s="66" t="s">
        <v>1184</v>
      </c>
      <c r="E138" s="66">
        <v>1999</v>
      </c>
      <c r="F138" s="476" t="s">
        <v>1490</v>
      </c>
      <c r="G138" s="66">
        <v>400</v>
      </c>
      <c r="H138" s="66"/>
      <c r="I138" s="66"/>
      <c r="J138" s="66"/>
      <c r="K138" s="502" t="s">
        <v>1491</v>
      </c>
      <c r="L138" s="66" t="s">
        <v>1492</v>
      </c>
    </row>
    <row r="139" spans="1:12" customFormat="1" ht="15">
      <c r="A139" s="66">
        <v>77</v>
      </c>
      <c r="B139" s="473" t="s">
        <v>1150</v>
      </c>
      <c r="C139" s="66" t="s">
        <v>1162</v>
      </c>
      <c r="D139" s="66" t="s">
        <v>1493</v>
      </c>
      <c r="E139" s="66">
        <v>1996</v>
      </c>
      <c r="F139" s="476" t="s">
        <v>1494</v>
      </c>
      <c r="G139" s="66">
        <v>1100</v>
      </c>
      <c r="H139" s="66"/>
      <c r="I139" s="66"/>
      <c r="J139" s="66"/>
      <c r="K139" s="502">
        <v>19001006506</v>
      </c>
      <c r="L139" s="66" t="s">
        <v>1495</v>
      </c>
    </row>
    <row r="140" spans="1:12" customFormat="1" ht="15">
      <c r="A140" s="66">
        <v>78</v>
      </c>
      <c r="B140" s="473" t="s">
        <v>1150</v>
      </c>
      <c r="C140" s="66" t="s">
        <v>1402</v>
      </c>
      <c r="D140" s="66" t="s">
        <v>1496</v>
      </c>
      <c r="E140" s="66">
        <v>1993</v>
      </c>
      <c r="F140" s="476" t="s">
        <v>1497</v>
      </c>
      <c r="G140" s="66">
        <v>1100</v>
      </c>
      <c r="H140" s="66"/>
      <c r="I140" s="66"/>
      <c r="J140" s="66"/>
      <c r="K140" s="502">
        <v>19001052973</v>
      </c>
      <c r="L140" s="66" t="s">
        <v>1498</v>
      </c>
    </row>
    <row r="141" spans="1:12" customFormat="1" ht="15">
      <c r="A141" s="66">
        <v>79</v>
      </c>
      <c r="B141" s="473" t="s">
        <v>1150</v>
      </c>
      <c r="C141" s="66" t="s">
        <v>1166</v>
      </c>
      <c r="D141" s="66" t="s">
        <v>1386</v>
      </c>
      <c r="E141" s="66">
        <v>1997</v>
      </c>
      <c r="F141" s="476" t="s">
        <v>1499</v>
      </c>
      <c r="G141" s="66">
        <v>437</v>
      </c>
      <c r="H141" s="66"/>
      <c r="I141" s="66"/>
      <c r="J141" s="66"/>
      <c r="K141" s="502">
        <v>29001025166</v>
      </c>
      <c r="L141" s="66" t="s">
        <v>1500</v>
      </c>
    </row>
    <row r="142" spans="1:12" customFormat="1" ht="15">
      <c r="A142" s="66">
        <v>80</v>
      </c>
      <c r="B142" s="473" t="s">
        <v>1150</v>
      </c>
      <c r="C142" s="66" t="s">
        <v>1166</v>
      </c>
      <c r="D142" s="66" t="s">
        <v>1184</v>
      </c>
      <c r="E142" s="66">
        <v>1996</v>
      </c>
      <c r="F142" s="476" t="s">
        <v>1501</v>
      </c>
      <c r="G142" s="66">
        <v>437</v>
      </c>
      <c r="H142" s="66"/>
      <c r="I142" s="66"/>
      <c r="J142" s="66"/>
      <c r="K142" s="502">
        <v>29001017806</v>
      </c>
      <c r="L142" s="66" t="s">
        <v>1502</v>
      </c>
    </row>
    <row r="143" spans="1:12" customFormat="1" ht="15">
      <c r="A143" s="66">
        <v>81</v>
      </c>
      <c r="B143" s="473" t="s">
        <v>1150</v>
      </c>
      <c r="C143" s="66" t="s">
        <v>1166</v>
      </c>
      <c r="D143" s="66" t="s">
        <v>1430</v>
      </c>
      <c r="E143" s="66">
        <v>2008</v>
      </c>
      <c r="F143" s="476" t="s">
        <v>1503</v>
      </c>
      <c r="G143" s="66">
        <v>350</v>
      </c>
      <c r="H143" s="502" t="s">
        <v>1504</v>
      </c>
      <c r="I143" s="66" t="s">
        <v>1505</v>
      </c>
      <c r="J143" s="66" t="s">
        <v>1506</v>
      </c>
      <c r="K143" s="502"/>
      <c r="L143" s="66"/>
    </row>
    <row r="144" spans="1:12" customFormat="1" ht="15">
      <c r="A144" s="66">
        <v>82</v>
      </c>
      <c r="B144" s="473" t="s">
        <v>1150</v>
      </c>
      <c r="C144" s="66" t="s">
        <v>1166</v>
      </c>
      <c r="D144" s="66" t="s">
        <v>1288</v>
      </c>
      <c r="E144" s="66">
        <v>1996</v>
      </c>
      <c r="F144" s="476" t="s">
        <v>1507</v>
      </c>
      <c r="G144" s="66">
        <v>350</v>
      </c>
      <c r="H144" s="502" t="s">
        <v>1508</v>
      </c>
      <c r="I144" s="66" t="s">
        <v>1509</v>
      </c>
      <c r="J144" s="66" t="s">
        <v>1510</v>
      </c>
      <c r="K144" s="502"/>
      <c r="L144" s="66"/>
    </row>
    <row r="145" spans="1:12" customFormat="1" ht="15">
      <c r="A145" s="66">
        <v>83</v>
      </c>
      <c r="B145" s="473" t="s">
        <v>1150</v>
      </c>
      <c r="C145" s="66" t="s">
        <v>1166</v>
      </c>
      <c r="D145" s="66" t="s">
        <v>1227</v>
      </c>
      <c r="E145" s="66">
        <v>2001</v>
      </c>
      <c r="F145" s="476" t="s">
        <v>1511</v>
      </c>
      <c r="G145" s="66">
        <v>350</v>
      </c>
      <c r="H145" s="66"/>
      <c r="I145" s="66"/>
      <c r="J145" s="66"/>
      <c r="K145" s="502">
        <v>62007008110</v>
      </c>
      <c r="L145" s="66" t="s">
        <v>1512</v>
      </c>
    </row>
    <row r="146" spans="1:12" customFormat="1" ht="15">
      <c r="A146" s="66">
        <v>84</v>
      </c>
      <c r="B146" s="473" t="s">
        <v>1150</v>
      </c>
      <c r="C146" s="66" t="s">
        <v>1196</v>
      </c>
      <c r="D146" s="66" t="s">
        <v>1197</v>
      </c>
      <c r="E146" s="66">
        <v>2005</v>
      </c>
      <c r="F146" s="476" t="s">
        <v>1513</v>
      </c>
      <c r="G146" s="66">
        <v>350</v>
      </c>
      <c r="H146" s="66"/>
      <c r="I146" s="66"/>
      <c r="J146" s="66"/>
      <c r="K146" s="502">
        <v>62006019310</v>
      </c>
      <c r="L146" s="66" t="s">
        <v>1514</v>
      </c>
    </row>
    <row r="147" spans="1:12" customFormat="1" ht="15">
      <c r="A147" s="66">
        <v>85</v>
      </c>
      <c r="B147" s="473" t="s">
        <v>1150</v>
      </c>
      <c r="C147" s="66" t="s">
        <v>1364</v>
      </c>
      <c r="D147" s="66" t="s">
        <v>1515</v>
      </c>
      <c r="E147" s="66">
        <v>1992</v>
      </c>
      <c r="F147" s="476" t="s">
        <v>1516</v>
      </c>
      <c r="G147" s="66">
        <v>1100</v>
      </c>
      <c r="H147" s="66"/>
      <c r="I147" s="66"/>
      <c r="J147" s="66"/>
      <c r="K147" s="502" t="s">
        <v>1517</v>
      </c>
      <c r="L147" s="66" t="s">
        <v>1518</v>
      </c>
    </row>
    <row r="148" spans="1:12" customFormat="1" ht="15">
      <c r="A148" s="66">
        <v>86</v>
      </c>
      <c r="B148" s="473" t="s">
        <v>1150</v>
      </c>
      <c r="C148" s="66" t="s">
        <v>1364</v>
      </c>
      <c r="D148" s="66" t="s">
        <v>1519</v>
      </c>
      <c r="E148" s="66">
        <v>1991</v>
      </c>
      <c r="F148" s="476" t="s">
        <v>1520</v>
      </c>
      <c r="G148" s="66">
        <v>1100</v>
      </c>
      <c r="H148" s="66"/>
      <c r="I148" s="66"/>
      <c r="J148" s="66"/>
      <c r="K148" s="502">
        <v>42001001971</v>
      </c>
      <c r="L148" s="66" t="s">
        <v>1521</v>
      </c>
    </row>
    <row r="149" spans="1:12" customFormat="1" ht="45">
      <c r="A149" s="66">
        <v>87</v>
      </c>
      <c r="B149" s="473" t="s">
        <v>1150</v>
      </c>
      <c r="C149" s="66" t="s">
        <v>1151</v>
      </c>
      <c r="D149" s="66" t="s">
        <v>1522</v>
      </c>
      <c r="E149" s="66">
        <v>2011</v>
      </c>
      <c r="F149" s="476" t="s">
        <v>1523</v>
      </c>
      <c r="G149" s="66">
        <v>600</v>
      </c>
      <c r="H149" s="66"/>
      <c r="I149" s="66"/>
      <c r="J149" s="66"/>
      <c r="K149" s="502" t="s">
        <v>1524</v>
      </c>
      <c r="L149" s="66" t="s">
        <v>1525</v>
      </c>
    </row>
    <row r="150" spans="1:12" customFormat="1" ht="15">
      <c r="A150" s="66"/>
      <c r="B150" s="443"/>
      <c r="C150" s="444"/>
      <c r="D150" s="445"/>
      <c r="E150" s="446"/>
      <c r="F150" s="447"/>
      <c r="G150" s="25"/>
      <c r="H150" s="25"/>
      <c r="I150" s="219"/>
      <c r="J150" s="219"/>
      <c r="K150" s="25"/>
      <c r="L150" s="25"/>
    </row>
    <row r="151" spans="1:12" customFormat="1" ht="15">
      <c r="A151" s="66" t="s">
        <v>268</v>
      </c>
      <c r="B151" s="66"/>
      <c r="C151" s="25"/>
      <c r="D151" s="25"/>
      <c r="E151" s="25"/>
      <c r="F151" s="25"/>
      <c r="G151" s="25"/>
      <c r="H151" s="25"/>
      <c r="I151" s="219"/>
      <c r="J151" s="219"/>
      <c r="K151" s="219"/>
      <c r="L151" s="25"/>
    </row>
    <row r="152" spans="1:12">
      <c r="A152" s="224"/>
      <c r="B152" s="224"/>
      <c r="C152" s="224"/>
      <c r="D152" s="224"/>
      <c r="E152" s="224"/>
      <c r="F152" s="224"/>
      <c r="G152" s="224"/>
      <c r="H152" s="224"/>
      <c r="I152" s="224"/>
      <c r="J152" s="224"/>
      <c r="K152" s="224"/>
      <c r="L152" s="224"/>
    </row>
    <row r="153" spans="1:12">
      <c r="A153" s="224"/>
      <c r="B153" s="224"/>
      <c r="C153" s="224"/>
      <c r="D153" s="224"/>
      <c r="E153" s="224"/>
      <c r="F153" s="224"/>
      <c r="G153" s="224"/>
      <c r="H153" s="224"/>
      <c r="I153" s="224"/>
      <c r="J153" s="224"/>
      <c r="K153" s="224"/>
      <c r="L153" s="224"/>
    </row>
    <row r="154" spans="1:12">
      <c r="A154" s="225"/>
      <c r="B154" s="225"/>
      <c r="C154" s="224"/>
      <c r="D154" s="224"/>
      <c r="E154" s="224"/>
      <c r="F154" s="224"/>
      <c r="G154" s="224"/>
      <c r="H154" s="224"/>
      <c r="I154" s="224"/>
      <c r="J154" s="224"/>
      <c r="K154" s="224"/>
      <c r="L154" s="224"/>
    </row>
    <row r="155" spans="1:12" ht="15">
      <c r="A155" s="183"/>
      <c r="B155" s="183"/>
      <c r="C155" s="185" t="s">
        <v>96</v>
      </c>
      <c r="D155" s="183"/>
      <c r="E155" s="183"/>
      <c r="F155" s="186"/>
      <c r="G155" s="183"/>
      <c r="H155" s="183"/>
      <c r="I155" s="183"/>
      <c r="J155" s="183"/>
      <c r="K155" s="183"/>
      <c r="L155" s="183"/>
    </row>
    <row r="156" spans="1:12" ht="15">
      <c r="A156" s="183"/>
      <c r="B156" s="183"/>
      <c r="C156" s="183"/>
      <c r="D156" s="187"/>
      <c r="E156" s="183"/>
      <c r="G156" s="187"/>
      <c r="H156" s="230"/>
    </row>
    <row r="157" spans="1:12" ht="15">
      <c r="C157" s="183"/>
      <c r="D157" s="189" t="s">
        <v>257</v>
      </c>
      <c r="E157" s="183"/>
      <c r="G157" s="190" t="s">
        <v>262</v>
      </c>
    </row>
    <row r="158" spans="1:12" ht="15">
      <c r="C158" s="183"/>
      <c r="D158" s="191" t="s">
        <v>128</v>
      </c>
      <c r="E158" s="183"/>
      <c r="G158" s="183" t="s">
        <v>258</v>
      </c>
    </row>
    <row r="159" spans="1:12" ht="15">
      <c r="C159" s="183"/>
      <c r="D159" s="191"/>
    </row>
  </sheetData>
  <mergeCells count="61">
    <mergeCell ref="A131:A133"/>
    <mergeCell ref="G131:G133"/>
    <mergeCell ref="K131:K133"/>
    <mergeCell ref="L131:L133"/>
    <mergeCell ref="A10:A13"/>
    <mergeCell ref="G10:G13"/>
    <mergeCell ref="I10:I13"/>
    <mergeCell ref="J10:J13"/>
    <mergeCell ref="K10:K13"/>
    <mergeCell ref="L10:L13"/>
    <mergeCell ref="A107:A116"/>
    <mergeCell ref="G107:G116"/>
    <mergeCell ref="K107:K116"/>
    <mergeCell ref="L107:L116"/>
    <mergeCell ref="A117:A126"/>
    <mergeCell ref="G117:G126"/>
    <mergeCell ref="K117:K126"/>
    <mergeCell ref="L117:L126"/>
    <mergeCell ref="A89:A92"/>
    <mergeCell ref="G89:G92"/>
    <mergeCell ref="K89:K92"/>
    <mergeCell ref="L89:L92"/>
    <mergeCell ref="A102:A105"/>
    <mergeCell ref="G102:G105"/>
    <mergeCell ref="K102:K105"/>
    <mergeCell ref="L102:L105"/>
    <mergeCell ref="A70:A72"/>
    <mergeCell ref="G70:G72"/>
    <mergeCell ref="K70:K72"/>
    <mergeCell ref="L70:L72"/>
    <mergeCell ref="A76:A82"/>
    <mergeCell ref="G76:G82"/>
    <mergeCell ref="K76:K82"/>
    <mergeCell ref="L76:L82"/>
    <mergeCell ref="A51:A54"/>
    <mergeCell ref="G51:G54"/>
    <mergeCell ref="K51:K54"/>
    <mergeCell ref="L51:L54"/>
    <mergeCell ref="A66:A67"/>
    <mergeCell ref="G66:G67"/>
    <mergeCell ref="K66:K67"/>
    <mergeCell ref="L66:L67"/>
    <mergeCell ref="A22:A25"/>
    <mergeCell ref="G22:G25"/>
    <mergeCell ref="K22:K25"/>
    <mergeCell ref="L22:L25"/>
    <mergeCell ref="A36:A40"/>
    <mergeCell ref="G36:G40"/>
    <mergeCell ref="K36:K40"/>
    <mergeCell ref="L36:L40"/>
    <mergeCell ref="L2:M2"/>
    <mergeCell ref="L14:L17"/>
    <mergeCell ref="A18:A21"/>
    <mergeCell ref="G18:G21"/>
    <mergeCell ref="K18:K21"/>
    <mergeCell ref="L18:L21"/>
    <mergeCell ref="A14:A17"/>
    <mergeCell ref="G14:G17"/>
    <mergeCell ref="I14:I17"/>
    <mergeCell ref="J14:J17"/>
    <mergeCell ref="K14:K17"/>
  </mergeCells>
  <pageMargins left="0.27" right="0.2" top="0.75" bottom="0.75" header="0.3" footer="0.3"/>
  <pageSetup scale="5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I2" sqref="I2:J2"/>
    </sheetView>
  </sheetViews>
  <sheetFormatPr defaultRowHeight="12.75"/>
  <cols>
    <col min="1" max="1" width="11.7109375" style="184" customWidth="1"/>
    <col min="2" max="2" width="21.5703125" style="184" customWidth="1"/>
    <col min="3" max="3" width="19.140625" style="184" customWidth="1"/>
    <col min="4" max="4" width="23.7109375" style="184" customWidth="1"/>
    <col min="5" max="6" width="16.5703125" style="184" bestFit="1" customWidth="1"/>
    <col min="7" max="7" width="17" style="184" customWidth="1"/>
    <col min="8" max="8" width="19" style="184" customWidth="1"/>
    <col min="9" max="9" width="24.42578125" style="184" customWidth="1"/>
    <col min="10" max="16384" width="9.140625" style="184"/>
  </cols>
  <sheetData>
    <row r="1" spans="1:13" customFormat="1" ht="15">
      <c r="A1" s="135" t="s">
        <v>427</v>
      </c>
      <c r="B1" s="136"/>
      <c r="C1" s="136"/>
      <c r="D1" s="136"/>
      <c r="E1" s="136"/>
      <c r="F1" s="136"/>
      <c r="G1" s="136"/>
      <c r="H1" s="142"/>
      <c r="I1" s="77" t="s">
        <v>98</v>
      </c>
    </row>
    <row r="2" spans="1:13" customFormat="1" ht="15">
      <c r="A2" s="105" t="s">
        <v>129</v>
      </c>
      <c r="B2" s="136"/>
      <c r="C2" s="136"/>
      <c r="D2" s="136"/>
      <c r="E2" s="136"/>
      <c r="F2" s="136"/>
      <c r="G2" s="136"/>
      <c r="H2" s="142"/>
      <c r="I2" s="587" t="s">
        <v>943</v>
      </c>
      <c r="J2" s="588"/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84"/>
    </row>
    <row r="4" spans="1:13" customFormat="1" ht="15">
      <c r="A4" s="75" t="str">
        <f>'ფორმა N2'!A4</f>
        <v>ანგარიშვალდებული პირის დასახელება:</v>
      </c>
      <c r="B4" s="75"/>
      <c r="C4" s="75"/>
      <c r="D4" s="136"/>
      <c r="E4" s="136"/>
      <c r="F4" s="136"/>
      <c r="G4" s="136"/>
      <c r="H4" s="136"/>
      <c r="I4" s="145"/>
    </row>
    <row r="5" spans="1:13" ht="15">
      <c r="A5" s="110" t="s">
        <v>654</v>
      </c>
      <c r="B5" s="79"/>
      <c r="C5" s="79"/>
      <c r="D5" s="223"/>
      <c r="E5" s="223"/>
      <c r="F5" s="223"/>
      <c r="G5" s="223"/>
      <c r="H5" s="223"/>
      <c r="I5" s="222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60">
      <c r="A7" s="148" t="s">
        <v>64</v>
      </c>
      <c r="B7" s="134" t="s">
        <v>368</v>
      </c>
      <c r="C7" s="134" t="s">
        <v>369</v>
      </c>
      <c r="D7" s="134" t="s">
        <v>374</v>
      </c>
      <c r="E7" s="134" t="s">
        <v>376</v>
      </c>
      <c r="F7" s="134" t="s">
        <v>370</v>
      </c>
      <c r="G7" s="134" t="s">
        <v>371</v>
      </c>
      <c r="H7" s="134" t="s">
        <v>383</v>
      </c>
      <c r="I7" s="134" t="s">
        <v>372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6">
        <v>1</v>
      </c>
      <c r="B9" s="25"/>
      <c r="C9" s="25"/>
      <c r="D9" s="25"/>
      <c r="E9" s="25"/>
      <c r="F9" s="219"/>
      <c r="G9" s="219"/>
      <c r="H9" s="219"/>
      <c r="I9" s="25"/>
    </row>
    <row r="10" spans="1:13" customFormat="1" ht="15">
      <c r="A10" s="66">
        <v>2</v>
      </c>
      <c r="B10" s="25"/>
      <c r="C10" s="25"/>
      <c r="D10" s="25"/>
      <c r="E10" s="25"/>
      <c r="F10" s="219"/>
      <c r="G10" s="219"/>
      <c r="H10" s="219"/>
      <c r="I10" s="25"/>
    </row>
    <row r="11" spans="1:13" customFormat="1" ht="15">
      <c r="A11" s="66">
        <v>3</v>
      </c>
      <c r="B11" s="25"/>
      <c r="C11" s="25"/>
      <c r="D11" s="25"/>
      <c r="E11" s="25"/>
      <c r="F11" s="219"/>
      <c r="G11" s="219"/>
      <c r="H11" s="219"/>
      <c r="I11" s="25"/>
    </row>
    <row r="12" spans="1:13" customFormat="1" ht="15">
      <c r="A12" s="66">
        <v>4</v>
      </c>
      <c r="B12" s="25"/>
      <c r="C12" s="25"/>
      <c r="D12" s="25"/>
      <c r="E12" s="25"/>
      <c r="F12" s="219"/>
      <c r="G12" s="219"/>
      <c r="H12" s="219"/>
      <c r="I12" s="25"/>
    </row>
    <row r="13" spans="1:13" customFormat="1" ht="15">
      <c r="A13" s="66">
        <v>5</v>
      </c>
      <c r="B13" s="25"/>
      <c r="C13" s="25"/>
      <c r="D13" s="25"/>
      <c r="E13" s="25"/>
      <c r="F13" s="219"/>
      <c r="G13" s="219"/>
      <c r="H13" s="219"/>
      <c r="I13" s="25"/>
    </row>
    <row r="14" spans="1:13" customFormat="1" ht="15">
      <c r="A14" s="66">
        <v>6</v>
      </c>
      <c r="B14" s="25"/>
      <c r="C14" s="25"/>
      <c r="D14" s="25"/>
      <c r="E14" s="25"/>
      <c r="F14" s="219"/>
      <c r="G14" s="219"/>
      <c r="H14" s="219"/>
      <c r="I14" s="25"/>
    </row>
    <row r="15" spans="1:13" customFormat="1" ht="15">
      <c r="A15" s="66">
        <v>7</v>
      </c>
      <c r="B15" s="25"/>
      <c r="C15" s="25"/>
      <c r="D15" s="25"/>
      <c r="E15" s="25"/>
      <c r="F15" s="219"/>
      <c r="G15" s="219"/>
      <c r="H15" s="219"/>
      <c r="I15" s="25"/>
    </row>
    <row r="16" spans="1:13" customFormat="1" ht="15">
      <c r="A16" s="66">
        <v>8</v>
      </c>
      <c r="B16" s="25"/>
      <c r="C16" s="25"/>
      <c r="D16" s="25"/>
      <c r="E16" s="25"/>
      <c r="F16" s="219"/>
      <c r="G16" s="219"/>
      <c r="H16" s="219"/>
      <c r="I16" s="25"/>
    </row>
    <row r="17" spans="1:9" customFormat="1" ht="15">
      <c r="A17" s="66">
        <v>9</v>
      </c>
      <c r="B17" s="25"/>
      <c r="C17" s="25"/>
      <c r="D17" s="25"/>
      <c r="E17" s="25"/>
      <c r="F17" s="219"/>
      <c r="G17" s="219"/>
      <c r="H17" s="219"/>
      <c r="I17" s="25"/>
    </row>
    <row r="18" spans="1:9" customFormat="1" ht="15">
      <c r="A18" s="66">
        <v>10</v>
      </c>
      <c r="B18" s="25"/>
      <c r="C18" s="25"/>
      <c r="D18" s="25"/>
      <c r="E18" s="25"/>
      <c r="F18" s="219"/>
      <c r="G18" s="219"/>
      <c r="H18" s="219"/>
      <c r="I18" s="25"/>
    </row>
    <row r="19" spans="1:9" customFormat="1" ht="15">
      <c r="A19" s="66">
        <v>11</v>
      </c>
      <c r="B19" s="25"/>
      <c r="C19" s="25"/>
      <c r="D19" s="25"/>
      <c r="E19" s="25"/>
      <c r="F19" s="219"/>
      <c r="G19" s="219"/>
      <c r="H19" s="219"/>
      <c r="I19" s="25"/>
    </row>
    <row r="20" spans="1:9" customFormat="1" ht="15">
      <c r="A20" s="66">
        <v>12</v>
      </c>
      <c r="B20" s="25"/>
      <c r="C20" s="25"/>
      <c r="D20" s="25"/>
      <c r="E20" s="25"/>
      <c r="F20" s="219"/>
      <c r="G20" s="219"/>
      <c r="H20" s="219"/>
      <c r="I20" s="25"/>
    </row>
    <row r="21" spans="1:9" customFormat="1" ht="15">
      <c r="A21" s="66">
        <v>13</v>
      </c>
      <c r="B21" s="25"/>
      <c r="C21" s="25"/>
      <c r="D21" s="25"/>
      <c r="E21" s="25"/>
      <c r="F21" s="219"/>
      <c r="G21" s="219"/>
      <c r="H21" s="219"/>
      <c r="I21" s="25"/>
    </row>
    <row r="22" spans="1:9" customFormat="1" ht="15">
      <c r="A22" s="66">
        <v>14</v>
      </c>
      <c r="B22" s="25"/>
      <c r="C22" s="25"/>
      <c r="D22" s="25"/>
      <c r="E22" s="25"/>
      <c r="F22" s="219"/>
      <c r="G22" s="219"/>
      <c r="H22" s="219"/>
      <c r="I22" s="25"/>
    </row>
    <row r="23" spans="1:9" customFormat="1" ht="15">
      <c r="A23" s="66">
        <v>15</v>
      </c>
      <c r="B23" s="25"/>
      <c r="C23" s="25"/>
      <c r="D23" s="25"/>
      <c r="E23" s="25"/>
      <c r="F23" s="219"/>
      <c r="G23" s="219"/>
      <c r="H23" s="219"/>
      <c r="I23" s="25"/>
    </row>
    <row r="24" spans="1:9" customFormat="1" ht="15">
      <c r="A24" s="66">
        <v>16</v>
      </c>
      <c r="B24" s="25"/>
      <c r="C24" s="25"/>
      <c r="D24" s="25"/>
      <c r="E24" s="25"/>
      <c r="F24" s="219"/>
      <c r="G24" s="219"/>
      <c r="H24" s="219"/>
      <c r="I24" s="25"/>
    </row>
    <row r="25" spans="1:9" customFormat="1" ht="15">
      <c r="A25" s="66">
        <v>17</v>
      </c>
      <c r="B25" s="25"/>
      <c r="C25" s="25"/>
      <c r="D25" s="25"/>
      <c r="E25" s="25"/>
      <c r="F25" s="219"/>
      <c r="G25" s="219"/>
      <c r="H25" s="219"/>
      <c r="I25" s="25"/>
    </row>
    <row r="26" spans="1:9" customFormat="1" ht="15">
      <c r="A26" s="66">
        <v>18</v>
      </c>
      <c r="B26" s="25"/>
      <c r="C26" s="25"/>
      <c r="D26" s="25"/>
      <c r="E26" s="25"/>
      <c r="F26" s="219"/>
      <c r="G26" s="219"/>
      <c r="H26" s="219"/>
      <c r="I26" s="25"/>
    </row>
    <row r="27" spans="1:9" customFormat="1" ht="15">
      <c r="A27" s="66" t="s">
        <v>268</v>
      </c>
      <c r="B27" s="25"/>
      <c r="C27" s="25"/>
      <c r="D27" s="25"/>
      <c r="E27" s="25"/>
      <c r="F27" s="219"/>
      <c r="G27" s="219"/>
      <c r="H27" s="219"/>
      <c r="I27" s="25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3"/>
      <c r="B31" s="185" t="s">
        <v>96</v>
      </c>
      <c r="C31" s="183"/>
      <c r="D31" s="183"/>
      <c r="E31" s="186"/>
      <c r="F31" s="183"/>
      <c r="G31" s="183"/>
      <c r="H31" s="183"/>
      <c r="I31" s="183"/>
    </row>
    <row r="32" spans="1:9" ht="15">
      <c r="A32" s="183"/>
      <c r="B32" s="183"/>
      <c r="C32" s="187"/>
      <c r="D32" s="183"/>
      <c r="F32" s="187"/>
      <c r="G32" s="230"/>
    </row>
    <row r="33" spans="2:6" ht="15">
      <c r="B33" s="183"/>
      <c r="C33" s="189" t="s">
        <v>257</v>
      </c>
      <c r="D33" s="183"/>
      <c r="F33" s="190" t="s">
        <v>262</v>
      </c>
    </row>
    <row r="34" spans="2:6" ht="15">
      <c r="B34" s="183"/>
      <c r="C34" s="191" t="s">
        <v>128</v>
      </c>
      <c r="D34" s="183"/>
      <c r="F34" s="183" t="s">
        <v>258</v>
      </c>
    </row>
    <row r="35" spans="2:6" ht="15">
      <c r="B35" s="183"/>
      <c r="C35" s="191"/>
    </row>
  </sheetData>
  <mergeCells count="1">
    <mergeCell ref="I2:J2"/>
  </mergeCells>
  <pageMargins left="0.7" right="0.7" top="0.75" bottom="0.75" header="0.3" footer="0.3"/>
  <pageSetup scale="73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5"/>
  <sheetViews>
    <sheetView view="pageBreakPreview" topLeftCell="A121" zoomScale="70" zoomScaleSheetLayoutView="70" workbookViewId="0">
      <selection activeCell="C143" sqref="C143"/>
    </sheetView>
  </sheetViews>
  <sheetFormatPr defaultRowHeight="15"/>
  <cols>
    <col min="1" max="1" width="10" style="26" customWidth="1"/>
    <col min="2" max="2" width="20.28515625" style="26" customWidth="1"/>
    <col min="3" max="3" width="30" style="26" customWidth="1"/>
    <col min="4" max="4" width="29" style="26" customWidth="1"/>
    <col min="5" max="5" width="22.5703125" style="26" customWidth="1"/>
    <col min="6" max="6" width="20" style="26" customWidth="1"/>
    <col min="7" max="7" width="29.28515625" style="26" customWidth="1"/>
    <col min="8" max="8" width="27.140625" style="26" customWidth="1"/>
    <col min="9" max="9" width="26.42578125" style="26" customWidth="1"/>
    <col min="10" max="10" width="0.5703125" style="26" customWidth="1"/>
    <col min="11" max="16384" width="9.140625" style="26"/>
  </cols>
  <sheetData>
    <row r="1" spans="1:10">
      <c r="A1" s="362" t="s">
        <v>384</v>
      </c>
      <c r="B1" s="57"/>
      <c r="C1" s="57"/>
      <c r="D1" s="57"/>
      <c r="E1" s="57"/>
      <c r="F1" s="57"/>
      <c r="G1" s="57"/>
      <c r="H1" s="57"/>
      <c r="I1" s="363" t="s">
        <v>187</v>
      </c>
      <c r="J1" s="364"/>
    </row>
    <row r="2" spans="1:10">
      <c r="A2" s="57" t="s">
        <v>129</v>
      </c>
      <c r="B2" s="57"/>
      <c r="C2" s="57"/>
      <c r="D2" s="57"/>
      <c r="E2" s="57"/>
      <c r="F2" s="57"/>
      <c r="G2" s="57"/>
      <c r="H2" s="57"/>
      <c r="I2" s="564" t="s">
        <v>943</v>
      </c>
      <c r="J2" s="565"/>
    </row>
    <row r="3" spans="1:10">
      <c r="A3" s="57"/>
      <c r="B3" s="57"/>
      <c r="C3" s="57"/>
      <c r="D3" s="57"/>
      <c r="E3" s="57"/>
      <c r="F3" s="57"/>
      <c r="G3" s="57"/>
      <c r="H3" s="57"/>
      <c r="I3" s="365"/>
      <c r="J3" s="364"/>
    </row>
    <row r="4" spans="1:10">
      <c r="A4" s="119" t="str">
        <f>'[3]ფორმა N2'!A4</f>
        <v>ანგარიშვალდებული პირის დასახელება:</v>
      </c>
      <c r="B4" s="57"/>
      <c r="C4" s="57"/>
      <c r="D4" s="57"/>
      <c r="E4" s="57"/>
      <c r="F4" s="57"/>
      <c r="G4" s="57"/>
      <c r="H4" s="57"/>
      <c r="I4" s="57"/>
      <c r="J4" s="111"/>
    </row>
    <row r="5" spans="1:10">
      <c r="A5" s="110" t="s">
        <v>654</v>
      </c>
      <c r="B5" s="366"/>
      <c r="C5" s="366"/>
      <c r="D5" s="366"/>
      <c r="E5" s="366"/>
      <c r="F5" s="366"/>
      <c r="G5" s="366"/>
      <c r="H5" s="366"/>
      <c r="I5" s="366"/>
      <c r="J5" s="111"/>
    </row>
    <row r="6" spans="1:10">
      <c r="A6" s="119"/>
      <c r="B6" s="57"/>
      <c r="C6" s="57"/>
      <c r="D6" s="57"/>
      <c r="E6" s="57"/>
      <c r="F6" s="57"/>
      <c r="G6" s="57"/>
      <c r="H6" s="57"/>
      <c r="I6" s="57"/>
      <c r="J6" s="111"/>
    </row>
    <row r="7" spans="1:10">
      <c r="A7" s="57"/>
      <c r="B7" s="57"/>
      <c r="C7" s="57"/>
      <c r="D7" s="57"/>
      <c r="E7" s="57"/>
      <c r="F7" s="57"/>
      <c r="G7" s="57"/>
      <c r="H7" s="57"/>
      <c r="I7" s="57"/>
    </row>
    <row r="8" spans="1:10" ht="63.75" customHeight="1">
      <c r="A8" s="367" t="s">
        <v>64</v>
      </c>
      <c r="B8" s="367" t="s">
        <v>360</v>
      </c>
      <c r="C8" s="368" t="s">
        <v>410</v>
      </c>
      <c r="D8" s="368" t="s">
        <v>411</v>
      </c>
      <c r="E8" s="368" t="s">
        <v>361</v>
      </c>
      <c r="F8" s="368" t="s">
        <v>380</v>
      </c>
      <c r="G8" s="368" t="s">
        <v>381</v>
      </c>
      <c r="H8" s="368" t="s">
        <v>412</v>
      </c>
      <c r="I8" s="368" t="s">
        <v>382</v>
      </c>
    </row>
    <row r="9" spans="1:10" ht="30">
      <c r="A9" s="478">
        <v>1</v>
      </c>
      <c r="B9" s="521">
        <v>41759</v>
      </c>
      <c r="C9" s="536" t="s">
        <v>689</v>
      </c>
      <c r="D9" s="522">
        <v>205283637</v>
      </c>
      <c r="E9" s="523" t="s">
        <v>690</v>
      </c>
      <c r="F9" s="523">
        <v>84312.34</v>
      </c>
      <c r="G9" s="523">
        <v>84312.34</v>
      </c>
      <c r="H9" s="523">
        <v>55000</v>
      </c>
      <c r="I9" s="523">
        <v>29312.34</v>
      </c>
    </row>
    <row r="10" spans="1:10" ht="30">
      <c r="A10" s="478">
        <v>2</v>
      </c>
      <c r="B10" s="521">
        <v>41131</v>
      </c>
      <c r="C10" s="536" t="s">
        <v>691</v>
      </c>
      <c r="D10" s="522"/>
      <c r="E10" s="523" t="s">
        <v>692</v>
      </c>
      <c r="F10" s="523">
        <v>41437.199999999997</v>
      </c>
      <c r="G10" s="523">
        <v>41437.199999999997</v>
      </c>
      <c r="H10" s="524">
        <v>0</v>
      </c>
      <c r="I10" s="523">
        <v>41437.199999999997</v>
      </c>
    </row>
    <row r="11" spans="1:10" ht="60">
      <c r="A11" s="478">
        <v>3</v>
      </c>
      <c r="B11" s="521">
        <v>41139</v>
      </c>
      <c r="C11" s="536" t="s">
        <v>693</v>
      </c>
      <c r="D11" s="522">
        <v>205282905</v>
      </c>
      <c r="E11" s="525" t="s">
        <v>694</v>
      </c>
      <c r="F11" s="523">
        <v>141390</v>
      </c>
      <c r="G11" s="523">
        <v>141390</v>
      </c>
      <c r="H11" s="524">
        <v>0</v>
      </c>
      <c r="I11" s="523">
        <v>141390</v>
      </c>
    </row>
    <row r="12" spans="1:10">
      <c r="A12" s="478">
        <v>4</v>
      </c>
      <c r="B12" s="521">
        <v>41084</v>
      </c>
      <c r="C12" s="536" t="s">
        <v>695</v>
      </c>
      <c r="D12" s="522">
        <v>60001104537</v>
      </c>
      <c r="E12" s="523" t="s">
        <v>696</v>
      </c>
      <c r="F12" s="526">
        <v>162.5</v>
      </c>
      <c r="G12" s="526">
        <v>162.5</v>
      </c>
      <c r="H12" s="524">
        <v>0</v>
      </c>
      <c r="I12" s="526">
        <v>162.5</v>
      </c>
    </row>
    <row r="13" spans="1:10">
      <c r="A13" s="478">
        <v>5</v>
      </c>
      <c r="B13" s="521">
        <v>41083</v>
      </c>
      <c r="C13" s="536" t="s">
        <v>697</v>
      </c>
      <c r="D13" s="522">
        <v>16001002430</v>
      </c>
      <c r="E13" s="523" t="s">
        <v>696</v>
      </c>
      <c r="F13" s="526">
        <v>100</v>
      </c>
      <c r="G13" s="526">
        <v>100</v>
      </c>
      <c r="H13" s="524">
        <v>0</v>
      </c>
      <c r="I13" s="526">
        <v>100</v>
      </c>
    </row>
    <row r="14" spans="1:10">
      <c r="A14" s="478">
        <v>6</v>
      </c>
      <c r="B14" s="521">
        <v>41083</v>
      </c>
      <c r="C14" s="536" t="s">
        <v>698</v>
      </c>
      <c r="D14" s="522">
        <v>16201033680</v>
      </c>
      <c r="E14" s="523" t="s">
        <v>696</v>
      </c>
      <c r="F14" s="526">
        <v>100</v>
      </c>
      <c r="G14" s="526">
        <v>100</v>
      </c>
      <c r="H14" s="524">
        <v>0</v>
      </c>
      <c r="I14" s="526">
        <v>100</v>
      </c>
    </row>
    <row r="15" spans="1:10">
      <c r="A15" s="478">
        <v>7</v>
      </c>
      <c r="B15" s="521">
        <v>41084</v>
      </c>
      <c r="C15" s="536" t="s">
        <v>699</v>
      </c>
      <c r="D15" s="522">
        <v>61006053900</v>
      </c>
      <c r="E15" s="523" t="s">
        <v>696</v>
      </c>
      <c r="F15" s="526">
        <v>162.5</v>
      </c>
      <c r="G15" s="526">
        <v>162.5</v>
      </c>
      <c r="H15" s="527">
        <v>0</v>
      </c>
      <c r="I15" s="526">
        <v>162.5</v>
      </c>
    </row>
    <row r="16" spans="1:10">
      <c r="A16" s="478">
        <v>8</v>
      </c>
      <c r="B16" s="521">
        <v>41083</v>
      </c>
      <c r="C16" s="536" t="s">
        <v>700</v>
      </c>
      <c r="D16" s="522">
        <v>61008001136</v>
      </c>
      <c r="E16" s="523" t="s">
        <v>696</v>
      </c>
      <c r="F16" s="526">
        <v>125</v>
      </c>
      <c r="G16" s="526">
        <v>125</v>
      </c>
      <c r="H16" s="524">
        <v>0</v>
      </c>
      <c r="I16" s="526">
        <v>125</v>
      </c>
    </row>
    <row r="17" spans="1:9">
      <c r="A17" s="478">
        <v>9</v>
      </c>
      <c r="B17" s="521">
        <v>41084</v>
      </c>
      <c r="C17" s="536" t="s">
        <v>701</v>
      </c>
      <c r="D17" s="522">
        <v>61006068519</v>
      </c>
      <c r="E17" s="523" t="s">
        <v>696</v>
      </c>
      <c r="F17" s="526">
        <v>162.5</v>
      </c>
      <c r="G17" s="526">
        <v>162.5</v>
      </c>
      <c r="H17" s="524">
        <v>0</v>
      </c>
      <c r="I17" s="526">
        <v>162.5</v>
      </c>
    </row>
    <row r="18" spans="1:9">
      <c r="A18" s="478">
        <v>10</v>
      </c>
      <c r="B18" s="521">
        <v>41083</v>
      </c>
      <c r="C18" s="536" t="s">
        <v>702</v>
      </c>
      <c r="D18" s="522">
        <v>61008001937</v>
      </c>
      <c r="E18" s="523" t="s">
        <v>696</v>
      </c>
      <c r="F18" s="526">
        <v>162.5</v>
      </c>
      <c r="G18" s="526">
        <v>162.5</v>
      </c>
      <c r="H18" s="527">
        <v>0</v>
      </c>
      <c r="I18" s="526">
        <v>162.5</v>
      </c>
    </row>
    <row r="19" spans="1:9">
      <c r="A19" s="478">
        <v>11</v>
      </c>
      <c r="B19" s="521">
        <v>41084</v>
      </c>
      <c r="C19" s="536" t="s">
        <v>703</v>
      </c>
      <c r="D19" s="522">
        <v>61006047190</v>
      </c>
      <c r="E19" s="523" t="s">
        <v>696</v>
      </c>
      <c r="F19" s="526">
        <v>162.5</v>
      </c>
      <c r="G19" s="526">
        <v>162.5</v>
      </c>
      <c r="H19" s="524">
        <v>0</v>
      </c>
      <c r="I19" s="526">
        <v>162.5</v>
      </c>
    </row>
    <row r="20" spans="1:9">
      <c r="A20" s="478">
        <v>12</v>
      </c>
      <c r="B20" s="521">
        <v>41083</v>
      </c>
      <c r="C20" s="536" t="s">
        <v>704</v>
      </c>
      <c r="D20" s="522">
        <v>61006053166</v>
      </c>
      <c r="E20" s="523" t="s">
        <v>696</v>
      </c>
      <c r="F20" s="526">
        <v>162.5</v>
      </c>
      <c r="G20" s="526">
        <v>162.5</v>
      </c>
      <c r="H20" s="524">
        <v>0</v>
      </c>
      <c r="I20" s="526">
        <v>162.5</v>
      </c>
    </row>
    <row r="21" spans="1:9">
      <c r="A21" s="478">
        <v>13</v>
      </c>
      <c r="B21" s="521">
        <v>41084</v>
      </c>
      <c r="C21" s="536" t="s">
        <v>705</v>
      </c>
      <c r="D21" s="522" t="s">
        <v>706</v>
      </c>
      <c r="E21" s="523" t="s">
        <v>696</v>
      </c>
      <c r="F21" s="526">
        <v>125</v>
      </c>
      <c r="G21" s="526">
        <v>125</v>
      </c>
      <c r="H21" s="524">
        <v>0</v>
      </c>
      <c r="I21" s="526">
        <v>125</v>
      </c>
    </row>
    <row r="22" spans="1:9">
      <c r="A22" s="478">
        <v>14</v>
      </c>
      <c r="B22" s="521">
        <v>41084</v>
      </c>
      <c r="C22" s="536" t="s">
        <v>707</v>
      </c>
      <c r="D22" s="522" t="s">
        <v>708</v>
      </c>
      <c r="E22" s="523" t="s">
        <v>696</v>
      </c>
      <c r="F22" s="526">
        <v>162.5</v>
      </c>
      <c r="G22" s="526">
        <v>162.5</v>
      </c>
      <c r="H22" s="524">
        <v>0</v>
      </c>
      <c r="I22" s="526">
        <v>162.5</v>
      </c>
    </row>
    <row r="23" spans="1:9">
      <c r="A23" s="478">
        <v>15</v>
      </c>
      <c r="B23" s="521">
        <v>41084</v>
      </c>
      <c r="C23" s="536" t="s">
        <v>709</v>
      </c>
      <c r="D23" s="522" t="s">
        <v>710</v>
      </c>
      <c r="E23" s="523" t="s">
        <v>696</v>
      </c>
      <c r="F23" s="526">
        <v>162.5</v>
      </c>
      <c r="G23" s="526">
        <v>162.5</v>
      </c>
      <c r="H23" s="524">
        <v>0</v>
      </c>
      <c r="I23" s="526">
        <v>162.5</v>
      </c>
    </row>
    <row r="24" spans="1:9">
      <c r="A24" s="478">
        <v>16</v>
      </c>
      <c r="B24" s="521">
        <v>41083</v>
      </c>
      <c r="C24" s="536" t="s">
        <v>711</v>
      </c>
      <c r="D24" s="522" t="s">
        <v>712</v>
      </c>
      <c r="E24" s="523" t="s">
        <v>696</v>
      </c>
      <c r="F24" s="526">
        <v>100</v>
      </c>
      <c r="G24" s="526">
        <v>100</v>
      </c>
      <c r="H24" s="524">
        <v>0</v>
      </c>
      <c r="I24" s="526">
        <v>100</v>
      </c>
    </row>
    <row r="25" spans="1:9">
      <c r="A25" s="478">
        <v>17</v>
      </c>
      <c r="B25" s="521">
        <v>41083</v>
      </c>
      <c r="C25" s="536" t="s">
        <v>713</v>
      </c>
      <c r="D25" s="522" t="s">
        <v>714</v>
      </c>
      <c r="E25" s="523" t="s">
        <v>696</v>
      </c>
      <c r="F25" s="526">
        <v>162.5</v>
      </c>
      <c r="G25" s="526">
        <v>162.5</v>
      </c>
      <c r="H25" s="527">
        <v>0</v>
      </c>
      <c r="I25" s="526">
        <v>162.5</v>
      </c>
    </row>
    <row r="26" spans="1:9">
      <c r="A26" s="478">
        <v>18</v>
      </c>
      <c r="B26" s="521">
        <v>41085</v>
      </c>
      <c r="C26" s="536" t="s">
        <v>715</v>
      </c>
      <c r="D26" s="522" t="s">
        <v>716</v>
      </c>
      <c r="E26" s="523" t="s">
        <v>696</v>
      </c>
      <c r="F26" s="526">
        <v>100</v>
      </c>
      <c r="G26" s="526">
        <v>100</v>
      </c>
      <c r="H26" s="527">
        <v>0</v>
      </c>
      <c r="I26" s="526">
        <v>100</v>
      </c>
    </row>
    <row r="27" spans="1:9">
      <c r="A27" s="478">
        <v>19</v>
      </c>
      <c r="B27" s="521">
        <v>41088</v>
      </c>
      <c r="C27" s="536" t="s">
        <v>717</v>
      </c>
      <c r="D27" s="522" t="s">
        <v>718</v>
      </c>
      <c r="E27" s="523" t="s">
        <v>696</v>
      </c>
      <c r="F27" s="526">
        <v>100</v>
      </c>
      <c r="G27" s="526">
        <v>100</v>
      </c>
      <c r="H27" s="527">
        <v>0</v>
      </c>
      <c r="I27" s="526">
        <v>100</v>
      </c>
    </row>
    <row r="28" spans="1:9">
      <c r="A28" s="478">
        <v>20</v>
      </c>
      <c r="B28" s="521">
        <v>41083</v>
      </c>
      <c r="C28" s="536" t="s">
        <v>719</v>
      </c>
      <c r="D28" s="522" t="s">
        <v>720</v>
      </c>
      <c r="E28" s="523" t="s">
        <v>696</v>
      </c>
      <c r="F28" s="526">
        <v>162.5</v>
      </c>
      <c r="G28" s="526">
        <v>162.5</v>
      </c>
      <c r="H28" s="524">
        <v>0</v>
      </c>
      <c r="I28" s="526">
        <v>162.5</v>
      </c>
    </row>
    <row r="29" spans="1:9">
      <c r="A29" s="478">
        <v>21</v>
      </c>
      <c r="B29" s="521">
        <v>41083</v>
      </c>
      <c r="C29" s="536" t="s">
        <v>721</v>
      </c>
      <c r="D29" s="522" t="s">
        <v>722</v>
      </c>
      <c r="E29" s="523" t="s">
        <v>696</v>
      </c>
      <c r="F29" s="526">
        <v>125</v>
      </c>
      <c r="G29" s="526">
        <v>125</v>
      </c>
      <c r="H29" s="524">
        <v>0</v>
      </c>
      <c r="I29" s="526">
        <v>125</v>
      </c>
    </row>
    <row r="30" spans="1:9">
      <c r="A30" s="478">
        <v>22</v>
      </c>
      <c r="B30" s="521">
        <v>41083</v>
      </c>
      <c r="C30" s="536" t="s">
        <v>723</v>
      </c>
      <c r="D30" s="522" t="s">
        <v>724</v>
      </c>
      <c r="E30" s="523" t="s">
        <v>696</v>
      </c>
      <c r="F30" s="526">
        <v>162.5</v>
      </c>
      <c r="G30" s="526">
        <v>162.5</v>
      </c>
      <c r="H30" s="524">
        <v>0</v>
      </c>
      <c r="I30" s="526">
        <v>162.5</v>
      </c>
    </row>
    <row r="31" spans="1:9">
      <c r="A31" s="478">
        <v>23</v>
      </c>
      <c r="B31" s="521">
        <v>41084</v>
      </c>
      <c r="C31" s="536" t="s">
        <v>725</v>
      </c>
      <c r="D31" s="522" t="s">
        <v>726</v>
      </c>
      <c r="E31" s="523" t="s">
        <v>696</v>
      </c>
      <c r="F31" s="526">
        <v>162.5</v>
      </c>
      <c r="G31" s="526">
        <v>162.5</v>
      </c>
      <c r="H31" s="524">
        <v>0</v>
      </c>
      <c r="I31" s="526">
        <v>162.5</v>
      </c>
    </row>
    <row r="32" spans="1:9">
      <c r="A32" s="478">
        <v>24</v>
      </c>
      <c r="B32" s="521">
        <v>41084</v>
      </c>
      <c r="C32" s="536" t="s">
        <v>727</v>
      </c>
      <c r="D32" s="522" t="s">
        <v>728</v>
      </c>
      <c r="E32" s="523" t="s">
        <v>696</v>
      </c>
      <c r="F32" s="526">
        <v>162.5</v>
      </c>
      <c r="G32" s="526">
        <v>162.5</v>
      </c>
      <c r="H32" s="524">
        <v>0</v>
      </c>
      <c r="I32" s="526">
        <v>162.5</v>
      </c>
    </row>
    <row r="33" spans="1:9">
      <c r="A33" s="478">
        <v>25</v>
      </c>
      <c r="B33" s="521">
        <v>41083</v>
      </c>
      <c r="C33" s="536" t="s">
        <v>729</v>
      </c>
      <c r="D33" s="522" t="s">
        <v>730</v>
      </c>
      <c r="E33" s="523" t="s">
        <v>696</v>
      </c>
      <c r="F33" s="526">
        <v>162.5</v>
      </c>
      <c r="G33" s="526">
        <v>162.5</v>
      </c>
      <c r="H33" s="524">
        <v>0</v>
      </c>
      <c r="I33" s="526">
        <v>162.5</v>
      </c>
    </row>
    <row r="34" spans="1:9">
      <c r="A34" s="478">
        <v>26</v>
      </c>
      <c r="B34" s="521">
        <v>41083</v>
      </c>
      <c r="C34" s="536" t="s">
        <v>731</v>
      </c>
      <c r="D34" s="522" t="s">
        <v>732</v>
      </c>
      <c r="E34" s="523" t="s">
        <v>696</v>
      </c>
      <c r="F34" s="526">
        <v>125</v>
      </c>
      <c r="G34" s="526">
        <v>125</v>
      </c>
      <c r="H34" s="524">
        <v>0</v>
      </c>
      <c r="I34" s="526">
        <v>125</v>
      </c>
    </row>
    <row r="35" spans="1:9">
      <c r="A35" s="478">
        <v>27</v>
      </c>
      <c r="B35" s="521">
        <v>41084</v>
      </c>
      <c r="C35" s="536" t="s">
        <v>733</v>
      </c>
      <c r="D35" s="522" t="s">
        <v>734</v>
      </c>
      <c r="E35" s="523" t="s">
        <v>696</v>
      </c>
      <c r="F35" s="526">
        <v>125</v>
      </c>
      <c r="G35" s="526">
        <v>125</v>
      </c>
      <c r="H35" s="524">
        <v>0</v>
      </c>
      <c r="I35" s="526">
        <v>125</v>
      </c>
    </row>
    <row r="36" spans="1:9">
      <c r="A36" s="478">
        <v>28</v>
      </c>
      <c r="B36" s="521">
        <v>41083</v>
      </c>
      <c r="C36" s="536" t="s">
        <v>735</v>
      </c>
      <c r="D36" s="522" t="s">
        <v>736</v>
      </c>
      <c r="E36" s="523" t="s">
        <v>696</v>
      </c>
      <c r="F36" s="526">
        <v>125</v>
      </c>
      <c r="G36" s="526">
        <v>125</v>
      </c>
      <c r="H36" s="524">
        <v>0</v>
      </c>
      <c r="I36" s="526">
        <v>125</v>
      </c>
    </row>
    <row r="37" spans="1:9">
      <c r="A37" s="478">
        <v>29</v>
      </c>
      <c r="B37" s="521">
        <v>41084</v>
      </c>
      <c r="C37" s="536" t="s">
        <v>737</v>
      </c>
      <c r="D37" s="522" t="s">
        <v>738</v>
      </c>
      <c r="E37" s="523" t="s">
        <v>696</v>
      </c>
      <c r="F37" s="526">
        <v>125</v>
      </c>
      <c r="G37" s="526">
        <v>125</v>
      </c>
      <c r="H37" s="524">
        <v>0</v>
      </c>
      <c r="I37" s="526">
        <v>125</v>
      </c>
    </row>
    <row r="38" spans="1:9">
      <c r="A38" s="478">
        <v>30</v>
      </c>
      <c r="B38" s="521">
        <v>41089</v>
      </c>
      <c r="C38" s="536" t="s">
        <v>739</v>
      </c>
      <c r="D38" s="522" t="s">
        <v>740</v>
      </c>
      <c r="E38" s="523" t="s">
        <v>696</v>
      </c>
      <c r="F38" s="526">
        <v>125</v>
      </c>
      <c r="G38" s="526">
        <v>125</v>
      </c>
      <c r="H38" s="524">
        <v>0</v>
      </c>
      <c r="I38" s="526">
        <v>125</v>
      </c>
    </row>
    <row r="39" spans="1:9">
      <c r="A39" s="478">
        <v>31</v>
      </c>
      <c r="B39" s="521">
        <v>41065</v>
      </c>
      <c r="C39" s="536" t="s">
        <v>741</v>
      </c>
      <c r="D39" s="522" t="s">
        <v>742</v>
      </c>
      <c r="E39" s="523" t="s">
        <v>696</v>
      </c>
      <c r="F39" s="526">
        <v>100</v>
      </c>
      <c r="G39" s="526">
        <v>100</v>
      </c>
      <c r="H39" s="527">
        <v>0</v>
      </c>
      <c r="I39" s="526">
        <v>100</v>
      </c>
    </row>
    <row r="40" spans="1:9">
      <c r="A40" s="478">
        <v>32</v>
      </c>
      <c r="B40" s="521">
        <v>41065</v>
      </c>
      <c r="C40" s="536" t="s">
        <v>743</v>
      </c>
      <c r="D40" s="522" t="s">
        <v>744</v>
      </c>
      <c r="E40" s="523" t="s">
        <v>696</v>
      </c>
      <c r="F40" s="526">
        <v>125</v>
      </c>
      <c r="G40" s="526">
        <v>125</v>
      </c>
      <c r="H40" s="524">
        <v>0</v>
      </c>
      <c r="I40" s="526">
        <v>125</v>
      </c>
    </row>
    <row r="41" spans="1:9">
      <c r="A41" s="478">
        <v>33</v>
      </c>
      <c r="B41" s="521">
        <v>41065</v>
      </c>
      <c r="C41" s="536" t="s">
        <v>745</v>
      </c>
      <c r="D41" s="522" t="s">
        <v>746</v>
      </c>
      <c r="E41" s="523" t="s">
        <v>696</v>
      </c>
      <c r="F41" s="526">
        <v>162.5</v>
      </c>
      <c r="G41" s="526">
        <v>162.5</v>
      </c>
      <c r="H41" s="524">
        <v>0</v>
      </c>
      <c r="I41" s="526">
        <v>162.5</v>
      </c>
    </row>
    <row r="42" spans="1:9">
      <c r="A42" s="478">
        <v>34</v>
      </c>
      <c r="B42" s="521">
        <v>41065</v>
      </c>
      <c r="C42" s="536" t="s">
        <v>747</v>
      </c>
      <c r="D42" s="522" t="s">
        <v>748</v>
      </c>
      <c r="E42" s="523" t="s">
        <v>696</v>
      </c>
      <c r="F42" s="526">
        <v>162.5</v>
      </c>
      <c r="G42" s="526">
        <v>162.5</v>
      </c>
      <c r="H42" s="524">
        <v>0</v>
      </c>
      <c r="I42" s="526">
        <v>162.5</v>
      </c>
    </row>
    <row r="43" spans="1:9">
      <c r="A43" s="478">
        <v>35</v>
      </c>
      <c r="B43" s="521">
        <v>41065</v>
      </c>
      <c r="C43" s="536" t="s">
        <v>749</v>
      </c>
      <c r="D43" s="522" t="s">
        <v>750</v>
      </c>
      <c r="E43" s="523" t="s">
        <v>696</v>
      </c>
      <c r="F43" s="526">
        <v>162.5</v>
      </c>
      <c r="G43" s="526">
        <v>162.5</v>
      </c>
      <c r="H43" s="524">
        <v>0</v>
      </c>
      <c r="I43" s="526">
        <v>162.5</v>
      </c>
    </row>
    <row r="44" spans="1:9">
      <c r="A44" s="478">
        <v>36</v>
      </c>
      <c r="B44" s="521">
        <v>41065</v>
      </c>
      <c r="C44" s="536" t="s">
        <v>751</v>
      </c>
      <c r="D44" s="522" t="s">
        <v>752</v>
      </c>
      <c r="E44" s="523" t="s">
        <v>696</v>
      </c>
      <c r="F44" s="526">
        <v>162.5</v>
      </c>
      <c r="G44" s="526">
        <v>162.5</v>
      </c>
      <c r="H44" s="524">
        <v>0</v>
      </c>
      <c r="I44" s="526">
        <v>162.5</v>
      </c>
    </row>
    <row r="45" spans="1:9">
      <c r="A45" s="478">
        <v>37</v>
      </c>
      <c r="B45" s="521">
        <v>41065</v>
      </c>
      <c r="C45" s="536" t="s">
        <v>753</v>
      </c>
      <c r="D45" s="522" t="s">
        <v>754</v>
      </c>
      <c r="E45" s="523" t="s">
        <v>696</v>
      </c>
      <c r="F45" s="526">
        <v>125</v>
      </c>
      <c r="G45" s="526">
        <v>125</v>
      </c>
      <c r="H45" s="524">
        <v>0</v>
      </c>
      <c r="I45" s="526">
        <v>125</v>
      </c>
    </row>
    <row r="46" spans="1:9">
      <c r="A46" s="478">
        <v>38</v>
      </c>
      <c r="B46" s="521">
        <v>41122</v>
      </c>
      <c r="C46" s="536" t="s">
        <v>755</v>
      </c>
      <c r="D46" s="522" t="s">
        <v>756</v>
      </c>
      <c r="E46" s="523" t="s">
        <v>757</v>
      </c>
      <c r="F46" s="526">
        <v>250</v>
      </c>
      <c r="G46" s="526">
        <v>250</v>
      </c>
      <c r="H46" s="524">
        <v>0</v>
      </c>
      <c r="I46" s="526">
        <v>250</v>
      </c>
    </row>
    <row r="47" spans="1:9">
      <c r="A47" s="478">
        <v>39</v>
      </c>
      <c r="B47" s="521">
        <v>41122</v>
      </c>
      <c r="C47" s="536" t="s">
        <v>758</v>
      </c>
      <c r="D47" s="522" t="s">
        <v>759</v>
      </c>
      <c r="E47" s="523" t="s">
        <v>757</v>
      </c>
      <c r="F47" s="526">
        <v>375</v>
      </c>
      <c r="G47" s="526">
        <v>375</v>
      </c>
      <c r="H47" s="524">
        <v>0</v>
      </c>
      <c r="I47" s="526">
        <v>375</v>
      </c>
    </row>
    <row r="48" spans="1:9">
      <c r="A48" s="478">
        <v>40</v>
      </c>
      <c r="B48" s="521">
        <v>41136</v>
      </c>
      <c r="C48" s="536" t="s">
        <v>760</v>
      </c>
      <c r="D48" s="522" t="s">
        <v>761</v>
      </c>
      <c r="E48" s="523" t="s">
        <v>757</v>
      </c>
      <c r="F48" s="526">
        <v>3125</v>
      </c>
      <c r="G48" s="526">
        <v>3125</v>
      </c>
      <c r="H48" s="524">
        <v>0</v>
      </c>
      <c r="I48" s="526">
        <v>3125</v>
      </c>
    </row>
    <row r="49" spans="1:9">
      <c r="A49" s="478">
        <v>41</v>
      </c>
      <c r="B49" s="521">
        <v>41136</v>
      </c>
      <c r="C49" s="536" t="s">
        <v>762</v>
      </c>
      <c r="D49" s="522" t="s">
        <v>763</v>
      </c>
      <c r="E49" s="523" t="s">
        <v>757</v>
      </c>
      <c r="F49" s="526">
        <v>500</v>
      </c>
      <c r="G49" s="526">
        <v>500</v>
      </c>
      <c r="H49" s="524">
        <v>0</v>
      </c>
      <c r="I49" s="526">
        <v>500</v>
      </c>
    </row>
    <row r="50" spans="1:9">
      <c r="A50" s="478">
        <v>42</v>
      </c>
      <c r="B50" s="521">
        <v>41136</v>
      </c>
      <c r="C50" s="536" t="s">
        <v>764</v>
      </c>
      <c r="D50" s="522" t="s">
        <v>765</v>
      </c>
      <c r="E50" s="523" t="s">
        <v>757</v>
      </c>
      <c r="F50" s="526">
        <v>520.83000000000004</v>
      </c>
      <c r="G50" s="526">
        <v>520.83000000000004</v>
      </c>
      <c r="H50" s="528">
        <v>0</v>
      </c>
      <c r="I50" s="526">
        <v>520.83000000000004</v>
      </c>
    </row>
    <row r="51" spans="1:9">
      <c r="A51" s="478">
        <v>43</v>
      </c>
      <c r="B51" s="521">
        <v>41136</v>
      </c>
      <c r="C51" s="536" t="s">
        <v>766</v>
      </c>
      <c r="D51" s="522" t="s">
        <v>767</v>
      </c>
      <c r="E51" s="523" t="s">
        <v>757</v>
      </c>
      <c r="F51" s="526">
        <v>1375</v>
      </c>
      <c r="G51" s="526">
        <v>1375</v>
      </c>
      <c r="H51" s="529">
        <v>0</v>
      </c>
      <c r="I51" s="526">
        <v>1375</v>
      </c>
    </row>
    <row r="52" spans="1:9">
      <c r="A52" s="478">
        <v>44</v>
      </c>
      <c r="B52" s="521">
        <v>41136</v>
      </c>
      <c r="C52" s="536" t="s">
        <v>768</v>
      </c>
      <c r="D52" s="522" t="s">
        <v>769</v>
      </c>
      <c r="E52" s="523" t="s">
        <v>757</v>
      </c>
      <c r="F52" s="526">
        <v>1375</v>
      </c>
      <c r="G52" s="526">
        <v>1375</v>
      </c>
      <c r="H52" s="529">
        <v>0</v>
      </c>
      <c r="I52" s="526">
        <v>1375</v>
      </c>
    </row>
    <row r="53" spans="1:9">
      <c r="A53" s="478">
        <v>45</v>
      </c>
      <c r="B53" s="521">
        <v>41145</v>
      </c>
      <c r="C53" s="536" t="s">
        <v>770</v>
      </c>
      <c r="D53" s="522">
        <v>404897215</v>
      </c>
      <c r="E53" s="523" t="s">
        <v>771</v>
      </c>
      <c r="F53" s="523">
        <v>110</v>
      </c>
      <c r="G53" s="523">
        <v>110</v>
      </c>
      <c r="H53" s="529">
        <v>0</v>
      </c>
      <c r="I53" s="523">
        <v>110</v>
      </c>
    </row>
    <row r="54" spans="1:9">
      <c r="A54" s="478">
        <v>46</v>
      </c>
      <c r="B54" s="521">
        <v>41157</v>
      </c>
      <c r="C54" s="536" t="s">
        <v>772</v>
      </c>
      <c r="D54" s="522"/>
      <c r="E54" s="523" t="s">
        <v>773</v>
      </c>
      <c r="F54" s="523">
        <v>544069.96</v>
      </c>
      <c r="G54" s="523">
        <v>544069.96</v>
      </c>
      <c r="H54" s="529">
        <v>0</v>
      </c>
      <c r="I54" s="523">
        <v>544069.96</v>
      </c>
    </row>
    <row r="55" spans="1:9">
      <c r="A55" s="478">
        <v>47</v>
      </c>
      <c r="B55" s="521">
        <v>41136</v>
      </c>
      <c r="C55" s="536" t="s">
        <v>774</v>
      </c>
      <c r="D55" s="522" t="s">
        <v>775</v>
      </c>
      <c r="E55" s="523" t="s">
        <v>641</v>
      </c>
      <c r="F55" s="523">
        <v>0.3</v>
      </c>
      <c r="G55" s="523">
        <v>0.3</v>
      </c>
      <c r="H55" s="529">
        <v>0</v>
      </c>
      <c r="I55" s="523">
        <v>0.3</v>
      </c>
    </row>
    <row r="56" spans="1:9">
      <c r="A56" s="478">
        <v>48</v>
      </c>
      <c r="B56" s="521">
        <v>41134</v>
      </c>
      <c r="C56" s="536" t="s">
        <v>776</v>
      </c>
      <c r="D56" s="522" t="s">
        <v>777</v>
      </c>
      <c r="E56" s="523" t="s">
        <v>641</v>
      </c>
      <c r="F56" s="523">
        <v>1412.48</v>
      </c>
      <c r="G56" s="523">
        <v>1412.48</v>
      </c>
      <c r="H56" s="529">
        <v>0</v>
      </c>
      <c r="I56" s="523">
        <v>1412.48</v>
      </c>
    </row>
    <row r="57" spans="1:9">
      <c r="A57" s="478">
        <v>49</v>
      </c>
      <c r="B57" s="521">
        <v>41130</v>
      </c>
      <c r="C57" s="536" t="s">
        <v>778</v>
      </c>
      <c r="D57" s="522" t="s">
        <v>779</v>
      </c>
      <c r="E57" s="523" t="s">
        <v>641</v>
      </c>
      <c r="F57" s="523">
        <v>541.53</v>
      </c>
      <c r="G57" s="523">
        <v>541.53</v>
      </c>
      <c r="H57" s="529">
        <v>0</v>
      </c>
      <c r="I57" s="523">
        <v>541.53</v>
      </c>
    </row>
    <row r="58" spans="1:9">
      <c r="A58" s="478">
        <v>50</v>
      </c>
      <c r="B58" s="521">
        <v>41182</v>
      </c>
      <c r="C58" s="536" t="s">
        <v>780</v>
      </c>
      <c r="D58" s="522" t="s">
        <v>781</v>
      </c>
      <c r="E58" s="523" t="s">
        <v>641</v>
      </c>
      <c r="F58" s="523">
        <v>887.5</v>
      </c>
      <c r="G58" s="523">
        <v>887.5</v>
      </c>
      <c r="H58" s="529">
        <v>0</v>
      </c>
      <c r="I58" s="523">
        <v>887.5</v>
      </c>
    </row>
    <row r="59" spans="1:9">
      <c r="A59" s="478">
        <v>51</v>
      </c>
      <c r="B59" s="521">
        <v>41177</v>
      </c>
      <c r="C59" s="536" t="s">
        <v>782</v>
      </c>
      <c r="D59" s="522"/>
      <c r="E59" s="523" t="s">
        <v>783</v>
      </c>
      <c r="F59" s="523">
        <v>373676.21</v>
      </c>
      <c r="G59" s="523">
        <v>373676.21</v>
      </c>
      <c r="H59" s="529">
        <v>0</v>
      </c>
      <c r="I59" s="523">
        <v>373676.21</v>
      </c>
    </row>
    <row r="60" spans="1:9" ht="30">
      <c r="A60" s="478">
        <v>52</v>
      </c>
      <c r="B60" s="521">
        <v>41172</v>
      </c>
      <c r="C60" s="536" t="s">
        <v>915</v>
      </c>
      <c r="D60" s="522" t="s">
        <v>784</v>
      </c>
      <c r="E60" s="523" t="s">
        <v>688</v>
      </c>
      <c r="F60" s="523">
        <v>19950</v>
      </c>
      <c r="G60" s="523">
        <v>19950</v>
      </c>
      <c r="H60" s="529">
        <v>0</v>
      </c>
      <c r="I60" s="523">
        <v>19950</v>
      </c>
    </row>
    <row r="61" spans="1:9" ht="30">
      <c r="A61" s="478">
        <v>53</v>
      </c>
      <c r="B61" s="521">
        <v>41170</v>
      </c>
      <c r="C61" s="536" t="s">
        <v>785</v>
      </c>
      <c r="D61" s="522" t="s">
        <v>786</v>
      </c>
      <c r="E61" s="523" t="s">
        <v>787</v>
      </c>
      <c r="F61" s="523">
        <v>625</v>
      </c>
      <c r="G61" s="523">
        <v>625</v>
      </c>
      <c r="H61" s="529">
        <v>0</v>
      </c>
      <c r="I61" s="523">
        <v>625</v>
      </c>
    </row>
    <row r="62" spans="1:9" ht="30">
      <c r="A62" s="478">
        <v>54</v>
      </c>
      <c r="B62" s="521">
        <v>41176</v>
      </c>
      <c r="C62" s="536" t="s">
        <v>788</v>
      </c>
      <c r="D62" s="522" t="s">
        <v>789</v>
      </c>
      <c r="E62" s="523" t="s">
        <v>787</v>
      </c>
      <c r="F62" s="523">
        <v>187.5</v>
      </c>
      <c r="G62" s="523">
        <v>187.5</v>
      </c>
      <c r="H62" s="529">
        <v>0</v>
      </c>
      <c r="I62" s="523">
        <v>187.5</v>
      </c>
    </row>
    <row r="63" spans="1:9">
      <c r="A63" s="478">
        <v>55</v>
      </c>
      <c r="B63" s="521">
        <v>41759</v>
      </c>
      <c r="C63" s="536" t="s">
        <v>790</v>
      </c>
      <c r="D63" s="522" t="s">
        <v>791</v>
      </c>
      <c r="E63" s="523" t="s">
        <v>792</v>
      </c>
      <c r="F63" s="530">
        <v>28327.84</v>
      </c>
      <c r="G63" s="530">
        <v>28327.84</v>
      </c>
      <c r="H63" s="523">
        <v>0</v>
      </c>
      <c r="I63" s="530">
        <v>28327.84</v>
      </c>
    </row>
    <row r="64" spans="1:9">
      <c r="A64" s="478">
        <v>56</v>
      </c>
      <c r="B64" s="521">
        <v>41182</v>
      </c>
      <c r="C64" s="536" t="s">
        <v>793</v>
      </c>
      <c r="D64" s="522" t="s">
        <v>794</v>
      </c>
      <c r="E64" s="523" t="s">
        <v>641</v>
      </c>
      <c r="F64" s="523">
        <v>846.78</v>
      </c>
      <c r="G64" s="523">
        <v>846.78</v>
      </c>
      <c r="H64" s="529">
        <v>0</v>
      </c>
      <c r="I64" s="523">
        <v>846.78</v>
      </c>
    </row>
    <row r="65" spans="1:9">
      <c r="A65" s="478">
        <v>57</v>
      </c>
      <c r="B65" s="521">
        <v>41182</v>
      </c>
      <c r="C65" s="536" t="s">
        <v>795</v>
      </c>
      <c r="D65" s="522" t="s">
        <v>796</v>
      </c>
      <c r="E65" s="523" t="s">
        <v>641</v>
      </c>
      <c r="F65" s="523">
        <v>2916.65</v>
      </c>
      <c r="G65" s="523">
        <v>2916.65</v>
      </c>
      <c r="H65" s="529">
        <v>0</v>
      </c>
      <c r="I65" s="523">
        <v>2916.65</v>
      </c>
    </row>
    <row r="66" spans="1:9">
      <c r="A66" s="478">
        <v>58</v>
      </c>
      <c r="B66" s="521">
        <v>41182</v>
      </c>
      <c r="C66" s="536" t="s">
        <v>797</v>
      </c>
      <c r="D66" s="522" t="s">
        <v>798</v>
      </c>
      <c r="E66" s="523" t="s">
        <v>641</v>
      </c>
      <c r="F66" s="523">
        <v>500</v>
      </c>
      <c r="G66" s="523">
        <v>500</v>
      </c>
      <c r="H66" s="529">
        <v>0</v>
      </c>
      <c r="I66" s="523">
        <v>500</v>
      </c>
    </row>
    <row r="67" spans="1:9">
      <c r="A67" s="478">
        <v>59</v>
      </c>
      <c r="B67" s="521">
        <v>41182</v>
      </c>
      <c r="C67" s="536" t="s">
        <v>799</v>
      </c>
      <c r="D67" s="522" t="s">
        <v>800</v>
      </c>
      <c r="E67" s="523" t="s">
        <v>641</v>
      </c>
      <c r="F67" s="523">
        <v>625</v>
      </c>
      <c r="G67" s="523">
        <v>625</v>
      </c>
      <c r="H67" s="529">
        <v>0</v>
      </c>
      <c r="I67" s="523">
        <v>625</v>
      </c>
    </row>
    <row r="68" spans="1:9">
      <c r="A68" s="478">
        <v>60</v>
      </c>
      <c r="B68" s="521">
        <v>41187</v>
      </c>
      <c r="C68" s="536" t="s">
        <v>801</v>
      </c>
      <c r="D68" s="522"/>
      <c r="E68" s="522" t="s">
        <v>802</v>
      </c>
      <c r="F68" s="523">
        <v>52478.12</v>
      </c>
      <c r="G68" s="523">
        <v>52478.12</v>
      </c>
      <c r="H68" s="529">
        <v>0</v>
      </c>
      <c r="I68" s="523">
        <v>52478.12</v>
      </c>
    </row>
    <row r="69" spans="1:9">
      <c r="A69" s="478">
        <v>61</v>
      </c>
      <c r="B69" s="521">
        <v>41153</v>
      </c>
      <c r="C69" s="543" t="s">
        <v>803</v>
      </c>
      <c r="D69" s="531" t="s">
        <v>804</v>
      </c>
      <c r="E69" s="523" t="s">
        <v>641</v>
      </c>
      <c r="F69" s="532">
        <v>747.33</v>
      </c>
      <c r="G69" s="532">
        <v>747.33</v>
      </c>
      <c r="H69" s="533">
        <v>0</v>
      </c>
      <c r="I69" s="532">
        <v>747.33</v>
      </c>
    </row>
    <row r="70" spans="1:9">
      <c r="A70" s="478">
        <v>62</v>
      </c>
      <c r="B70" s="521">
        <v>41059</v>
      </c>
      <c r="C70" s="543" t="s">
        <v>805</v>
      </c>
      <c r="D70" s="531" t="s">
        <v>806</v>
      </c>
      <c r="E70" s="534" t="s">
        <v>807</v>
      </c>
      <c r="F70" s="532">
        <v>65</v>
      </c>
      <c r="G70" s="532">
        <v>65</v>
      </c>
      <c r="H70" s="533">
        <v>0</v>
      </c>
      <c r="I70" s="532">
        <v>65</v>
      </c>
    </row>
    <row r="71" spans="1:9" ht="45">
      <c r="A71" s="478">
        <v>63</v>
      </c>
      <c r="B71" s="521">
        <v>41783</v>
      </c>
      <c r="C71" s="536" t="s">
        <v>808</v>
      </c>
      <c r="D71" s="522" t="s">
        <v>809</v>
      </c>
      <c r="E71" s="523" t="s">
        <v>810</v>
      </c>
      <c r="F71" s="532">
        <v>82017.59</v>
      </c>
      <c r="G71" s="532">
        <v>82017.59</v>
      </c>
      <c r="H71" s="523">
        <v>0</v>
      </c>
      <c r="I71" s="532">
        <v>82017.59</v>
      </c>
    </row>
    <row r="72" spans="1:9">
      <c r="A72" s="478">
        <v>64</v>
      </c>
      <c r="B72" s="535" t="s">
        <v>811</v>
      </c>
      <c r="C72" s="536" t="s">
        <v>812</v>
      </c>
      <c r="D72" s="536">
        <v>45001015655</v>
      </c>
      <c r="E72" s="523" t="s">
        <v>813</v>
      </c>
      <c r="F72" s="537">
        <v>104.18</v>
      </c>
      <c r="G72" s="537">
        <v>104.18</v>
      </c>
      <c r="H72" s="523">
        <v>0</v>
      </c>
      <c r="I72" s="537">
        <v>104.18</v>
      </c>
    </row>
    <row r="73" spans="1:9">
      <c r="A73" s="478">
        <v>65</v>
      </c>
      <c r="B73" s="521" t="s">
        <v>814</v>
      </c>
      <c r="C73" s="536" t="s">
        <v>815</v>
      </c>
      <c r="D73" s="522" t="s">
        <v>816</v>
      </c>
      <c r="E73" s="523" t="s">
        <v>813</v>
      </c>
      <c r="F73" s="537">
        <v>0.35</v>
      </c>
      <c r="G73" s="537">
        <v>0.35</v>
      </c>
      <c r="H73" s="523">
        <v>0</v>
      </c>
      <c r="I73" s="537">
        <v>0.35</v>
      </c>
    </row>
    <row r="74" spans="1:9">
      <c r="A74" s="478">
        <v>66</v>
      </c>
      <c r="B74" s="521" t="s">
        <v>817</v>
      </c>
      <c r="C74" s="536" t="s">
        <v>818</v>
      </c>
      <c r="D74" s="522" t="s">
        <v>819</v>
      </c>
      <c r="E74" s="523" t="s">
        <v>813</v>
      </c>
      <c r="F74" s="537">
        <v>500</v>
      </c>
      <c r="G74" s="537">
        <v>500</v>
      </c>
      <c r="H74" s="523">
        <v>0</v>
      </c>
      <c r="I74" s="537">
        <v>500</v>
      </c>
    </row>
    <row r="75" spans="1:9">
      <c r="A75" s="478">
        <v>67</v>
      </c>
      <c r="B75" s="521" t="s">
        <v>817</v>
      </c>
      <c r="C75" s="536" t="s">
        <v>820</v>
      </c>
      <c r="D75" s="522" t="s">
        <v>821</v>
      </c>
      <c r="E75" s="523" t="s">
        <v>813</v>
      </c>
      <c r="F75" s="537">
        <v>625</v>
      </c>
      <c r="G75" s="537">
        <v>625</v>
      </c>
      <c r="H75" s="523">
        <v>0</v>
      </c>
      <c r="I75" s="537">
        <v>625</v>
      </c>
    </row>
    <row r="76" spans="1:9">
      <c r="A76" s="478">
        <v>68</v>
      </c>
      <c r="B76" s="521" t="s">
        <v>817</v>
      </c>
      <c r="C76" s="536" t="s">
        <v>822</v>
      </c>
      <c r="D76" s="522" t="s">
        <v>823</v>
      </c>
      <c r="E76" s="523" t="s">
        <v>813</v>
      </c>
      <c r="F76" s="537">
        <v>226.43</v>
      </c>
      <c r="G76" s="537">
        <v>226.43</v>
      </c>
      <c r="H76" s="523">
        <v>0</v>
      </c>
      <c r="I76" s="537">
        <v>226.43</v>
      </c>
    </row>
    <row r="77" spans="1:9">
      <c r="A77" s="478">
        <v>69</v>
      </c>
      <c r="B77" s="521" t="s">
        <v>817</v>
      </c>
      <c r="C77" s="536" t="s">
        <v>824</v>
      </c>
      <c r="D77" s="522" t="s">
        <v>825</v>
      </c>
      <c r="E77" s="523" t="s">
        <v>813</v>
      </c>
      <c r="F77" s="537">
        <v>563</v>
      </c>
      <c r="G77" s="537">
        <v>563</v>
      </c>
      <c r="H77" s="523">
        <v>0</v>
      </c>
      <c r="I77" s="537">
        <v>563</v>
      </c>
    </row>
    <row r="78" spans="1:9" ht="45">
      <c r="A78" s="478">
        <v>70</v>
      </c>
      <c r="B78" s="521" t="s">
        <v>817</v>
      </c>
      <c r="C78" s="536" t="s">
        <v>826</v>
      </c>
      <c r="D78" s="522" t="s">
        <v>827</v>
      </c>
      <c r="E78" s="523" t="s">
        <v>813</v>
      </c>
      <c r="F78" s="537">
        <v>801.23</v>
      </c>
      <c r="G78" s="537">
        <v>801.23</v>
      </c>
      <c r="H78" s="523">
        <v>0</v>
      </c>
      <c r="I78" s="537">
        <v>801.23</v>
      </c>
    </row>
    <row r="79" spans="1:9">
      <c r="A79" s="478">
        <v>71</v>
      </c>
      <c r="B79" s="521" t="s">
        <v>817</v>
      </c>
      <c r="C79" s="536" t="s">
        <v>828</v>
      </c>
      <c r="D79" s="522" t="s">
        <v>829</v>
      </c>
      <c r="E79" s="523" t="s">
        <v>813</v>
      </c>
      <c r="F79" s="537">
        <v>500</v>
      </c>
      <c r="G79" s="537">
        <v>500</v>
      </c>
      <c r="H79" s="523">
        <v>0</v>
      </c>
      <c r="I79" s="537">
        <v>500</v>
      </c>
    </row>
    <row r="80" spans="1:9">
      <c r="A80" s="478">
        <v>72</v>
      </c>
      <c r="B80" s="521" t="s">
        <v>817</v>
      </c>
      <c r="C80" s="536" t="s">
        <v>832</v>
      </c>
      <c r="D80" s="522" t="s">
        <v>833</v>
      </c>
      <c r="E80" s="523" t="s">
        <v>813</v>
      </c>
      <c r="F80" s="537">
        <v>1600</v>
      </c>
      <c r="G80" s="537">
        <v>1600</v>
      </c>
      <c r="H80" s="523">
        <v>0</v>
      </c>
      <c r="I80" s="537">
        <v>1600</v>
      </c>
    </row>
    <row r="81" spans="1:9">
      <c r="A81" s="478">
        <v>73</v>
      </c>
      <c r="B81" s="521" t="s">
        <v>817</v>
      </c>
      <c r="C81" s="536" t="s">
        <v>834</v>
      </c>
      <c r="D81" s="522">
        <v>61002014645</v>
      </c>
      <c r="E81" s="523" t="s">
        <v>813</v>
      </c>
      <c r="F81" s="537">
        <v>522.54</v>
      </c>
      <c r="G81" s="537">
        <v>522.54</v>
      </c>
      <c r="H81" s="523">
        <v>0</v>
      </c>
      <c r="I81" s="537">
        <v>522.54</v>
      </c>
    </row>
    <row r="82" spans="1:9">
      <c r="A82" s="478">
        <v>74</v>
      </c>
      <c r="B82" s="521" t="s">
        <v>817</v>
      </c>
      <c r="C82" s="536" t="s">
        <v>835</v>
      </c>
      <c r="D82" s="522" t="s">
        <v>836</v>
      </c>
      <c r="E82" s="523" t="s">
        <v>813</v>
      </c>
      <c r="F82" s="537">
        <v>873</v>
      </c>
      <c r="G82" s="537">
        <v>873</v>
      </c>
      <c r="H82" s="523">
        <v>0</v>
      </c>
      <c r="I82" s="537">
        <v>873</v>
      </c>
    </row>
    <row r="83" spans="1:9">
      <c r="A83" s="478">
        <v>75</v>
      </c>
      <c r="B83" s="521" t="s">
        <v>817</v>
      </c>
      <c r="C83" s="536" t="s">
        <v>837</v>
      </c>
      <c r="D83" s="522" t="s">
        <v>838</v>
      </c>
      <c r="E83" s="523" t="s">
        <v>813</v>
      </c>
      <c r="F83" s="537">
        <v>870.9</v>
      </c>
      <c r="G83" s="537">
        <v>870.9</v>
      </c>
      <c r="H83" s="523">
        <v>0</v>
      </c>
      <c r="I83" s="537">
        <v>870.9</v>
      </c>
    </row>
    <row r="84" spans="1:9">
      <c r="A84" s="478">
        <v>76</v>
      </c>
      <c r="B84" s="521" t="s">
        <v>817</v>
      </c>
      <c r="C84" s="536" t="s">
        <v>839</v>
      </c>
      <c r="D84" s="522" t="s">
        <v>840</v>
      </c>
      <c r="E84" s="523" t="s">
        <v>813</v>
      </c>
      <c r="F84" s="537">
        <v>500</v>
      </c>
      <c r="G84" s="537">
        <v>500</v>
      </c>
      <c r="H84" s="523">
        <v>0</v>
      </c>
      <c r="I84" s="537">
        <v>500</v>
      </c>
    </row>
    <row r="85" spans="1:9">
      <c r="A85" s="478">
        <v>77</v>
      </c>
      <c r="B85" s="521" t="s">
        <v>817</v>
      </c>
      <c r="C85" s="536" t="s">
        <v>841</v>
      </c>
      <c r="D85" s="522" t="s">
        <v>842</v>
      </c>
      <c r="E85" s="523" t="s">
        <v>813</v>
      </c>
      <c r="F85" s="537">
        <v>200</v>
      </c>
      <c r="G85" s="537">
        <v>200</v>
      </c>
      <c r="H85" s="523">
        <v>0</v>
      </c>
      <c r="I85" s="537">
        <v>200</v>
      </c>
    </row>
    <row r="86" spans="1:9">
      <c r="A86" s="478">
        <v>78</v>
      </c>
      <c r="B86" s="535">
        <v>41823</v>
      </c>
      <c r="C86" s="544" t="s">
        <v>830</v>
      </c>
      <c r="D86" s="538" t="s">
        <v>831</v>
      </c>
      <c r="E86" s="523" t="s">
        <v>813</v>
      </c>
      <c r="F86" s="523">
        <v>5200</v>
      </c>
      <c r="G86" s="523">
        <v>5200</v>
      </c>
      <c r="H86" s="523">
        <v>0</v>
      </c>
      <c r="I86" s="523">
        <v>5200</v>
      </c>
    </row>
    <row r="87" spans="1:9" ht="30">
      <c r="A87" s="478">
        <v>79</v>
      </c>
      <c r="B87" s="535">
        <v>42494</v>
      </c>
      <c r="C87" s="545" t="s">
        <v>1566</v>
      </c>
      <c r="D87" s="539" t="s">
        <v>1567</v>
      </c>
      <c r="E87" s="523" t="s">
        <v>1527</v>
      </c>
      <c r="F87" s="523">
        <v>187.5</v>
      </c>
      <c r="G87" s="523">
        <v>187.5</v>
      </c>
      <c r="H87" s="523">
        <v>0</v>
      </c>
      <c r="I87" s="523">
        <v>187.5</v>
      </c>
    </row>
    <row r="88" spans="1:9" ht="30">
      <c r="A88" s="478">
        <v>80</v>
      </c>
      <c r="B88" s="535">
        <v>42494</v>
      </c>
      <c r="C88" s="545" t="s">
        <v>1568</v>
      </c>
      <c r="D88" s="539" t="s">
        <v>1569</v>
      </c>
      <c r="E88" s="523" t="s">
        <v>1527</v>
      </c>
      <c r="F88" s="523">
        <v>187.5</v>
      </c>
      <c r="G88" s="523">
        <v>187.5</v>
      </c>
      <c r="H88" s="523">
        <v>0</v>
      </c>
      <c r="I88" s="523">
        <v>187.5</v>
      </c>
    </row>
    <row r="89" spans="1:9" ht="30">
      <c r="A89" s="478">
        <v>81</v>
      </c>
      <c r="B89" s="535">
        <v>42494</v>
      </c>
      <c r="C89" s="545" t="s">
        <v>1570</v>
      </c>
      <c r="D89" s="539" t="s">
        <v>1571</v>
      </c>
      <c r="E89" s="523" t="s">
        <v>1527</v>
      </c>
      <c r="F89" s="523">
        <v>187.5</v>
      </c>
      <c r="G89" s="523">
        <v>187.5</v>
      </c>
      <c r="H89" s="523">
        <v>0</v>
      </c>
      <c r="I89" s="523">
        <v>187.5</v>
      </c>
    </row>
    <row r="90" spans="1:9" ht="30">
      <c r="A90" s="478">
        <v>82</v>
      </c>
      <c r="B90" s="535">
        <v>42494</v>
      </c>
      <c r="C90" s="545" t="s">
        <v>1572</v>
      </c>
      <c r="D90" s="539" t="s">
        <v>1573</v>
      </c>
      <c r="E90" s="523" t="s">
        <v>1527</v>
      </c>
      <c r="F90" s="523">
        <v>187.5</v>
      </c>
      <c r="G90" s="523">
        <v>187.5</v>
      </c>
      <c r="H90" s="523">
        <v>0</v>
      </c>
      <c r="I90" s="523">
        <v>187.5</v>
      </c>
    </row>
    <row r="91" spans="1:9" ht="30">
      <c r="A91" s="478">
        <v>83</v>
      </c>
      <c r="B91" s="535">
        <v>42494</v>
      </c>
      <c r="C91" s="545" t="s">
        <v>1574</v>
      </c>
      <c r="D91" s="539" t="s">
        <v>1575</v>
      </c>
      <c r="E91" s="523" t="s">
        <v>1527</v>
      </c>
      <c r="F91" s="523">
        <v>187.5</v>
      </c>
      <c r="G91" s="523">
        <v>187.5</v>
      </c>
      <c r="H91" s="523">
        <v>0</v>
      </c>
      <c r="I91" s="523">
        <v>187.5</v>
      </c>
    </row>
    <row r="92" spans="1:9" ht="30">
      <c r="A92" s="478">
        <v>84</v>
      </c>
      <c r="B92" s="535">
        <v>42494</v>
      </c>
      <c r="C92" s="545" t="s">
        <v>1576</v>
      </c>
      <c r="D92" s="539" t="s">
        <v>1577</v>
      </c>
      <c r="E92" s="523" t="s">
        <v>1527</v>
      </c>
      <c r="F92" s="523">
        <v>187.5</v>
      </c>
      <c r="G92" s="523">
        <v>187.5</v>
      </c>
      <c r="H92" s="523">
        <v>0</v>
      </c>
      <c r="I92" s="523">
        <v>187.5</v>
      </c>
    </row>
    <row r="93" spans="1:9" ht="30">
      <c r="A93" s="478">
        <v>85</v>
      </c>
      <c r="B93" s="535">
        <v>42494</v>
      </c>
      <c r="C93" s="545" t="s">
        <v>1578</v>
      </c>
      <c r="D93" s="539" t="s">
        <v>1579</v>
      </c>
      <c r="E93" s="523" t="s">
        <v>1527</v>
      </c>
      <c r="F93" s="523">
        <v>187.5</v>
      </c>
      <c r="G93" s="523">
        <v>187.5</v>
      </c>
      <c r="H93" s="523">
        <v>0</v>
      </c>
      <c r="I93" s="523">
        <v>187.5</v>
      </c>
    </row>
    <row r="94" spans="1:9" ht="30">
      <c r="A94" s="478">
        <v>86</v>
      </c>
      <c r="B94" s="535">
        <v>42494</v>
      </c>
      <c r="C94" s="545" t="s">
        <v>1580</v>
      </c>
      <c r="D94" s="539" t="s">
        <v>1581</v>
      </c>
      <c r="E94" s="523" t="s">
        <v>1527</v>
      </c>
      <c r="F94" s="523">
        <v>187.5</v>
      </c>
      <c r="G94" s="523">
        <v>187.5</v>
      </c>
      <c r="H94" s="523">
        <v>0</v>
      </c>
      <c r="I94" s="523">
        <v>187.5</v>
      </c>
    </row>
    <row r="95" spans="1:9" ht="30">
      <c r="A95" s="478">
        <v>87</v>
      </c>
      <c r="B95" s="535">
        <v>42494</v>
      </c>
      <c r="C95" s="545" t="s">
        <v>1582</v>
      </c>
      <c r="D95" s="539" t="s">
        <v>1583</v>
      </c>
      <c r="E95" s="523" t="s">
        <v>1527</v>
      </c>
      <c r="F95" s="523">
        <v>187.5</v>
      </c>
      <c r="G95" s="523">
        <v>187.5</v>
      </c>
      <c r="H95" s="523">
        <v>0</v>
      </c>
      <c r="I95" s="523">
        <v>187.5</v>
      </c>
    </row>
    <row r="96" spans="1:9" ht="30">
      <c r="A96" s="478">
        <v>88</v>
      </c>
      <c r="B96" s="535">
        <v>42494</v>
      </c>
      <c r="C96" s="545" t="s">
        <v>1584</v>
      </c>
      <c r="D96" s="539" t="s">
        <v>1585</v>
      </c>
      <c r="E96" s="523" t="s">
        <v>1527</v>
      </c>
      <c r="F96" s="523">
        <v>187.5</v>
      </c>
      <c r="G96" s="523">
        <v>187.5</v>
      </c>
      <c r="H96" s="523">
        <v>0</v>
      </c>
      <c r="I96" s="523">
        <v>187.5</v>
      </c>
    </row>
    <row r="97" spans="1:9" ht="30">
      <c r="A97" s="478">
        <v>89</v>
      </c>
      <c r="B97" s="535">
        <v>42494</v>
      </c>
      <c r="C97" s="545" t="s">
        <v>1586</v>
      </c>
      <c r="D97" s="539" t="s">
        <v>1587</v>
      </c>
      <c r="E97" s="523" t="s">
        <v>1527</v>
      </c>
      <c r="F97" s="523">
        <v>187.5</v>
      </c>
      <c r="G97" s="523">
        <v>187.5</v>
      </c>
      <c r="H97" s="523">
        <v>0</v>
      </c>
      <c r="I97" s="523">
        <v>187.5</v>
      </c>
    </row>
    <row r="98" spans="1:9" ht="30">
      <c r="A98" s="478">
        <v>90</v>
      </c>
      <c r="B98" s="535">
        <v>42494</v>
      </c>
      <c r="C98" s="545" t="s">
        <v>1588</v>
      </c>
      <c r="D98" s="539" t="s">
        <v>1589</v>
      </c>
      <c r="E98" s="523" t="s">
        <v>1527</v>
      </c>
      <c r="F98" s="523">
        <v>187.5</v>
      </c>
      <c r="G98" s="523">
        <v>187.5</v>
      </c>
      <c r="H98" s="523">
        <v>0</v>
      </c>
      <c r="I98" s="523">
        <v>187.5</v>
      </c>
    </row>
    <row r="99" spans="1:9" ht="30">
      <c r="A99" s="478">
        <v>91</v>
      </c>
      <c r="B99" s="535">
        <v>42494</v>
      </c>
      <c r="C99" s="545" t="s">
        <v>1590</v>
      </c>
      <c r="D99" s="539" t="s">
        <v>1591</v>
      </c>
      <c r="E99" s="523" t="s">
        <v>1527</v>
      </c>
      <c r="F99" s="523">
        <v>187.5</v>
      </c>
      <c r="G99" s="523">
        <v>187.5</v>
      </c>
      <c r="H99" s="523">
        <v>0</v>
      </c>
      <c r="I99" s="523">
        <v>187.5</v>
      </c>
    </row>
    <row r="100" spans="1:9" ht="30">
      <c r="A100" s="478">
        <v>92</v>
      </c>
      <c r="B100" s="535">
        <v>42494</v>
      </c>
      <c r="C100" s="545" t="s">
        <v>1592</v>
      </c>
      <c r="D100" s="539" t="s">
        <v>1593</v>
      </c>
      <c r="E100" s="523" t="s">
        <v>1527</v>
      </c>
      <c r="F100" s="523">
        <v>187.5</v>
      </c>
      <c r="G100" s="523">
        <v>187.5</v>
      </c>
      <c r="H100" s="523">
        <v>0</v>
      </c>
      <c r="I100" s="523">
        <v>187.5</v>
      </c>
    </row>
    <row r="101" spans="1:9" ht="30">
      <c r="A101" s="478">
        <v>93</v>
      </c>
      <c r="B101" s="535">
        <v>42494</v>
      </c>
      <c r="C101" s="545" t="s">
        <v>1594</v>
      </c>
      <c r="D101" s="539" t="s">
        <v>1595</v>
      </c>
      <c r="E101" s="523" t="s">
        <v>1527</v>
      </c>
      <c r="F101" s="523">
        <v>187.5</v>
      </c>
      <c r="G101" s="523">
        <v>187.5</v>
      </c>
      <c r="H101" s="523">
        <v>0</v>
      </c>
      <c r="I101" s="523">
        <v>187.5</v>
      </c>
    </row>
    <row r="102" spans="1:9" ht="30">
      <c r="A102" s="478">
        <v>94</v>
      </c>
      <c r="B102" s="535">
        <v>42494</v>
      </c>
      <c r="C102" s="545" t="s">
        <v>1596</v>
      </c>
      <c r="D102" s="539" t="s">
        <v>1597</v>
      </c>
      <c r="E102" s="523" t="s">
        <v>1527</v>
      </c>
      <c r="F102" s="523">
        <v>187.5</v>
      </c>
      <c r="G102" s="523">
        <v>187.5</v>
      </c>
      <c r="H102" s="523">
        <v>0</v>
      </c>
      <c r="I102" s="523">
        <v>187.5</v>
      </c>
    </row>
    <row r="103" spans="1:9" ht="30">
      <c r="A103" s="478">
        <v>95</v>
      </c>
      <c r="B103" s="535">
        <v>42494</v>
      </c>
      <c r="C103" s="545" t="s">
        <v>1598</v>
      </c>
      <c r="D103" s="539" t="s">
        <v>1599</v>
      </c>
      <c r="E103" s="523" t="s">
        <v>1527</v>
      </c>
      <c r="F103" s="523">
        <v>187.5</v>
      </c>
      <c r="G103" s="523">
        <v>187.5</v>
      </c>
      <c r="H103" s="523">
        <v>0</v>
      </c>
      <c r="I103" s="523">
        <v>187.5</v>
      </c>
    </row>
    <row r="104" spans="1:9" ht="30">
      <c r="A104" s="478">
        <v>96</v>
      </c>
      <c r="B104" s="535">
        <v>42494</v>
      </c>
      <c r="C104" s="545" t="s">
        <v>1600</v>
      </c>
      <c r="D104" s="539" t="s">
        <v>1601</v>
      </c>
      <c r="E104" s="523" t="s">
        <v>1527</v>
      </c>
      <c r="F104" s="523">
        <v>187.5</v>
      </c>
      <c r="G104" s="523">
        <v>187.5</v>
      </c>
      <c r="H104" s="523">
        <v>0</v>
      </c>
      <c r="I104" s="523">
        <v>187.5</v>
      </c>
    </row>
    <row r="105" spans="1:9" ht="30">
      <c r="A105" s="478">
        <v>97</v>
      </c>
      <c r="B105" s="535">
        <v>42494</v>
      </c>
      <c r="C105" s="545" t="s">
        <v>1602</v>
      </c>
      <c r="D105" s="539" t="s">
        <v>1603</v>
      </c>
      <c r="E105" s="523" t="s">
        <v>1527</v>
      </c>
      <c r="F105" s="523">
        <v>187.5</v>
      </c>
      <c r="G105" s="523">
        <v>187.5</v>
      </c>
      <c r="H105" s="523">
        <v>0</v>
      </c>
      <c r="I105" s="523">
        <v>187.5</v>
      </c>
    </row>
    <row r="106" spans="1:9" ht="30">
      <c r="A106" s="478">
        <v>98</v>
      </c>
      <c r="B106" s="535">
        <v>42494</v>
      </c>
      <c r="C106" s="545" t="s">
        <v>1604</v>
      </c>
      <c r="D106" s="539" t="s">
        <v>1605</v>
      </c>
      <c r="E106" s="523" t="s">
        <v>1527</v>
      </c>
      <c r="F106" s="523">
        <v>187.5</v>
      </c>
      <c r="G106" s="523">
        <v>187.5</v>
      </c>
      <c r="H106" s="523">
        <v>0</v>
      </c>
      <c r="I106" s="523">
        <v>187.5</v>
      </c>
    </row>
    <row r="107" spans="1:9" ht="30">
      <c r="A107" s="478">
        <v>99</v>
      </c>
      <c r="B107" s="535">
        <v>42494</v>
      </c>
      <c r="C107" s="545" t="s">
        <v>1606</v>
      </c>
      <c r="D107" s="539" t="s">
        <v>1607</v>
      </c>
      <c r="E107" s="523" t="s">
        <v>1527</v>
      </c>
      <c r="F107" s="523">
        <v>187.5</v>
      </c>
      <c r="G107" s="523">
        <v>187.5</v>
      </c>
      <c r="H107" s="523">
        <v>0</v>
      </c>
      <c r="I107" s="523">
        <v>187.5</v>
      </c>
    </row>
    <row r="108" spans="1:9" ht="30">
      <c r="A108" s="478">
        <v>100</v>
      </c>
      <c r="B108" s="535">
        <v>42494</v>
      </c>
      <c r="C108" s="545" t="s">
        <v>1608</v>
      </c>
      <c r="D108" s="539" t="s">
        <v>1609</v>
      </c>
      <c r="E108" s="523" t="s">
        <v>1527</v>
      </c>
      <c r="F108" s="523">
        <v>187.5</v>
      </c>
      <c r="G108" s="523">
        <v>187.5</v>
      </c>
      <c r="H108" s="523">
        <v>0</v>
      </c>
      <c r="I108" s="523">
        <v>187.5</v>
      </c>
    </row>
    <row r="109" spans="1:9" ht="30">
      <c r="A109" s="478">
        <v>101</v>
      </c>
      <c r="B109" s="535">
        <v>42494</v>
      </c>
      <c r="C109" s="545" t="s">
        <v>1610</v>
      </c>
      <c r="D109" s="539" t="s">
        <v>1611</v>
      </c>
      <c r="E109" s="523" t="s">
        <v>1527</v>
      </c>
      <c r="F109" s="523">
        <v>187.5</v>
      </c>
      <c r="G109" s="523">
        <v>187.5</v>
      </c>
      <c r="H109" s="523">
        <v>0</v>
      </c>
      <c r="I109" s="523">
        <v>187.5</v>
      </c>
    </row>
    <row r="110" spans="1:9" ht="30">
      <c r="A110" s="478">
        <v>102</v>
      </c>
      <c r="B110" s="535">
        <v>42494</v>
      </c>
      <c r="C110" s="545" t="s">
        <v>1612</v>
      </c>
      <c r="D110" s="539" t="s">
        <v>1613</v>
      </c>
      <c r="E110" s="523" t="s">
        <v>1527</v>
      </c>
      <c r="F110" s="523">
        <v>187.5</v>
      </c>
      <c r="G110" s="523">
        <v>187.5</v>
      </c>
      <c r="H110" s="523">
        <v>0</v>
      </c>
      <c r="I110" s="523">
        <v>187.5</v>
      </c>
    </row>
    <row r="111" spans="1:9" ht="30">
      <c r="A111" s="478">
        <v>103</v>
      </c>
      <c r="B111" s="535">
        <v>42494</v>
      </c>
      <c r="C111" s="545" t="s">
        <v>1614</v>
      </c>
      <c r="D111" s="539" t="s">
        <v>1615</v>
      </c>
      <c r="E111" s="523" t="s">
        <v>1527</v>
      </c>
      <c r="F111" s="523">
        <v>187.5</v>
      </c>
      <c r="G111" s="523">
        <v>187.5</v>
      </c>
      <c r="H111" s="523">
        <v>0</v>
      </c>
      <c r="I111" s="523">
        <v>187.5</v>
      </c>
    </row>
    <row r="112" spans="1:9" ht="30">
      <c r="A112" s="478">
        <v>104</v>
      </c>
      <c r="B112" s="535">
        <v>42494</v>
      </c>
      <c r="C112" s="545" t="s">
        <v>1616</v>
      </c>
      <c r="D112" s="539" t="s">
        <v>1617</v>
      </c>
      <c r="E112" s="523" t="s">
        <v>1527</v>
      </c>
      <c r="F112" s="523">
        <v>187.5</v>
      </c>
      <c r="G112" s="523">
        <v>187.5</v>
      </c>
      <c r="H112" s="523">
        <v>0</v>
      </c>
      <c r="I112" s="523">
        <v>187.5</v>
      </c>
    </row>
    <row r="113" spans="1:9" ht="30">
      <c r="A113" s="478">
        <v>105</v>
      </c>
      <c r="B113" s="535">
        <v>42494</v>
      </c>
      <c r="C113" s="545" t="s">
        <v>1618</v>
      </c>
      <c r="D113" s="540" t="s">
        <v>1619</v>
      </c>
      <c r="E113" s="523" t="s">
        <v>1527</v>
      </c>
      <c r="F113" s="523">
        <v>187.5</v>
      </c>
      <c r="G113" s="523">
        <v>187.5</v>
      </c>
      <c r="H113" s="523">
        <v>0</v>
      </c>
      <c r="I113" s="523">
        <v>187.5</v>
      </c>
    </row>
    <row r="114" spans="1:9" ht="30">
      <c r="A114" s="478">
        <v>106</v>
      </c>
      <c r="B114" s="535">
        <v>42494</v>
      </c>
      <c r="C114" s="545" t="s">
        <v>1620</v>
      </c>
      <c r="D114" s="540" t="s">
        <v>1621</v>
      </c>
      <c r="E114" s="523" t="s">
        <v>1527</v>
      </c>
      <c r="F114" s="523">
        <v>187.5</v>
      </c>
      <c r="G114" s="523">
        <v>187.5</v>
      </c>
      <c r="H114" s="523">
        <v>0</v>
      </c>
      <c r="I114" s="523">
        <v>187.5</v>
      </c>
    </row>
    <row r="115" spans="1:9" ht="30">
      <c r="A115" s="478">
        <v>107</v>
      </c>
      <c r="B115" s="535">
        <v>42494</v>
      </c>
      <c r="C115" s="545" t="s">
        <v>1622</v>
      </c>
      <c r="D115" s="540" t="s">
        <v>1623</v>
      </c>
      <c r="E115" s="523" t="s">
        <v>1527</v>
      </c>
      <c r="F115" s="523">
        <v>187.5</v>
      </c>
      <c r="G115" s="523">
        <v>187.5</v>
      </c>
      <c r="H115" s="523">
        <v>0</v>
      </c>
      <c r="I115" s="523">
        <v>187.5</v>
      </c>
    </row>
    <row r="116" spans="1:9" ht="30">
      <c r="A116" s="478">
        <v>108</v>
      </c>
      <c r="B116" s="535">
        <v>42494</v>
      </c>
      <c r="C116" s="545" t="s">
        <v>1624</v>
      </c>
      <c r="D116" s="539" t="s">
        <v>1625</v>
      </c>
      <c r="E116" s="523" t="s">
        <v>1527</v>
      </c>
      <c r="F116" s="523">
        <v>187.5</v>
      </c>
      <c r="G116" s="523">
        <v>187.5</v>
      </c>
      <c r="H116" s="523">
        <v>0</v>
      </c>
      <c r="I116" s="523">
        <v>187.5</v>
      </c>
    </row>
    <row r="117" spans="1:9" ht="30">
      <c r="A117" s="478">
        <v>109</v>
      </c>
      <c r="B117" s="535">
        <v>42494</v>
      </c>
      <c r="C117" s="545" t="s">
        <v>1626</v>
      </c>
      <c r="D117" s="539" t="s">
        <v>1627</v>
      </c>
      <c r="E117" s="523" t="s">
        <v>1527</v>
      </c>
      <c r="F117" s="523">
        <v>187.5</v>
      </c>
      <c r="G117" s="523">
        <v>187.5</v>
      </c>
      <c r="H117" s="523">
        <v>0</v>
      </c>
      <c r="I117" s="523">
        <v>187.5</v>
      </c>
    </row>
    <row r="118" spans="1:9" ht="30">
      <c r="A118" s="478">
        <v>110</v>
      </c>
      <c r="B118" s="535">
        <v>42494</v>
      </c>
      <c r="C118" s="545" t="s">
        <v>1628</v>
      </c>
      <c r="D118" s="539" t="s">
        <v>1629</v>
      </c>
      <c r="E118" s="523" t="s">
        <v>1527</v>
      </c>
      <c r="F118" s="523">
        <v>187.5</v>
      </c>
      <c r="G118" s="523">
        <v>187.5</v>
      </c>
      <c r="H118" s="523">
        <v>0</v>
      </c>
      <c r="I118" s="523">
        <v>187.5</v>
      </c>
    </row>
    <row r="119" spans="1:9" ht="30">
      <c r="A119" s="478">
        <v>111</v>
      </c>
      <c r="B119" s="535">
        <v>42494</v>
      </c>
      <c r="C119" s="545" t="s">
        <v>1630</v>
      </c>
      <c r="D119" s="539" t="s">
        <v>1631</v>
      </c>
      <c r="E119" s="523" t="s">
        <v>1527</v>
      </c>
      <c r="F119" s="523">
        <v>187.5</v>
      </c>
      <c r="G119" s="523">
        <v>187.5</v>
      </c>
      <c r="H119" s="523">
        <v>0</v>
      </c>
      <c r="I119" s="523">
        <v>187.5</v>
      </c>
    </row>
    <row r="120" spans="1:9" ht="30">
      <c r="A120" s="478">
        <v>112</v>
      </c>
      <c r="B120" s="535">
        <v>42494</v>
      </c>
      <c r="C120" s="545" t="s">
        <v>1632</v>
      </c>
      <c r="D120" s="539" t="s">
        <v>1633</v>
      </c>
      <c r="E120" s="523" t="s">
        <v>1527</v>
      </c>
      <c r="F120" s="523">
        <v>187.5</v>
      </c>
      <c r="G120" s="523">
        <v>187.5</v>
      </c>
      <c r="H120" s="523">
        <v>0</v>
      </c>
      <c r="I120" s="523">
        <v>187.5</v>
      </c>
    </row>
    <row r="121" spans="1:9" ht="30">
      <c r="A121" s="478">
        <v>113</v>
      </c>
      <c r="B121" s="535">
        <v>42494</v>
      </c>
      <c r="C121" s="545" t="s">
        <v>1634</v>
      </c>
      <c r="D121" s="539" t="s">
        <v>1635</v>
      </c>
      <c r="E121" s="523" t="s">
        <v>1527</v>
      </c>
      <c r="F121" s="523">
        <v>187.5</v>
      </c>
      <c r="G121" s="523">
        <v>187.5</v>
      </c>
      <c r="H121" s="523">
        <v>0</v>
      </c>
      <c r="I121" s="523">
        <v>187.5</v>
      </c>
    </row>
    <row r="122" spans="1:9" ht="30">
      <c r="A122" s="478">
        <v>114</v>
      </c>
      <c r="B122" s="535">
        <v>42494</v>
      </c>
      <c r="C122" s="545" t="s">
        <v>1636</v>
      </c>
      <c r="D122" s="541" t="s">
        <v>1637</v>
      </c>
      <c r="E122" s="523" t="s">
        <v>1527</v>
      </c>
      <c r="F122" s="523">
        <v>187.5</v>
      </c>
      <c r="G122" s="523">
        <v>187.5</v>
      </c>
      <c r="H122" s="523">
        <v>0</v>
      </c>
      <c r="I122" s="523">
        <v>187.5</v>
      </c>
    </row>
    <row r="123" spans="1:9">
      <c r="A123" s="478">
        <v>115</v>
      </c>
      <c r="B123" s="535">
        <v>42512</v>
      </c>
      <c r="C123" s="602" t="s">
        <v>1652</v>
      </c>
      <c r="D123" s="603"/>
      <c r="E123" s="604"/>
      <c r="F123" s="523">
        <v>8150</v>
      </c>
      <c r="G123" s="523">
        <v>8150</v>
      </c>
      <c r="H123" s="523">
        <v>0</v>
      </c>
      <c r="I123" s="523">
        <v>8150</v>
      </c>
    </row>
    <row r="124" spans="1:9" ht="60">
      <c r="A124" s="478">
        <v>116</v>
      </c>
      <c r="B124" s="535">
        <v>42509</v>
      </c>
      <c r="C124" s="546" t="s">
        <v>1545</v>
      </c>
      <c r="D124" s="542" t="s">
        <v>1638</v>
      </c>
      <c r="E124" s="523" t="s">
        <v>1544</v>
      </c>
      <c r="F124" s="523">
        <v>1500</v>
      </c>
      <c r="G124" s="523">
        <v>1500</v>
      </c>
      <c r="H124" s="523">
        <v>0</v>
      </c>
      <c r="I124" s="523">
        <v>1500</v>
      </c>
    </row>
    <row r="125" spans="1:9">
      <c r="A125" s="478">
        <v>117</v>
      </c>
      <c r="B125" s="535">
        <v>42503</v>
      </c>
      <c r="C125" s="544" t="s">
        <v>1290</v>
      </c>
      <c r="D125" s="538" t="s">
        <v>1639</v>
      </c>
      <c r="E125" s="523" t="s">
        <v>757</v>
      </c>
      <c r="F125" s="523">
        <v>400</v>
      </c>
      <c r="G125" s="523">
        <v>400</v>
      </c>
      <c r="H125" s="523">
        <v>0</v>
      </c>
      <c r="I125" s="523">
        <v>400</v>
      </c>
    </row>
    <row r="126" spans="1:9" ht="45">
      <c r="A126" s="478">
        <v>118</v>
      </c>
      <c r="B126" s="535">
        <v>42508</v>
      </c>
      <c r="C126" s="546" t="s">
        <v>1640</v>
      </c>
      <c r="D126" s="542" t="s">
        <v>1641</v>
      </c>
      <c r="E126" s="523" t="s">
        <v>1544</v>
      </c>
      <c r="F126" s="523">
        <v>50</v>
      </c>
      <c r="G126" s="523">
        <v>50</v>
      </c>
      <c r="H126" s="523">
        <v>0</v>
      </c>
      <c r="I126" s="523">
        <v>50</v>
      </c>
    </row>
    <row r="127" spans="1:9" ht="30">
      <c r="A127" s="478">
        <v>119</v>
      </c>
      <c r="B127" s="535">
        <v>42508</v>
      </c>
      <c r="C127" s="546" t="s">
        <v>1546</v>
      </c>
      <c r="D127" s="542" t="s">
        <v>1642</v>
      </c>
      <c r="E127" s="523" t="s">
        <v>1544</v>
      </c>
      <c r="F127" s="523">
        <v>100</v>
      </c>
      <c r="G127" s="523">
        <v>100</v>
      </c>
      <c r="H127" s="523">
        <v>0</v>
      </c>
      <c r="I127" s="523">
        <v>100</v>
      </c>
    </row>
    <row r="128" spans="1:9" ht="45">
      <c r="A128" s="478">
        <v>120</v>
      </c>
      <c r="B128" s="535">
        <v>42508</v>
      </c>
      <c r="C128" s="546" t="s">
        <v>1643</v>
      </c>
      <c r="D128" s="542" t="s">
        <v>1644</v>
      </c>
      <c r="E128" s="523" t="s">
        <v>1645</v>
      </c>
      <c r="F128" s="523">
        <v>200</v>
      </c>
      <c r="G128" s="523">
        <v>200</v>
      </c>
      <c r="H128" s="523">
        <v>0</v>
      </c>
      <c r="I128" s="523">
        <v>200</v>
      </c>
    </row>
    <row r="129" spans="1:12" ht="30">
      <c r="A129" s="478">
        <v>121</v>
      </c>
      <c r="B129" s="535">
        <v>42487</v>
      </c>
      <c r="C129" s="547" t="s">
        <v>1646</v>
      </c>
      <c r="D129" s="542" t="s">
        <v>1647</v>
      </c>
      <c r="E129" s="523" t="s">
        <v>1648</v>
      </c>
      <c r="F129" s="523">
        <v>625</v>
      </c>
      <c r="G129" s="523">
        <v>625</v>
      </c>
      <c r="H129" s="523">
        <v>0</v>
      </c>
      <c r="I129" s="523">
        <v>625</v>
      </c>
    </row>
    <row r="130" spans="1:12" ht="45">
      <c r="A130" s="478">
        <v>122</v>
      </c>
      <c r="B130" s="535">
        <v>42475</v>
      </c>
      <c r="C130" s="547" t="s">
        <v>1649</v>
      </c>
      <c r="D130" s="542" t="s">
        <v>1650</v>
      </c>
      <c r="E130" s="523" t="s">
        <v>1651</v>
      </c>
      <c r="F130" s="523">
        <v>1250</v>
      </c>
      <c r="G130" s="523">
        <v>1250</v>
      </c>
      <c r="H130" s="523">
        <v>0</v>
      </c>
      <c r="I130" s="523">
        <v>1250</v>
      </c>
    </row>
    <row r="131" spans="1:12" ht="30">
      <c r="A131" s="548">
        <v>123</v>
      </c>
      <c r="B131" s="549">
        <v>42504</v>
      </c>
      <c r="C131" s="550" t="s">
        <v>1653</v>
      </c>
      <c r="D131" s="551" t="s">
        <v>1654</v>
      </c>
      <c r="E131" s="552" t="s">
        <v>1655</v>
      </c>
      <c r="F131" s="552">
        <v>2400</v>
      </c>
      <c r="G131" s="552">
        <v>2400</v>
      </c>
      <c r="H131" s="553">
        <v>0</v>
      </c>
      <c r="I131" s="554">
        <v>2400</v>
      </c>
    </row>
    <row r="132" spans="1:12">
      <c r="A132" s="436" t="s">
        <v>268</v>
      </c>
      <c r="B132" s="437"/>
      <c r="C132" s="438"/>
      <c r="D132" s="438"/>
      <c r="E132" s="439"/>
      <c r="F132" s="439"/>
      <c r="G132" s="440"/>
      <c r="H132" s="441" t="s">
        <v>403</v>
      </c>
      <c r="I132" s="555">
        <f>SUM(I9:I131)</f>
        <v>1368931.7900000003</v>
      </c>
    </row>
    <row r="134" spans="1:12">
      <c r="A134" s="26" t="s">
        <v>428</v>
      </c>
    </row>
    <row r="136" spans="1:12">
      <c r="B136" s="369" t="s">
        <v>96</v>
      </c>
      <c r="F136" s="109"/>
    </row>
    <row r="137" spans="1:12">
      <c r="F137" s="110"/>
      <c r="I137" s="110"/>
      <c r="J137" s="110"/>
      <c r="K137" s="110"/>
      <c r="L137" s="110"/>
    </row>
    <row r="138" spans="1:12">
      <c r="C138" s="370"/>
      <c r="F138" s="370"/>
      <c r="G138" s="370"/>
      <c r="H138" s="111"/>
      <c r="I138" s="371"/>
      <c r="J138" s="110"/>
      <c r="K138" s="110"/>
      <c r="L138" s="110"/>
    </row>
    <row r="139" spans="1:12">
      <c r="A139" s="110"/>
      <c r="C139" s="372" t="s">
        <v>257</v>
      </c>
      <c r="F139" s="111" t="s">
        <v>262</v>
      </c>
      <c r="G139" s="372"/>
      <c r="H139" s="372"/>
      <c r="I139" s="371"/>
      <c r="J139" s="110"/>
      <c r="K139" s="110"/>
      <c r="L139" s="110"/>
    </row>
    <row r="140" spans="1:12">
      <c r="A140" s="110"/>
      <c r="C140" s="373" t="s">
        <v>128</v>
      </c>
      <c r="F140" s="26" t="s">
        <v>258</v>
      </c>
      <c r="I140" s="110"/>
      <c r="J140" s="110"/>
      <c r="K140" s="110"/>
      <c r="L140" s="110"/>
    </row>
    <row r="141" spans="1:12" s="110" customFormat="1">
      <c r="B141" s="26"/>
      <c r="C141" s="373"/>
      <c r="G141" s="373"/>
      <c r="H141" s="373"/>
    </row>
    <row r="142" spans="1:12" s="110" customFormat="1" ht="12.75"/>
    <row r="143" spans="1:12" s="110" customFormat="1" ht="12.75"/>
    <row r="144" spans="1:12" s="110" customFormat="1" ht="12.75"/>
    <row r="145" s="110" customFormat="1" ht="12.75"/>
  </sheetData>
  <mergeCells count="2">
    <mergeCell ref="I2:J2"/>
    <mergeCell ref="C123:E123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132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5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L16" sqref="L16"/>
    </sheetView>
  </sheetViews>
  <sheetFormatPr defaultRowHeight="12.75"/>
  <cols>
    <col min="1" max="1" width="2.7109375" style="195" customWidth="1"/>
    <col min="2" max="2" width="9" style="195" customWidth="1"/>
    <col min="3" max="3" width="23.42578125" style="195" customWidth="1"/>
    <col min="4" max="4" width="13.28515625" style="195" customWidth="1"/>
    <col min="5" max="5" width="9.5703125" style="195" customWidth="1"/>
    <col min="6" max="6" width="11.5703125" style="195" customWidth="1"/>
    <col min="7" max="7" width="12.28515625" style="195" customWidth="1"/>
    <col min="8" max="8" width="15.28515625" style="195" customWidth="1"/>
    <col min="9" max="9" width="17.5703125" style="195" customWidth="1"/>
    <col min="10" max="11" width="12.42578125" style="195" customWidth="1"/>
    <col min="12" max="12" width="23.5703125" style="195" customWidth="1"/>
    <col min="13" max="13" width="18.5703125" style="195" customWidth="1"/>
    <col min="14" max="14" width="0.85546875" style="195" customWidth="1"/>
    <col min="15" max="16384" width="9.140625" style="195"/>
  </cols>
  <sheetData>
    <row r="1" spans="1:14" ht="13.5">
      <c r="A1" s="192" t="s">
        <v>429</v>
      </c>
      <c r="B1" s="193"/>
      <c r="C1" s="193"/>
      <c r="D1" s="193"/>
      <c r="E1" s="193"/>
      <c r="F1" s="193"/>
      <c r="G1" s="193"/>
      <c r="H1" s="193"/>
      <c r="I1" s="196"/>
      <c r="J1" s="250"/>
      <c r="K1" s="250"/>
      <c r="L1" s="250"/>
      <c r="M1" s="250" t="s">
        <v>392</v>
      </c>
      <c r="N1" s="196"/>
    </row>
    <row r="2" spans="1:14" ht="15">
      <c r="A2" s="196" t="s">
        <v>307</v>
      </c>
      <c r="B2" s="193"/>
      <c r="C2" s="193"/>
      <c r="D2" s="194"/>
      <c r="E2" s="194"/>
      <c r="F2" s="194"/>
      <c r="G2" s="194"/>
      <c r="H2" s="194"/>
      <c r="I2" s="193"/>
      <c r="J2" s="193"/>
      <c r="K2" s="193"/>
      <c r="L2" s="193"/>
      <c r="M2" s="564" t="s">
        <v>943</v>
      </c>
      <c r="N2" s="565"/>
    </row>
    <row r="3" spans="1:14">
      <c r="A3" s="196"/>
      <c r="B3" s="193"/>
      <c r="C3" s="193"/>
      <c r="D3" s="194"/>
      <c r="E3" s="194"/>
      <c r="F3" s="194"/>
      <c r="G3" s="194"/>
      <c r="H3" s="194"/>
      <c r="I3" s="193"/>
      <c r="J3" s="193"/>
      <c r="K3" s="193"/>
      <c r="L3" s="193"/>
      <c r="M3" s="193"/>
      <c r="N3" s="196"/>
    </row>
    <row r="4" spans="1:14" ht="15">
      <c r="A4" s="114" t="s">
        <v>263</v>
      </c>
      <c r="B4" s="193"/>
      <c r="C4" s="193"/>
      <c r="D4" s="197"/>
      <c r="E4" s="251"/>
      <c r="F4" s="197"/>
      <c r="G4" s="194"/>
      <c r="H4" s="194"/>
      <c r="I4" s="194"/>
      <c r="J4" s="194"/>
      <c r="K4" s="194"/>
      <c r="L4" s="193"/>
      <c r="M4" s="194"/>
      <c r="N4" s="196"/>
    </row>
    <row r="5" spans="1:14">
      <c r="A5" s="110" t="s">
        <v>654</v>
      </c>
      <c r="B5" s="198"/>
      <c r="C5" s="198"/>
      <c r="D5" s="198"/>
      <c r="E5" s="199"/>
      <c r="F5" s="199"/>
      <c r="G5" s="199"/>
      <c r="H5" s="199"/>
      <c r="I5" s="199"/>
      <c r="J5" s="199"/>
      <c r="K5" s="199"/>
      <c r="L5" s="199"/>
      <c r="M5" s="199"/>
      <c r="N5" s="196"/>
    </row>
    <row r="6" spans="1:14" ht="13.5" thickBot="1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196"/>
    </row>
    <row r="7" spans="1:14" ht="51">
      <c r="A7" s="253" t="s">
        <v>64</v>
      </c>
      <c r="B7" s="254" t="s">
        <v>393</v>
      </c>
      <c r="C7" s="254" t="s">
        <v>394</v>
      </c>
      <c r="D7" s="255" t="s">
        <v>395</v>
      </c>
      <c r="E7" s="255" t="s">
        <v>264</v>
      </c>
      <c r="F7" s="255" t="s">
        <v>396</v>
      </c>
      <c r="G7" s="255" t="s">
        <v>397</v>
      </c>
      <c r="H7" s="254" t="s">
        <v>398</v>
      </c>
      <c r="I7" s="256" t="s">
        <v>399</v>
      </c>
      <c r="J7" s="256" t="s">
        <v>400</v>
      </c>
      <c r="K7" s="257" t="s">
        <v>401</v>
      </c>
      <c r="L7" s="257" t="s">
        <v>402</v>
      </c>
      <c r="M7" s="255" t="s">
        <v>392</v>
      </c>
      <c r="N7" s="196"/>
    </row>
    <row r="8" spans="1:14">
      <c r="A8" s="201">
        <v>1</v>
      </c>
      <c r="B8" s="202">
        <v>2</v>
      </c>
      <c r="C8" s="202">
        <v>3</v>
      </c>
      <c r="D8" s="203">
        <v>4</v>
      </c>
      <c r="E8" s="203">
        <v>5</v>
      </c>
      <c r="F8" s="203">
        <v>6</v>
      </c>
      <c r="G8" s="203">
        <v>7</v>
      </c>
      <c r="H8" s="203">
        <v>8</v>
      </c>
      <c r="I8" s="203">
        <v>9</v>
      </c>
      <c r="J8" s="203">
        <v>10</v>
      </c>
      <c r="K8" s="203">
        <v>11</v>
      </c>
      <c r="L8" s="203">
        <v>12</v>
      </c>
      <c r="M8" s="203">
        <v>13</v>
      </c>
      <c r="N8" s="196"/>
    </row>
    <row r="9" spans="1:14" ht="15">
      <c r="A9" s="204">
        <v>1</v>
      </c>
      <c r="B9" s="205"/>
      <c r="C9" s="258"/>
      <c r="D9" s="204"/>
      <c r="E9" s="204"/>
      <c r="F9" s="204"/>
      <c r="G9" s="204"/>
      <c r="H9" s="204"/>
      <c r="I9" s="204"/>
      <c r="J9" s="204"/>
      <c r="K9" s="204"/>
      <c r="L9" s="204"/>
      <c r="M9" s="259" t="str">
        <f t="shared" ref="M9:M33" si="0">IF(ISBLANK(B9),"",$M$2)</f>
        <v/>
      </c>
      <c r="N9" s="196"/>
    </row>
    <row r="10" spans="1:14" ht="15">
      <c r="A10" s="204">
        <v>2</v>
      </c>
      <c r="B10" s="205"/>
      <c r="C10" s="258"/>
      <c r="D10" s="204"/>
      <c r="E10" s="204"/>
      <c r="F10" s="204"/>
      <c r="G10" s="204"/>
      <c r="H10" s="204"/>
      <c r="I10" s="204"/>
      <c r="J10" s="204"/>
      <c r="K10" s="204"/>
      <c r="L10" s="204"/>
      <c r="M10" s="259" t="str">
        <f t="shared" si="0"/>
        <v/>
      </c>
      <c r="N10" s="196"/>
    </row>
    <row r="11" spans="1:14" ht="15">
      <c r="A11" s="204">
        <v>3</v>
      </c>
      <c r="B11" s="205"/>
      <c r="C11" s="258"/>
      <c r="D11" s="204"/>
      <c r="E11" s="204"/>
      <c r="F11" s="204"/>
      <c r="G11" s="204"/>
      <c r="H11" s="204"/>
      <c r="I11" s="204"/>
      <c r="J11" s="204"/>
      <c r="K11" s="204"/>
      <c r="L11" s="204"/>
      <c r="M11" s="259" t="str">
        <f t="shared" si="0"/>
        <v/>
      </c>
      <c r="N11" s="196"/>
    </row>
    <row r="12" spans="1:14" ht="15">
      <c r="A12" s="204">
        <v>4</v>
      </c>
      <c r="B12" s="205"/>
      <c r="C12" s="258"/>
      <c r="D12" s="204"/>
      <c r="E12" s="204"/>
      <c r="F12" s="204"/>
      <c r="G12" s="204"/>
      <c r="H12" s="204"/>
      <c r="I12" s="204"/>
      <c r="J12" s="204"/>
      <c r="K12" s="204"/>
      <c r="L12" s="204"/>
      <c r="M12" s="259" t="str">
        <f t="shared" si="0"/>
        <v/>
      </c>
      <c r="N12" s="196"/>
    </row>
    <row r="13" spans="1:14" ht="15">
      <c r="A13" s="204">
        <v>5</v>
      </c>
      <c r="B13" s="205"/>
      <c r="C13" s="258"/>
      <c r="D13" s="204"/>
      <c r="E13" s="204"/>
      <c r="F13" s="204"/>
      <c r="G13" s="204"/>
      <c r="H13" s="204"/>
      <c r="I13" s="204"/>
      <c r="J13" s="204"/>
      <c r="K13" s="204"/>
      <c r="L13" s="204"/>
      <c r="M13" s="259" t="str">
        <f t="shared" si="0"/>
        <v/>
      </c>
      <c r="N13" s="196"/>
    </row>
    <row r="14" spans="1:14" ht="15">
      <c r="A14" s="204">
        <v>6</v>
      </c>
      <c r="B14" s="205"/>
      <c r="C14" s="258"/>
      <c r="D14" s="204"/>
      <c r="E14" s="204"/>
      <c r="F14" s="204"/>
      <c r="G14" s="204"/>
      <c r="H14" s="204"/>
      <c r="I14" s="204"/>
      <c r="J14" s="204"/>
      <c r="K14" s="204"/>
      <c r="L14" s="204"/>
      <c r="M14" s="259" t="str">
        <f t="shared" si="0"/>
        <v/>
      </c>
      <c r="N14" s="196"/>
    </row>
    <row r="15" spans="1:14" ht="15">
      <c r="A15" s="204">
        <v>7</v>
      </c>
      <c r="B15" s="205"/>
      <c r="C15" s="258"/>
      <c r="D15" s="204"/>
      <c r="E15" s="204"/>
      <c r="F15" s="204"/>
      <c r="G15" s="204"/>
      <c r="H15" s="204"/>
      <c r="I15" s="204"/>
      <c r="J15" s="204"/>
      <c r="K15" s="204"/>
      <c r="L15" s="204"/>
      <c r="M15" s="259" t="str">
        <f t="shared" si="0"/>
        <v/>
      </c>
      <c r="N15" s="196"/>
    </row>
    <row r="16" spans="1:14" ht="15">
      <c r="A16" s="204">
        <v>8</v>
      </c>
      <c r="B16" s="205"/>
      <c r="C16" s="258"/>
      <c r="D16" s="204"/>
      <c r="E16" s="204"/>
      <c r="F16" s="204"/>
      <c r="G16" s="204"/>
      <c r="H16" s="204"/>
      <c r="I16" s="204"/>
      <c r="J16" s="204"/>
      <c r="K16" s="204"/>
      <c r="L16" s="204"/>
      <c r="M16" s="259" t="str">
        <f t="shared" si="0"/>
        <v/>
      </c>
      <c r="N16" s="196"/>
    </row>
    <row r="17" spans="1:14" ht="15">
      <c r="A17" s="204">
        <v>9</v>
      </c>
      <c r="B17" s="205"/>
      <c r="C17" s="258"/>
      <c r="D17" s="204"/>
      <c r="E17" s="204"/>
      <c r="F17" s="204"/>
      <c r="G17" s="204"/>
      <c r="H17" s="204"/>
      <c r="I17" s="204"/>
      <c r="J17" s="204"/>
      <c r="K17" s="204"/>
      <c r="L17" s="204"/>
      <c r="M17" s="259" t="str">
        <f t="shared" si="0"/>
        <v/>
      </c>
      <c r="N17" s="196"/>
    </row>
    <row r="18" spans="1:14" ht="15">
      <c r="A18" s="204">
        <v>10</v>
      </c>
      <c r="B18" s="205"/>
      <c r="C18" s="258"/>
      <c r="D18" s="204"/>
      <c r="E18" s="204"/>
      <c r="F18" s="204"/>
      <c r="G18" s="204"/>
      <c r="H18" s="204"/>
      <c r="I18" s="204"/>
      <c r="J18" s="204"/>
      <c r="K18" s="204"/>
      <c r="L18" s="204"/>
      <c r="M18" s="259" t="str">
        <f t="shared" si="0"/>
        <v/>
      </c>
      <c r="N18" s="196"/>
    </row>
    <row r="19" spans="1:14" ht="15">
      <c r="A19" s="204">
        <v>11</v>
      </c>
      <c r="B19" s="205"/>
      <c r="C19" s="258"/>
      <c r="D19" s="204"/>
      <c r="E19" s="204"/>
      <c r="F19" s="204"/>
      <c r="G19" s="204"/>
      <c r="H19" s="204"/>
      <c r="I19" s="204"/>
      <c r="J19" s="204"/>
      <c r="K19" s="204"/>
      <c r="L19" s="204"/>
      <c r="M19" s="259" t="str">
        <f t="shared" si="0"/>
        <v/>
      </c>
      <c r="N19" s="196"/>
    </row>
    <row r="20" spans="1:14" ht="15">
      <c r="A20" s="204">
        <v>12</v>
      </c>
      <c r="B20" s="205"/>
      <c r="C20" s="258"/>
      <c r="D20" s="204"/>
      <c r="E20" s="204"/>
      <c r="F20" s="204"/>
      <c r="G20" s="204"/>
      <c r="H20" s="204"/>
      <c r="I20" s="204"/>
      <c r="J20" s="204"/>
      <c r="K20" s="204"/>
      <c r="L20" s="204"/>
      <c r="M20" s="259" t="str">
        <f t="shared" si="0"/>
        <v/>
      </c>
      <c r="N20" s="196"/>
    </row>
    <row r="21" spans="1:14" ht="15">
      <c r="A21" s="204">
        <v>13</v>
      </c>
      <c r="B21" s="205"/>
      <c r="C21" s="258"/>
      <c r="D21" s="204"/>
      <c r="E21" s="204"/>
      <c r="F21" s="204"/>
      <c r="G21" s="204"/>
      <c r="H21" s="204"/>
      <c r="I21" s="204"/>
      <c r="J21" s="204"/>
      <c r="K21" s="204"/>
      <c r="L21" s="204"/>
      <c r="M21" s="259" t="str">
        <f t="shared" si="0"/>
        <v/>
      </c>
      <c r="N21" s="196"/>
    </row>
    <row r="22" spans="1:14" ht="15">
      <c r="A22" s="204">
        <v>14</v>
      </c>
      <c r="B22" s="205"/>
      <c r="C22" s="258"/>
      <c r="D22" s="204"/>
      <c r="E22" s="204"/>
      <c r="F22" s="204"/>
      <c r="G22" s="204"/>
      <c r="H22" s="204"/>
      <c r="I22" s="204"/>
      <c r="J22" s="204"/>
      <c r="K22" s="204"/>
      <c r="L22" s="204"/>
      <c r="M22" s="259" t="str">
        <f t="shared" si="0"/>
        <v/>
      </c>
      <c r="N22" s="196"/>
    </row>
    <row r="23" spans="1:14" ht="15">
      <c r="A23" s="204">
        <v>15</v>
      </c>
      <c r="B23" s="205"/>
      <c r="C23" s="258"/>
      <c r="D23" s="204"/>
      <c r="E23" s="204"/>
      <c r="F23" s="204"/>
      <c r="G23" s="204"/>
      <c r="H23" s="204"/>
      <c r="I23" s="204"/>
      <c r="J23" s="204"/>
      <c r="K23" s="204"/>
      <c r="L23" s="204"/>
      <c r="M23" s="259" t="str">
        <f t="shared" si="0"/>
        <v/>
      </c>
      <c r="N23" s="196"/>
    </row>
    <row r="24" spans="1:14" ht="15">
      <c r="A24" s="204">
        <v>16</v>
      </c>
      <c r="B24" s="205"/>
      <c r="C24" s="258"/>
      <c r="D24" s="204"/>
      <c r="E24" s="204"/>
      <c r="F24" s="204"/>
      <c r="G24" s="204"/>
      <c r="H24" s="204"/>
      <c r="I24" s="204"/>
      <c r="J24" s="204"/>
      <c r="K24" s="204"/>
      <c r="L24" s="204"/>
      <c r="M24" s="259" t="str">
        <f t="shared" si="0"/>
        <v/>
      </c>
      <c r="N24" s="196"/>
    </row>
    <row r="25" spans="1:14" ht="15">
      <c r="A25" s="204">
        <v>17</v>
      </c>
      <c r="B25" s="205"/>
      <c r="C25" s="258"/>
      <c r="D25" s="204"/>
      <c r="E25" s="204"/>
      <c r="F25" s="204"/>
      <c r="G25" s="204"/>
      <c r="H25" s="204"/>
      <c r="I25" s="204"/>
      <c r="J25" s="204"/>
      <c r="K25" s="204"/>
      <c r="L25" s="204"/>
      <c r="M25" s="259" t="str">
        <f t="shared" si="0"/>
        <v/>
      </c>
      <c r="N25" s="196"/>
    </row>
    <row r="26" spans="1:14" ht="15">
      <c r="A26" s="204">
        <v>18</v>
      </c>
      <c r="B26" s="205"/>
      <c r="C26" s="258"/>
      <c r="D26" s="204"/>
      <c r="E26" s="204"/>
      <c r="F26" s="204"/>
      <c r="G26" s="204"/>
      <c r="H26" s="204"/>
      <c r="I26" s="204"/>
      <c r="J26" s="204"/>
      <c r="K26" s="204"/>
      <c r="L26" s="204"/>
      <c r="M26" s="259" t="str">
        <f t="shared" si="0"/>
        <v/>
      </c>
      <c r="N26" s="196"/>
    </row>
    <row r="27" spans="1:14" ht="15">
      <c r="A27" s="204">
        <v>19</v>
      </c>
      <c r="B27" s="205"/>
      <c r="C27" s="258"/>
      <c r="D27" s="204"/>
      <c r="E27" s="204"/>
      <c r="F27" s="204"/>
      <c r="G27" s="204"/>
      <c r="H27" s="204"/>
      <c r="I27" s="204"/>
      <c r="J27" s="204"/>
      <c r="K27" s="204"/>
      <c r="L27" s="204"/>
      <c r="M27" s="259" t="str">
        <f t="shared" si="0"/>
        <v/>
      </c>
      <c r="N27" s="196"/>
    </row>
    <row r="28" spans="1:14" ht="15">
      <c r="A28" s="204">
        <v>20</v>
      </c>
      <c r="B28" s="205"/>
      <c r="C28" s="258"/>
      <c r="D28" s="204"/>
      <c r="E28" s="204"/>
      <c r="F28" s="204"/>
      <c r="G28" s="204"/>
      <c r="H28" s="204"/>
      <c r="I28" s="204"/>
      <c r="J28" s="204"/>
      <c r="K28" s="204"/>
      <c r="L28" s="204"/>
      <c r="M28" s="259" t="str">
        <f t="shared" si="0"/>
        <v/>
      </c>
      <c r="N28" s="196"/>
    </row>
    <row r="29" spans="1:14" ht="15">
      <c r="A29" s="204">
        <v>21</v>
      </c>
      <c r="B29" s="205"/>
      <c r="C29" s="258"/>
      <c r="D29" s="204"/>
      <c r="E29" s="204"/>
      <c r="F29" s="204"/>
      <c r="G29" s="204"/>
      <c r="H29" s="204"/>
      <c r="I29" s="204"/>
      <c r="J29" s="204"/>
      <c r="K29" s="204"/>
      <c r="L29" s="204"/>
      <c r="M29" s="259" t="str">
        <f t="shared" si="0"/>
        <v/>
      </c>
      <c r="N29" s="196"/>
    </row>
    <row r="30" spans="1:14" ht="15">
      <c r="A30" s="204">
        <v>22</v>
      </c>
      <c r="B30" s="205"/>
      <c r="C30" s="258"/>
      <c r="D30" s="204"/>
      <c r="E30" s="204"/>
      <c r="F30" s="204"/>
      <c r="G30" s="204"/>
      <c r="H30" s="204"/>
      <c r="I30" s="204"/>
      <c r="J30" s="204"/>
      <c r="K30" s="204"/>
      <c r="L30" s="204"/>
      <c r="M30" s="259" t="str">
        <f t="shared" si="0"/>
        <v/>
      </c>
      <c r="N30" s="196"/>
    </row>
    <row r="31" spans="1:14" ht="15">
      <c r="A31" s="204">
        <v>23</v>
      </c>
      <c r="B31" s="205"/>
      <c r="C31" s="258"/>
      <c r="D31" s="204"/>
      <c r="E31" s="204"/>
      <c r="F31" s="204"/>
      <c r="G31" s="204"/>
      <c r="H31" s="204"/>
      <c r="I31" s="204"/>
      <c r="J31" s="204"/>
      <c r="K31" s="204"/>
      <c r="L31" s="204"/>
      <c r="M31" s="259" t="str">
        <f t="shared" si="0"/>
        <v/>
      </c>
      <c r="N31" s="196"/>
    </row>
    <row r="32" spans="1:14" ht="15">
      <c r="A32" s="204">
        <v>24</v>
      </c>
      <c r="B32" s="205"/>
      <c r="C32" s="258"/>
      <c r="D32" s="204"/>
      <c r="E32" s="204"/>
      <c r="F32" s="204"/>
      <c r="G32" s="204"/>
      <c r="H32" s="204"/>
      <c r="I32" s="204"/>
      <c r="J32" s="204"/>
      <c r="K32" s="204"/>
      <c r="L32" s="204"/>
      <c r="M32" s="259" t="str">
        <f t="shared" si="0"/>
        <v/>
      </c>
      <c r="N32" s="196"/>
    </row>
    <row r="33" spans="1:14" ht="15">
      <c r="A33" s="260" t="s">
        <v>268</v>
      </c>
      <c r="B33" s="205"/>
      <c r="C33" s="258"/>
      <c r="D33" s="204"/>
      <c r="E33" s="204"/>
      <c r="F33" s="204"/>
      <c r="G33" s="204"/>
      <c r="H33" s="204"/>
      <c r="I33" s="204"/>
      <c r="J33" s="204"/>
      <c r="K33" s="204"/>
      <c r="L33" s="204"/>
      <c r="M33" s="259" t="str">
        <f t="shared" si="0"/>
        <v/>
      </c>
      <c r="N33" s="196"/>
    </row>
    <row r="34" spans="1:14" s="211" customFormat="1"/>
    <row r="37" spans="1:14" s="21" customFormat="1" ht="15">
      <c r="B37" s="206" t="s">
        <v>96</v>
      </c>
    </row>
    <row r="38" spans="1:14" s="21" customFormat="1" ht="15">
      <c r="B38" s="206"/>
    </row>
    <row r="39" spans="1:14" s="21" customFormat="1" ht="15">
      <c r="C39" s="208"/>
      <c r="D39" s="207"/>
      <c r="E39" s="207"/>
      <c r="H39" s="208"/>
      <c r="I39" s="208"/>
      <c r="J39" s="207"/>
      <c r="K39" s="207"/>
      <c r="L39" s="207"/>
    </row>
    <row r="40" spans="1:14" s="21" customFormat="1" ht="15">
      <c r="C40" s="209" t="s">
        <v>257</v>
      </c>
      <c r="D40" s="207"/>
      <c r="E40" s="207"/>
      <c r="H40" s="206" t="s">
        <v>309</v>
      </c>
      <c r="M40" s="207"/>
    </row>
    <row r="41" spans="1:14" s="21" customFormat="1" ht="15">
      <c r="C41" s="209" t="s">
        <v>128</v>
      </c>
      <c r="D41" s="207"/>
      <c r="E41" s="207"/>
      <c r="H41" s="210" t="s">
        <v>258</v>
      </c>
      <c r="M41" s="207"/>
    </row>
    <row r="42" spans="1:14" ht="15">
      <c r="C42" s="209"/>
      <c r="F42" s="210"/>
      <c r="J42" s="212"/>
      <c r="K42" s="212"/>
      <c r="L42" s="212"/>
      <c r="M42" s="212"/>
    </row>
    <row r="43" spans="1:14" ht="15">
      <c r="C43" s="20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208</v>
      </c>
      <c r="C1" t="s">
        <v>188</v>
      </c>
      <c r="E1" t="s">
        <v>215</v>
      </c>
      <c r="G1" t="s">
        <v>225</v>
      </c>
    </row>
    <row r="2" spans="1:7" ht="15">
      <c r="A2" s="60">
        <v>40907</v>
      </c>
      <c r="C2" t="s">
        <v>189</v>
      </c>
      <c r="E2" t="s">
        <v>220</v>
      </c>
      <c r="G2" s="61" t="s">
        <v>226</v>
      </c>
    </row>
    <row r="3" spans="1:7" ht="15">
      <c r="A3" s="60">
        <v>40908</v>
      </c>
      <c r="C3" t="s">
        <v>190</v>
      </c>
      <c r="E3" t="s">
        <v>221</v>
      </c>
      <c r="G3" s="61" t="s">
        <v>227</v>
      </c>
    </row>
    <row r="4" spans="1:7" ht="15">
      <c r="A4" s="60">
        <v>40909</v>
      </c>
      <c r="C4" t="s">
        <v>191</v>
      </c>
      <c r="E4" t="s">
        <v>222</v>
      </c>
      <c r="G4" s="61" t="s">
        <v>228</v>
      </c>
    </row>
    <row r="5" spans="1:7">
      <c r="A5" s="60">
        <v>40910</v>
      </c>
      <c r="C5" t="s">
        <v>192</v>
      </c>
      <c r="E5" t="s">
        <v>223</v>
      </c>
    </row>
    <row r="6" spans="1:7">
      <c r="A6" s="60">
        <v>40911</v>
      </c>
      <c r="C6" t="s">
        <v>193</v>
      </c>
    </row>
    <row r="7" spans="1:7">
      <c r="A7" s="60">
        <v>40912</v>
      </c>
      <c r="C7" t="s">
        <v>194</v>
      </c>
    </row>
    <row r="8" spans="1:7">
      <c r="A8" s="60">
        <v>40913</v>
      </c>
      <c r="C8" t="s">
        <v>195</v>
      </c>
    </row>
    <row r="9" spans="1:7">
      <c r="A9" s="60">
        <v>40914</v>
      </c>
      <c r="C9" t="s">
        <v>196</v>
      </c>
    </row>
    <row r="10" spans="1:7">
      <c r="A10" s="60">
        <v>40915</v>
      </c>
      <c r="C10" t="s">
        <v>197</v>
      </c>
    </row>
    <row r="11" spans="1:7">
      <c r="A11" s="60">
        <v>40916</v>
      </c>
      <c r="C11" t="s">
        <v>198</v>
      </c>
    </row>
    <row r="12" spans="1:7">
      <c r="A12" s="60">
        <v>40917</v>
      </c>
      <c r="C12" t="s">
        <v>199</v>
      </c>
    </row>
    <row r="13" spans="1:7">
      <c r="A13" s="60">
        <v>40918</v>
      </c>
      <c r="C13" t="s">
        <v>200</v>
      </c>
    </row>
    <row r="14" spans="1:7">
      <c r="A14" s="60">
        <v>40919</v>
      </c>
      <c r="C14" t="s">
        <v>201</v>
      </c>
    </row>
    <row r="15" spans="1:7">
      <c r="A15" s="60">
        <v>40920</v>
      </c>
      <c r="C15" t="s">
        <v>202</v>
      </c>
    </row>
    <row r="16" spans="1:7">
      <c r="A16" s="60">
        <v>40921</v>
      </c>
      <c r="C16" t="s">
        <v>203</v>
      </c>
    </row>
    <row r="17" spans="1:3">
      <c r="A17" s="60">
        <v>40922</v>
      </c>
      <c r="C17" t="s">
        <v>204</v>
      </c>
    </row>
    <row r="18" spans="1:3">
      <c r="A18" s="60">
        <v>40923</v>
      </c>
      <c r="C18" t="s">
        <v>205</v>
      </c>
    </row>
    <row r="19" spans="1:3">
      <c r="A19" s="60">
        <v>40924</v>
      </c>
      <c r="C19" t="s">
        <v>206</v>
      </c>
    </row>
    <row r="20" spans="1:3">
      <c r="A20" s="60">
        <v>40925</v>
      </c>
      <c r="C20" t="s">
        <v>207</v>
      </c>
    </row>
    <row r="21" spans="1:3">
      <c r="A21" s="60">
        <v>40926</v>
      </c>
    </row>
    <row r="22" spans="1:3">
      <c r="A22" s="60">
        <v>40927</v>
      </c>
    </row>
    <row r="23" spans="1:3">
      <c r="A23" s="60">
        <v>40928</v>
      </c>
    </row>
    <row r="24" spans="1:3">
      <c r="A24" s="60">
        <v>40929</v>
      </c>
    </row>
    <row r="25" spans="1:3">
      <c r="A25" s="60">
        <v>40930</v>
      </c>
    </row>
    <row r="26" spans="1:3">
      <c r="A26" s="60">
        <v>40931</v>
      </c>
    </row>
    <row r="27" spans="1:3">
      <c r="A27" s="60">
        <v>40932</v>
      </c>
    </row>
    <row r="28" spans="1:3">
      <c r="A28" s="60">
        <v>40933</v>
      </c>
    </row>
    <row r="29" spans="1:3">
      <c r="A29" s="60">
        <v>40934</v>
      </c>
    </row>
    <row r="30" spans="1:3">
      <c r="A30" s="60">
        <v>40935</v>
      </c>
    </row>
    <row r="31" spans="1:3">
      <c r="A31" s="60">
        <v>40936</v>
      </c>
    </row>
    <row r="32" spans="1:3">
      <c r="A32" s="60">
        <v>40937</v>
      </c>
    </row>
    <row r="33" spans="1:1">
      <c r="A33" s="60">
        <v>40938</v>
      </c>
    </row>
    <row r="34" spans="1:1">
      <c r="A34" s="60">
        <v>40939</v>
      </c>
    </row>
    <row r="35" spans="1:1">
      <c r="A35" s="60">
        <v>40941</v>
      </c>
    </row>
    <row r="36" spans="1:1">
      <c r="A36" s="60">
        <v>40942</v>
      </c>
    </row>
    <row r="37" spans="1:1">
      <c r="A37" s="60">
        <v>40943</v>
      </c>
    </row>
    <row r="38" spans="1:1">
      <c r="A38" s="60">
        <v>40944</v>
      </c>
    </row>
    <row r="39" spans="1:1">
      <c r="A39" s="60">
        <v>40945</v>
      </c>
    </row>
    <row r="40" spans="1:1">
      <c r="A40" s="60">
        <v>40946</v>
      </c>
    </row>
    <row r="41" spans="1:1">
      <c r="A41" s="60">
        <v>40947</v>
      </c>
    </row>
    <row r="42" spans="1:1">
      <c r="A42" s="60">
        <v>40948</v>
      </c>
    </row>
    <row r="43" spans="1:1">
      <c r="A43" s="60">
        <v>40949</v>
      </c>
    </row>
    <row r="44" spans="1:1">
      <c r="A44" s="60">
        <v>40950</v>
      </c>
    </row>
    <row r="45" spans="1:1">
      <c r="A45" s="60">
        <v>40951</v>
      </c>
    </row>
    <row r="46" spans="1:1">
      <c r="A46" s="60">
        <v>40952</v>
      </c>
    </row>
    <row r="47" spans="1:1">
      <c r="A47" s="60">
        <v>40953</v>
      </c>
    </row>
    <row r="48" spans="1:1">
      <c r="A48" s="60">
        <v>40954</v>
      </c>
    </row>
    <row r="49" spans="1:1">
      <c r="A49" s="60">
        <v>40955</v>
      </c>
    </row>
    <row r="50" spans="1:1">
      <c r="A50" s="60">
        <v>40956</v>
      </c>
    </row>
    <row r="51" spans="1:1">
      <c r="A51" s="60">
        <v>40957</v>
      </c>
    </row>
    <row r="52" spans="1:1">
      <c r="A52" s="60">
        <v>40958</v>
      </c>
    </row>
    <row r="53" spans="1:1">
      <c r="A53" s="60">
        <v>40959</v>
      </c>
    </row>
    <row r="54" spans="1:1">
      <c r="A54" s="60">
        <v>40960</v>
      </c>
    </row>
    <row r="55" spans="1:1">
      <c r="A55" s="60">
        <v>40961</v>
      </c>
    </row>
    <row r="56" spans="1:1">
      <c r="A56" s="60">
        <v>40962</v>
      </c>
    </row>
    <row r="57" spans="1:1">
      <c r="A57" s="60">
        <v>40963</v>
      </c>
    </row>
    <row r="58" spans="1:1">
      <c r="A58" s="60">
        <v>40964</v>
      </c>
    </row>
    <row r="59" spans="1:1">
      <c r="A59" s="60">
        <v>40965</v>
      </c>
    </row>
    <row r="60" spans="1:1">
      <c r="A60" s="60">
        <v>40966</v>
      </c>
    </row>
    <row r="61" spans="1:1">
      <c r="A61" s="60">
        <v>40967</v>
      </c>
    </row>
    <row r="62" spans="1:1">
      <c r="A62" s="60">
        <v>40968</v>
      </c>
    </row>
    <row r="63" spans="1:1">
      <c r="A63" s="60">
        <v>40969</v>
      </c>
    </row>
    <row r="64" spans="1:1">
      <c r="A64" s="60">
        <v>40970</v>
      </c>
    </row>
    <row r="65" spans="1:1">
      <c r="A65" s="60">
        <v>40971</v>
      </c>
    </row>
    <row r="66" spans="1:1">
      <c r="A66" s="60">
        <v>40972</v>
      </c>
    </row>
    <row r="67" spans="1:1">
      <c r="A67" s="60">
        <v>40973</v>
      </c>
    </row>
    <row r="68" spans="1:1">
      <c r="A68" s="60">
        <v>40974</v>
      </c>
    </row>
    <row r="69" spans="1:1">
      <c r="A69" s="60">
        <v>40975</v>
      </c>
    </row>
    <row r="70" spans="1:1">
      <c r="A70" s="60">
        <v>40976</v>
      </c>
    </row>
    <row r="71" spans="1:1">
      <c r="A71" s="60">
        <v>40977</v>
      </c>
    </row>
    <row r="72" spans="1:1">
      <c r="A72" s="60">
        <v>40978</v>
      </c>
    </row>
    <row r="73" spans="1:1">
      <c r="A73" s="60">
        <v>40979</v>
      </c>
    </row>
    <row r="74" spans="1:1">
      <c r="A74" s="60">
        <v>40980</v>
      </c>
    </row>
    <row r="75" spans="1:1">
      <c r="A75" s="60">
        <v>40981</v>
      </c>
    </row>
    <row r="76" spans="1:1">
      <c r="A76" s="60">
        <v>40982</v>
      </c>
    </row>
    <row r="77" spans="1:1">
      <c r="A77" s="60">
        <v>40983</v>
      </c>
    </row>
    <row r="78" spans="1:1">
      <c r="A78" s="60">
        <v>40984</v>
      </c>
    </row>
    <row r="79" spans="1:1">
      <c r="A79" s="60">
        <v>40985</v>
      </c>
    </row>
    <row r="80" spans="1:1">
      <c r="A80" s="60">
        <v>40986</v>
      </c>
    </row>
    <row r="81" spans="1:1">
      <c r="A81" s="60">
        <v>40987</v>
      </c>
    </row>
    <row r="82" spans="1:1">
      <c r="A82" s="60">
        <v>40988</v>
      </c>
    </row>
    <row r="83" spans="1:1">
      <c r="A83" s="60">
        <v>40989</v>
      </c>
    </row>
    <row r="84" spans="1:1">
      <c r="A84" s="60">
        <v>40990</v>
      </c>
    </row>
    <row r="85" spans="1:1">
      <c r="A85" s="60">
        <v>40991</v>
      </c>
    </row>
    <row r="86" spans="1:1">
      <c r="A86" s="60">
        <v>40992</v>
      </c>
    </row>
    <row r="87" spans="1:1">
      <c r="A87" s="60">
        <v>40993</v>
      </c>
    </row>
    <row r="88" spans="1:1">
      <c r="A88" s="60">
        <v>40994</v>
      </c>
    </row>
    <row r="89" spans="1:1">
      <c r="A89" s="60">
        <v>40995</v>
      </c>
    </row>
    <row r="90" spans="1:1">
      <c r="A90" s="60">
        <v>40996</v>
      </c>
    </row>
    <row r="91" spans="1:1">
      <c r="A91" s="60">
        <v>40997</v>
      </c>
    </row>
    <row r="92" spans="1:1">
      <c r="A92" s="60">
        <v>40998</v>
      </c>
    </row>
    <row r="93" spans="1:1">
      <c r="A93" s="60">
        <v>40999</v>
      </c>
    </row>
    <row r="94" spans="1:1">
      <c r="A94" s="60">
        <v>41000</v>
      </c>
    </row>
    <row r="95" spans="1:1">
      <c r="A95" s="60">
        <v>41001</v>
      </c>
    </row>
    <row r="96" spans="1:1">
      <c r="A96" s="60">
        <v>41002</v>
      </c>
    </row>
    <row r="97" spans="1:1">
      <c r="A97" s="60">
        <v>41003</v>
      </c>
    </row>
    <row r="98" spans="1:1">
      <c r="A98" s="60">
        <v>41004</v>
      </c>
    </row>
    <row r="99" spans="1:1">
      <c r="A99" s="60">
        <v>41005</v>
      </c>
    </row>
    <row r="100" spans="1:1">
      <c r="A100" s="60">
        <v>41006</v>
      </c>
    </row>
    <row r="101" spans="1:1">
      <c r="A101" s="60">
        <v>41007</v>
      </c>
    </row>
    <row r="102" spans="1:1">
      <c r="A102" s="60">
        <v>41008</v>
      </c>
    </row>
    <row r="103" spans="1:1">
      <c r="A103" s="60">
        <v>41009</v>
      </c>
    </row>
    <row r="104" spans="1:1">
      <c r="A104" s="60">
        <v>41010</v>
      </c>
    </row>
    <row r="105" spans="1:1">
      <c r="A105" s="60">
        <v>41011</v>
      </c>
    </row>
    <row r="106" spans="1:1">
      <c r="A106" s="60">
        <v>41012</v>
      </c>
    </row>
    <row r="107" spans="1:1">
      <c r="A107" s="60">
        <v>41013</v>
      </c>
    </row>
    <row r="108" spans="1:1">
      <c r="A108" s="60">
        <v>41014</v>
      </c>
    </row>
    <row r="109" spans="1:1">
      <c r="A109" s="60">
        <v>41015</v>
      </c>
    </row>
    <row r="110" spans="1:1">
      <c r="A110" s="60">
        <v>41016</v>
      </c>
    </row>
    <row r="111" spans="1:1">
      <c r="A111" s="60">
        <v>41017</v>
      </c>
    </row>
    <row r="112" spans="1:1">
      <c r="A112" s="60">
        <v>41018</v>
      </c>
    </row>
    <row r="113" spans="1:1">
      <c r="A113" s="60">
        <v>41019</v>
      </c>
    </row>
    <row r="114" spans="1:1">
      <c r="A114" s="60">
        <v>41020</v>
      </c>
    </row>
    <row r="115" spans="1:1">
      <c r="A115" s="60">
        <v>41021</v>
      </c>
    </row>
    <row r="116" spans="1:1">
      <c r="A116" s="60">
        <v>41022</v>
      </c>
    </row>
    <row r="117" spans="1:1">
      <c r="A117" s="60">
        <v>41023</v>
      </c>
    </row>
    <row r="118" spans="1:1">
      <c r="A118" s="60">
        <v>41024</v>
      </c>
    </row>
    <row r="119" spans="1:1">
      <c r="A119" s="60">
        <v>41025</v>
      </c>
    </row>
    <row r="120" spans="1:1">
      <c r="A120" s="60">
        <v>41026</v>
      </c>
    </row>
    <row r="121" spans="1:1">
      <c r="A121" s="60">
        <v>41027</v>
      </c>
    </row>
    <row r="122" spans="1:1">
      <c r="A122" s="60">
        <v>41028</v>
      </c>
    </row>
    <row r="123" spans="1:1">
      <c r="A123" s="60">
        <v>41029</v>
      </c>
    </row>
    <row r="124" spans="1:1">
      <c r="A124" s="60">
        <v>41030</v>
      </c>
    </row>
    <row r="125" spans="1:1">
      <c r="A125" s="60">
        <v>41031</v>
      </c>
    </row>
    <row r="126" spans="1:1">
      <c r="A126" s="60">
        <v>41032</v>
      </c>
    </row>
    <row r="127" spans="1:1">
      <c r="A127" s="60">
        <v>41033</v>
      </c>
    </row>
    <row r="128" spans="1:1">
      <c r="A128" s="60">
        <v>41034</v>
      </c>
    </row>
    <row r="129" spans="1:1">
      <c r="A129" s="60">
        <v>41035</v>
      </c>
    </row>
    <row r="130" spans="1:1">
      <c r="A130" s="60">
        <v>41036</v>
      </c>
    </row>
    <row r="131" spans="1:1">
      <c r="A131" s="60">
        <v>41037</v>
      </c>
    </row>
    <row r="132" spans="1:1">
      <c r="A132" s="60">
        <v>41038</v>
      </c>
    </row>
    <row r="133" spans="1:1">
      <c r="A133" s="60">
        <v>41039</v>
      </c>
    </row>
    <row r="134" spans="1:1">
      <c r="A134" s="60">
        <v>41040</v>
      </c>
    </row>
    <row r="135" spans="1:1">
      <c r="A135" s="60">
        <v>41041</v>
      </c>
    </row>
    <row r="136" spans="1:1">
      <c r="A136" s="60">
        <v>41042</v>
      </c>
    </row>
    <row r="137" spans="1:1">
      <c r="A137" s="60">
        <v>41043</v>
      </c>
    </row>
    <row r="138" spans="1:1">
      <c r="A138" s="60">
        <v>41044</v>
      </c>
    </row>
    <row r="139" spans="1:1">
      <c r="A139" s="60">
        <v>41045</v>
      </c>
    </row>
    <row r="140" spans="1:1">
      <c r="A140" s="60">
        <v>41046</v>
      </c>
    </row>
    <row r="141" spans="1:1">
      <c r="A141" s="60">
        <v>41047</v>
      </c>
    </row>
    <row r="142" spans="1:1">
      <c r="A142" s="60">
        <v>41048</v>
      </c>
    </row>
    <row r="143" spans="1:1">
      <c r="A143" s="60">
        <v>41049</v>
      </c>
    </row>
    <row r="144" spans="1:1">
      <c r="A144" s="60">
        <v>41050</v>
      </c>
    </row>
    <row r="145" spans="1:1">
      <c r="A145" s="60">
        <v>41051</v>
      </c>
    </row>
    <row r="146" spans="1:1">
      <c r="A146" s="60">
        <v>41052</v>
      </c>
    </row>
    <row r="147" spans="1:1">
      <c r="A147" s="60">
        <v>41053</v>
      </c>
    </row>
    <row r="148" spans="1:1">
      <c r="A148" s="60">
        <v>41054</v>
      </c>
    </row>
    <row r="149" spans="1:1">
      <c r="A149" s="60">
        <v>41055</v>
      </c>
    </row>
    <row r="150" spans="1:1">
      <c r="A150" s="60">
        <v>41056</v>
      </c>
    </row>
    <row r="151" spans="1:1">
      <c r="A151" s="60">
        <v>41057</v>
      </c>
    </row>
    <row r="152" spans="1:1">
      <c r="A152" s="60">
        <v>41058</v>
      </c>
    </row>
    <row r="153" spans="1:1">
      <c r="A153" s="60">
        <v>41059</v>
      </c>
    </row>
    <row r="154" spans="1:1">
      <c r="A154" s="60">
        <v>41060</v>
      </c>
    </row>
    <row r="155" spans="1:1">
      <c r="A155" s="60">
        <v>41061</v>
      </c>
    </row>
    <row r="156" spans="1:1">
      <c r="A156" s="60">
        <v>41062</v>
      </c>
    </row>
    <row r="157" spans="1:1">
      <c r="A157" s="60">
        <v>41063</v>
      </c>
    </row>
    <row r="158" spans="1:1">
      <c r="A158" s="60">
        <v>41064</v>
      </c>
    </row>
    <row r="159" spans="1:1">
      <c r="A159" s="60">
        <v>41065</v>
      </c>
    </row>
    <row r="160" spans="1:1">
      <c r="A160" s="60">
        <v>41066</v>
      </c>
    </row>
    <row r="161" spans="1:1">
      <c r="A161" s="60">
        <v>41067</v>
      </c>
    </row>
    <row r="162" spans="1:1">
      <c r="A162" s="60">
        <v>41068</v>
      </c>
    </row>
    <row r="163" spans="1:1">
      <c r="A163" s="60">
        <v>41069</v>
      </c>
    </row>
    <row r="164" spans="1:1">
      <c r="A164" s="60">
        <v>41070</v>
      </c>
    </row>
    <row r="165" spans="1:1">
      <c r="A165" s="60">
        <v>41071</v>
      </c>
    </row>
    <row r="166" spans="1:1">
      <c r="A166" s="60">
        <v>41072</v>
      </c>
    </row>
    <row r="167" spans="1:1">
      <c r="A167" s="60">
        <v>41073</v>
      </c>
    </row>
    <row r="168" spans="1:1">
      <c r="A168" s="60">
        <v>41074</v>
      </c>
    </row>
    <row r="169" spans="1:1">
      <c r="A169" s="60">
        <v>41075</v>
      </c>
    </row>
    <row r="170" spans="1:1">
      <c r="A170" s="60">
        <v>41076</v>
      </c>
    </row>
    <row r="171" spans="1:1">
      <c r="A171" s="60">
        <v>41077</v>
      </c>
    </row>
    <row r="172" spans="1:1">
      <c r="A172" s="60">
        <v>41078</v>
      </c>
    </row>
    <row r="173" spans="1:1">
      <c r="A173" s="60">
        <v>41079</v>
      </c>
    </row>
    <row r="174" spans="1:1">
      <c r="A174" s="60">
        <v>41080</v>
      </c>
    </row>
    <row r="175" spans="1:1">
      <c r="A175" s="60">
        <v>41081</v>
      </c>
    </row>
    <row r="176" spans="1:1">
      <c r="A176" s="60">
        <v>41082</v>
      </c>
    </row>
    <row r="177" spans="1:1">
      <c r="A177" s="60">
        <v>41083</v>
      </c>
    </row>
    <row r="178" spans="1:1">
      <c r="A178" s="60">
        <v>41084</v>
      </c>
    </row>
    <row r="179" spans="1:1">
      <c r="A179" s="60">
        <v>41085</v>
      </c>
    </row>
    <row r="180" spans="1:1">
      <c r="A180" s="60">
        <v>41086</v>
      </c>
    </row>
    <row r="181" spans="1:1">
      <c r="A181" s="60">
        <v>41087</v>
      </c>
    </row>
    <row r="182" spans="1:1">
      <c r="A182" s="60">
        <v>41088</v>
      </c>
    </row>
    <row r="183" spans="1:1">
      <c r="A183" s="60">
        <v>41089</v>
      </c>
    </row>
    <row r="184" spans="1:1">
      <c r="A184" s="60">
        <v>41090</v>
      </c>
    </row>
    <row r="185" spans="1:1">
      <c r="A185" s="60">
        <v>41091</v>
      </c>
    </row>
    <row r="186" spans="1:1">
      <c r="A186" s="60">
        <v>41092</v>
      </c>
    </row>
    <row r="187" spans="1:1">
      <c r="A187" s="60">
        <v>41093</v>
      </c>
    </row>
    <row r="188" spans="1:1">
      <c r="A188" s="60">
        <v>41094</v>
      </c>
    </row>
    <row r="189" spans="1:1">
      <c r="A189" s="60">
        <v>41095</v>
      </c>
    </row>
    <row r="190" spans="1:1">
      <c r="A190" s="60">
        <v>41096</v>
      </c>
    </row>
    <row r="191" spans="1:1">
      <c r="A191" s="60">
        <v>41097</v>
      </c>
    </row>
    <row r="192" spans="1:1">
      <c r="A192" s="60">
        <v>41098</v>
      </c>
    </row>
    <row r="193" spans="1:1">
      <c r="A193" s="60">
        <v>41099</v>
      </c>
    </row>
    <row r="194" spans="1:1">
      <c r="A194" s="60">
        <v>41100</v>
      </c>
    </row>
    <row r="195" spans="1:1">
      <c r="A195" s="60">
        <v>41101</v>
      </c>
    </row>
    <row r="196" spans="1:1">
      <c r="A196" s="60">
        <v>41102</v>
      </c>
    </row>
    <row r="197" spans="1:1">
      <c r="A197" s="60">
        <v>41103</v>
      </c>
    </row>
    <row r="198" spans="1:1">
      <c r="A198" s="60">
        <v>41104</v>
      </c>
    </row>
    <row r="199" spans="1:1">
      <c r="A199" s="60">
        <v>41105</v>
      </c>
    </row>
    <row r="200" spans="1:1">
      <c r="A200" s="60">
        <v>41106</v>
      </c>
    </row>
    <row r="201" spans="1:1">
      <c r="A201" s="60">
        <v>41107</v>
      </c>
    </row>
    <row r="202" spans="1:1">
      <c r="A202" s="60">
        <v>41108</v>
      </c>
    </row>
    <row r="203" spans="1:1">
      <c r="A203" s="60">
        <v>41109</v>
      </c>
    </row>
    <row r="204" spans="1:1">
      <c r="A204" s="60">
        <v>41110</v>
      </c>
    </row>
    <row r="205" spans="1:1">
      <c r="A205" s="60">
        <v>41111</v>
      </c>
    </row>
    <row r="206" spans="1:1">
      <c r="A206" s="60">
        <v>41112</v>
      </c>
    </row>
    <row r="207" spans="1:1">
      <c r="A207" s="60">
        <v>41113</v>
      </c>
    </row>
    <row r="208" spans="1:1">
      <c r="A208" s="60">
        <v>41114</v>
      </c>
    </row>
    <row r="209" spans="1:1">
      <c r="A209" s="60">
        <v>41115</v>
      </c>
    </row>
    <row r="210" spans="1:1">
      <c r="A210" s="60">
        <v>41116</v>
      </c>
    </row>
    <row r="211" spans="1:1">
      <c r="A211" s="60">
        <v>41117</v>
      </c>
    </row>
    <row r="212" spans="1:1">
      <c r="A212" s="60">
        <v>41118</v>
      </c>
    </row>
    <row r="213" spans="1:1">
      <c r="A213" s="60">
        <v>41119</v>
      </c>
    </row>
    <row r="214" spans="1:1">
      <c r="A214" s="60">
        <v>41120</v>
      </c>
    </row>
    <row r="215" spans="1:1">
      <c r="A215" s="60">
        <v>41121</v>
      </c>
    </row>
    <row r="216" spans="1:1">
      <c r="A216" s="60">
        <v>41122</v>
      </c>
    </row>
    <row r="217" spans="1:1">
      <c r="A217" s="60">
        <v>41123</v>
      </c>
    </row>
    <row r="218" spans="1:1">
      <c r="A218" s="60">
        <v>41124</v>
      </c>
    </row>
    <row r="219" spans="1:1">
      <c r="A219" s="60">
        <v>41125</v>
      </c>
    </row>
    <row r="220" spans="1:1">
      <c r="A220" s="60">
        <v>41126</v>
      </c>
    </row>
    <row r="221" spans="1:1">
      <c r="A221" s="60">
        <v>41127</v>
      </c>
    </row>
    <row r="222" spans="1:1">
      <c r="A222" s="60">
        <v>41128</v>
      </c>
    </row>
    <row r="223" spans="1:1">
      <c r="A223" s="60">
        <v>41129</v>
      </c>
    </row>
    <row r="224" spans="1:1">
      <c r="A224" s="60">
        <v>41130</v>
      </c>
    </row>
    <row r="225" spans="1:1">
      <c r="A225" s="60">
        <v>41131</v>
      </c>
    </row>
    <row r="226" spans="1:1">
      <c r="A226" s="60">
        <v>41132</v>
      </c>
    </row>
    <row r="227" spans="1:1">
      <c r="A227" s="60">
        <v>41133</v>
      </c>
    </row>
    <row r="228" spans="1:1">
      <c r="A228" s="60">
        <v>41134</v>
      </c>
    </row>
    <row r="229" spans="1:1">
      <c r="A229" s="60">
        <v>41135</v>
      </c>
    </row>
    <row r="230" spans="1:1">
      <c r="A230" s="60">
        <v>41136</v>
      </c>
    </row>
    <row r="231" spans="1:1">
      <c r="A231" s="60">
        <v>41137</v>
      </c>
    </row>
    <row r="232" spans="1:1">
      <c r="A232" s="60">
        <v>41138</v>
      </c>
    </row>
    <row r="233" spans="1:1">
      <c r="A233" s="60">
        <v>41139</v>
      </c>
    </row>
    <row r="234" spans="1:1">
      <c r="A234" s="60">
        <v>41140</v>
      </c>
    </row>
    <row r="235" spans="1:1">
      <c r="A235" s="60">
        <v>41141</v>
      </c>
    </row>
    <row r="236" spans="1:1">
      <c r="A236" s="60">
        <v>41142</v>
      </c>
    </row>
    <row r="237" spans="1:1">
      <c r="A237" s="60">
        <v>41143</v>
      </c>
    </row>
    <row r="238" spans="1:1">
      <c r="A238" s="60">
        <v>41144</v>
      </c>
    </row>
    <row r="239" spans="1:1">
      <c r="A239" s="60">
        <v>41145</v>
      </c>
    </row>
    <row r="240" spans="1:1">
      <c r="A240" s="60">
        <v>41146</v>
      </c>
    </row>
    <row r="241" spans="1:1">
      <c r="A241" s="60">
        <v>41147</v>
      </c>
    </row>
    <row r="242" spans="1:1">
      <c r="A242" s="60">
        <v>41148</v>
      </c>
    </row>
    <row r="243" spans="1:1">
      <c r="A243" s="60">
        <v>41149</v>
      </c>
    </row>
    <row r="244" spans="1:1">
      <c r="A244" s="60">
        <v>41150</v>
      </c>
    </row>
    <row r="245" spans="1:1">
      <c r="A245" s="60">
        <v>41151</v>
      </c>
    </row>
    <row r="246" spans="1:1">
      <c r="A246" s="60">
        <v>41152</v>
      </c>
    </row>
    <row r="247" spans="1:1">
      <c r="A247" s="60">
        <v>41153</v>
      </c>
    </row>
    <row r="248" spans="1:1">
      <c r="A248" s="60">
        <v>41154</v>
      </c>
    </row>
    <row r="249" spans="1:1">
      <c r="A249" s="60">
        <v>41155</v>
      </c>
    </row>
    <row r="250" spans="1:1">
      <c r="A250" s="60">
        <v>41156</v>
      </c>
    </row>
    <row r="251" spans="1:1">
      <c r="A251" s="60">
        <v>41157</v>
      </c>
    </row>
    <row r="252" spans="1:1">
      <c r="A252" s="60">
        <v>41158</v>
      </c>
    </row>
    <row r="253" spans="1:1">
      <c r="A253" s="60">
        <v>41159</v>
      </c>
    </row>
    <row r="254" spans="1:1">
      <c r="A254" s="60">
        <v>41160</v>
      </c>
    </row>
    <row r="255" spans="1:1">
      <c r="A255" s="60">
        <v>41161</v>
      </c>
    </row>
    <row r="256" spans="1:1">
      <c r="A256" s="60">
        <v>41162</v>
      </c>
    </row>
    <row r="257" spans="1:1">
      <c r="A257" s="60">
        <v>41163</v>
      </c>
    </row>
    <row r="258" spans="1:1">
      <c r="A258" s="60">
        <v>41164</v>
      </c>
    </row>
    <row r="259" spans="1:1">
      <c r="A259" s="60">
        <v>41165</v>
      </c>
    </row>
    <row r="260" spans="1:1">
      <c r="A260" s="60">
        <v>41166</v>
      </c>
    </row>
    <row r="261" spans="1:1">
      <c r="A261" s="60">
        <v>41167</v>
      </c>
    </row>
    <row r="262" spans="1:1">
      <c r="A262" s="60">
        <v>41168</v>
      </c>
    </row>
    <row r="263" spans="1:1">
      <c r="A263" s="60">
        <v>41169</v>
      </c>
    </row>
    <row r="264" spans="1:1">
      <c r="A264" s="60">
        <v>41170</v>
      </c>
    </row>
    <row r="265" spans="1:1">
      <c r="A265" s="60">
        <v>41171</v>
      </c>
    </row>
    <row r="266" spans="1:1">
      <c r="A266" s="60">
        <v>41172</v>
      </c>
    </row>
    <row r="267" spans="1:1">
      <c r="A267" s="60">
        <v>41173</v>
      </c>
    </row>
    <row r="268" spans="1:1">
      <c r="A268" s="60">
        <v>41174</v>
      </c>
    </row>
    <row r="269" spans="1:1">
      <c r="A269" s="60">
        <v>41175</v>
      </c>
    </row>
    <row r="270" spans="1:1">
      <c r="A270" s="60">
        <v>41176</v>
      </c>
    </row>
    <row r="271" spans="1:1">
      <c r="A271" s="60">
        <v>41177</v>
      </c>
    </row>
    <row r="272" spans="1:1">
      <c r="A272" s="60">
        <v>41178</v>
      </c>
    </row>
    <row r="273" spans="1:1">
      <c r="A273" s="60">
        <v>41179</v>
      </c>
    </row>
    <row r="274" spans="1:1">
      <c r="A274" s="60">
        <v>41180</v>
      </c>
    </row>
    <row r="275" spans="1:1">
      <c r="A275" s="60">
        <v>41181</v>
      </c>
    </row>
    <row r="276" spans="1:1">
      <c r="A276" s="60">
        <v>41182</v>
      </c>
    </row>
    <row r="277" spans="1:1">
      <c r="A277" s="60">
        <v>41183</v>
      </c>
    </row>
    <row r="278" spans="1:1">
      <c r="A278" s="60">
        <v>41184</v>
      </c>
    </row>
    <row r="279" spans="1:1">
      <c r="A279" s="60">
        <v>41185</v>
      </c>
    </row>
    <row r="280" spans="1:1">
      <c r="A280" s="60">
        <v>41186</v>
      </c>
    </row>
    <row r="281" spans="1:1">
      <c r="A281" s="60">
        <v>41187</v>
      </c>
    </row>
    <row r="282" spans="1:1">
      <c r="A282" s="60">
        <v>41188</v>
      </c>
    </row>
    <row r="283" spans="1:1">
      <c r="A283" s="60">
        <v>41189</v>
      </c>
    </row>
    <row r="284" spans="1:1">
      <c r="A284" s="60">
        <v>41190</v>
      </c>
    </row>
    <row r="285" spans="1:1">
      <c r="A285" s="60">
        <v>41191</v>
      </c>
    </row>
    <row r="286" spans="1:1">
      <c r="A286" s="60">
        <v>41192</v>
      </c>
    </row>
    <row r="287" spans="1:1">
      <c r="A287" s="60">
        <v>41193</v>
      </c>
    </row>
    <row r="288" spans="1:1">
      <c r="A288" s="60">
        <v>41194</v>
      </c>
    </row>
    <row r="289" spans="1:1">
      <c r="A289" s="60">
        <v>41195</v>
      </c>
    </row>
    <row r="290" spans="1:1">
      <c r="A290" s="60">
        <v>41196</v>
      </c>
    </row>
    <row r="291" spans="1:1">
      <c r="A291" s="60">
        <v>41197</v>
      </c>
    </row>
    <row r="292" spans="1:1">
      <c r="A292" s="60">
        <v>41198</v>
      </c>
    </row>
    <row r="293" spans="1:1">
      <c r="A293" s="60">
        <v>41199</v>
      </c>
    </row>
    <row r="294" spans="1:1">
      <c r="A294" s="60">
        <v>41200</v>
      </c>
    </row>
    <row r="295" spans="1:1">
      <c r="A295" s="60">
        <v>41201</v>
      </c>
    </row>
    <row r="296" spans="1:1">
      <c r="A296" s="60">
        <v>41202</v>
      </c>
    </row>
    <row r="297" spans="1:1">
      <c r="A297" s="60">
        <v>41203</v>
      </c>
    </row>
    <row r="298" spans="1:1">
      <c r="A298" s="60">
        <v>41204</v>
      </c>
    </row>
    <row r="299" spans="1:1">
      <c r="A299" s="60">
        <v>41205</v>
      </c>
    </row>
    <row r="300" spans="1:1">
      <c r="A300" s="60">
        <v>41206</v>
      </c>
    </row>
    <row r="301" spans="1:1">
      <c r="A301" s="60">
        <v>41207</v>
      </c>
    </row>
    <row r="302" spans="1:1">
      <c r="A302" s="60">
        <v>41208</v>
      </c>
    </row>
    <row r="303" spans="1:1">
      <c r="A303" s="60">
        <v>41209</v>
      </c>
    </row>
    <row r="304" spans="1:1">
      <c r="A304" s="60">
        <v>41210</v>
      </c>
    </row>
    <row r="305" spans="1:1">
      <c r="A305" s="60">
        <v>41211</v>
      </c>
    </row>
    <row r="306" spans="1:1">
      <c r="A306" s="60">
        <v>41212</v>
      </c>
    </row>
    <row r="307" spans="1:1">
      <c r="A307" s="60">
        <v>41213</v>
      </c>
    </row>
    <row r="308" spans="1:1">
      <c r="A308" s="60">
        <v>41214</v>
      </c>
    </row>
    <row r="309" spans="1:1">
      <c r="A309" s="60">
        <v>41215</v>
      </c>
    </row>
    <row r="310" spans="1:1">
      <c r="A310" s="60">
        <v>41216</v>
      </c>
    </row>
    <row r="311" spans="1:1">
      <c r="A311" s="60">
        <v>41217</v>
      </c>
    </row>
    <row r="312" spans="1:1">
      <c r="A312" s="60">
        <v>41218</v>
      </c>
    </row>
    <row r="313" spans="1:1">
      <c r="A313" s="60">
        <v>41219</v>
      </c>
    </row>
    <row r="314" spans="1:1">
      <c r="A314" s="60">
        <v>41220</v>
      </c>
    </row>
    <row r="315" spans="1:1">
      <c r="A315" s="60">
        <v>41221</v>
      </c>
    </row>
    <row r="316" spans="1:1">
      <c r="A316" s="60">
        <v>41222</v>
      </c>
    </row>
    <row r="317" spans="1:1">
      <c r="A317" s="60">
        <v>41223</v>
      </c>
    </row>
    <row r="318" spans="1:1">
      <c r="A318" s="60">
        <v>41224</v>
      </c>
    </row>
    <row r="319" spans="1:1">
      <c r="A319" s="60">
        <v>41225</v>
      </c>
    </row>
    <row r="320" spans="1:1">
      <c r="A320" s="60">
        <v>41226</v>
      </c>
    </row>
    <row r="321" spans="1:1">
      <c r="A321" s="60">
        <v>41227</v>
      </c>
    </row>
    <row r="322" spans="1:1">
      <c r="A322" s="60">
        <v>41228</v>
      </c>
    </row>
    <row r="323" spans="1:1">
      <c r="A323" s="60">
        <v>41229</v>
      </c>
    </row>
    <row r="324" spans="1:1">
      <c r="A324" s="60">
        <v>41230</v>
      </c>
    </row>
    <row r="325" spans="1:1">
      <c r="A325" s="60">
        <v>41231</v>
      </c>
    </row>
    <row r="326" spans="1:1">
      <c r="A326" s="60">
        <v>41232</v>
      </c>
    </row>
    <row r="327" spans="1:1">
      <c r="A327" s="60">
        <v>41233</v>
      </c>
    </row>
    <row r="328" spans="1:1">
      <c r="A328" s="60">
        <v>41234</v>
      </c>
    </row>
    <row r="329" spans="1:1">
      <c r="A329" s="60">
        <v>41235</v>
      </c>
    </row>
    <row r="330" spans="1:1">
      <c r="A330" s="60">
        <v>41236</v>
      </c>
    </row>
    <row r="331" spans="1:1">
      <c r="A331" s="60">
        <v>41237</v>
      </c>
    </row>
    <row r="332" spans="1:1">
      <c r="A332" s="60">
        <v>41238</v>
      </c>
    </row>
    <row r="333" spans="1:1">
      <c r="A333" s="60">
        <v>41239</v>
      </c>
    </row>
    <row r="334" spans="1:1">
      <c r="A334" s="60">
        <v>41240</v>
      </c>
    </row>
    <row r="335" spans="1:1">
      <c r="A335" s="60">
        <v>41241</v>
      </c>
    </row>
    <row r="336" spans="1:1">
      <c r="A336" s="60">
        <v>41242</v>
      </c>
    </row>
    <row r="337" spans="1:1">
      <c r="A337" s="60">
        <v>41243</v>
      </c>
    </row>
    <row r="338" spans="1:1">
      <c r="A338" s="60">
        <v>41244</v>
      </c>
    </row>
    <row r="339" spans="1:1">
      <c r="A339" s="60">
        <v>41245</v>
      </c>
    </row>
    <row r="340" spans="1:1">
      <c r="A340" s="60">
        <v>41246</v>
      </c>
    </row>
    <row r="341" spans="1:1">
      <c r="A341" s="60">
        <v>41247</v>
      </c>
    </row>
    <row r="342" spans="1:1">
      <c r="A342" s="60">
        <v>41248</v>
      </c>
    </row>
    <row r="343" spans="1:1">
      <c r="A343" s="60">
        <v>41249</v>
      </c>
    </row>
    <row r="344" spans="1:1">
      <c r="A344" s="60">
        <v>41250</v>
      </c>
    </row>
    <row r="345" spans="1:1">
      <c r="A345" s="60">
        <v>41251</v>
      </c>
    </row>
    <row r="346" spans="1:1">
      <c r="A346" s="60">
        <v>41252</v>
      </c>
    </row>
    <row r="347" spans="1:1">
      <c r="A347" s="60">
        <v>41253</v>
      </c>
    </row>
    <row r="348" spans="1:1">
      <c r="A348" s="60">
        <v>41254</v>
      </c>
    </row>
    <row r="349" spans="1:1">
      <c r="A349" s="60">
        <v>41255</v>
      </c>
    </row>
    <row r="350" spans="1:1">
      <c r="A350" s="60">
        <v>41256</v>
      </c>
    </row>
    <row r="351" spans="1:1">
      <c r="A351" s="60">
        <v>41257</v>
      </c>
    </row>
    <row r="352" spans="1:1">
      <c r="A352" s="60">
        <v>41258</v>
      </c>
    </row>
    <row r="353" spans="1:1">
      <c r="A353" s="60">
        <v>41259</v>
      </c>
    </row>
    <row r="354" spans="1:1">
      <c r="A354" s="60">
        <v>41260</v>
      </c>
    </row>
    <row r="355" spans="1:1">
      <c r="A355" s="60">
        <v>41261</v>
      </c>
    </row>
    <row r="356" spans="1:1">
      <c r="A356" s="60">
        <v>41262</v>
      </c>
    </row>
    <row r="357" spans="1:1">
      <c r="A357" s="60">
        <v>41263</v>
      </c>
    </row>
    <row r="358" spans="1:1">
      <c r="A358" s="60">
        <v>41264</v>
      </c>
    </row>
    <row r="359" spans="1:1">
      <c r="A359" s="60">
        <v>41265</v>
      </c>
    </row>
    <row r="360" spans="1:1">
      <c r="A360" s="60">
        <v>41266</v>
      </c>
    </row>
    <row r="361" spans="1:1">
      <c r="A361" s="60">
        <v>41267</v>
      </c>
    </row>
    <row r="362" spans="1:1">
      <c r="A362" s="60">
        <v>41268</v>
      </c>
    </row>
    <row r="363" spans="1:1">
      <c r="A363" s="60">
        <v>41269</v>
      </c>
    </row>
    <row r="364" spans="1:1">
      <c r="A364" s="60">
        <v>41270</v>
      </c>
    </row>
    <row r="365" spans="1:1">
      <c r="A365" s="60">
        <v>41271</v>
      </c>
    </row>
    <row r="366" spans="1:1">
      <c r="A366" s="60">
        <v>41272</v>
      </c>
    </row>
    <row r="367" spans="1:1">
      <c r="A367" s="60">
        <v>41273</v>
      </c>
    </row>
    <row r="368" spans="1:1">
      <c r="A368" s="60">
        <v>41274</v>
      </c>
    </row>
    <row r="369" spans="1:1">
      <c r="A369" s="60">
        <v>41275</v>
      </c>
    </row>
    <row r="370" spans="1:1">
      <c r="A370" s="60">
        <v>41276</v>
      </c>
    </row>
    <row r="371" spans="1:1">
      <c r="A371" s="60">
        <v>41277</v>
      </c>
    </row>
    <row r="372" spans="1:1">
      <c r="A372" s="60">
        <v>41278</v>
      </c>
    </row>
    <row r="373" spans="1:1">
      <c r="A373" s="60">
        <v>41279</v>
      </c>
    </row>
    <row r="374" spans="1:1">
      <c r="A374" s="60">
        <v>41280</v>
      </c>
    </row>
    <row r="375" spans="1:1">
      <c r="A375" s="60">
        <v>41281</v>
      </c>
    </row>
    <row r="376" spans="1:1">
      <c r="A376" s="60">
        <v>41282</v>
      </c>
    </row>
    <row r="377" spans="1:1">
      <c r="A377" s="60">
        <v>41283</v>
      </c>
    </row>
    <row r="378" spans="1:1">
      <c r="A378" s="60">
        <v>41284</v>
      </c>
    </row>
    <row r="379" spans="1:1">
      <c r="A379" s="60">
        <v>41285</v>
      </c>
    </row>
    <row r="380" spans="1:1">
      <c r="A380" s="60">
        <v>41286</v>
      </c>
    </row>
    <row r="381" spans="1:1">
      <c r="A381" s="60">
        <v>41287</v>
      </c>
    </row>
    <row r="382" spans="1:1">
      <c r="A382" s="60">
        <v>41288</v>
      </c>
    </row>
    <row r="383" spans="1:1">
      <c r="A383" s="60">
        <v>41289</v>
      </c>
    </row>
    <row r="384" spans="1:1">
      <c r="A384" s="60">
        <v>41290</v>
      </c>
    </row>
    <row r="385" spans="1:1">
      <c r="A385" s="60">
        <v>41291</v>
      </c>
    </row>
    <row r="386" spans="1:1">
      <c r="A386" s="60">
        <v>41292</v>
      </c>
    </row>
    <row r="387" spans="1:1">
      <c r="A387" s="60">
        <v>41293</v>
      </c>
    </row>
    <row r="388" spans="1:1">
      <c r="A388" s="60">
        <v>41294</v>
      </c>
    </row>
    <row r="389" spans="1:1">
      <c r="A389" s="60">
        <v>41295</v>
      </c>
    </row>
    <row r="390" spans="1:1">
      <c r="A390" s="60">
        <v>41296</v>
      </c>
    </row>
    <row r="391" spans="1:1">
      <c r="A391" s="60">
        <v>41297</v>
      </c>
    </row>
    <row r="392" spans="1:1">
      <c r="A392" s="60">
        <v>41298</v>
      </c>
    </row>
    <row r="393" spans="1:1">
      <c r="A393" s="60">
        <v>41299</v>
      </c>
    </row>
    <row r="394" spans="1:1">
      <c r="A394" s="60">
        <v>41300</v>
      </c>
    </row>
    <row r="395" spans="1:1">
      <c r="A395" s="60">
        <v>41301</v>
      </c>
    </row>
    <row r="396" spans="1:1">
      <c r="A396" s="60">
        <v>41302</v>
      </c>
    </row>
    <row r="397" spans="1:1">
      <c r="A397" s="60">
        <v>41303</v>
      </c>
    </row>
    <row r="398" spans="1:1">
      <c r="A398" s="60">
        <v>41304</v>
      </c>
    </row>
    <row r="399" spans="1:1">
      <c r="A399" s="60">
        <v>41305</v>
      </c>
    </row>
    <row r="400" spans="1:1">
      <c r="A400" s="60">
        <v>41306</v>
      </c>
    </row>
    <row r="401" spans="1:1">
      <c r="A401" s="60">
        <v>41307</v>
      </c>
    </row>
    <row r="402" spans="1:1">
      <c r="A402" s="60">
        <v>41308</v>
      </c>
    </row>
    <row r="403" spans="1:1">
      <c r="A403" s="60">
        <v>41309</v>
      </c>
    </row>
    <row r="404" spans="1:1">
      <c r="A404" s="60">
        <v>41310</v>
      </c>
    </row>
    <row r="405" spans="1:1">
      <c r="A405" s="60">
        <v>41311</v>
      </c>
    </row>
    <row r="406" spans="1:1">
      <c r="A406" s="60">
        <v>41312</v>
      </c>
    </row>
    <row r="407" spans="1:1">
      <c r="A407" s="60">
        <v>41313</v>
      </c>
    </row>
    <row r="408" spans="1:1">
      <c r="A408" s="60">
        <v>41314</v>
      </c>
    </row>
    <row r="409" spans="1:1">
      <c r="A409" s="60">
        <v>41315</v>
      </c>
    </row>
    <row r="410" spans="1:1">
      <c r="A410" s="60">
        <v>41316</v>
      </c>
    </row>
    <row r="411" spans="1:1">
      <c r="A411" s="60">
        <v>41317</v>
      </c>
    </row>
    <row r="412" spans="1:1">
      <c r="A412" s="60">
        <v>41318</v>
      </c>
    </row>
    <row r="413" spans="1:1">
      <c r="A413" s="60">
        <v>41319</v>
      </c>
    </row>
    <row r="414" spans="1:1">
      <c r="A414" s="60">
        <v>41320</v>
      </c>
    </row>
    <row r="415" spans="1:1">
      <c r="A415" s="60">
        <v>41321</v>
      </c>
    </row>
    <row r="416" spans="1:1">
      <c r="A416" s="60">
        <v>41322</v>
      </c>
    </row>
    <row r="417" spans="1:1">
      <c r="A417" s="60">
        <v>41323</v>
      </c>
    </row>
    <row r="418" spans="1:1">
      <c r="A418" s="60">
        <v>41324</v>
      </c>
    </row>
    <row r="419" spans="1:1">
      <c r="A419" s="60">
        <v>41325</v>
      </c>
    </row>
    <row r="420" spans="1:1">
      <c r="A420" s="60">
        <v>41326</v>
      </c>
    </row>
    <row r="421" spans="1:1">
      <c r="A421" s="60">
        <v>41327</v>
      </c>
    </row>
    <row r="422" spans="1:1">
      <c r="A422" s="60">
        <v>41328</v>
      </c>
    </row>
    <row r="423" spans="1:1">
      <c r="A423" s="60">
        <v>41329</v>
      </c>
    </row>
    <row r="424" spans="1:1">
      <c r="A424" s="60">
        <v>41330</v>
      </c>
    </row>
    <row r="425" spans="1:1">
      <c r="A425" s="60">
        <v>41331</v>
      </c>
    </row>
    <row r="426" spans="1:1">
      <c r="A426" s="60">
        <v>41332</v>
      </c>
    </row>
    <row r="427" spans="1:1">
      <c r="A427" s="60">
        <v>41333</v>
      </c>
    </row>
    <row r="428" spans="1:1">
      <c r="A428" s="60">
        <v>41334</v>
      </c>
    </row>
    <row r="429" spans="1:1">
      <c r="A429" s="60">
        <v>41335</v>
      </c>
    </row>
    <row r="430" spans="1:1">
      <c r="A430" s="60">
        <v>41336</v>
      </c>
    </row>
    <row r="431" spans="1:1">
      <c r="A431" s="60">
        <v>41337</v>
      </c>
    </row>
    <row r="432" spans="1:1">
      <c r="A432" s="60">
        <v>41338</v>
      </c>
    </row>
    <row r="433" spans="1:1">
      <c r="A433" s="60">
        <v>41339</v>
      </c>
    </row>
    <row r="434" spans="1:1">
      <c r="A434" s="60">
        <v>41340</v>
      </c>
    </row>
    <row r="435" spans="1:1">
      <c r="A435" s="60">
        <v>41341</v>
      </c>
    </row>
    <row r="436" spans="1:1">
      <c r="A436" s="60">
        <v>41342</v>
      </c>
    </row>
    <row r="437" spans="1:1">
      <c r="A437" s="60">
        <v>41343</v>
      </c>
    </row>
    <row r="438" spans="1:1">
      <c r="A438" s="60">
        <v>41344</v>
      </c>
    </row>
    <row r="439" spans="1:1">
      <c r="A439" s="60">
        <v>41345</v>
      </c>
    </row>
    <row r="440" spans="1:1">
      <c r="A440" s="60">
        <v>41346</v>
      </c>
    </row>
    <row r="441" spans="1:1">
      <c r="A441" s="60">
        <v>41347</v>
      </c>
    </row>
    <row r="442" spans="1:1">
      <c r="A442" s="60">
        <v>41348</v>
      </c>
    </row>
    <row r="443" spans="1:1">
      <c r="A443" s="60">
        <v>41349</v>
      </c>
    </row>
    <row r="444" spans="1:1">
      <c r="A444" s="60">
        <v>41350</v>
      </c>
    </row>
    <row r="445" spans="1:1">
      <c r="A445" s="60">
        <v>41351</v>
      </c>
    </row>
    <row r="446" spans="1:1">
      <c r="A446" s="60">
        <v>41352</v>
      </c>
    </row>
    <row r="447" spans="1:1">
      <c r="A447" s="60">
        <v>41353</v>
      </c>
    </row>
    <row r="448" spans="1:1">
      <c r="A448" s="60">
        <v>41354</v>
      </c>
    </row>
    <row r="449" spans="1:1">
      <c r="A449" s="60">
        <v>41355</v>
      </c>
    </row>
    <row r="450" spans="1:1">
      <c r="A450" s="60">
        <v>41356</v>
      </c>
    </row>
    <row r="451" spans="1:1">
      <c r="A451" s="60">
        <v>41357</v>
      </c>
    </row>
    <row r="452" spans="1:1">
      <c r="A452" s="60">
        <v>41358</v>
      </c>
    </row>
    <row r="453" spans="1:1">
      <c r="A453" s="60">
        <v>41359</v>
      </c>
    </row>
    <row r="454" spans="1:1">
      <c r="A454" s="60">
        <v>41360</v>
      </c>
    </row>
    <row r="455" spans="1:1">
      <c r="A455" s="60">
        <v>41361</v>
      </c>
    </row>
    <row r="456" spans="1:1">
      <c r="A456" s="60">
        <v>41362</v>
      </c>
    </row>
    <row r="457" spans="1:1">
      <c r="A457" s="60">
        <v>41363</v>
      </c>
    </row>
    <row r="458" spans="1:1">
      <c r="A458" s="60">
        <v>41364</v>
      </c>
    </row>
    <row r="459" spans="1:1">
      <c r="A459" s="60">
        <v>41365</v>
      </c>
    </row>
    <row r="460" spans="1:1">
      <c r="A460" s="60">
        <v>41366</v>
      </c>
    </row>
    <row r="461" spans="1:1">
      <c r="A461" s="60">
        <v>41367</v>
      </c>
    </row>
    <row r="462" spans="1:1">
      <c r="A462" s="60">
        <v>41368</v>
      </c>
    </row>
    <row r="463" spans="1:1">
      <c r="A463" s="60">
        <v>41369</v>
      </c>
    </row>
    <row r="464" spans="1:1">
      <c r="A464" s="60">
        <v>41370</v>
      </c>
    </row>
    <row r="465" spans="1:1">
      <c r="A465" s="60">
        <v>41371</v>
      </c>
    </row>
    <row r="466" spans="1:1">
      <c r="A466" s="60">
        <v>41372</v>
      </c>
    </row>
    <row r="467" spans="1:1">
      <c r="A467" s="60">
        <v>41373</v>
      </c>
    </row>
    <row r="468" spans="1:1">
      <c r="A468" s="60">
        <v>41374</v>
      </c>
    </row>
    <row r="469" spans="1:1">
      <c r="A469" s="60">
        <v>41375</v>
      </c>
    </row>
    <row r="470" spans="1:1">
      <c r="A470" s="60">
        <v>41376</v>
      </c>
    </row>
    <row r="471" spans="1:1">
      <c r="A471" s="60">
        <v>41377</v>
      </c>
    </row>
    <row r="472" spans="1:1">
      <c r="A472" s="60">
        <v>41378</v>
      </c>
    </row>
    <row r="473" spans="1:1">
      <c r="A473" s="60">
        <v>41379</v>
      </c>
    </row>
    <row r="474" spans="1:1">
      <c r="A474" s="60">
        <v>41380</v>
      </c>
    </row>
    <row r="475" spans="1:1">
      <c r="A475" s="60">
        <v>41381</v>
      </c>
    </row>
    <row r="476" spans="1:1">
      <c r="A476" s="60">
        <v>41382</v>
      </c>
    </row>
    <row r="477" spans="1:1">
      <c r="A477" s="60">
        <v>41383</v>
      </c>
    </row>
    <row r="478" spans="1:1">
      <c r="A478" s="60">
        <v>41384</v>
      </c>
    </row>
    <row r="479" spans="1:1">
      <c r="A479" s="60">
        <v>41385</v>
      </c>
    </row>
    <row r="480" spans="1:1">
      <c r="A480" s="60">
        <v>41386</v>
      </c>
    </row>
    <row r="481" spans="1:1">
      <c r="A481" s="60">
        <v>41387</v>
      </c>
    </row>
    <row r="482" spans="1:1">
      <c r="A482" s="60">
        <v>41388</v>
      </c>
    </row>
    <row r="483" spans="1:1">
      <c r="A483" s="60">
        <v>41389</v>
      </c>
    </row>
    <row r="484" spans="1:1">
      <c r="A484" s="60">
        <v>41390</v>
      </c>
    </row>
    <row r="485" spans="1:1">
      <c r="A485" s="60">
        <v>41391</v>
      </c>
    </row>
    <row r="486" spans="1:1">
      <c r="A486" s="60">
        <v>41392</v>
      </c>
    </row>
    <row r="487" spans="1:1">
      <c r="A487" s="60">
        <v>41393</v>
      </c>
    </row>
    <row r="488" spans="1:1">
      <c r="A488" s="60">
        <v>41394</v>
      </c>
    </row>
    <row r="489" spans="1:1">
      <c r="A489" s="60">
        <v>41395</v>
      </c>
    </row>
    <row r="490" spans="1:1">
      <c r="A490" s="60">
        <v>41396</v>
      </c>
    </row>
    <row r="491" spans="1:1">
      <c r="A491" s="60">
        <v>41397</v>
      </c>
    </row>
    <row r="492" spans="1:1">
      <c r="A492" s="60">
        <v>41398</v>
      </c>
    </row>
    <row r="493" spans="1:1">
      <c r="A493" s="60">
        <v>41399</v>
      </c>
    </row>
    <row r="494" spans="1:1">
      <c r="A494" s="60">
        <v>41400</v>
      </c>
    </row>
    <row r="495" spans="1:1">
      <c r="A495" s="60">
        <v>41401</v>
      </c>
    </row>
    <row r="496" spans="1:1">
      <c r="A496" s="60">
        <v>41402</v>
      </c>
    </row>
    <row r="497" spans="1:1">
      <c r="A497" s="60">
        <v>41403</v>
      </c>
    </row>
    <row r="498" spans="1:1">
      <c r="A498" s="60">
        <v>41404</v>
      </c>
    </row>
    <row r="499" spans="1:1">
      <c r="A499" s="60">
        <v>41405</v>
      </c>
    </row>
    <row r="500" spans="1:1">
      <c r="A500" s="60">
        <v>41406</v>
      </c>
    </row>
    <row r="501" spans="1:1">
      <c r="A501" s="60">
        <v>41407</v>
      </c>
    </row>
    <row r="502" spans="1:1">
      <c r="A502" s="60">
        <v>41408</v>
      </c>
    </row>
    <row r="503" spans="1:1">
      <c r="A503" s="60">
        <v>41409</v>
      </c>
    </row>
    <row r="504" spans="1:1">
      <c r="A504" s="60">
        <v>41410</v>
      </c>
    </row>
    <row r="505" spans="1:1">
      <c r="A505" s="60">
        <v>41411</v>
      </c>
    </row>
    <row r="506" spans="1:1">
      <c r="A506" s="60">
        <v>41412</v>
      </c>
    </row>
    <row r="507" spans="1:1">
      <c r="A507" s="60">
        <v>41413</v>
      </c>
    </row>
    <row r="508" spans="1:1">
      <c r="A508" s="60">
        <v>41414</v>
      </c>
    </row>
    <row r="509" spans="1:1">
      <c r="A509" s="60">
        <v>41415</v>
      </c>
    </row>
    <row r="510" spans="1:1">
      <c r="A510" s="60">
        <v>41416</v>
      </c>
    </row>
    <row r="511" spans="1:1">
      <c r="A511" s="60">
        <v>41417</v>
      </c>
    </row>
    <row r="512" spans="1:1">
      <c r="A512" s="60">
        <v>41418</v>
      </c>
    </row>
    <row r="513" spans="1:1">
      <c r="A513" s="60">
        <v>41419</v>
      </c>
    </row>
    <row r="514" spans="1:1">
      <c r="A514" s="60">
        <v>41420</v>
      </c>
    </row>
    <row r="515" spans="1:1">
      <c r="A515" s="60">
        <v>41421</v>
      </c>
    </row>
    <row r="516" spans="1:1">
      <c r="A516" s="60">
        <v>41422</v>
      </c>
    </row>
    <row r="517" spans="1:1">
      <c r="A517" s="60">
        <v>41423</v>
      </c>
    </row>
    <row r="518" spans="1:1">
      <c r="A518" s="60">
        <v>41424</v>
      </c>
    </row>
    <row r="519" spans="1:1">
      <c r="A519" s="60">
        <v>41425</v>
      </c>
    </row>
    <row r="520" spans="1:1">
      <c r="A520" s="60">
        <v>41426</v>
      </c>
    </row>
    <row r="521" spans="1:1">
      <c r="A521" s="60">
        <v>41427</v>
      </c>
    </row>
    <row r="522" spans="1:1">
      <c r="A522" s="60">
        <v>41428</v>
      </c>
    </row>
    <row r="523" spans="1:1">
      <c r="A523" s="60">
        <v>41429</v>
      </c>
    </row>
    <row r="524" spans="1:1">
      <c r="A524" s="60">
        <v>41430</v>
      </c>
    </row>
    <row r="525" spans="1:1">
      <c r="A525" s="60">
        <v>41431</v>
      </c>
    </row>
    <row r="526" spans="1:1">
      <c r="A526" s="60">
        <v>41432</v>
      </c>
    </row>
    <row r="527" spans="1:1">
      <c r="A527" s="60">
        <v>41433</v>
      </c>
    </row>
    <row r="528" spans="1:1">
      <c r="A528" s="60">
        <v>41434</v>
      </c>
    </row>
    <row r="529" spans="1:1">
      <c r="A529" s="60">
        <v>41435</v>
      </c>
    </row>
    <row r="530" spans="1:1">
      <c r="A530" s="60">
        <v>41436</v>
      </c>
    </row>
    <row r="531" spans="1:1">
      <c r="A531" s="60">
        <v>41437</v>
      </c>
    </row>
    <row r="532" spans="1:1">
      <c r="A532" s="60">
        <v>41438</v>
      </c>
    </row>
    <row r="533" spans="1:1">
      <c r="A533" s="60">
        <v>41439</v>
      </c>
    </row>
    <row r="534" spans="1:1">
      <c r="A534" s="60">
        <v>41440</v>
      </c>
    </row>
    <row r="535" spans="1:1">
      <c r="A535" s="60">
        <v>41441</v>
      </c>
    </row>
    <row r="536" spans="1:1">
      <c r="A536" s="60">
        <v>41442</v>
      </c>
    </row>
    <row r="537" spans="1:1">
      <c r="A537" s="60">
        <v>41443</v>
      </c>
    </row>
    <row r="538" spans="1:1">
      <c r="A538" s="60">
        <v>41444</v>
      </c>
    </row>
    <row r="539" spans="1:1">
      <c r="A539" s="60">
        <v>41445</v>
      </c>
    </row>
    <row r="540" spans="1:1">
      <c r="A540" s="60">
        <v>41446</v>
      </c>
    </row>
    <row r="541" spans="1:1">
      <c r="A541" s="60">
        <v>41447</v>
      </c>
    </row>
    <row r="542" spans="1:1">
      <c r="A542" s="60">
        <v>41448</v>
      </c>
    </row>
    <row r="543" spans="1:1">
      <c r="A543" s="60">
        <v>41449</v>
      </c>
    </row>
    <row r="544" spans="1:1">
      <c r="A544" s="60">
        <v>41450</v>
      </c>
    </row>
    <row r="545" spans="1:1">
      <c r="A545" s="60">
        <v>41451</v>
      </c>
    </row>
    <row r="546" spans="1:1">
      <c r="A546" s="60">
        <v>41452</v>
      </c>
    </row>
    <row r="547" spans="1:1">
      <c r="A547" s="60">
        <v>41453</v>
      </c>
    </row>
    <row r="548" spans="1:1">
      <c r="A548" s="60">
        <v>41454</v>
      </c>
    </row>
    <row r="549" spans="1:1">
      <c r="A549" s="60">
        <v>41455</v>
      </c>
    </row>
    <row r="550" spans="1:1">
      <c r="A550" s="60">
        <v>41456</v>
      </c>
    </row>
    <row r="551" spans="1:1">
      <c r="A551" s="60">
        <v>41457</v>
      </c>
    </row>
    <row r="552" spans="1:1">
      <c r="A552" s="60">
        <v>41458</v>
      </c>
    </row>
    <row r="553" spans="1:1">
      <c r="A553" s="60">
        <v>41459</v>
      </c>
    </row>
    <row r="554" spans="1:1">
      <c r="A554" s="60">
        <v>41460</v>
      </c>
    </row>
    <row r="555" spans="1:1">
      <c r="A555" s="60">
        <v>41461</v>
      </c>
    </row>
    <row r="556" spans="1:1">
      <c r="A556" s="60">
        <v>41462</v>
      </c>
    </row>
    <row r="557" spans="1:1">
      <c r="A557" s="60">
        <v>41463</v>
      </c>
    </row>
    <row r="558" spans="1:1">
      <c r="A558" s="60">
        <v>41464</v>
      </c>
    </row>
    <row r="559" spans="1:1">
      <c r="A559" s="60">
        <v>41465</v>
      </c>
    </row>
    <row r="560" spans="1:1">
      <c r="A560" s="60">
        <v>41466</v>
      </c>
    </row>
    <row r="561" spans="1:1">
      <c r="A561" s="60">
        <v>41467</v>
      </c>
    </row>
    <row r="562" spans="1:1">
      <c r="A562" s="60">
        <v>41468</v>
      </c>
    </row>
    <row r="563" spans="1:1">
      <c r="A563" s="60">
        <v>41469</v>
      </c>
    </row>
    <row r="564" spans="1:1">
      <c r="A564" s="60">
        <v>41470</v>
      </c>
    </row>
    <row r="565" spans="1:1">
      <c r="A565" s="60">
        <v>41471</v>
      </c>
    </row>
    <row r="566" spans="1:1">
      <c r="A566" s="60">
        <v>41472</v>
      </c>
    </row>
    <row r="567" spans="1:1">
      <c r="A567" s="60">
        <v>41473</v>
      </c>
    </row>
    <row r="568" spans="1:1">
      <c r="A568" s="60">
        <v>41474</v>
      </c>
    </row>
    <row r="569" spans="1:1">
      <c r="A569" s="60">
        <v>41475</v>
      </c>
    </row>
    <row r="570" spans="1:1">
      <c r="A570" s="60">
        <v>41476</v>
      </c>
    </row>
    <row r="571" spans="1:1">
      <c r="A571" s="60">
        <v>41477</v>
      </c>
    </row>
    <row r="572" spans="1:1">
      <c r="A572" s="60">
        <v>41478</v>
      </c>
    </row>
    <row r="573" spans="1:1">
      <c r="A573" s="60">
        <v>41479</v>
      </c>
    </row>
    <row r="574" spans="1:1">
      <c r="A574" s="60">
        <v>41480</v>
      </c>
    </row>
    <row r="575" spans="1:1">
      <c r="A575" s="60">
        <v>41481</v>
      </c>
    </row>
    <row r="576" spans="1:1">
      <c r="A576" s="60">
        <v>41482</v>
      </c>
    </row>
    <row r="577" spans="1:1">
      <c r="A577" s="60">
        <v>41483</v>
      </c>
    </row>
    <row r="578" spans="1:1">
      <c r="A578" s="60">
        <v>41484</v>
      </c>
    </row>
    <row r="579" spans="1:1">
      <c r="A579" s="60">
        <v>41485</v>
      </c>
    </row>
    <row r="580" spans="1:1">
      <c r="A580" s="60">
        <v>41486</v>
      </c>
    </row>
    <row r="581" spans="1:1">
      <c r="A581" s="60">
        <v>41487</v>
      </c>
    </row>
    <row r="582" spans="1:1">
      <c r="A582" s="60">
        <v>41488</v>
      </c>
    </row>
    <row r="583" spans="1:1">
      <c r="A583" s="60">
        <v>41489</v>
      </c>
    </row>
    <row r="584" spans="1:1">
      <c r="A584" s="60">
        <v>41490</v>
      </c>
    </row>
    <row r="585" spans="1:1">
      <c r="A585" s="60">
        <v>41491</v>
      </c>
    </row>
    <row r="586" spans="1:1">
      <c r="A586" s="60">
        <v>41492</v>
      </c>
    </row>
    <row r="587" spans="1:1">
      <c r="A587" s="60">
        <v>41493</v>
      </c>
    </row>
    <row r="588" spans="1:1">
      <c r="A588" s="60">
        <v>41494</v>
      </c>
    </row>
    <row r="589" spans="1:1">
      <c r="A589" s="60">
        <v>41495</v>
      </c>
    </row>
    <row r="590" spans="1:1">
      <c r="A590" s="60">
        <v>41496</v>
      </c>
    </row>
    <row r="591" spans="1:1">
      <c r="A591" s="60">
        <v>41497</v>
      </c>
    </row>
    <row r="592" spans="1:1">
      <c r="A592" s="60">
        <v>41498</v>
      </c>
    </row>
    <row r="593" spans="1:1">
      <c r="A593" s="60">
        <v>41499</v>
      </c>
    </row>
    <row r="594" spans="1:1">
      <c r="A594" s="60">
        <v>41500</v>
      </c>
    </row>
    <row r="595" spans="1:1">
      <c r="A595" s="60">
        <v>41501</v>
      </c>
    </row>
    <row r="596" spans="1:1">
      <c r="A596" s="60">
        <v>41502</v>
      </c>
    </row>
    <row r="597" spans="1:1">
      <c r="A597" s="60">
        <v>41503</v>
      </c>
    </row>
    <row r="598" spans="1:1">
      <c r="A598" s="60">
        <v>41504</v>
      </c>
    </row>
    <row r="599" spans="1:1">
      <c r="A599" s="60">
        <v>41505</v>
      </c>
    </row>
    <row r="600" spans="1:1">
      <c r="A600" s="60">
        <v>41506</v>
      </c>
    </row>
    <row r="601" spans="1:1">
      <c r="A601" s="60">
        <v>41507</v>
      </c>
    </row>
    <row r="602" spans="1:1">
      <c r="A602" s="60">
        <v>41508</v>
      </c>
    </row>
    <row r="603" spans="1:1">
      <c r="A603" s="60">
        <v>41509</v>
      </c>
    </row>
    <row r="604" spans="1:1">
      <c r="A604" s="60">
        <v>41510</v>
      </c>
    </row>
    <row r="605" spans="1:1">
      <c r="A605" s="60">
        <v>41511</v>
      </c>
    </row>
    <row r="606" spans="1:1">
      <c r="A606" s="60">
        <v>41512</v>
      </c>
    </row>
    <row r="607" spans="1:1">
      <c r="A607" s="60">
        <v>41513</v>
      </c>
    </row>
    <row r="608" spans="1:1">
      <c r="A608" s="60">
        <v>41514</v>
      </c>
    </row>
    <row r="609" spans="1:1">
      <c r="A609" s="60">
        <v>41515</v>
      </c>
    </row>
    <row r="610" spans="1:1">
      <c r="A610" s="60">
        <v>41516</v>
      </c>
    </row>
    <row r="611" spans="1:1">
      <c r="A611" s="60">
        <v>41517</v>
      </c>
    </row>
    <row r="612" spans="1:1">
      <c r="A612" s="60">
        <v>41518</v>
      </c>
    </row>
    <row r="613" spans="1:1">
      <c r="A613" s="60">
        <v>41519</v>
      </c>
    </row>
    <row r="614" spans="1:1">
      <c r="A614" s="60">
        <v>41520</v>
      </c>
    </row>
    <row r="615" spans="1:1">
      <c r="A615" s="60">
        <v>41521</v>
      </c>
    </row>
    <row r="616" spans="1:1">
      <c r="A616" s="60">
        <v>41522</v>
      </c>
    </row>
    <row r="617" spans="1:1">
      <c r="A617" s="60">
        <v>41523</v>
      </c>
    </row>
    <row r="618" spans="1:1">
      <c r="A618" s="60">
        <v>41524</v>
      </c>
    </row>
    <row r="619" spans="1:1">
      <c r="A619" s="60">
        <v>41525</v>
      </c>
    </row>
    <row r="620" spans="1:1">
      <c r="A620" s="60">
        <v>41526</v>
      </c>
    </row>
    <row r="621" spans="1:1">
      <c r="A621" s="60">
        <v>41527</v>
      </c>
    </row>
    <row r="622" spans="1:1">
      <c r="A622" s="60">
        <v>41528</v>
      </c>
    </row>
    <row r="623" spans="1:1">
      <c r="A623" s="60">
        <v>41529</v>
      </c>
    </row>
    <row r="624" spans="1:1">
      <c r="A624" s="60">
        <v>41530</v>
      </c>
    </row>
    <row r="625" spans="1:1">
      <c r="A625" s="60">
        <v>41531</v>
      </c>
    </row>
    <row r="626" spans="1:1">
      <c r="A626" s="60">
        <v>41532</v>
      </c>
    </row>
    <row r="627" spans="1:1">
      <c r="A627" s="60">
        <v>41533</v>
      </c>
    </row>
    <row r="628" spans="1:1">
      <c r="A628" s="60">
        <v>41534</v>
      </c>
    </row>
    <row r="629" spans="1:1">
      <c r="A629" s="60">
        <v>41535</v>
      </c>
    </row>
    <row r="630" spans="1:1">
      <c r="A630" s="60">
        <v>41536</v>
      </c>
    </row>
    <row r="631" spans="1:1">
      <c r="A631" s="60">
        <v>41537</v>
      </c>
    </row>
    <row r="632" spans="1:1">
      <c r="A632" s="60">
        <v>41538</v>
      </c>
    </row>
    <row r="633" spans="1:1">
      <c r="A633" s="60">
        <v>41539</v>
      </c>
    </row>
    <row r="634" spans="1:1">
      <c r="A634" s="60">
        <v>41540</v>
      </c>
    </row>
    <row r="635" spans="1:1">
      <c r="A635" s="60">
        <v>41541</v>
      </c>
    </row>
    <row r="636" spans="1:1">
      <c r="A636" s="60">
        <v>41542</v>
      </c>
    </row>
    <row r="637" spans="1:1">
      <c r="A637" s="60">
        <v>41543</v>
      </c>
    </row>
    <row r="638" spans="1:1">
      <c r="A638" s="60">
        <v>41544</v>
      </c>
    </row>
    <row r="639" spans="1:1">
      <c r="A639" s="60">
        <v>41545</v>
      </c>
    </row>
    <row r="640" spans="1:1">
      <c r="A640" s="60">
        <v>41546</v>
      </c>
    </row>
    <row r="641" spans="1:1">
      <c r="A641" s="60">
        <v>41547</v>
      </c>
    </row>
    <row r="642" spans="1:1">
      <c r="A642" s="60">
        <v>41548</v>
      </c>
    </row>
    <row r="643" spans="1:1">
      <c r="A643" s="60">
        <v>41549</v>
      </c>
    </row>
    <row r="644" spans="1:1">
      <c r="A644" s="60">
        <v>41550</v>
      </c>
    </row>
    <row r="645" spans="1:1">
      <c r="A645" s="60">
        <v>41551</v>
      </c>
    </row>
    <row r="646" spans="1:1">
      <c r="A646" s="60">
        <v>41552</v>
      </c>
    </row>
    <row r="647" spans="1:1">
      <c r="A647" s="60">
        <v>41553</v>
      </c>
    </row>
    <row r="648" spans="1:1">
      <c r="A648" s="60">
        <v>41554</v>
      </c>
    </row>
    <row r="649" spans="1:1">
      <c r="A649" s="60">
        <v>41555</v>
      </c>
    </row>
    <row r="650" spans="1:1">
      <c r="A650" s="60">
        <v>41556</v>
      </c>
    </row>
    <row r="651" spans="1:1">
      <c r="A651" s="60">
        <v>41557</v>
      </c>
    </row>
    <row r="652" spans="1:1">
      <c r="A652" s="60">
        <v>41558</v>
      </c>
    </row>
    <row r="653" spans="1:1">
      <c r="A653" s="60">
        <v>41559</v>
      </c>
    </row>
    <row r="654" spans="1:1">
      <c r="A654" s="60">
        <v>41560</v>
      </c>
    </row>
    <row r="655" spans="1:1">
      <c r="A655" s="60">
        <v>41561</v>
      </c>
    </row>
    <row r="656" spans="1:1">
      <c r="A656" s="60">
        <v>41562</v>
      </c>
    </row>
    <row r="657" spans="1:1">
      <c r="A657" s="60">
        <v>41563</v>
      </c>
    </row>
    <row r="658" spans="1:1">
      <c r="A658" s="60">
        <v>41564</v>
      </c>
    </row>
    <row r="659" spans="1:1">
      <c r="A659" s="60">
        <v>41565</v>
      </c>
    </row>
    <row r="660" spans="1:1">
      <c r="A660" s="60">
        <v>41566</v>
      </c>
    </row>
    <row r="661" spans="1:1">
      <c r="A661" s="60">
        <v>41567</v>
      </c>
    </row>
    <row r="662" spans="1:1">
      <c r="A662" s="60">
        <v>41568</v>
      </c>
    </row>
    <row r="663" spans="1:1">
      <c r="A663" s="60">
        <v>41569</v>
      </c>
    </row>
    <row r="664" spans="1:1">
      <c r="A664" s="60">
        <v>41570</v>
      </c>
    </row>
    <row r="665" spans="1:1">
      <c r="A665" s="60">
        <v>41571</v>
      </c>
    </row>
    <row r="666" spans="1:1">
      <c r="A666" s="60">
        <v>41572</v>
      </c>
    </row>
    <row r="667" spans="1:1">
      <c r="A667" s="60">
        <v>41573</v>
      </c>
    </row>
    <row r="668" spans="1:1">
      <c r="A668" s="60">
        <v>41574</v>
      </c>
    </row>
    <row r="669" spans="1:1">
      <c r="A669" s="60">
        <v>41575</v>
      </c>
    </row>
    <row r="670" spans="1:1">
      <c r="A670" s="60">
        <v>41576</v>
      </c>
    </row>
    <row r="671" spans="1:1">
      <c r="A671" s="60">
        <v>41577</v>
      </c>
    </row>
    <row r="672" spans="1:1">
      <c r="A672" s="60">
        <v>41578</v>
      </c>
    </row>
    <row r="673" spans="1:1">
      <c r="A673" s="60">
        <v>41579</v>
      </c>
    </row>
    <row r="674" spans="1:1">
      <c r="A674" s="60">
        <v>41580</v>
      </c>
    </row>
    <row r="675" spans="1:1">
      <c r="A675" s="60">
        <v>41581</v>
      </c>
    </row>
    <row r="676" spans="1:1">
      <c r="A676" s="60">
        <v>41582</v>
      </c>
    </row>
    <row r="677" spans="1:1">
      <c r="A677" s="60">
        <v>41583</v>
      </c>
    </row>
    <row r="678" spans="1:1">
      <c r="A678" s="60">
        <v>41584</v>
      </c>
    </row>
    <row r="679" spans="1:1">
      <c r="A679" s="60">
        <v>41585</v>
      </c>
    </row>
    <row r="680" spans="1:1">
      <c r="A680" s="60">
        <v>41586</v>
      </c>
    </row>
    <row r="681" spans="1:1">
      <c r="A681" s="60">
        <v>41587</v>
      </c>
    </row>
    <row r="682" spans="1:1">
      <c r="A682" s="60">
        <v>41588</v>
      </c>
    </row>
    <row r="683" spans="1:1">
      <c r="A683" s="60">
        <v>41589</v>
      </c>
    </row>
    <row r="684" spans="1:1">
      <c r="A684" s="60">
        <v>41590</v>
      </c>
    </row>
    <row r="685" spans="1:1">
      <c r="A685" s="60">
        <v>41591</v>
      </c>
    </row>
    <row r="686" spans="1:1">
      <c r="A686" s="60">
        <v>41592</v>
      </c>
    </row>
    <row r="687" spans="1:1">
      <c r="A687" s="60">
        <v>41593</v>
      </c>
    </row>
    <row r="688" spans="1:1">
      <c r="A688" s="60">
        <v>41594</v>
      </c>
    </row>
    <row r="689" spans="1:1">
      <c r="A689" s="60">
        <v>41595</v>
      </c>
    </row>
    <row r="690" spans="1:1">
      <c r="A690" s="60">
        <v>41596</v>
      </c>
    </row>
    <row r="691" spans="1:1">
      <c r="A691" s="60">
        <v>41597</v>
      </c>
    </row>
    <row r="692" spans="1:1">
      <c r="A692" s="60">
        <v>41598</v>
      </c>
    </row>
    <row r="693" spans="1:1">
      <c r="A693" s="60">
        <v>41599</v>
      </c>
    </row>
    <row r="694" spans="1:1">
      <c r="A694" s="60">
        <v>41600</v>
      </c>
    </row>
    <row r="695" spans="1:1">
      <c r="A695" s="60">
        <v>41601</v>
      </c>
    </row>
    <row r="696" spans="1:1">
      <c r="A696" s="60">
        <v>41602</v>
      </c>
    </row>
    <row r="697" spans="1:1">
      <c r="A697" s="60">
        <v>41603</v>
      </c>
    </row>
    <row r="698" spans="1:1">
      <c r="A698" s="60">
        <v>41604</v>
      </c>
    </row>
    <row r="699" spans="1:1">
      <c r="A699" s="60">
        <v>41605</v>
      </c>
    </row>
    <row r="700" spans="1:1">
      <c r="A700" s="60">
        <v>41606</v>
      </c>
    </row>
    <row r="701" spans="1:1">
      <c r="A701" s="60">
        <v>41607</v>
      </c>
    </row>
    <row r="702" spans="1:1">
      <c r="A702" s="60">
        <v>41608</v>
      </c>
    </row>
    <row r="703" spans="1:1">
      <c r="A703" s="60">
        <v>41609</v>
      </c>
    </row>
    <row r="704" spans="1:1">
      <c r="A704" s="60">
        <v>41610</v>
      </c>
    </row>
    <row r="705" spans="1:1">
      <c r="A705" s="60">
        <v>41611</v>
      </c>
    </row>
    <row r="706" spans="1:1">
      <c r="A706" s="60">
        <v>41612</v>
      </c>
    </row>
    <row r="707" spans="1:1">
      <c r="A707" s="60">
        <v>41613</v>
      </c>
    </row>
    <row r="708" spans="1:1">
      <c r="A708" s="60">
        <v>41614</v>
      </c>
    </row>
    <row r="709" spans="1:1">
      <c r="A709" s="60">
        <v>41615</v>
      </c>
    </row>
    <row r="710" spans="1:1">
      <c r="A710" s="60">
        <v>41616</v>
      </c>
    </row>
    <row r="711" spans="1:1">
      <c r="A711" s="60">
        <v>41617</v>
      </c>
    </row>
    <row r="712" spans="1:1">
      <c r="A712" s="60">
        <v>41618</v>
      </c>
    </row>
    <row r="713" spans="1:1">
      <c r="A713" s="60">
        <v>41619</v>
      </c>
    </row>
    <row r="714" spans="1:1">
      <c r="A714" s="60">
        <v>41620</v>
      </c>
    </row>
    <row r="715" spans="1:1">
      <c r="A715" s="60">
        <v>41621</v>
      </c>
    </row>
    <row r="716" spans="1:1">
      <c r="A716" s="60">
        <v>41622</v>
      </c>
    </row>
    <row r="717" spans="1:1">
      <c r="A717" s="60">
        <v>41623</v>
      </c>
    </row>
    <row r="718" spans="1:1">
      <c r="A718" s="60">
        <v>41624</v>
      </c>
    </row>
    <row r="719" spans="1:1">
      <c r="A719" s="60">
        <v>41625</v>
      </c>
    </row>
    <row r="720" spans="1:1">
      <c r="A720" s="60">
        <v>41626</v>
      </c>
    </row>
    <row r="721" spans="1:1">
      <c r="A721" s="60">
        <v>41627</v>
      </c>
    </row>
    <row r="722" spans="1:1">
      <c r="A722" s="60">
        <v>41628</v>
      </c>
    </row>
    <row r="723" spans="1:1">
      <c r="A723" s="60">
        <v>41629</v>
      </c>
    </row>
    <row r="724" spans="1:1">
      <c r="A724" s="60">
        <v>41630</v>
      </c>
    </row>
    <row r="725" spans="1:1">
      <c r="A725" s="60">
        <v>41631</v>
      </c>
    </row>
    <row r="726" spans="1:1">
      <c r="A726" s="60">
        <v>41632</v>
      </c>
    </row>
    <row r="727" spans="1:1">
      <c r="A727" s="60">
        <v>41633</v>
      </c>
    </row>
    <row r="728" spans="1:1">
      <c r="A728" s="60">
        <v>41634</v>
      </c>
    </row>
    <row r="729" spans="1:1">
      <c r="A729" s="60">
        <v>41635</v>
      </c>
    </row>
    <row r="730" spans="1:1">
      <c r="A730" s="60">
        <v>41636</v>
      </c>
    </row>
    <row r="731" spans="1:1">
      <c r="A731" s="60">
        <v>41637</v>
      </c>
    </row>
    <row r="732" spans="1:1">
      <c r="A732" s="60">
        <v>41638</v>
      </c>
    </row>
    <row r="733" spans="1:1">
      <c r="A733" s="60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42"/>
  <sheetViews>
    <sheetView showGridLines="0" view="pageBreakPreview" zoomScale="70" zoomScaleSheetLayoutView="70" workbookViewId="0">
      <selection activeCell="Z20" sqref="Z20"/>
    </sheetView>
  </sheetViews>
  <sheetFormatPr defaultRowHeight="15"/>
  <cols>
    <col min="1" max="1" width="14.28515625" style="21" bestFit="1" customWidth="1"/>
    <col min="2" max="2" width="80" style="245" customWidth="1"/>
    <col min="3" max="3" width="16.5703125" style="21" customWidth="1"/>
    <col min="4" max="4" width="14.28515625" style="21" customWidth="1"/>
    <col min="5" max="5" width="0.42578125" style="19" customWidth="1"/>
    <col min="6" max="6" width="9.140625" style="21"/>
    <col min="7" max="22" width="0" style="21" hidden="1" customWidth="1"/>
    <col min="23" max="16384" width="9.140625" style="21"/>
  </cols>
  <sheetData>
    <row r="1" spans="1:22" s="6" customFormat="1">
      <c r="A1" s="73" t="s">
        <v>261</v>
      </c>
      <c r="B1" s="240"/>
      <c r="C1" s="566" t="s">
        <v>98</v>
      </c>
      <c r="D1" s="566"/>
      <c r="E1" s="113"/>
    </row>
    <row r="2" spans="1:22" s="6" customFormat="1">
      <c r="A2" s="75" t="s">
        <v>129</v>
      </c>
      <c r="B2" s="240"/>
      <c r="C2" s="564" t="s">
        <v>943</v>
      </c>
      <c r="D2" s="565"/>
      <c r="E2" s="113"/>
      <c r="J2" s="567" t="s">
        <v>677</v>
      </c>
      <c r="K2" s="568"/>
    </row>
    <row r="3" spans="1:22" s="6" customFormat="1">
      <c r="A3" s="75"/>
      <c r="B3" s="240"/>
      <c r="C3" s="74"/>
      <c r="D3" s="74"/>
      <c r="E3" s="113"/>
      <c r="J3" s="429"/>
      <c r="K3" s="429"/>
    </row>
    <row r="4" spans="1:22" s="2" customFormat="1">
      <c r="A4" s="76" t="str">
        <f>'ფორმა N2'!A4</f>
        <v>ანგარიშვალდებული პირის დასახელება:</v>
      </c>
      <c r="B4" s="241"/>
      <c r="C4" s="75"/>
      <c r="D4" s="75"/>
      <c r="E4" s="108"/>
      <c r="G4" s="6"/>
      <c r="H4" s="6"/>
      <c r="J4" s="75"/>
      <c r="K4" s="75"/>
      <c r="N4" s="6"/>
    </row>
    <row r="5" spans="1:22" s="2" customFormat="1">
      <c r="A5" s="110" t="s">
        <v>654</v>
      </c>
      <c r="B5" s="242"/>
      <c r="C5" s="57"/>
      <c r="D5" s="57"/>
      <c r="E5" s="108"/>
      <c r="G5" s="6"/>
      <c r="H5" s="6"/>
      <c r="J5" s="57"/>
      <c r="K5" s="57"/>
    </row>
    <row r="6" spans="1:22" s="2" customFormat="1">
      <c r="A6" s="76"/>
      <c r="B6" s="241"/>
      <c r="C6" s="75"/>
      <c r="D6" s="75"/>
      <c r="E6" s="108"/>
      <c r="G6" s="6"/>
      <c r="H6" s="6"/>
      <c r="J6" s="75"/>
      <c r="K6" s="75"/>
    </row>
    <row r="7" spans="1:22" s="6" customFormat="1" ht="18">
      <c r="A7" s="99"/>
      <c r="B7" s="112"/>
      <c r="C7" s="77"/>
      <c r="D7" s="77"/>
      <c r="E7" s="113"/>
      <c r="J7" s="77"/>
      <c r="K7" s="77"/>
    </row>
    <row r="8" spans="1:22" s="6" customFormat="1" ht="60">
      <c r="A8" s="106" t="s">
        <v>64</v>
      </c>
      <c r="B8" s="78" t="s">
        <v>238</v>
      </c>
      <c r="C8" s="78" t="s">
        <v>66</v>
      </c>
      <c r="D8" s="78" t="s">
        <v>67</v>
      </c>
      <c r="E8" s="113"/>
      <c r="F8" s="20"/>
      <c r="J8" s="78" t="s">
        <v>66</v>
      </c>
      <c r="K8" s="78" t="s">
        <v>67</v>
      </c>
      <c r="M8" s="6" t="s">
        <v>852</v>
      </c>
      <c r="P8" s="6" t="s">
        <v>855</v>
      </c>
      <c r="S8" s="6" t="s">
        <v>854</v>
      </c>
      <c r="V8" s="6" t="s">
        <v>862</v>
      </c>
    </row>
    <row r="9" spans="1:22" s="7" customFormat="1">
      <c r="A9" s="238">
        <v>1</v>
      </c>
      <c r="B9" s="238" t="s">
        <v>65</v>
      </c>
      <c r="C9" s="84">
        <f>SUM(C10,C25)</f>
        <v>982932</v>
      </c>
      <c r="D9" s="84">
        <f>SUM(D10,D25)</f>
        <v>983107</v>
      </c>
      <c r="E9" s="113"/>
      <c r="G9" s="6">
        <f>L:L+O:O+R:R+U:U</f>
        <v>344722.5</v>
      </c>
      <c r="H9" s="6">
        <f>M:M+P:P+S:S+V:V</f>
        <v>342228</v>
      </c>
      <c r="J9" s="84">
        <f>SUM(J10,J25)</f>
        <v>64932</v>
      </c>
      <c r="K9" s="84">
        <f>SUM(K10,K25)</f>
        <v>64607</v>
      </c>
      <c r="L9" s="84">
        <f>SUM(L10,L25)</f>
        <v>65464.5</v>
      </c>
      <c r="M9" s="84">
        <f>SUM(M10,M25)</f>
        <v>63737</v>
      </c>
      <c r="O9" s="84">
        <f>SUM(O10,O25)</f>
        <v>101227</v>
      </c>
      <c r="P9" s="84">
        <f>SUM(P10,P25)</f>
        <v>100727</v>
      </c>
      <c r="R9" s="84">
        <f>SUM(R10,R25)</f>
        <v>114274</v>
      </c>
      <c r="S9" s="84">
        <f>SUM(S10,S25)</f>
        <v>114007</v>
      </c>
      <c r="U9" s="84">
        <f>SUM(U10,U25)</f>
        <v>63757</v>
      </c>
      <c r="V9" s="84">
        <f>SUM(V10,V25)</f>
        <v>63757</v>
      </c>
    </row>
    <row r="10" spans="1:22" s="7" customFormat="1">
      <c r="A10" s="86">
        <v>1.1000000000000001</v>
      </c>
      <c r="B10" s="86" t="s">
        <v>69</v>
      </c>
      <c r="C10" s="84">
        <f>SUM(C11,C12,C15,C18,C24)</f>
        <v>982707</v>
      </c>
      <c r="D10" s="84">
        <f>SUM(D11,D12,D15,D18,D23,D24)</f>
        <v>983107</v>
      </c>
      <c r="E10" s="113"/>
      <c r="G10" s="6">
        <f t="shared" ref="G10:G30" si="0">L:L+O:O+R:R+U:U</f>
        <v>342355.5</v>
      </c>
      <c r="H10" s="6">
        <f t="shared" ref="H10:H30" si="1">M:M+P:P+S:S+V:V</f>
        <v>342228</v>
      </c>
      <c r="J10" s="84">
        <f>SUM(J11,J12,J15,J18,J24)</f>
        <v>64607</v>
      </c>
      <c r="K10" s="84">
        <f>SUM(K11,K12,K15,K18,K23,K24)</f>
        <v>64607</v>
      </c>
      <c r="L10" s="84">
        <f>SUM(L11,L12,L15,L18,L24)</f>
        <v>63864.5</v>
      </c>
      <c r="M10" s="84">
        <f>SUM(M11,M12,M15,M18,M23,M24)</f>
        <v>63737</v>
      </c>
      <c r="O10" s="84">
        <f>SUM(O11,O12,O15,O18,O24)</f>
        <v>100727</v>
      </c>
      <c r="P10" s="84">
        <f>SUM(P11,P12,P15,P18,P23,P24)</f>
        <v>100727</v>
      </c>
      <c r="R10" s="84">
        <f>SUM(R11,R12,R15,R18,R24)</f>
        <v>114007</v>
      </c>
      <c r="S10" s="84">
        <f>SUM(S11,S12,S15,S18,S23,S24)</f>
        <v>114007</v>
      </c>
      <c r="U10" s="84">
        <f>SUM(U11,U12,U15,U18,U24)</f>
        <v>63757</v>
      </c>
      <c r="V10" s="84">
        <f>SUM(V11,V12,V15,V18,V23,V24)</f>
        <v>63757</v>
      </c>
    </row>
    <row r="11" spans="1:22" s="9" customFormat="1" ht="18">
      <c r="A11" s="87" t="s">
        <v>30</v>
      </c>
      <c r="B11" s="87" t="s">
        <v>68</v>
      </c>
      <c r="C11" s="8">
        <v>20</v>
      </c>
      <c r="D11" s="8">
        <v>20</v>
      </c>
      <c r="E11" s="113"/>
      <c r="G11" s="6">
        <f t="shared" si="0"/>
        <v>40</v>
      </c>
      <c r="H11" s="6">
        <f t="shared" si="1"/>
        <v>40</v>
      </c>
      <c r="J11" s="8">
        <v>20</v>
      </c>
      <c r="K11" s="8">
        <v>20</v>
      </c>
      <c r="L11" s="8">
        <v>0</v>
      </c>
      <c r="M11" s="8">
        <v>0</v>
      </c>
      <c r="O11" s="8">
        <v>0</v>
      </c>
      <c r="P11" s="8">
        <v>0</v>
      </c>
      <c r="R11" s="8">
        <v>20</v>
      </c>
      <c r="S11" s="8">
        <v>20</v>
      </c>
      <c r="U11" s="8">
        <v>20</v>
      </c>
      <c r="V11" s="8">
        <v>20</v>
      </c>
    </row>
    <row r="12" spans="1:22" s="10" customFormat="1">
      <c r="A12" s="87" t="s">
        <v>31</v>
      </c>
      <c r="B12" s="87" t="s">
        <v>298</v>
      </c>
      <c r="C12" s="107">
        <f>SUM(C13:C14)</f>
        <v>910800</v>
      </c>
      <c r="D12" s="107">
        <f>SUM(D13:D14)</f>
        <v>910800</v>
      </c>
      <c r="E12" s="113"/>
      <c r="G12" s="6">
        <f t="shared" si="0"/>
        <v>116000</v>
      </c>
      <c r="H12" s="6">
        <f t="shared" si="1"/>
        <v>116000</v>
      </c>
      <c r="J12" s="107">
        <f>SUM(J13:J14)</f>
        <v>0</v>
      </c>
      <c r="K12" s="107">
        <f>SUM(K13:K14)</f>
        <v>0</v>
      </c>
      <c r="L12" s="107">
        <f>SUM(L13:L14)</f>
        <v>0</v>
      </c>
      <c r="M12" s="107">
        <f>SUM(M13:M14)</f>
        <v>0</v>
      </c>
      <c r="O12" s="107">
        <f>SUM(O13:O14)</f>
        <v>81000</v>
      </c>
      <c r="P12" s="107">
        <f>SUM(P13:P14)</f>
        <v>81000</v>
      </c>
      <c r="R12" s="107">
        <f>SUM(R13:R14)</f>
        <v>35000</v>
      </c>
      <c r="S12" s="107">
        <f>SUM(S13:S14)</f>
        <v>35000</v>
      </c>
      <c r="U12" s="107">
        <f>SUM(U13:U14)</f>
        <v>0</v>
      </c>
      <c r="V12" s="107">
        <f>SUM(V13:V14)</f>
        <v>0</v>
      </c>
    </row>
    <row r="13" spans="1:22" s="3" customFormat="1">
      <c r="A13" s="96" t="s">
        <v>70</v>
      </c>
      <c r="B13" s="96" t="s">
        <v>301</v>
      </c>
      <c r="C13" s="8">
        <v>910800</v>
      </c>
      <c r="D13" s="8">
        <v>910800</v>
      </c>
      <c r="E13" s="113"/>
      <c r="G13" s="6">
        <f t="shared" si="0"/>
        <v>116000</v>
      </c>
      <c r="H13" s="6">
        <f t="shared" si="1"/>
        <v>116000</v>
      </c>
      <c r="J13" s="8"/>
      <c r="K13" s="8"/>
      <c r="L13" s="8"/>
      <c r="M13" s="8"/>
      <c r="O13" s="8">
        <v>81000</v>
      </c>
      <c r="P13" s="8">
        <v>81000</v>
      </c>
      <c r="R13" s="8">
        <v>35000</v>
      </c>
      <c r="S13" s="8">
        <v>35000</v>
      </c>
      <c r="U13" s="8"/>
      <c r="V13" s="8"/>
    </row>
    <row r="14" spans="1:22" s="3" customFormat="1">
      <c r="A14" s="96" t="s">
        <v>97</v>
      </c>
      <c r="B14" s="96" t="s">
        <v>86</v>
      </c>
      <c r="C14" s="8"/>
      <c r="D14" s="8"/>
      <c r="E14" s="113"/>
      <c r="G14" s="6">
        <f t="shared" si="0"/>
        <v>0</v>
      </c>
      <c r="H14" s="6">
        <f t="shared" si="1"/>
        <v>0</v>
      </c>
      <c r="J14" s="8"/>
      <c r="K14" s="8"/>
      <c r="L14" s="8"/>
      <c r="M14" s="8"/>
      <c r="O14" s="8"/>
      <c r="P14" s="8"/>
      <c r="R14" s="8"/>
      <c r="S14" s="8"/>
      <c r="U14" s="8"/>
      <c r="V14" s="8"/>
    </row>
    <row r="15" spans="1:22" s="3" customFormat="1">
      <c r="A15" s="87" t="s">
        <v>71</v>
      </c>
      <c r="B15" s="87" t="s">
        <v>72</v>
      </c>
      <c r="C15" s="107">
        <f>SUM(C16:C17)</f>
        <v>71887</v>
      </c>
      <c r="D15" s="107">
        <f>SUM(D16:D17)</f>
        <v>71887</v>
      </c>
      <c r="E15" s="113"/>
      <c r="G15" s="6">
        <f t="shared" si="0"/>
        <v>226315.5</v>
      </c>
      <c r="H15" s="6">
        <f t="shared" si="1"/>
        <v>226188</v>
      </c>
      <c r="J15" s="107">
        <f>SUM(J16:J17)</f>
        <v>64587</v>
      </c>
      <c r="K15" s="107">
        <f>SUM(K16:K17)</f>
        <v>64587</v>
      </c>
      <c r="L15" s="107">
        <f>SUM(L16:L17)</f>
        <v>63864.5</v>
      </c>
      <c r="M15" s="107">
        <f>SUM(M16:M17)</f>
        <v>63737</v>
      </c>
      <c r="O15" s="107">
        <f>SUM(O16:O17)</f>
        <v>19727</v>
      </c>
      <c r="P15" s="107">
        <f>SUM(P16:P17)</f>
        <v>19727</v>
      </c>
      <c r="R15" s="107">
        <f>SUM(R16:R17)</f>
        <v>78987</v>
      </c>
      <c r="S15" s="107">
        <f>SUM(S16:S17)</f>
        <v>78987</v>
      </c>
      <c r="U15" s="107">
        <f>SUM(U16:U17)</f>
        <v>63737</v>
      </c>
      <c r="V15" s="107">
        <f>SUM(V16:V17)</f>
        <v>63737</v>
      </c>
    </row>
    <row r="16" spans="1:22" s="3" customFormat="1">
      <c r="A16" s="96" t="s">
        <v>73</v>
      </c>
      <c r="B16" s="96" t="s">
        <v>75</v>
      </c>
      <c r="C16" s="8">
        <f>63737+8150</f>
        <v>71887</v>
      </c>
      <c r="D16" s="8">
        <f>63737+8150</f>
        <v>71887</v>
      </c>
      <c r="E16" s="113"/>
      <c r="G16" s="6">
        <f t="shared" si="0"/>
        <v>206588.5</v>
      </c>
      <c r="H16" s="6">
        <f t="shared" si="1"/>
        <v>206461</v>
      </c>
      <c r="J16" s="8">
        <f>63737+850</f>
        <v>64587</v>
      </c>
      <c r="K16" s="8">
        <f>63737+850</f>
        <v>64587</v>
      </c>
      <c r="L16" s="8">
        <v>63864.5</v>
      </c>
      <c r="M16" s="8">
        <v>63737</v>
      </c>
      <c r="O16" s="8"/>
      <c r="P16" s="8"/>
      <c r="R16" s="8">
        <f>63737+15250</f>
        <v>78987</v>
      </c>
      <c r="S16" s="8">
        <f>63737+15250</f>
        <v>78987</v>
      </c>
      <c r="U16" s="8">
        <v>63737</v>
      </c>
      <c r="V16" s="8">
        <v>63737</v>
      </c>
    </row>
    <row r="17" spans="1:22" s="3" customFormat="1" ht="30">
      <c r="A17" s="96" t="s">
        <v>74</v>
      </c>
      <c r="B17" s="96" t="s">
        <v>99</v>
      </c>
      <c r="C17" s="8">
        <v>0</v>
      </c>
      <c r="D17" s="8">
        <v>0</v>
      </c>
      <c r="E17" s="113"/>
      <c r="G17" s="6">
        <f t="shared" si="0"/>
        <v>19727</v>
      </c>
      <c r="H17" s="6">
        <f t="shared" si="1"/>
        <v>19727</v>
      </c>
      <c r="J17" s="8"/>
      <c r="K17" s="8"/>
      <c r="L17" s="8"/>
      <c r="M17" s="8"/>
      <c r="O17" s="8">
        <v>19727</v>
      </c>
      <c r="P17" s="8">
        <v>19727</v>
      </c>
      <c r="R17" s="8"/>
      <c r="S17" s="8"/>
      <c r="U17" s="8"/>
      <c r="V17" s="8"/>
    </row>
    <row r="18" spans="1:22" s="3" customFormat="1">
      <c r="A18" s="87" t="s">
        <v>76</v>
      </c>
      <c r="B18" s="87" t="s">
        <v>389</v>
      </c>
      <c r="C18" s="107">
        <f>SUM(C19:C22)</f>
        <v>0</v>
      </c>
      <c r="D18" s="107">
        <f>SUM(D19:D22)</f>
        <v>0</v>
      </c>
      <c r="E18" s="113"/>
      <c r="G18" s="6">
        <f t="shared" si="0"/>
        <v>0</v>
      </c>
      <c r="H18" s="6">
        <f t="shared" si="1"/>
        <v>0</v>
      </c>
      <c r="J18" s="107">
        <f>SUM(J19:J22)</f>
        <v>0</v>
      </c>
      <c r="K18" s="107">
        <f>SUM(K19:K22)</f>
        <v>0</v>
      </c>
      <c r="L18" s="107">
        <f>SUM(L19:L22)</f>
        <v>0</v>
      </c>
      <c r="M18" s="107">
        <f>SUM(M19:M22)</f>
        <v>0</v>
      </c>
      <c r="O18" s="107">
        <f>SUM(O19:O22)</f>
        <v>0</v>
      </c>
      <c r="P18" s="107">
        <f>SUM(P19:P22)</f>
        <v>0</v>
      </c>
      <c r="R18" s="107">
        <f>SUM(R19:R22)</f>
        <v>0</v>
      </c>
      <c r="S18" s="107">
        <f>SUM(S19:S22)</f>
        <v>0</v>
      </c>
      <c r="U18" s="107">
        <f>SUM(U19:U22)</f>
        <v>0</v>
      </c>
      <c r="V18" s="107">
        <f>SUM(V19:V22)</f>
        <v>0</v>
      </c>
    </row>
    <row r="19" spans="1:22" s="3" customFormat="1">
      <c r="A19" s="96" t="s">
        <v>77</v>
      </c>
      <c r="B19" s="96" t="s">
        <v>78</v>
      </c>
      <c r="C19" s="8"/>
      <c r="D19" s="8"/>
      <c r="E19" s="113"/>
      <c r="G19" s="6">
        <f t="shared" si="0"/>
        <v>0</v>
      </c>
      <c r="H19" s="6">
        <f t="shared" si="1"/>
        <v>0</v>
      </c>
      <c r="J19" s="8"/>
      <c r="K19" s="8"/>
      <c r="L19" s="8"/>
      <c r="M19" s="8"/>
      <c r="O19" s="8"/>
      <c r="P19" s="8"/>
      <c r="R19" s="8"/>
      <c r="S19" s="8"/>
      <c r="U19" s="8"/>
      <c r="V19" s="8"/>
    </row>
    <row r="20" spans="1:22" s="3" customFormat="1" ht="30">
      <c r="A20" s="96" t="s">
        <v>81</v>
      </c>
      <c r="B20" s="96" t="s">
        <v>79</v>
      </c>
      <c r="C20" s="8"/>
      <c r="D20" s="8"/>
      <c r="E20" s="113"/>
      <c r="G20" s="6">
        <f t="shared" si="0"/>
        <v>0</v>
      </c>
      <c r="H20" s="6">
        <f t="shared" si="1"/>
        <v>0</v>
      </c>
      <c r="J20" s="8"/>
      <c r="K20" s="8"/>
      <c r="L20" s="8"/>
      <c r="M20" s="8"/>
      <c r="O20" s="8"/>
      <c r="P20" s="8"/>
      <c r="R20" s="8"/>
      <c r="S20" s="8"/>
      <c r="U20" s="8"/>
      <c r="V20" s="8"/>
    </row>
    <row r="21" spans="1:22" s="3" customFormat="1">
      <c r="A21" s="96" t="s">
        <v>82</v>
      </c>
      <c r="B21" s="96" t="s">
        <v>80</v>
      </c>
      <c r="C21" s="8"/>
      <c r="D21" s="8"/>
      <c r="E21" s="113"/>
      <c r="G21" s="6">
        <f t="shared" si="0"/>
        <v>0</v>
      </c>
      <c r="H21" s="6">
        <f t="shared" si="1"/>
        <v>0</v>
      </c>
      <c r="J21" s="8"/>
      <c r="K21" s="8"/>
      <c r="L21" s="8"/>
      <c r="M21" s="8"/>
      <c r="O21" s="8"/>
      <c r="P21" s="8"/>
      <c r="R21" s="8"/>
      <c r="S21" s="8"/>
      <c r="U21" s="8"/>
      <c r="V21" s="8"/>
    </row>
    <row r="22" spans="1:22" s="3" customFormat="1">
      <c r="A22" s="96" t="s">
        <v>83</v>
      </c>
      <c r="B22" s="96" t="s">
        <v>413</v>
      </c>
      <c r="C22" s="8"/>
      <c r="D22" s="8"/>
      <c r="E22" s="113"/>
      <c r="G22" s="6">
        <f t="shared" si="0"/>
        <v>0</v>
      </c>
      <c r="H22" s="6">
        <f t="shared" si="1"/>
        <v>0</v>
      </c>
      <c r="J22" s="8"/>
      <c r="K22" s="8"/>
      <c r="L22" s="8"/>
      <c r="M22" s="8"/>
      <c r="O22" s="8"/>
      <c r="P22" s="8"/>
      <c r="R22" s="8"/>
      <c r="S22" s="8"/>
      <c r="U22" s="8"/>
      <c r="V22" s="8"/>
    </row>
    <row r="23" spans="1:22" s="3" customFormat="1">
      <c r="A23" s="87" t="s">
        <v>84</v>
      </c>
      <c r="B23" s="87" t="s">
        <v>414</v>
      </c>
      <c r="C23" s="263"/>
      <c r="D23" s="8"/>
      <c r="E23" s="113"/>
      <c r="G23" s="6">
        <f t="shared" si="0"/>
        <v>0</v>
      </c>
      <c r="H23" s="6">
        <f t="shared" si="1"/>
        <v>0</v>
      </c>
      <c r="J23" s="263"/>
      <c r="K23" s="8"/>
      <c r="L23" s="263"/>
      <c r="M23" s="8"/>
      <c r="O23" s="263"/>
      <c r="P23" s="8"/>
      <c r="R23" s="263"/>
      <c r="S23" s="8"/>
      <c r="U23" s="263"/>
      <c r="V23" s="8"/>
    </row>
    <row r="24" spans="1:22" s="3" customFormat="1">
      <c r="A24" s="87" t="s">
        <v>240</v>
      </c>
      <c r="B24" s="87" t="s">
        <v>876</v>
      </c>
      <c r="C24" s="8"/>
      <c r="D24" s="8">
        <v>400</v>
      </c>
      <c r="E24" s="113"/>
      <c r="G24" s="6">
        <f t="shared" si="0"/>
        <v>0</v>
      </c>
      <c r="H24" s="6">
        <f t="shared" si="1"/>
        <v>0</v>
      </c>
      <c r="J24" s="8"/>
      <c r="K24" s="8"/>
      <c r="L24" s="8"/>
      <c r="M24" s="8"/>
      <c r="O24" s="8"/>
      <c r="P24" s="8"/>
      <c r="R24" s="8"/>
      <c r="S24" s="8"/>
      <c r="U24" s="8"/>
      <c r="V24" s="8"/>
    </row>
    <row r="25" spans="1:22" s="3" customFormat="1">
      <c r="A25" s="86">
        <v>1.2</v>
      </c>
      <c r="B25" s="238" t="s">
        <v>85</v>
      </c>
      <c r="C25" s="84">
        <f>SUM(C26,C30)</f>
        <v>225</v>
      </c>
      <c r="D25" s="84">
        <f>SUM(D26,D30)</f>
        <v>0</v>
      </c>
      <c r="E25" s="113"/>
      <c r="G25" s="6">
        <f t="shared" si="0"/>
        <v>2367</v>
      </c>
      <c r="H25" s="6">
        <f t="shared" si="1"/>
        <v>0</v>
      </c>
      <c r="J25" s="84">
        <f>SUM(J26,J30)</f>
        <v>325</v>
      </c>
      <c r="K25" s="84">
        <f>SUM(K26,K30)</f>
        <v>0</v>
      </c>
      <c r="L25" s="84">
        <f>SUM(L26,L30)</f>
        <v>1600</v>
      </c>
      <c r="M25" s="84">
        <f>SUM(M26,M30)</f>
        <v>0</v>
      </c>
      <c r="O25" s="84">
        <f>SUM(O26,O30)</f>
        <v>500</v>
      </c>
      <c r="P25" s="84">
        <f>SUM(P26,P30)</f>
        <v>0</v>
      </c>
      <c r="R25" s="84">
        <f>SUM(R26,R30)</f>
        <v>267</v>
      </c>
      <c r="S25" s="84">
        <f>SUM(S26,S30)</f>
        <v>0</v>
      </c>
      <c r="U25" s="84">
        <f>SUM(U26,U30)</f>
        <v>0</v>
      </c>
      <c r="V25" s="84">
        <f>SUM(V26,V30)</f>
        <v>0</v>
      </c>
    </row>
    <row r="26" spans="1:22">
      <c r="A26" s="87" t="s">
        <v>32</v>
      </c>
      <c r="B26" s="87" t="s">
        <v>301</v>
      </c>
      <c r="C26" s="107">
        <f>SUM(C27:C29)</f>
        <v>225</v>
      </c>
      <c r="D26" s="107">
        <f>SUM(D27:D29)</f>
        <v>0</v>
      </c>
      <c r="E26" s="113"/>
      <c r="G26" s="6">
        <f t="shared" si="0"/>
        <v>2300</v>
      </c>
      <c r="H26" s="6">
        <f t="shared" si="1"/>
        <v>0</v>
      </c>
      <c r="J26" s="107">
        <f>SUM(J27:J29)</f>
        <v>325</v>
      </c>
      <c r="K26" s="107">
        <f>SUM(K27:K29)</f>
        <v>0</v>
      </c>
      <c r="L26" s="107">
        <f>SUM(L27:L29)</f>
        <v>1600</v>
      </c>
      <c r="M26" s="107">
        <f>SUM(M27:M29)</f>
        <v>0</v>
      </c>
      <c r="O26" s="107">
        <f>SUM(O27:O29)</f>
        <v>500</v>
      </c>
      <c r="P26" s="107">
        <f>SUM(P27:P29)</f>
        <v>0</v>
      </c>
      <c r="R26" s="107">
        <f>SUM(R27:R29)</f>
        <v>200</v>
      </c>
      <c r="S26" s="107">
        <f>SUM(S27:S29)</f>
        <v>0</v>
      </c>
      <c r="U26" s="107">
        <f>SUM(U27:U29)</f>
        <v>0</v>
      </c>
      <c r="V26" s="107">
        <f>SUM(V27:V29)</f>
        <v>0</v>
      </c>
    </row>
    <row r="27" spans="1:22">
      <c r="A27" s="239" t="s">
        <v>87</v>
      </c>
      <c r="B27" s="96" t="s">
        <v>299</v>
      </c>
      <c r="C27" s="8">
        <v>225</v>
      </c>
      <c r="D27" s="8"/>
      <c r="E27" s="113"/>
      <c r="G27" s="6">
        <f t="shared" si="0"/>
        <v>2300</v>
      </c>
      <c r="H27" s="6">
        <f t="shared" si="1"/>
        <v>0</v>
      </c>
      <c r="J27" s="8">
        <v>325</v>
      </c>
      <c r="K27" s="8"/>
      <c r="L27" s="8">
        <v>1600</v>
      </c>
      <c r="M27" s="8"/>
      <c r="O27" s="8">
        <v>500</v>
      </c>
      <c r="P27" s="8"/>
      <c r="R27" s="8">
        <v>200</v>
      </c>
      <c r="S27" s="8"/>
      <c r="U27" s="8"/>
      <c r="V27" s="8"/>
    </row>
    <row r="28" spans="1:22">
      <c r="A28" s="239" t="s">
        <v>88</v>
      </c>
      <c r="B28" s="96" t="s">
        <v>302</v>
      </c>
      <c r="C28" s="8"/>
      <c r="D28" s="8"/>
      <c r="E28" s="113"/>
      <c r="G28" s="6">
        <f t="shared" si="0"/>
        <v>0</v>
      </c>
      <c r="H28" s="6">
        <f t="shared" si="1"/>
        <v>0</v>
      </c>
      <c r="J28" s="8"/>
      <c r="K28" s="8"/>
      <c r="L28" s="8"/>
      <c r="M28" s="8"/>
      <c r="O28" s="8"/>
      <c r="P28" s="8"/>
      <c r="R28" s="8"/>
      <c r="S28" s="8"/>
      <c r="U28" s="8"/>
      <c r="V28" s="8"/>
    </row>
    <row r="29" spans="1:22">
      <c r="A29" s="239" t="s">
        <v>423</v>
      </c>
      <c r="B29" s="96" t="s">
        <v>300</v>
      </c>
      <c r="C29" s="8">
        <v>0</v>
      </c>
      <c r="D29" s="8"/>
      <c r="E29" s="113"/>
      <c r="G29" s="6">
        <f t="shared" si="0"/>
        <v>0</v>
      </c>
      <c r="H29" s="6">
        <f t="shared" si="1"/>
        <v>0</v>
      </c>
      <c r="J29" s="8"/>
      <c r="K29" s="8"/>
      <c r="L29" s="8"/>
      <c r="M29" s="8"/>
      <c r="O29" s="8"/>
      <c r="P29" s="8"/>
      <c r="R29" s="8"/>
      <c r="S29" s="8"/>
      <c r="U29" s="8"/>
      <c r="V29" s="8"/>
    </row>
    <row r="30" spans="1:22">
      <c r="A30" s="87" t="s">
        <v>33</v>
      </c>
      <c r="B30" s="262" t="s">
        <v>421</v>
      </c>
      <c r="C30" s="8"/>
      <c r="D30" s="8"/>
      <c r="E30" s="113"/>
      <c r="G30" s="6">
        <f t="shared" si="0"/>
        <v>67</v>
      </c>
      <c r="H30" s="6">
        <f t="shared" si="1"/>
        <v>0</v>
      </c>
      <c r="J30" s="8"/>
      <c r="K30" s="8"/>
      <c r="L30" s="8"/>
      <c r="M30" s="8"/>
      <c r="O30" s="8"/>
      <c r="P30" s="8"/>
      <c r="R30" s="8">
        <v>67</v>
      </c>
      <c r="S30" s="8"/>
    </row>
    <row r="31" spans="1:22" s="22" customFormat="1" ht="12.75">
      <c r="B31" s="243"/>
    </row>
    <row r="32" spans="1:22" s="2" customFormat="1">
      <c r="A32" s="1"/>
      <c r="B32" s="244"/>
      <c r="E32" s="5"/>
    </row>
    <row r="33" spans="1:11" s="2" customFormat="1">
      <c r="B33" s="244"/>
      <c r="E33" s="5"/>
    </row>
    <row r="34" spans="1:11">
      <c r="A34" s="1"/>
    </row>
    <row r="35" spans="1:11">
      <c r="A35" s="2"/>
    </row>
    <row r="36" spans="1:11" s="2" customFormat="1">
      <c r="A36" s="68" t="s">
        <v>96</v>
      </c>
      <c r="B36" s="244"/>
      <c r="E36" s="5"/>
    </row>
    <row r="37" spans="1:11" s="2" customFormat="1">
      <c r="B37" s="244"/>
      <c r="E37"/>
      <c r="F37"/>
      <c r="G37"/>
      <c r="H37"/>
      <c r="I37"/>
      <c r="J37"/>
      <c r="K37"/>
    </row>
    <row r="38" spans="1:11" s="2" customFormat="1">
      <c r="B38" s="244"/>
      <c r="D38" s="12"/>
      <c r="E38"/>
      <c r="F38"/>
      <c r="G38"/>
      <c r="H38"/>
      <c r="I38"/>
      <c r="J38"/>
      <c r="K38"/>
    </row>
    <row r="39" spans="1:11" s="2" customFormat="1">
      <c r="A39"/>
      <c r="B39" s="246" t="s">
        <v>417</v>
      </c>
      <c r="D39" s="12"/>
      <c r="E39"/>
      <c r="F39"/>
      <c r="G39"/>
      <c r="H39"/>
      <c r="I39"/>
      <c r="J39"/>
      <c r="K39"/>
    </row>
    <row r="40" spans="1:11" s="2" customFormat="1">
      <c r="A40"/>
      <c r="B40" s="244" t="s">
        <v>259</v>
      </c>
      <c r="D40" s="12"/>
      <c r="E40"/>
      <c r="F40"/>
      <c r="G40"/>
      <c r="H40"/>
      <c r="I40"/>
      <c r="J40"/>
      <c r="K40"/>
    </row>
    <row r="41" spans="1:11" customFormat="1" ht="12.75">
      <c r="B41" s="247" t="s">
        <v>128</v>
      </c>
    </row>
    <row r="42" spans="1:11" customFormat="1" ht="12.75">
      <c r="B42" s="248"/>
    </row>
  </sheetData>
  <mergeCells count="3">
    <mergeCell ref="C1:D1"/>
    <mergeCell ref="C2:D2"/>
    <mergeCell ref="J2:K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8"/>
  <sheetViews>
    <sheetView showGridLines="0" view="pageBreakPreview" zoomScale="70" zoomScaleNormal="100" zoomScaleSheetLayoutView="70" workbookViewId="0">
      <selection activeCell="C45" sqref="C45"/>
    </sheetView>
  </sheetViews>
  <sheetFormatPr defaultRowHeight="15"/>
  <cols>
    <col min="1" max="1" width="14.28515625" style="21" bestFit="1" customWidth="1"/>
    <col min="2" max="2" width="76.7109375" style="21" customWidth="1"/>
    <col min="3" max="3" width="15.140625" style="21" customWidth="1"/>
    <col min="4" max="4" width="13.5703125" style="21" customWidth="1"/>
    <col min="5" max="5" width="0.7109375" style="21" customWidth="1"/>
    <col min="6" max="6" width="9.140625" style="21"/>
    <col min="7" max="35" width="0" style="21" hidden="1" customWidth="1"/>
    <col min="36" max="16384" width="9.140625" style="21"/>
  </cols>
  <sheetData>
    <row r="1" spans="1:34" s="6" customFormat="1">
      <c r="A1" s="389" t="s">
        <v>659</v>
      </c>
      <c r="B1" s="384"/>
      <c r="C1" s="566" t="s">
        <v>98</v>
      </c>
      <c r="D1" s="566"/>
      <c r="E1" s="90"/>
    </row>
    <row r="2" spans="1:34" s="6" customFormat="1">
      <c r="A2" s="389" t="s">
        <v>660</v>
      </c>
      <c r="B2" s="384"/>
      <c r="C2" s="564" t="s">
        <v>943</v>
      </c>
      <c r="D2" s="565"/>
      <c r="E2" s="90"/>
      <c r="P2" s="564"/>
      <c r="Q2" s="565"/>
    </row>
    <row r="3" spans="1:34" s="6" customFormat="1">
      <c r="A3" s="389" t="s">
        <v>661</v>
      </c>
      <c r="B3" s="384"/>
      <c r="C3" s="385"/>
      <c r="D3" s="385"/>
      <c r="E3" s="90"/>
      <c r="P3" s="429"/>
      <c r="Q3" s="429"/>
    </row>
    <row r="4" spans="1:34" s="6" customFormat="1">
      <c r="A4" s="114" t="s">
        <v>129</v>
      </c>
      <c r="B4" s="384"/>
      <c r="C4" s="385"/>
      <c r="D4" s="385"/>
      <c r="E4" s="90"/>
      <c r="P4" s="429"/>
      <c r="Q4" s="429"/>
    </row>
    <row r="5" spans="1:34" s="6" customFormat="1">
      <c r="A5" s="114"/>
      <c r="B5" s="384"/>
      <c r="C5" s="385"/>
      <c r="D5" s="385"/>
      <c r="E5" s="90"/>
      <c r="P5" s="429"/>
      <c r="Q5" s="429"/>
    </row>
    <row r="6" spans="1:34">
      <c r="A6" s="390" t="s">
        <v>263</v>
      </c>
      <c r="B6" s="390"/>
      <c r="C6" s="114"/>
      <c r="D6" s="114"/>
      <c r="E6" s="391"/>
      <c r="P6" s="114"/>
      <c r="Q6" s="114"/>
      <c r="T6" s="6"/>
      <c r="U6" s="6"/>
    </row>
    <row r="7" spans="1:34">
      <c r="A7" s="110" t="s">
        <v>654</v>
      </c>
      <c r="B7" s="392"/>
      <c r="C7" s="393"/>
      <c r="D7" s="393"/>
      <c r="E7" s="391"/>
      <c r="P7" s="393"/>
      <c r="Q7" s="393"/>
      <c r="T7" s="6"/>
      <c r="U7" s="6"/>
    </row>
    <row r="8" spans="1:34">
      <c r="A8" s="390"/>
      <c r="B8" s="390"/>
      <c r="C8" s="114"/>
      <c r="D8" s="114"/>
      <c r="E8" s="391"/>
      <c r="P8" s="114"/>
      <c r="Q8" s="114"/>
      <c r="T8" s="6"/>
      <c r="U8" s="6"/>
    </row>
    <row r="9" spans="1:34" s="6" customFormat="1">
      <c r="A9" s="384"/>
      <c r="B9" s="384"/>
      <c r="C9" s="77"/>
      <c r="D9" s="77"/>
      <c r="E9" s="90"/>
      <c r="P9" s="77"/>
      <c r="Q9" s="77"/>
    </row>
    <row r="10" spans="1:34" s="6" customFormat="1" ht="30">
      <c r="A10" s="88" t="s">
        <v>64</v>
      </c>
      <c r="B10" s="89" t="s">
        <v>11</v>
      </c>
      <c r="C10" s="78" t="s">
        <v>10</v>
      </c>
      <c r="D10" s="78" t="s">
        <v>9</v>
      </c>
      <c r="E10" s="90"/>
      <c r="G10" s="6" t="e">
        <f>J:J+M:M+P:P+S:S</f>
        <v>#VALUE!</v>
      </c>
      <c r="H10" s="6">
        <f>K:K+N:N+Q:Q+V:V</f>
        <v>0</v>
      </c>
      <c r="J10" s="6" t="s">
        <v>675</v>
      </c>
      <c r="M10" s="6" t="s">
        <v>674</v>
      </c>
      <c r="P10" s="564" t="s">
        <v>677</v>
      </c>
      <c r="Q10" s="565"/>
      <c r="S10" s="6" t="s">
        <v>683</v>
      </c>
      <c r="Y10" s="6" t="s">
        <v>856</v>
      </c>
      <c r="AB10" s="6" t="s">
        <v>857</v>
      </c>
      <c r="AE10" s="6" t="s">
        <v>854</v>
      </c>
      <c r="AH10" s="6" t="s">
        <v>862</v>
      </c>
    </row>
    <row r="11" spans="1:34" s="7" customFormat="1">
      <c r="A11" s="238">
        <v>1</v>
      </c>
      <c r="B11" s="238" t="s">
        <v>57</v>
      </c>
      <c r="C11" s="420">
        <f>SUM(C12,C15,C54,C57,C58,C59,C77)</f>
        <v>222960.35</v>
      </c>
      <c r="D11" s="420">
        <f>SUM(D12,D15,D54,D57,D58,D59,D65,D73,D74)</f>
        <v>364130.1</v>
      </c>
      <c r="E11" s="394"/>
      <c r="G11" s="6">
        <f t="shared" ref="G11:G74" si="0">J:J+M:M+P:P+S:S</f>
        <v>165432.41</v>
      </c>
      <c r="H11" s="6">
        <f t="shared" ref="H11:H74" si="1">K:K+N:N+Q:Q+V:V</f>
        <v>194267</v>
      </c>
      <c r="J11" s="81">
        <f>SUM(J12,J15,J55,J58,J59,J60,J77)</f>
        <v>20490</v>
      </c>
      <c r="K11" s="81">
        <f>SUM(K12,K15,K55,K58,K59,K60,K66,K73,K74)</f>
        <v>38001.58</v>
      </c>
      <c r="M11" s="420">
        <f>SUM(M12,M15,M54,M57,M58,M59,M77)</f>
        <v>65461.32</v>
      </c>
      <c r="N11" s="420">
        <f>SUM(N12,N15,N54,N57,N58,N59,N65,N73,N74)</f>
        <v>76816.92</v>
      </c>
      <c r="P11" s="420">
        <f>SUM(P12,P15,P54,P57,P58,P59,P77)</f>
        <v>71658.720000000001</v>
      </c>
      <c r="Q11" s="420">
        <f>SUM(Q12,Q15,Q54,Q57,Q58,Q59,Q65,Q73,Q74)</f>
        <v>60489.86</v>
      </c>
      <c r="S11" s="420">
        <f>SUM(S12,S15,S54,S57,S58,S59,S77)</f>
        <v>7822.37</v>
      </c>
      <c r="T11" s="6">
        <f>X:X+AA:AA+AD:AD+AG:AG</f>
        <v>258412.93</v>
      </c>
      <c r="U11" s="6">
        <f>Y:Y+AB:AB+AE:AE+AH:AH</f>
        <v>246483.53</v>
      </c>
      <c r="V11" s="420">
        <f>SUM(V12,V15,V54,V57,V58,V59,V65,V73,V74)</f>
        <v>18958.64</v>
      </c>
      <c r="X11" s="420">
        <f>SUM(X12,X15,X54,X57,X58,X59,X77)</f>
        <v>86399.22</v>
      </c>
      <c r="Y11" s="420">
        <f>SUM(Y12,Y15,Y54,Y57,Y58,Y59,Y65,Y73,Y74)</f>
        <v>79574.44</v>
      </c>
      <c r="AA11" s="420">
        <f>SUM(AA12,AA15,AA54,AA57,AA58,AA59,AA77)</f>
        <v>66271.640000000014</v>
      </c>
      <c r="AB11" s="420">
        <f>SUM(AB12,AB15,AB54,AB57,AB58,AB59,AB65,AB73,AB74)</f>
        <v>62031.87</v>
      </c>
      <c r="AD11" s="420">
        <f>SUM(AD12,AD15,AD54,AD57,AD58,AD59,AD77)</f>
        <v>80043.429999999993</v>
      </c>
      <c r="AE11" s="420">
        <f>SUM(AE12,AE15,AE54,AE57,AE58,AE59,AE65,AE73,AE74)</f>
        <v>59784.450000000004</v>
      </c>
      <c r="AG11" s="420">
        <f>SUM(AG12,AG15,AG54,AG57,AG58,AG59,AG77)</f>
        <v>25698.639999999999</v>
      </c>
      <c r="AH11" s="420">
        <f>SUM(AH12,AH15,AH54,AH57,AH58,AH59,AH65,AH73,AH74)</f>
        <v>45092.77</v>
      </c>
    </row>
    <row r="12" spans="1:34" s="9" customFormat="1" ht="18">
      <c r="A12" s="86">
        <v>1.1000000000000001</v>
      </c>
      <c r="B12" s="86" t="s">
        <v>58</v>
      </c>
      <c r="C12" s="421">
        <f>SUM(C13:C14)</f>
        <v>0</v>
      </c>
      <c r="D12" s="421">
        <f>SUM(D13:D14)</f>
        <v>0</v>
      </c>
      <c r="E12" s="92"/>
      <c r="G12" s="6">
        <f t="shared" si="0"/>
        <v>7500</v>
      </c>
      <c r="H12" s="6">
        <f t="shared" si="1"/>
        <v>10000</v>
      </c>
      <c r="J12" s="83">
        <f>SUM(J13:J14)</f>
        <v>0</v>
      </c>
      <c r="K12" s="83">
        <f>SUM(K13:K14)</f>
        <v>0</v>
      </c>
      <c r="M12" s="421">
        <f>SUM(M13:M14)</f>
        <v>3750</v>
      </c>
      <c r="N12" s="421">
        <f>SUM(N13:N14)</f>
        <v>3750</v>
      </c>
      <c r="P12" s="421">
        <f>SUM(P13:P14)</f>
        <v>3750</v>
      </c>
      <c r="Q12" s="421">
        <f>SUM(Q13:Q14)</f>
        <v>3750</v>
      </c>
      <c r="S12" s="421">
        <f>SUM(S13:S14)</f>
        <v>0</v>
      </c>
      <c r="T12" s="6">
        <f t="shared" ref="T12:T75" si="2">X:X+AA:AA+AD:AD+AG:AG</f>
        <v>11250</v>
      </c>
      <c r="U12" s="6">
        <f t="shared" ref="U12:U75" si="3">Y:Y+AB:AB+AE:AE+AH:AH</f>
        <v>7500</v>
      </c>
      <c r="V12" s="421">
        <f>SUM(V13:V14)</f>
        <v>2500</v>
      </c>
      <c r="X12" s="421">
        <f>SUM(X13:X14)</f>
        <v>3750</v>
      </c>
      <c r="Y12" s="421">
        <f>SUM(Y13:Y14)</f>
        <v>0</v>
      </c>
      <c r="AA12" s="421">
        <f>SUM(AA13:AA14)</f>
        <v>3750</v>
      </c>
      <c r="AB12" s="421">
        <f>SUM(AB13:AB14)</f>
        <v>3750</v>
      </c>
      <c r="AD12" s="421">
        <f>SUM(AD13:AD14)</f>
        <v>3750</v>
      </c>
      <c r="AE12" s="421">
        <f>SUM(AE13:AE14)</f>
        <v>3750</v>
      </c>
      <c r="AG12" s="421">
        <f>SUM(AG13:AG14)</f>
        <v>0</v>
      </c>
      <c r="AH12" s="421">
        <f>SUM(AH13:AH14)</f>
        <v>0</v>
      </c>
    </row>
    <row r="13" spans="1:34" s="10" customFormat="1">
      <c r="A13" s="87" t="s">
        <v>30</v>
      </c>
      <c r="B13" s="87" t="s">
        <v>59</v>
      </c>
      <c r="C13" s="4">
        <v>0</v>
      </c>
      <c r="D13" s="4">
        <v>0</v>
      </c>
      <c r="E13" s="93"/>
      <c r="G13" s="6">
        <f t="shared" si="0"/>
        <v>7500</v>
      </c>
      <c r="H13" s="6">
        <f t="shared" si="1"/>
        <v>10000</v>
      </c>
      <c r="J13" s="32"/>
      <c r="K13" s="33"/>
      <c r="M13" s="4">
        <v>3750</v>
      </c>
      <c r="N13" s="4">
        <v>3750</v>
      </c>
      <c r="P13" s="4">
        <v>3750</v>
      </c>
      <c r="Q13" s="4">
        <v>3750</v>
      </c>
      <c r="S13" s="433"/>
      <c r="T13" s="6">
        <f t="shared" si="2"/>
        <v>11250</v>
      </c>
      <c r="U13" s="6">
        <f t="shared" si="3"/>
        <v>7500</v>
      </c>
      <c r="V13" s="4">
        <v>2500</v>
      </c>
      <c r="X13" s="4">
        <v>3750</v>
      </c>
      <c r="Y13" s="4"/>
      <c r="AA13" s="4">
        <v>3750</v>
      </c>
      <c r="AB13" s="4">
        <v>3750</v>
      </c>
      <c r="AD13" s="4">
        <v>3750</v>
      </c>
      <c r="AE13" s="4">
        <v>3750</v>
      </c>
      <c r="AG13" s="4"/>
      <c r="AH13" s="4"/>
    </row>
    <row r="14" spans="1:34" s="3" customFormat="1">
      <c r="A14" s="87" t="s">
        <v>31</v>
      </c>
      <c r="B14" s="87" t="s">
        <v>0</v>
      </c>
      <c r="C14" s="4"/>
      <c r="D14" s="4"/>
      <c r="E14" s="94"/>
      <c r="G14" s="6">
        <f t="shared" si="0"/>
        <v>0</v>
      </c>
      <c r="H14" s="6">
        <f t="shared" si="1"/>
        <v>0</v>
      </c>
      <c r="J14" s="32"/>
      <c r="K14" s="33"/>
      <c r="M14" s="4"/>
      <c r="N14" s="4"/>
      <c r="P14" s="4"/>
      <c r="Q14" s="4"/>
      <c r="S14" s="4"/>
      <c r="T14" s="6">
        <f t="shared" si="2"/>
        <v>0</v>
      </c>
      <c r="U14" s="6">
        <f t="shared" si="3"/>
        <v>0</v>
      </c>
      <c r="V14" s="4"/>
      <c r="X14" s="4"/>
      <c r="Y14" s="4"/>
      <c r="AA14" s="4"/>
      <c r="AB14" s="4"/>
      <c r="AD14" s="4"/>
      <c r="AE14" s="4"/>
      <c r="AG14" s="4"/>
      <c r="AH14" s="4"/>
    </row>
    <row r="15" spans="1:34" s="7" customFormat="1">
      <c r="A15" s="86">
        <v>1.2</v>
      </c>
      <c r="B15" s="86" t="s">
        <v>60</v>
      </c>
      <c r="C15" s="78">
        <f>SUM(C16,C19,C31,C32,C33,C34,C37,C38,C44:C48,C52,C53)</f>
        <v>222920.31</v>
      </c>
      <c r="D15" s="78">
        <f>SUM(D16,D19,D31,D32,D33,D34,D37,D38,D44:D48,D52,D53)</f>
        <v>290078.58999999997</v>
      </c>
      <c r="E15" s="394"/>
      <c r="G15" s="6">
        <f t="shared" si="0"/>
        <v>157932.41</v>
      </c>
      <c r="H15" s="6">
        <f t="shared" si="1"/>
        <v>184267</v>
      </c>
      <c r="J15" s="83">
        <f>SUM(J16,J19,J31:J34,J37,J38,J45,J46,J47,J48,J49,J53,J54)</f>
        <v>20490</v>
      </c>
      <c r="K15" s="83">
        <f>SUM(K16,K19,K31:K34,K37,K38,K45,K46,K47,K48,K49,K53,K54)</f>
        <v>38001.58</v>
      </c>
      <c r="M15" s="78">
        <f>SUM(M16,M19,M31,M32,M33,M34,M37,M38,M44:M48,M52,M53)</f>
        <v>61711.32</v>
      </c>
      <c r="N15" s="78">
        <f>SUM(N16,N19,N31,N32,N33,N34,N37,N38,N44:N48,N52,N53)</f>
        <v>73066.92</v>
      </c>
      <c r="P15" s="78">
        <f>SUM(P16,P19,P31,P32,P33,P34,P37,P38,P44:P48,P52,P53)</f>
        <v>67908.72</v>
      </c>
      <c r="Q15" s="78">
        <f>SUM(Q16,Q19,Q31,Q32,Q33,Q34,Q37,Q38,Q44:Q48,Q52,Q53)</f>
        <v>56739.86</v>
      </c>
      <c r="S15" s="78">
        <f>SUM(S16,S19,S31,S32,S33,S34,S37,S38,S44:S48,S52,S53)</f>
        <v>7822.37</v>
      </c>
      <c r="T15" s="6">
        <f t="shared" si="2"/>
        <v>245342.93</v>
      </c>
      <c r="U15" s="6">
        <f t="shared" si="3"/>
        <v>237163.53</v>
      </c>
      <c r="V15" s="78">
        <f>SUM(V16,V19,V31,V32,V33,V34,V37,V38,V44:V48,V52,V53)</f>
        <v>16458.64</v>
      </c>
      <c r="X15" s="78">
        <f>SUM(X16,X19,X31,X32,X33,X34,X37,X38,X44:X48,X52,X53)</f>
        <v>82649.22</v>
      </c>
      <c r="Y15" s="78">
        <f>SUM(Y16,Y19,Y31,Y32,Y33,Y34,Y37,Y38,Y44:Y48,Y52,Y53)</f>
        <v>79574.44</v>
      </c>
      <c r="AA15" s="78">
        <f>SUM(AA16,AA19,AA31,AA32,AA33,AA34,AA37,AA38,AA44:AA48,AA52,AA53)</f>
        <v>62521.640000000007</v>
      </c>
      <c r="AB15" s="78">
        <f>SUM(AB16,AB19,AB31,AB32,AB33,AB34,AB37,AB38,AB44:AB48,AB52,AB53)</f>
        <v>58281.87</v>
      </c>
      <c r="AD15" s="78">
        <f>SUM(AD16,AD19,AD31,AD32,AD33,AD34,AD37,AD38,AD44:AD48,AD52,AD53)</f>
        <v>76293.429999999993</v>
      </c>
      <c r="AE15" s="78">
        <f>SUM(AE16,AE19,AE31,AE32,AE33,AE34,AE37,AE38,AE44:AE48,AE52,AE53)</f>
        <v>56034.450000000004</v>
      </c>
      <c r="AG15" s="78">
        <f>SUM(AG16,AG19,AG31,AG32,AG33,AG34,AG37,AG38,AG44:AG48,AG52,AG53)</f>
        <v>23878.639999999999</v>
      </c>
      <c r="AH15" s="78">
        <f>SUM(AH16,AH19,AH31,AH32,AH33,AH34,AH37,AH38,AH44:AH48,AH52,AH53)</f>
        <v>43272.77</v>
      </c>
    </row>
    <row r="16" spans="1:34" s="3" customFormat="1">
      <c r="A16" s="87" t="s">
        <v>32</v>
      </c>
      <c r="B16" s="87" t="s">
        <v>1</v>
      </c>
      <c r="C16" s="421">
        <f>SUM(C17:C18)</f>
        <v>0</v>
      </c>
      <c r="D16" s="421">
        <f>SUM(D17:D18)</f>
        <v>0</v>
      </c>
      <c r="E16" s="94"/>
      <c r="G16" s="6">
        <f t="shared" si="0"/>
        <v>0</v>
      </c>
      <c r="H16" s="6">
        <f t="shared" si="1"/>
        <v>0</v>
      </c>
      <c r="J16" s="82">
        <f>SUM(J17:J18)</f>
        <v>0</v>
      </c>
      <c r="K16" s="82">
        <f>SUM(K17:K18)</f>
        <v>0</v>
      </c>
      <c r="M16" s="421">
        <f>SUM(M17:M18)</f>
        <v>0</v>
      </c>
      <c r="N16" s="421">
        <f>SUM(N17:N18)</f>
        <v>0</v>
      </c>
      <c r="P16" s="421">
        <f>SUM(P17:P18)</f>
        <v>0</v>
      </c>
      <c r="Q16" s="421">
        <f>SUM(Q17:Q18)</f>
        <v>0</v>
      </c>
      <c r="S16" s="421">
        <f>SUM(S17:S18)</f>
        <v>0</v>
      </c>
      <c r="T16" s="6">
        <f t="shared" si="2"/>
        <v>0</v>
      </c>
      <c r="U16" s="6">
        <f t="shared" si="3"/>
        <v>0</v>
      </c>
      <c r="V16" s="421">
        <f>SUM(V17:V18)</f>
        <v>0</v>
      </c>
      <c r="X16" s="421">
        <f>SUM(X17:X18)</f>
        <v>0</v>
      </c>
      <c r="Y16" s="421">
        <f>SUM(Y17:Y18)</f>
        <v>0</v>
      </c>
      <c r="AA16" s="421">
        <f>SUM(AA17:AA18)</f>
        <v>0</v>
      </c>
      <c r="AB16" s="421">
        <f>SUM(AB17:AB18)</f>
        <v>0</v>
      </c>
      <c r="AD16" s="421">
        <f>SUM(AD17:AD18)</f>
        <v>0</v>
      </c>
      <c r="AE16" s="421">
        <f>SUM(AE17:AE18)</f>
        <v>0</v>
      </c>
      <c r="AG16" s="421">
        <f>SUM(AG17:AG18)</f>
        <v>0</v>
      </c>
      <c r="AH16" s="421">
        <f>SUM(AH17:AH18)</f>
        <v>0</v>
      </c>
    </row>
    <row r="17" spans="1:34" s="3" customFormat="1">
      <c r="A17" s="96" t="s">
        <v>87</v>
      </c>
      <c r="B17" s="96" t="s">
        <v>61</v>
      </c>
      <c r="C17" s="4"/>
      <c r="D17" s="395"/>
      <c r="E17" s="94"/>
      <c r="G17" s="6">
        <f t="shared" si="0"/>
        <v>0</v>
      </c>
      <c r="H17" s="6">
        <f t="shared" si="1"/>
        <v>0</v>
      </c>
      <c r="J17" s="34"/>
      <c r="K17" s="35"/>
      <c r="M17" s="4"/>
      <c r="N17" s="395"/>
      <c r="P17" s="4"/>
      <c r="Q17" s="395"/>
      <c r="S17" s="4"/>
      <c r="T17" s="6">
        <f t="shared" si="2"/>
        <v>0</v>
      </c>
      <c r="U17" s="6">
        <f t="shared" si="3"/>
        <v>0</v>
      </c>
      <c r="V17" s="395"/>
      <c r="X17" s="4"/>
      <c r="Y17" s="395"/>
      <c r="AA17" s="4"/>
      <c r="AB17" s="395"/>
      <c r="AD17" s="4"/>
      <c r="AE17" s="395"/>
      <c r="AG17" s="4"/>
      <c r="AH17" s="395"/>
    </row>
    <row r="18" spans="1:34" s="3" customFormat="1">
      <c r="A18" s="96" t="s">
        <v>88</v>
      </c>
      <c r="B18" s="96" t="s">
        <v>62</v>
      </c>
      <c r="C18" s="4"/>
      <c r="D18" s="395"/>
      <c r="E18" s="94"/>
      <c r="G18" s="6">
        <f t="shared" si="0"/>
        <v>0</v>
      </c>
      <c r="H18" s="6">
        <f t="shared" si="1"/>
        <v>0</v>
      </c>
      <c r="J18" s="34"/>
      <c r="K18" s="35"/>
      <c r="M18" s="4"/>
      <c r="N18" s="395"/>
      <c r="P18" s="4"/>
      <c r="Q18" s="395"/>
      <c r="S18" s="4"/>
      <c r="T18" s="6">
        <f t="shared" si="2"/>
        <v>0</v>
      </c>
      <c r="U18" s="6">
        <f t="shared" si="3"/>
        <v>0</v>
      </c>
      <c r="V18" s="395"/>
      <c r="X18" s="4"/>
      <c r="Y18" s="395"/>
      <c r="AA18" s="4"/>
      <c r="AB18" s="395"/>
      <c r="AD18" s="4"/>
      <c r="AE18" s="395"/>
      <c r="AG18" s="4"/>
      <c r="AH18" s="395"/>
    </row>
    <row r="19" spans="1:34" s="3" customFormat="1">
      <c r="A19" s="87" t="s">
        <v>33</v>
      </c>
      <c r="B19" s="87" t="s">
        <v>2</v>
      </c>
      <c r="C19" s="421">
        <f>SUM(C20:C25,C30)</f>
        <v>19935.489999999998</v>
      </c>
      <c r="D19" s="421">
        <f>SUM(D20:D25,D30)</f>
        <v>19927.72</v>
      </c>
      <c r="E19" s="396"/>
      <c r="F19" s="397"/>
      <c r="G19" s="6">
        <f t="shared" si="0"/>
        <v>40029.82</v>
      </c>
      <c r="H19" s="6">
        <f t="shared" si="1"/>
        <v>48068.14</v>
      </c>
      <c r="J19" s="82">
        <f>SUM(J20:J25,J30)</f>
        <v>20093.48</v>
      </c>
      <c r="K19" s="82">
        <f>SUM(K20:K25,K30)</f>
        <v>20425.060000000001</v>
      </c>
      <c r="M19" s="421">
        <f>SUM(M20:M25,M30)</f>
        <v>2750.41</v>
      </c>
      <c r="N19" s="421">
        <f>SUM(N20:N25,N30)</f>
        <v>10741.55</v>
      </c>
      <c r="P19" s="421">
        <f>SUM(P20:P25,P30)</f>
        <v>15972.79</v>
      </c>
      <c r="Q19" s="421">
        <f>SUM(Q20:Q25,Q30)</f>
        <v>15648.390000000001</v>
      </c>
      <c r="S19" s="421">
        <f>SUM(S20:S25,S30)</f>
        <v>1213.1399999999999</v>
      </c>
      <c r="T19" s="6">
        <f t="shared" si="2"/>
        <v>55538.130000000005</v>
      </c>
      <c r="U19" s="6">
        <f t="shared" si="3"/>
        <v>55742.880000000005</v>
      </c>
      <c r="V19" s="421">
        <f>SUM(V20:V25,V30)</f>
        <v>1253.1400000000001</v>
      </c>
      <c r="X19" s="421">
        <f>SUM(X20:X25,X30)</f>
        <v>18946.960000000003</v>
      </c>
      <c r="Y19" s="421">
        <f>SUM(Y20:Y25,Y30)</f>
        <v>19264.660000000003</v>
      </c>
      <c r="AA19" s="421">
        <f>SUM(AA20:AA25,AA30)</f>
        <v>2067.7800000000002</v>
      </c>
      <c r="AB19" s="421">
        <f>SUM(AB20:AB25,AB30)</f>
        <v>1871</v>
      </c>
      <c r="AD19" s="421">
        <f>SUM(AD20:AD25,AD30)</f>
        <v>15388.3</v>
      </c>
      <c r="AE19" s="421">
        <f>SUM(AE20:AE25,AE30)</f>
        <v>15568.3</v>
      </c>
      <c r="AG19" s="421">
        <f>SUM(AG20:AG25,AG30)</f>
        <v>19135.09</v>
      </c>
      <c r="AH19" s="421">
        <f>SUM(AH20:AH25,AH30)</f>
        <v>19038.919999999998</v>
      </c>
    </row>
    <row r="20" spans="1:34" s="399" customFormat="1" ht="30">
      <c r="A20" s="96" t="s">
        <v>12</v>
      </c>
      <c r="B20" s="96" t="s">
        <v>239</v>
      </c>
      <c r="C20" s="434">
        <f>3508.7+1599</f>
        <v>5107.7</v>
      </c>
      <c r="D20" s="434">
        <f>3508.7+1599</f>
        <v>5107.7</v>
      </c>
      <c r="E20" s="398"/>
      <c r="G20" s="6">
        <f t="shared" si="0"/>
        <v>56</v>
      </c>
      <c r="H20" s="6">
        <f t="shared" si="1"/>
        <v>96</v>
      </c>
      <c r="J20" s="36"/>
      <c r="K20" s="37"/>
      <c r="M20" s="419">
        <v>56</v>
      </c>
      <c r="N20" s="419">
        <v>56</v>
      </c>
      <c r="P20" s="419">
        <v>0</v>
      </c>
      <c r="Q20" s="419">
        <v>0</v>
      </c>
      <c r="S20" s="419">
        <v>0</v>
      </c>
      <c r="T20" s="6">
        <f t="shared" si="2"/>
        <v>660</v>
      </c>
      <c r="U20" s="6">
        <f t="shared" si="3"/>
        <v>724</v>
      </c>
      <c r="V20" s="419">
        <v>40</v>
      </c>
      <c r="X20" s="419">
        <v>480</v>
      </c>
      <c r="Y20" s="419">
        <v>480</v>
      </c>
      <c r="AA20" s="419">
        <v>180</v>
      </c>
      <c r="AB20" s="419"/>
      <c r="AD20" s="419"/>
      <c r="AE20" s="419">
        <v>180</v>
      </c>
      <c r="AG20" s="419"/>
      <c r="AH20" s="419">
        <v>64</v>
      </c>
    </row>
    <row r="21" spans="1:34" s="399" customFormat="1">
      <c r="A21" s="96" t="s">
        <v>13</v>
      </c>
      <c r="B21" s="96" t="s">
        <v>14</v>
      </c>
      <c r="C21" s="419"/>
      <c r="D21" s="422"/>
      <c r="E21" s="398"/>
      <c r="G21" s="6">
        <f t="shared" si="0"/>
        <v>0</v>
      </c>
      <c r="H21" s="6">
        <f t="shared" si="1"/>
        <v>0</v>
      </c>
      <c r="J21" s="36"/>
      <c r="K21" s="38"/>
      <c r="M21" s="419"/>
      <c r="N21" s="422"/>
      <c r="P21" s="419"/>
      <c r="Q21" s="422"/>
      <c r="S21" s="419"/>
      <c r="T21" s="6">
        <f t="shared" si="2"/>
        <v>0</v>
      </c>
      <c r="U21" s="6">
        <f t="shared" si="3"/>
        <v>0</v>
      </c>
      <c r="V21" s="422"/>
      <c r="X21" s="419"/>
      <c r="Y21" s="422"/>
      <c r="AA21" s="419"/>
      <c r="AB21" s="422"/>
      <c r="AD21" s="419"/>
      <c r="AE21" s="422"/>
      <c r="AG21" s="419"/>
      <c r="AH21" s="422"/>
    </row>
    <row r="22" spans="1:34" s="399" customFormat="1" ht="30">
      <c r="A22" s="96" t="s">
        <v>271</v>
      </c>
      <c r="B22" s="96" t="s">
        <v>22</v>
      </c>
      <c r="C22" s="434">
        <v>403.8</v>
      </c>
      <c r="D22" s="435">
        <v>403.8</v>
      </c>
      <c r="E22" s="398"/>
      <c r="G22" s="6">
        <f t="shared" si="0"/>
        <v>0</v>
      </c>
      <c r="H22" s="6">
        <f t="shared" si="1"/>
        <v>0</v>
      </c>
      <c r="J22" s="36"/>
      <c r="K22" s="39"/>
      <c r="M22" s="419"/>
      <c r="N22" s="423"/>
      <c r="P22" s="419"/>
      <c r="Q22" s="423"/>
      <c r="S22" s="419"/>
      <c r="T22" s="6">
        <f t="shared" si="2"/>
        <v>0</v>
      </c>
      <c r="U22" s="6">
        <f t="shared" si="3"/>
        <v>0</v>
      </c>
      <c r="V22" s="423"/>
      <c r="X22" s="419"/>
      <c r="Y22" s="423"/>
      <c r="AA22" s="419"/>
      <c r="AB22" s="423"/>
      <c r="AD22" s="419"/>
      <c r="AE22" s="423"/>
      <c r="AG22" s="419"/>
      <c r="AH22" s="423"/>
    </row>
    <row r="23" spans="1:34" s="399" customFormat="1" ht="16.5" customHeight="1">
      <c r="A23" s="96" t="s">
        <v>272</v>
      </c>
      <c r="B23" s="96" t="s">
        <v>15</v>
      </c>
      <c r="C23" s="434">
        <f>7403.03+16</f>
        <v>7419.03</v>
      </c>
      <c r="D23" s="435">
        <v>7411.26</v>
      </c>
      <c r="E23" s="398"/>
      <c r="G23" s="6">
        <f t="shared" si="0"/>
        <v>18557.57</v>
      </c>
      <c r="H23" s="6">
        <f t="shared" si="1"/>
        <v>23632.070000000003</v>
      </c>
      <c r="J23" s="36">
        <v>9063.2999999999993</v>
      </c>
      <c r="K23" s="39">
        <v>9070.48</v>
      </c>
      <c r="M23" s="419">
        <f>1585.15+20</f>
        <v>1605.15</v>
      </c>
      <c r="N23" s="423">
        <v>6672.47</v>
      </c>
      <c r="P23" s="419">
        <v>6894.74</v>
      </c>
      <c r="Q23" s="423">
        <v>6894.74</v>
      </c>
      <c r="S23" s="419">
        <f>974.38+20</f>
        <v>994.38</v>
      </c>
      <c r="T23" s="6">
        <f t="shared" si="2"/>
        <v>24031.46</v>
      </c>
      <c r="U23" s="6">
        <f t="shared" si="3"/>
        <v>24172.21</v>
      </c>
      <c r="V23" s="423">
        <v>994.38</v>
      </c>
      <c r="X23" s="434">
        <f>7852.31+16</f>
        <v>7868.31</v>
      </c>
      <c r="Y23" s="435">
        <v>8186.01</v>
      </c>
      <c r="AA23" s="434">
        <f>1351.93+16</f>
        <v>1367.93</v>
      </c>
      <c r="AB23" s="435">
        <v>1351.15</v>
      </c>
      <c r="AD23" s="434">
        <f>6524.31-71.51</f>
        <v>6452.8</v>
      </c>
      <c r="AE23" s="435">
        <v>6452.8</v>
      </c>
      <c r="AG23" s="434">
        <f>8326.42+16</f>
        <v>8342.42</v>
      </c>
      <c r="AH23" s="435">
        <v>8182.25</v>
      </c>
    </row>
    <row r="24" spans="1:34" s="399" customFormat="1" ht="16.5" customHeight="1">
      <c r="A24" s="96" t="s">
        <v>273</v>
      </c>
      <c r="B24" s="96" t="s">
        <v>16</v>
      </c>
      <c r="C24" s="419"/>
      <c r="D24" s="423"/>
      <c r="E24" s="398"/>
      <c r="G24" s="6">
        <f t="shared" si="0"/>
        <v>0</v>
      </c>
      <c r="H24" s="6">
        <f t="shared" si="1"/>
        <v>0</v>
      </c>
      <c r="J24" s="36"/>
      <c r="K24" s="39"/>
      <c r="M24" s="419"/>
      <c r="N24" s="423"/>
      <c r="P24" s="419"/>
      <c r="Q24" s="423"/>
      <c r="S24" s="419"/>
      <c r="T24" s="6">
        <f t="shared" si="2"/>
        <v>0</v>
      </c>
      <c r="U24" s="6">
        <f t="shared" si="3"/>
        <v>0</v>
      </c>
      <c r="V24" s="423"/>
      <c r="X24" s="419"/>
      <c r="Y24" s="423"/>
      <c r="AA24" s="419"/>
      <c r="AB24" s="423"/>
      <c r="AD24" s="419"/>
      <c r="AE24" s="423"/>
      <c r="AG24" s="419"/>
      <c r="AH24" s="423"/>
    </row>
    <row r="25" spans="1:34" s="399" customFormat="1" ht="16.5" customHeight="1">
      <c r="A25" s="96" t="s">
        <v>274</v>
      </c>
      <c r="B25" s="96" t="s">
        <v>17</v>
      </c>
      <c r="C25" s="421">
        <f>SUM(C26:C29)</f>
        <v>7004.96</v>
      </c>
      <c r="D25" s="421">
        <f>SUM(D26:D29)</f>
        <v>7004.9600000000019</v>
      </c>
      <c r="E25" s="398"/>
      <c r="G25" s="6">
        <f t="shared" si="0"/>
        <v>21091.850000000002</v>
      </c>
      <c r="H25" s="6">
        <f t="shared" si="1"/>
        <v>24015.670000000002</v>
      </c>
      <c r="J25" s="117">
        <f>SUM(J26:J29)</f>
        <v>11030.18</v>
      </c>
      <c r="K25" s="117">
        <f>SUM(K26:K29)</f>
        <v>11030.18</v>
      </c>
      <c r="M25" s="421">
        <f>SUM(M26:M29)</f>
        <v>1089.26</v>
      </c>
      <c r="N25" s="421">
        <f>SUM(N26:N29)</f>
        <v>4013.08</v>
      </c>
      <c r="P25" s="421">
        <f>SUM(P26:P29)</f>
        <v>8753.6500000000015</v>
      </c>
      <c r="Q25" s="421">
        <f>SUM(Q26:Q29)</f>
        <v>8753.6500000000015</v>
      </c>
      <c r="S25" s="421">
        <f>SUM(S26:S29)</f>
        <v>218.76</v>
      </c>
      <c r="T25" s="6">
        <f t="shared" si="2"/>
        <v>30846.67</v>
      </c>
      <c r="U25" s="6">
        <f t="shared" si="3"/>
        <v>30846.67</v>
      </c>
      <c r="V25" s="421">
        <f>SUM(V26:V29)</f>
        <v>218.76</v>
      </c>
      <c r="X25" s="421">
        <f>SUM(X26:X29)</f>
        <v>10598.650000000001</v>
      </c>
      <c r="Y25" s="421">
        <f>SUM(Y26:Y29)</f>
        <v>10598.650000000001</v>
      </c>
      <c r="AA25" s="421">
        <f>SUM(AA26:AA29)</f>
        <v>519.85</v>
      </c>
      <c r="AB25" s="421">
        <f>SUM(AB26:AB29)</f>
        <v>519.85</v>
      </c>
      <c r="AD25" s="421">
        <f>SUM(AD26:AD29)</f>
        <v>8935.4999999999982</v>
      </c>
      <c r="AE25" s="421">
        <f>SUM(AE26:AE29)</f>
        <v>8935.4999999999982</v>
      </c>
      <c r="AG25" s="421">
        <f>SUM(AG26:AG29)</f>
        <v>10792.67</v>
      </c>
      <c r="AH25" s="421">
        <f>SUM(AH26:AH29)</f>
        <v>10792.67</v>
      </c>
    </row>
    <row r="26" spans="1:34" s="399" customFormat="1" ht="16.5" customHeight="1">
      <c r="A26" s="239" t="s">
        <v>275</v>
      </c>
      <c r="B26" s="239" t="s">
        <v>18</v>
      </c>
      <c r="C26" s="434">
        <v>5093.1899999999996</v>
      </c>
      <c r="D26" s="435">
        <f>60093.19-55000</f>
        <v>5093.1900000000023</v>
      </c>
      <c r="E26" s="398"/>
      <c r="G26" s="6">
        <f t="shared" si="0"/>
        <v>10562.35</v>
      </c>
      <c r="H26" s="6">
        <f t="shared" si="1"/>
        <v>12909.770000000002</v>
      </c>
      <c r="J26" s="36">
        <v>4720.75</v>
      </c>
      <c r="K26" s="39">
        <v>4720.75</v>
      </c>
      <c r="M26" s="419">
        <v>508.26</v>
      </c>
      <c r="N26" s="423">
        <v>2855.68</v>
      </c>
      <c r="P26" s="419">
        <v>5181.0600000000004</v>
      </c>
      <c r="Q26" s="423">
        <v>5181.0600000000004</v>
      </c>
      <c r="S26" s="419">
        <v>152.28</v>
      </c>
      <c r="T26" s="6">
        <f t="shared" si="2"/>
        <v>26829.949999999997</v>
      </c>
      <c r="U26" s="6">
        <f t="shared" si="3"/>
        <v>26829.949999999997</v>
      </c>
      <c r="V26" s="423">
        <v>152.28</v>
      </c>
      <c r="W26" s="454"/>
      <c r="X26" s="434">
        <v>10189.950000000001</v>
      </c>
      <c r="Y26" s="435">
        <v>10189.950000000001</v>
      </c>
      <c r="AA26" s="434">
        <v>463.06</v>
      </c>
      <c r="AB26" s="435">
        <v>463.06</v>
      </c>
      <c r="AD26" s="434">
        <f>8728-148.27</f>
        <v>8579.73</v>
      </c>
      <c r="AE26" s="435">
        <f>8492.73+87</f>
        <v>8579.73</v>
      </c>
      <c r="AG26" s="434">
        <v>7597.21</v>
      </c>
      <c r="AH26" s="435">
        <v>7597.21</v>
      </c>
    </row>
    <row r="27" spans="1:34" s="399" customFormat="1" ht="16.5" customHeight="1">
      <c r="A27" s="239" t="s">
        <v>276</v>
      </c>
      <c r="B27" s="239" t="s">
        <v>19</v>
      </c>
      <c r="C27" s="434">
        <v>653.30999999999995</v>
      </c>
      <c r="D27" s="435">
        <v>653.30999999999995</v>
      </c>
      <c r="E27" s="398"/>
      <c r="G27" s="6">
        <f t="shared" si="0"/>
        <v>971.36999999999989</v>
      </c>
      <c r="H27" s="6">
        <f t="shared" si="1"/>
        <v>1547.77</v>
      </c>
      <c r="J27" s="36">
        <v>479.51</v>
      </c>
      <c r="K27" s="39">
        <v>479.51</v>
      </c>
      <c r="M27" s="419">
        <v>168.92</v>
      </c>
      <c r="N27" s="423">
        <v>745.32</v>
      </c>
      <c r="P27" s="419">
        <v>305.70999999999998</v>
      </c>
      <c r="Q27" s="423">
        <v>305.70999999999998</v>
      </c>
      <c r="S27" s="419">
        <v>17.23</v>
      </c>
      <c r="T27" s="6">
        <f t="shared" si="2"/>
        <v>2019.1799999999998</v>
      </c>
      <c r="U27" s="6">
        <f t="shared" si="3"/>
        <v>2019.18</v>
      </c>
      <c r="V27" s="423">
        <v>17.23</v>
      </c>
      <c r="X27" s="434">
        <v>396.11</v>
      </c>
      <c r="Y27" s="435">
        <v>396.11</v>
      </c>
      <c r="AA27" s="434">
        <v>8.8000000000000007</v>
      </c>
      <c r="AB27" s="435">
        <v>8.8000000000000007</v>
      </c>
      <c r="AD27" s="434">
        <f>415.21-92.24</f>
        <v>322.96999999999997</v>
      </c>
      <c r="AE27" s="435">
        <v>322.97000000000003</v>
      </c>
      <c r="AG27" s="434">
        <v>1291.3</v>
      </c>
      <c r="AH27" s="435">
        <v>1291.3</v>
      </c>
    </row>
    <row r="28" spans="1:34" s="399" customFormat="1" ht="16.5" customHeight="1">
      <c r="A28" s="239" t="s">
        <v>277</v>
      </c>
      <c r="B28" s="239" t="s">
        <v>20</v>
      </c>
      <c r="C28" s="434">
        <v>1235.8699999999999</v>
      </c>
      <c r="D28" s="435">
        <v>1235.8699999999999</v>
      </c>
      <c r="E28" s="398"/>
      <c r="G28" s="6">
        <f t="shared" si="0"/>
        <v>9515.33</v>
      </c>
      <c r="H28" s="6">
        <f t="shared" si="1"/>
        <v>9515.33</v>
      </c>
      <c r="J28" s="36">
        <v>5818.92</v>
      </c>
      <c r="K28" s="39">
        <v>5818.92</v>
      </c>
      <c r="M28" s="419">
        <v>391.28</v>
      </c>
      <c r="N28" s="423">
        <v>391.28</v>
      </c>
      <c r="P28" s="419">
        <v>3266.88</v>
      </c>
      <c r="Q28" s="423">
        <v>3266.88</v>
      </c>
      <c r="S28" s="419">
        <v>38.25</v>
      </c>
      <c r="T28" s="6">
        <f t="shared" si="2"/>
        <v>1893.37</v>
      </c>
      <c r="U28" s="6">
        <f t="shared" si="3"/>
        <v>1893.37</v>
      </c>
      <c r="V28" s="423">
        <v>38.25</v>
      </c>
      <c r="X28" s="419">
        <v>1</v>
      </c>
      <c r="Y28" s="435">
        <v>1</v>
      </c>
      <c r="AA28" s="419">
        <v>14.4</v>
      </c>
      <c r="AB28" s="435">
        <v>14.4</v>
      </c>
      <c r="AD28" s="434">
        <v>6.4</v>
      </c>
      <c r="AE28" s="435">
        <v>6.4</v>
      </c>
      <c r="AG28" s="434">
        <v>1871.57</v>
      </c>
      <c r="AH28" s="435">
        <v>1871.57</v>
      </c>
    </row>
    <row r="29" spans="1:34" s="399" customFormat="1" ht="16.5" customHeight="1">
      <c r="A29" s="239" t="s">
        <v>278</v>
      </c>
      <c r="B29" s="239" t="s">
        <v>23</v>
      </c>
      <c r="C29" s="434">
        <v>22.59</v>
      </c>
      <c r="D29" s="435">
        <v>22.59</v>
      </c>
      <c r="E29" s="398"/>
      <c r="G29" s="6">
        <f t="shared" si="0"/>
        <v>42.8</v>
      </c>
      <c r="H29" s="6">
        <f t="shared" si="1"/>
        <v>42.8</v>
      </c>
      <c r="J29" s="36">
        <v>11</v>
      </c>
      <c r="K29" s="379">
        <v>11</v>
      </c>
      <c r="M29" s="419">
        <v>20.8</v>
      </c>
      <c r="N29" s="424">
        <v>20.8</v>
      </c>
      <c r="P29" s="419">
        <v>0</v>
      </c>
      <c r="Q29" s="419">
        <v>0</v>
      </c>
      <c r="S29" s="419">
        <v>11</v>
      </c>
      <c r="T29" s="6">
        <f t="shared" si="2"/>
        <v>104.17000000000002</v>
      </c>
      <c r="U29" s="6">
        <f t="shared" si="3"/>
        <v>104.17000000000002</v>
      </c>
      <c r="V29" s="419">
        <v>11</v>
      </c>
      <c r="X29" s="434">
        <v>11.59</v>
      </c>
      <c r="Y29" s="435">
        <v>11.59</v>
      </c>
      <c r="AA29" s="434">
        <v>33.590000000000003</v>
      </c>
      <c r="AB29" s="435">
        <v>33.590000000000003</v>
      </c>
      <c r="AD29" s="434">
        <v>26.4</v>
      </c>
      <c r="AE29" s="435">
        <v>26.4</v>
      </c>
      <c r="AG29" s="434">
        <v>32.590000000000003</v>
      </c>
      <c r="AH29" s="435">
        <v>32.590000000000003</v>
      </c>
    </row>
    <row r="30" spans="1:34" s="399" customFormat="1" ht="16.5" customHeight="1">
      <c r="A30" s="96" t="s">
        <v>279</v>
      </c>
      <c r="B30" s="96" t="s">
        <v>21</v>
      </c>
      <c r="C30" s="419"/>
      <c r="D30" s="424"/>
      <c r="E30" s="398"/>
      <c r="G30" s="6">
        <f t="shared" si="0"/>
        <v>324.39999999999998</v>
      </c>
      <c r="H30" s="6">
        <f t="shared" si="1"/>
        <v>324.39999999999998</v>
      </c>
      <c r="J30" s="36"/>
      <c r="K30" s="379">
        <v>324.39999999999998</v>
      </c>
      <c r="M30" s="419"/>
      <c r="N30" s="424"/>
      <c r="P30" s="419">
        <v>324.39999999999998</v>
      </c>
      <c r="Q30" s="424"/>
      <c r="S30" s="419"/>
      <c r="T30" s="6">
        <f t="shared" si="2"/>
        <v>0</v>
      </c>
      <c r="U30" s="6">
        <f t="shared" si="3"/>
        <v>0</v>
      </c>
      <c r="V30" s="424"/>
      <c r="X30" s="419"/>
      <c r="Y30" s="424"/>
      <c r="AA30" s="419"/>
      <c r="AB30" s="424"/>
      <c r="AD30" s="419"/>
      <c r="AE30" s="424"/>
      <c r="AG30" s="419"/>
      <c r="AH30" s="424"/>
    </row>
    <row r="31" spans="1:34" s="3" customFormat="1" ht="16.5" customHeight="1">
      <c r="A31" s="87" t="s">
        <v>34</v>
      </c>
      <c r="B31" s="87" t="s">
        <v>3</v>
      </c>
      <c r="C31" s="4">
        <v>40</v>
      </c>
      <c r="D31" s="395">
        <v>40</v>
      </c>
      <c r="E31" s="396"/>
      <c r="G31" s="6">
        <f t="shared" si="0"/>
        <v>1056</v>
      </c>
      <c r="H31" s="6">
        <f t="shared" si="1"/>
        <v>1056</v>
      </c>
      <c r="J31" s="32"/>
      <c r="K31" s="33"/>
      <c r="M31" s="4">
        <v>1056</v>
      </c>
      <c r="N31" s="395">
        <v>1056</v>
      </c>
      <c r="P31" s="4">
        <v>0</v>
      </c>
      <c r="Q31" s="395">
        <v>0</v>
      </c>
      <c r="S31" s="4">
        <v>0</v>
      </c>
      <c r="T31" s="6">
        <f t="shared" si="2"/>
        <v>1667</v>
      </c>
      <c r="U31" s="6">
        <f t="shared" si="3"/>
        <v>1667.4</v>
      </c>
      <c r="V31" s="395">
        <v>0</v>
      </c>
      <c r="X31" s="4"/>
      <c r="Y31" s="395"/>
      <c r="AA31" s="4">
        <v>370</v>
      </c>
      <c r="AB31" s="395">
        <v>370</v>
      </c>
      <c r="AD31" s="4">
        <v>1297</v>
      </c>
      <c r="AE31" s="395">
        <v>1297.4000000000001</v>
      </c>
      <c r="AG31" s="4"/>
      <c r="AH31" s="395"/>
    </row>
    <row r="32" spans="1:34" s="3" customFormat="1" ht="16.5" customHeight="1">
      <c r="A32" s="87" t="s">
        <v>35</v>
      </c>
      <c r="B32" s="87" t="s">
        <v>4</v>
      </c>
      <c r="C32" s="4"/>
      <c r="D32" s="395"/>
      <c r="E32" s="94"/>
      <c r="G32" s="6">
        <f t="shared" si="0"/>
        <v>0</v>
      </c>
      <c r="H32" s="6">
        <f t="shared" si="1"/>
        <v>0</v>
      </c>
      <c r="J32" s="32"/>
      <c r="K32" s="33"/>
      <c r="M32" s="4"/>
      <c r="N32" s="395"/>
      <c r="P32" s="4"/>
      <c r="Q32" s="395"/>
      <c r="S32" s="4"/>
      <c r="T32" s="6">
        <f t="shared" si="2"/>
        <v>0</v>
      </c>
      <c r="U32" s="6">
        <f t="shared" si="3"/>
        <v>0</v>
      </c>
      <c r="V32" s="395"/>
      <c r="X32" s="4"/>
      <c r="Y32" s="395"/>
      <c r="AA32" s="4"/>
      <c r="AB32" s="395"/>
      <c r="AD32" s="4"/>
      <c r="AE32" s="395"/>
      <c r="AG32" s="4"/>
      <c r="AH32" s="395"/>
    </row>
    <row r="33" spans="1:34" s="3" customFormat="1" ht="16.5" customHeight="1">
      <c r="A33" s="87" t="s">
        <v>36</v>
      </c>
      <c r="B33" s="87" t="s">
        <v>5</v>
      </c>
      <c r="C33" s="4"/>
      <c r="D33" s="395"/>
      <c r="E33" s="94"/>
      <c r="G33" s="6">
        <f t="shared" si="0"/>
        <v>0</v>
      </c>
      <c r="H33" s="6">
        <f t="shared" si="1"/>
        <v>0</v>
      </c>
      <c r="J33" s="32"/>
      <c r="K33" s="33"/>
      <c r="M33" s="4"/>
      <c r="N33" s="395"/>
      <c r="P33" s="4"/>
      <c r="Q33" s="395"/>
      <c r="S33" s="4"/>
      <c r="T33" s="6">
        <f t="shared" si="2"/>
        <v>0</v>
      </c>
      <c r="U33" s="6">
        <f t="shared" si="3"/>
        <v>0</v>
      </c>
      <c r="V33" s="395"/>
      <c r="X33" s="4"/>
      <c r="Y33" s="395"/>
      <c r="AA33" s="4"/>
      <c r="AB33" s="395"/>
      <c r="AD33" s="4"/>
      <c r="AE33" s="395"/>
      <c r="AG33" s="4"/>
      <c r="AH33" s="395"/>
    </row>
    <row r="34" spans="1:34" s="3" customFormat="1">
      <c r="A34" s="87" t="s">
        <v>37</v>
      </c>
      <c r="B34" s="87" t="s">
        <v>63</v>
      </c>
      <c r="C34" s="421">
        <f>SUM(C35:C36)</f>
        <v>0</v>
      </c>
      <c r="D34" s="421">
        <f>SUM(D35:D36)</f>
        <v>0</v>
      </c>
      <c r="E34" s="94"/>
      <c r="G34" s="6">
        <f t="shared" si="0"/>
        <v>0</v>
      </c>
      <c r="H34" s="6">
        <f t="shared" si="1"/>
        <v>0</v>
      </c>
      <c r="J34" s="82">
        <f>SUM(J35:J36)</f>
        <v>0</v>
      </c>
      <c r="K34" s="82">
        <f>SUM(K35:K36)</f>
        <v>0</v>
      </c>
      <c r="M34" s="421">
        <f>SUM(M35:M36)</f>
        <v>0</v>
      </c>
      <c r="N34" s="421">
        <f>SUM(N35:N36)</f>
        <v>0</v>
      </c>
      <c r="P34" s="421">
        <f>SUM(P35:P36)</f>
        <v>0</v>
      </c>
      <c r="Q34" s="421">
        <f>SUM(Q35:Q36)</f>
        <v>0</v>
      </c>
      <c r="S34" s="421">
        <f>SUM(S35:S36)</f>
        <v>0</v>
      </c>
      <c r="T34" s="6">
        <f t="shared" si="2"/>
        <v>410</v>
      </c>
      <c r="U34" s="6">
        <f t="shared" si="3"/>
        <v>410</v>
      </c>
      <c r="V34" s="421">
        <f>SUM(V35:V36)</f>
        <v>0</v>
      </c>
      <c r="X34" s="421">
        <f>SUM(X35:X36)</f>
        <v>0</v>
      </c>
      <c r="Y34" s="421">
        <f>SUM(Y35:Y36)</f>
        <v>0</v>
      </c>
      <c r="AA34" s="421">
        <f>SUM(AA35:AA36)</f>
        <v>0</v>
      </c>
      <c r="AB34" s="421">
        <f>SUM(AB35:AB36)</f>
        <v>0</v>
      </c>
      <c r="AD34" s="421">
        <f>SUM(AD35:AD36)</f>
        <v>0</v>
      </c>
      <c r="AE34" s="421">
        <f>SUM(AE35:AE36)</f>
        <v>0</v>
      </c>
      <c r="AG34" s="421">
        <f>SUM(AG35:AG36)</f>
        <v>410</v>
      </c>
      <c r="AH34" s="421">
        <f>SUM(AH35:AH36)</f>
        <v>410</v>
      </c>
    </row>
    <row r="35" spans="1:34" s="3" customFormat="1" ht="16.5" customHeight="1">
      <c r="A35" s="96" t="s">
        <v>280</v>
      </c>
      <c r="B35" s="96" t="s">
        <v>56</v>
      </c>
      <c r="C35" s="4"/>
      <c r="D35" s="395"/>
      <c r="E35" s="94"/>
      <c r="G35" s="6">
        <f t="shared" si="0"/>
        <v>0</v>
      </c>
      <c r="H35" s="6">
        <f t="shared" si="1"/>
        <v>0</v>
      </c>
      <c r="J35" s="32"/>
      <c r="K35" s="33"/>
      <c r="M35" s="4"/>
      <c r="N35" s="395"/>
      <c r="P35" s="4"/>
      <c r="Q35" s="395"/>
      <c r="S35" s="4"/>
      <c r="T35" s="6">
        <f t="shared" si="2"/>
        <v>0</v>
      </c>
      <c r="U35" s="6">
        <f t="shared" si="3"/>
        <v>0</v>
      </c>
      <c r="V35" s="395"/>
      <c r="X35" s="4"/>
      <c r="Y35" s="395"/>
      <c r="AA35" s="4"/>
      <c r="AB35" s="395"/>
      <c r="AD35" s="4"/>
      <c r="AE35" s="395"/>
      <c r="AG35" s="4"/>
      <c r="AH35" s="395"/>
    </row>
    <row r="36" spans="1:34" s="3" customFormat="1" ht="16.5" customHeight="1">
      <c r="A36" s="96" t="s">
        <v>281</v>
      </c>
      <c r="B36" s="96" t="s">
        <v>55</v>
      </c>
      <c r="C36" s="4">
        <v>0</v>
      </c>
      <c r="D36" s="395">
        <v>0</v>
      </c>
      <c r="E36" s="94"/>
      <c r="G36" s="6">
        <f t="shared" si="0"/>
        <v>0</v>
      </c>
      <c r="H36" s="6">
        <f t="shared" si="1"/>
        <v>0</v>
      </c>
      <c r="J36" s="32"/>
      <c r="K36" s="33"/>
      <c r="M36" s="4"/>
      <c r="N36" s="395"/>
      <c r="P36" s="4"/>
      <c r="Q36" s="395"/>
      <c r="S36" s="4"/>
      <c r="T36" s="6">
        <f t="shared" si="2"/>
        <v>410</v>
      </c>
      <c r="U36" s="6">
        <f t="shared" si="3"/>
        <v>410</v>
      </c>
      <c r="V36" s="395"/>
      <c r="X36" s="4"/>
      <c r="Y36" s="395"/>
      <c r="AA36" s="4"/>
      <c r="AB36" s="395"/>
      <c r="AD36" s="4"/>
      <c r="AE36" s="395"/>
      <c r="AG36" s="4">
        <v>410</v>
      </c>
      <c r="AH36" s="395">
        <v>410</v>
      </c>
    </row>
    <row r="37" spans="1:34" s="3" customFormat="1" ht="16.5" customHeight="1">
      <c r="A37" s="87" t="s">
        <v>38</v>
      </c>
      <c r="B37" s="87" t="s">
        <v>49</v>
      </c>
      <c r="C37" s="4">
        <v>379.47</v>
      </c>
      <c r="D37" s="395">
        <v>379.47</v>
      </c>
      <c r="E37" s="94"/>
      <c r="G37" s="6">
        <f t="shared" si="0"/>
        <v>225.46</v>
      </c>
      <c r="H37" s="6">
        <f t="shared" si="1"/>
        <v>225.46</v>
      </c>
      <c r="J37" s="32">
        <v>78.52</v>
      </c>
      <c r="K37" s="33">
        <v>78.52</v>
      </c>
      <c r="M37" s="4">
        <v>65.510000000000005</v>
      </c>
      <c r="N37" s="395">
        <v>65.510000000000005</v>
      </c>
      <c r="P37" s="4">
        <v>59.12</v>
      </c>
      <c r="Q37" s="395">
        <v>59.12</v>
      </c>
      <c r="S37" s="4">
        <v>22.31</v>
      </c>
      <c r="T37" s="6">
        <f t="shared" si="2"/>
        <v>366.22</v>
      </c>
      <c r="U37" s="6">
        <f t="shared" si="3"/>
        <v>366.27000000000004</v>
      </c>
      <c r="V37" s="395">
        <v>22.31</v>
      </c>
      <c r="X37" s="4">
        <v>70.349999999999994</v>
      </c>
      <c r="Y37" s="395">
        <v>70.349999999999994</v>
      </c>
      <c r="AA37" s="4">
        <v>80.95</v>
      </c>
      <c r="AB37" s="395">
        <v>81</v>
      </c>
      <c r="AD37" s="4">
        <v>110.37</v>
      </c>
      <c r="AE37" s="395">
        <v>110.37</v>
      </c>
      <c r="AG37" s="4">
        <v>104.55</v>
      </c>
      <c r="AH37" s="395">
        <v>104.55</v>
      </c>
    </row>
    <row r="38" spans="1:34" s="3" customFormat="1" ht="16.5" customHeight="1">
      <c r="A38" s="87" t="s">
        <v>39</v>
      </c>
      <c r="B38" s="87" t="s">
        <v>662</v>
      </c>
      <c r="C38" s="421">
        <f>SUM(C39:C43)</f>
        <v>0</v>
      </c>
      <c r="D38" s="421">
        <f>SUM(D39:D43)</f>
        <v>0</v>
      </c>
      <c r="E38" s="94"/>
      <c r="G38" s="6">
        <f t="shared" si="0"/>
        <v>0</v>
      </c>
      <c r="H38" s="6">
        <f t="shared" si="1"/>
        <v>0</v>
      </c>
      <c r="J38" s="82">
        <f>SUM(J39:J44)</f>
        <v>0</v>
      </c>
      <c r="K38" s="82">
        <f>SUM(K39:K44)</f>
        <v>0</v>
      </c>
      <c r="M38" s="421">
        <f>SUM(M39:M43)</f>
        <v>0</v>
      </c>
      <c r="N38" s="421">
        <f>SUM(N39:N43)</f>
        <v>0</v>
      </c>
      <c r="P38" s="421">
        <f>SUM(P39:P43)</f>
        <v>0</v>
      </c>
      <c r="Q38" s="421">
        <f>SUM(Q39:Q43)</f>
        <v>0</v>
      </c>
      <c r="S38" s="421">
        <f>SUM(S39:S43)</f>
        <v>0</v>
      </c>
      <c r="T38" s="6">
        <f t="shared" si="2"/>
        <v>0</v>
      </c>
      <c r="U38" s="6">
        <f t="shared" si="3"/>
        <v>0</v>
      </c>
      <c r="V38" s="421">
        <f>SUM(V39:V43)</f>
        <v>0</v>
      </c>
      <c r="X38" s="421">
        <f>SUM(X39:X43)</f>
        <v>0</v>
      </c>
      <c r="Y38" s="421">
        <f>SUM(Y39:Y43)</f>
        <v>0</v>
      </c>
      <c r="AA38" s="421">
        <f>SUM(AA39:AA43)</f>
        <v>0</v>
      </c>
      <c r="AB38" s="421">
        <f>SUM(AB39:AB43)</f>
        <v>0</v>
      </c>
      <c r="AD38" s="421">
        <f>SUM(AD39:AD43)</f>
        <v>0</v>
      </c>
      <c r="AE38" s="421">
        <f>SUM(AE39:AE43)</f>
        <v>0</v>
      </c>
      <c r="AG38" s="421">
        <f>SUM(AG39:AG43)</f>
        <v>0</v>
      </c>
      <c r="AH38" s="421">
        <f>SUM(AH39:AH43)</f>
        <v>0</v>
      </c>
    </row>
    <row r="39" spans="1:34" s="3" customFormat="1" ht="16.5" customHeight="1">
      <c r="A39" s="17" t="s">
        <v>339</v>
      </c>
      <c r="B39" s="17" t="s">
        <v>343</v>
      </c>
      <c r="C39" s="4"/>
      <c r="D39" s="395"/>
      <c r="E39" s="94"/>
      <c r="G39" s="6">
        <f t="shared" si="0"/>
        <v>0</v>
      </c>
      <c r="H39" s="6">
        <f t="shared" si="1"/>
        <v>0</v>
      </c>
      <c r="J39" s="32"/>
      <c r="K39" s="32"/>
      <c r="M39" s="4"/>
      <c r="N39" s="395"/>
      <c r="P39" s="4"/>
      <c r="Q39" s="395"/>
      <c r="S39" s="4"/>
      <c r="T39" s="6">
        <f t="shared" si="2"/>
        <v>0</v>
      </c>
      <c r="U39" s="6">
        <f t="shared" si="3"/>
        <v>0</v>
      </c>
      <c r="V39" s="395"/>
      <c r="X39" s="4"/>
      <c r="Y39" s="395"/>
      <c r="AA39" s="4"/>
      <c r="AB39" s="395"/>
      <c r="AD39" s="4"/>
      <c r="AE39" s="395"/>
      <c r="AG39" s="4"/>
      <c r="AH39" s="395"/>
    </row>
    <row r="40" spans="1:34" s="3" customFormat="1" ht="16.5" customHeight="1">
      <c r="A40" s="17" t="s">
        <v>340</v>
      </c>
      <c r="B40" s="17" t="s">
        <v>344</v>
      </c>
      <c r="C40" s="4"/>
      <c r="D40" s="395"/>
      <c r="E40" s="94"/>
      <c r="G40" s="6">
        <f t="shared" si="0"/>
        <v>0</v>
      </c>
      <c r="H40" s="6">
        <f t="shared" si="1"/>
        <v>0</v>
      </c>
      <c r="J40" s="32"/>
      <c r="K40" s="32"/>
      <c r="M40" s="4"/>
      <c r="N40" s="395"/>
      <c r="P40" s="4"/>
      <c r="Q40" s="395"/>
      <c r="S40" s="4"/>
      <c r="T40" s="6">
        <f t="shared" si="2"/>
        <v>0</v>
      </c>
      <c r="U40" s="6">
        <f t="shared" si="3"/>
        <v>0</v>
      </c>
      <c r="V40" s="395"/>
      <c r="X40" s="4"/>
      <c r="Y40" s="395"/>
      <c r="AA40" s="4"/>
      <c r="AB40" s="395"/>
      <c r="AD40" s="4"/>
      <c r="AE40" s="395"/>
      <c r="AG40" s="4"/>
      <c r="AH40" s="395"/>
    </row>
    <row r="41" spans="1:34" s="3" customFormat="1" ht="16.5" customHeight="1">
      <c r="A41" s="17" t="s">
        <v>341</v>
      </c>
      <c r="B41" s="17" t="s">
        <v>347</v>
      </c>
      <c r="C41" s="4"/>
      <c r="D41" s="395"/>
      <c r="E41" s="94"/>
      <c r="G41" s="6">
        <f t="shared" si="0"/>
        <v>0</v>
      </c>
      <c r="H41" s="6">
        <f t="shared" si="1"/>
        <v>0</v>
      </c>
      <c r="J41" s="32"/>
      <c r="K41" s="33"/>
      <c r="M41" s="4"/>
      <c r="N41" s="395"/>
      <c r="P41" s="4"/>
      <c r="Q41" s="395"/>
      <c r="S41" s="4"/>
      <c r="T41" s="6">
        <f t="shared" si="2"/>
        <v>0</v>
      </c>
      <c r="U41" s="6">
        <f t="shared" si="3"/>
        <v>0</v>
      </c>
      <c r="V41" s="395"/>
      <c r="X41" s="4"/>
      <c r="Y41" s="395"/>
      <c r="AA41" s="4"/>
      <c r="AB41" s="395"/>
      <c r="AD41" s="4"/>
      <c r="AE41" s="395"/>
      <c r="AG41" s="4"/>
      <c r="AH41" s="395"/>
    </row>
    <row r="42" spans="1:34" s="3" customFormat="1" ht="16.5" customHeight="1">
      <c r="A42" s="17" t="s">
        <v>346</v>
      </c>
      <c r="B42" s="17" t="s">
        <v>348</v>
      </c>
      <c r="C42" s="4"/>
      <c r="D42" s="395"/>
      <c r="E42" s="94"/>
      <c r="G42" s="6">
        <f t="shared" si="0"/>
        <v>0</v>
      </c>
      <c r="H42" s="6">
        <f t="shared" si="1"/>
        <v>0</v>
      </c>
      <c r="J42" s="32"/>
      <c r="K42" s="33"/>
      <c r="M42" s="4"/>
      <c r="N42" s="395"/>
      <c r="P42" s="4"/>
      <c r="Q42" s="395"/>
      <c r="S42" s="4"/>
      <c r="T42" s="6">
        <f t="shared" si="2"/>
        <v>0</v>
      </c>
      <c r="U42" s="6">
        <f t="shared" si="3"/>
        <v>0</v>
      </c>
      <c r="V42" s="395"/>
      <c r="X42" s="4"/>
      <c r="Y42" s="395"/>
      <c r="AA42" s="4"/>
      <c r="AB42" s="395"/>
      <c r="AD42" s="4"/>
      <c r="AE42" s="395"/>
      <c r="AG42" s="4"/>
      <c r="AH42" s="395"/>
    </row>
    <row r="43" spans="1:34" s="3" customFormat="1" ht="16.5" customHeight="1">
      <c r="A43" s="17" t="s">
        <v>349</v>
      </c>
      <c r="B43" s="17" t="s">
        <v>345</v>
      </c>
      <c r="C43" s="4"/>
      <c r="D43" s="395"/>
      <c r="E43" s="94"/>
      <c r="G43" s="6">
        <f t="shared" si="0"/>
        <v>0</v>
      </c>
      <c r="H43" s="6">
        <f t="shared" si="1"/>
        <v>0</v>
      </c>
      <c r="J43" s="32"/>
      <c r="K43" s="33"/>
      <c r="M43" s="4"/>
      <c r="N43" s="395"/>
      <c r="P43" s="4"/>
      <c r="Q43" s="395"/>
      <c r="S43" s="4"/>
      <c r="T43" s="6">
        <f t="shared" si="2"/>
        <v>0</v>
      </c>
      <c r="U43" s="6">
        <f t="shared" si="3"/>
        <v>0</v>
      </c>
      <c r="V43" s="395"/>
      <c r="X43" s="4"/>
      <c r="Y43" s="395"/>
      <c r="AA43" s="4"/>
      <c r="AB43" s="395"/>
      <c r="AD43" s="4"/>
      <c r="AE43" s="395"/>
      <c r="AG43" s="4"/>
      <c r="AH43" s="395"/>
    </row>
    <row r="44" spans="1:34" s="3" customFormat="1" ht="30">
      <c r="A44" s="87" t="s">
        <v>40</v>
      </c>
      <c r="B44" s="87" t="s">
        <v>28</v>
      </c>
      <c r="C44" s="4">
        <f>199847.35+2400</f>
        <v>202247.35</v>
      </c>
      <c r="D44" s="395">
        <v>197934.16</v>
      </c>
      <c r="E44" s="94"/>
      <c r="G44" s="6">
        <f t="shared" si="0"/>
        <v>0</v>
      </c>
      <c r="H44" s="6">
        <f t="shared" si="1"/>
        <v>0</v>
      </c>
      <c r="J44" s="32"/>
      <c r="K44" s="33"/>
      <c r="M44" s="4"/>
      <c r="N44" s="395"/>
      <c r="P44" s="4"/>
      <c r="Q44" s="395"/>
      <c r="S44" s="4"/>
      <c r="T44" s="6">
        <f t="shared" si="2"/>
        <v>5691</v>
      </c>
      <c r="U44" s="6">
        <f t="shared" si="3"/>
        <v>1780</v>
      </c>
      <c r="V44" s="395"/>
      <c r="X44" s="4"/>
      <c r="Y44" s="395"/>
      <c r="AA44" s="4"/>
      <c r="AB44" s="395"/>
      <c r="AD44" s="4">
        <v>1780</v>
      </c>
      <c r="AE44" s="395">
        <v>1780</v>
      </c>
      <c r="AG44" s="4">
        <v>3911</v>
      </c>
      <c r="AH44" s="395"/>
    </row>
    <row r="45" spans="1:34" s="3" customFormat="1" ht="16.5" customHeight="1">
      <c r="A45" s="87" t="s">
        <v>41</v>
      </c>
      <c r="B45" s="87" t="s">
        <v>24</v>
      </c>
      <c r="C45" s="4"/>
      <c r="D45" s="395"/>
      <c r="E45" s="94"/>
      <c r="G45" s="6">
        <f t="shared" si="0"/>
        <v>0</v>
      </c>
      <c r="H45" s="6">
        <f t="shared" si="1"/>
        <v>0</v>
      </c>
      <c r="J45" s="32"/>
      <c r="K45" s="33"/>
      <c r="M45" s="4"/>
      <c r="N45" s="395"/>
      <c r="P45" s="4"/>
      <c r="Q45" s="395"/>
      <c r="S45" s="4"/>
      <c r="T45" s="6">
        <f t="shared" si="2"/>
        <v>0</v>
      </c>
      <c r="U45" s="6">
        <f t="shared" si="3"/>
        <v>0</v>
      </c>
      <c r="V45" s="395"/>
      <c r="X45" s="4"/>
      <c r="Y45" s="395"/>
      <c r="AA45" s="4"/>
      <c r="AB45" s="395"/>
      <c r="AD45" s="4"/>
      <c r="AE45" s="395"/>
      <c r="AG45" s="4"/>
      <c r="AH45" s="395"/>
    </row>
    <row r="46" spans="1:34" s="3" customFormat="1" ht="16.5" customHeight="1">
      <c r="A46" s="87" t="s">
        <v>42</v>
      </c>
      <c r="B46" s="87" t="s">
        <v>25</v>
      </c>
      <c r="C46" s="4"/>
      <c r="D46" s="395">
        <v>0</v>
      </c>
      <c r="E46" s="94"/>
      <c r="G46" s="6">
        <f t="shared" si="0"/>
        <v>0</v>
      </c>
      <c r="H46" s="6">
        <f t="shared" si="1"/>
        <v>0</v>
      </c>
      <c r="J46" s="32"/>
      <c r="K46" s="33"/>
      <c r="M46" s="4"/>
      <c r="N46" s="395"/>
      <c r="P46" s="4"/>
      <c r="Q46" s="395"/>
      <c r="S46" s="4"/>
      <c r="T46" s="6">
        <f t="shared" si="2"/>
        <v>0</v>
      </c>
      <c r="U46" s="6">
        <f t="shared" si="3"/>
        <v>0</v>
      </c>
      <c r="V46" s="395"/>
      <c r="X46" s="4"/>
      <c r="Y46" s="395"/>
      <c r="AA46" s="4"/>
      <c r="AB46" s="395"/>
      <c r="AD46" s="4"/>
      <c r="AE46" s="395"/>
      <c r="AG46" s="4"/>
      <c r="AH46" s="395"/>
    </row>
    <row r="47" spans="1:34" s="3" customFormat="1" ht="16.5" customHeight="1">
      <c r="A47" s="87" t="s">
        <v>43</v>
      </c>
      <c r="B47" s="87" t="s">
        <v>26</v>
      </c>
      <c r="C47" s="4">
        <v>318</v>
      </c>
      <c r="D47" s="395">
        <v>318</v>
      </c>
      <c r="E47" s="94"/>
      <c r="G47" s="6">
        <f t="shared" si="0"/>
        <v>636</v>
      </c>
      <c r="H47" s="6">
        <f t="shared" si="1"/>
        <v>636</v>
      </c>
      <c r="J47" s="32">
        <v>318</v>
      </c>
      <c r="K47" s="33">
        <v>318</v>
      </c>
      <c r="M47" s="4"/>
      <c r="N47" s="395"/>
      <c r="P47" s="4">
        <v>318</v>
      </c>
      <c r="Q47" s="395">
        <v>318</v>
      </c>
      <c r="S47" s="4"/>
      <c r="T47" s="6">
        <f t="shared" si="2"/>
        <v>954</v>
      </c>
      <c r="U47" s="6">
        <f t="shared" si="3"/>
        <v>954</v>
      </c>
      <c r="V47" s="395"/>
      <c r="X47" s="4">
        <v>318</v>
      </c>
      <c r="Y47" s="395">
        <v>318</v>
      </c>
      <c r="AA47" s="4"/>
      <c r="AB47" s="395"/>
      <c r="AD47" s="4">
        <v>318</v>
      </c>
      <c r="AE47" s="395">
        <v>318</v>
      </c>
      <c r="AG47" s="4">
        <v>318</v>
      </c>
      <c r="AH47" s="395">
        <v>318</v>
      </c>
    </row>
    <row r="48" spans="1:34" s="3" customFormat="1" ht="16.5" customHeight="1">
      <c r="A48" s="87" t="s">
        <v>44</v>
      </c>
      <c r="B48" s="87" t="s">
        <v>663</v>
      </c>
      <c r="C48" s="421">
        <f>SUM(C49:C51)</f>
        <v>0</v>
      </c>
      <c r="D48" s="421">
        <f>SUM(D49:D51)</f>
        <v>16479.240000000002</v>
      </c>
      <c r="E48" s="94"/>
      <c r="G48" s="6">
        <f t="shared" si="0"/>
        <v>115985.12999999999</v>
      </c>
      <c r="H48" s="6">
        <f t="shared" si="1"/>
        <v>117101.4</v>
      </c>
      <c r="J48" s="32">
        <v>0</v>
      </c>
      <c r="K48" s="33">
        <v>0</v>
      </c>
      <c r="M48" s="421">
        <f>SUM(M49:M51)</f>
        <v>57839.4</v>
      </c>
      <c r="N48" s="421">
        <f>SUM(N49:N51)</f>
        <v>61203.86</v>
      </c>
      <c r="P48" s="421">
        <f>SUM(P49:P51)</f>
        <v>51558.81</v>
      </c>
      <c r="Q48" s="421">
        <f>SUM(Q49:Q51)</f>
        <v>40714.35</v>
      </c>
      <c r="S48" s="421">
        <f>SUM(S49:S51)</f>
        <v>6586.92</v>
      </c>
      <c r="T48" s="6">
        <f t="shared" si="2"/>
        <v>180716.58000000002</v>
      </c>
      <c r="U48" s="6">
        <f t="shared" si="3"/>
        <v>175042.97999999998</v>
      </c>
      <c r="V48" s="421">
        <f>SUM(V49:V51)</f>
        <v>15183.19</v>
      </c>
      <c r="X48" s="421">
        <f>SUM(X49:X51)</f>
        <v>63313.91</v>
      </c>
      <c r="Y48" s="421">
        <f>SUM(Y49:Y51)</f>
        <v>59921.43</v>
      </c>
      <c r="AA48" s="421">
        <f>SUM(AA49:AA51)</f>
        <v>60002.91</v>
      </c>
      <c r="AB48" s="421">
        <f>SUM(AB49:AB51)</f>
        <v>55959.87</v>
      </c>
      <c r="AD48" s="421">
        <f>SUM(AD49:AD51)</f>
        <v>57399.76</v>
      </c>
      <c r="AE48" s="421">
        <f>SUM(AE49:AE51)</f>
        <v>36960.380000000005</v>
      </c>
      <c r="AG48" s="421">
        <f>SUM(AG49:AG51)</f>
        <v>0</v>
      </c>
      <c r="AH48" s="421">
        <f>SUM(AH49:AH51)</f>
        <v>22201.3</v>
      </c>
    </row>
    <row r="49" spans="1:36" s="3" customFormat="1" ht="16.5" customHeight="1">
      <c r="A49" s="96" t="s">
        <v>354</v>
      </c>
      <c r="B49" s="96" t="s">
        <v>357</v>
      </c>
      <c r="C49" s="4">
        <v>0</v>
      </c>
      <c r="D49" s="395">
        <v>16479.240000000002</v>
      </c>
      <c r="E49" s="94"/>
      <c r="G49" s="6">
        <f t="shared" si="0"/>
        <v>115985.12999999999</v>
      </c>
      <c r="H49" s="6">
        <f t="shared" si="1"/>
        <v>134281.4</v>
      </c>
      <c r="J49" s="82">
        <f>SUM(J50:J52)</f>
        <v>0</v>
      </c>
      <c r="K49" s="82">
        <v>17180</v>
      </c>
      <c r="M49" s="4">
        <v>57839.4</v>
      </c>
      <c r="N49" s="395">
        <v>61203.86</v>
      </c>
      <c r="P49" s="4">
        <f>51883.81-325</f>
        <v>51558.81</v>
      </c>
      <c r="Q49" s="395">
        <v>40714.35</v>
      </c>
      <c r="S49" s="4">
        <v>6586.92</v>
      </c>
      <c r="T49" s="6">
        <f t="shared" si="2"/>
        <v>180716.58000000002</v>
      </c>
      <c r="U49" s="6">
        <f t="shared" si="3"/>
        <v>175042.97999999998</v>
      </c>
      <c r="V49" s="395">
        <v>15183.19</v>
      </c>
      <c r="X49" s="4">
        <f>64913.91-1600</f>
        <v>63313.91</v>
      </c>
      <c r="Y49" s="395">
        <v>59921.43</v>
      </c>
      <c r="AA49" s="4">
        <v>60002.91</v>
      </c>
      <c r="AB49" s="395">
        <v>55959.87</v>
      </c>
      <c r="AD49" s="4">
        <f>60872.28-3472.52</f>
        <v>57399.76</v>
      </c>
      <c r="AE49" s="395">
        <f>38132.22-87-1084.84</f>
        <v>36960.380000000005</v>
      </c>
      <c r="AG49" s="4"/>
      <c r="AH49" s="395">
        <f>23096.3-895</f>
        <v>22201.3</v>
      </c>
    </row>
    <row r="50" spans="1:36" s="3" customFormat="1" ht="16.5" customHeight="1">
      <c r="A50" s="96" t="s">
        <v>355</v>
      </c>
      <c r="B50" s="96" t="s">
        <v>356</v>
      </c>
      <c r="C50" s="4"/>
      <c r="D50" s="395"/>
      <c r="E50" s="94"/>
      <c r="G50" s="6">
        <f t="shared" si="0"/>
        <v>0</v>
      </c>
      <c r="H50" s="6">
        <f t="shared" si="1"/>
        <v>0</v>
      </c>
      <c r="J50" s="32"/>
      <c r="K50" s="33">
        <v>0</v>
      </c>
      <c r="M50" s="4"/>
      <c r="N50" s="395"/>
      <c r="P50" s="4"/>
      <c r="Q50" s="395"/>
      <c r="S50" s="4"/>
      <c r="T50" s="6">
        <f t="shared" si="2"/>
        <v>0</v>
      </c>
      <c r="U50" s="6">
        <f t="shared" si="3"/>
        <v>0</v>
      </c>
      <c r="V50" s="395"/>
      <c r="X50" s="4"/>
      <c r="Y50" s="395"/>
      <c r="AA50" s="4"/>
      <c r="AB50" s="395"/>
      <c r="AD50" s="4"/>
      <c r="AE50" s="395"/>
      <c r="AG50" s="4"/>
      <c r="AH50" s="395"/>
    </row>
    <row r="51" spans="1:36" s="3" customFormat="1" ht="16.5" customHeight="1">
      <c r="A51" s="96" t="s">
        <v>358</v>
      </c>
      <c r="B51" s="96" t="s">
        <v>359</v>
      </c>
      <c r="C51" s="4"/>
      <c r="D51" s="395"/>
      <c r="E51" s="94"/>
      <c r="G51" s="6">
        <f t="shared" si="0"/>
        <v>0</v>
      </c>
      <c r="H51" s="6">
        <f t="shared" si="1"/>
        <v>0</v>
      </c>
      <c r="J51" s="32"/>
      <c r="K51" s="33"/>
      <c r="M51" s="4"/>
      <c r="N51" s="395"/>
      <c r="P51" s="4"/>
      <c r="Q51" s="395"/>
      <c r="S51" s="4"/>
      <c r="T51" s="6">
        <f t="shared" si="2"/>
        <v>0</v>
      </c>
      <c r="U51" s="6">
        <f t="shared" si="3"/>
        <v>0</v>
      </c>
      <c r="V51" s="395"/>
      <c r="X51" s="4"/>
      <c r="Y51" s="395"/>
      <c r="AA51" s="4"/>
      <c r="AB51" s="395"/>
      <c r="AD51" s="4"/>
      <c r="AE51" s="395"/>
      <c r="AG51" s="4"/>
      <c r="AH51" s="395"/>
    </row>
    <row r="52" spans="1:36" s="3" customFormat="1">
      <c r="A52" s="87" t="s">
        <v>45</v>
      </c>
      <c r="B52" s="87" t="s">
        <v>29</v>
      </c>
      <c r="C52" s="4"/>
      <c r="D52" s="395"/>
      <c r="E52" s="94"/>
      <c r="G52" s="6">
        <f t="shared" si="0"/>
        <v>0</v>
      </c>
      <c r="H52" s="6">
        <f t="shared" si="1"/>
        <v>0</v>
      </c>
      <c r="J52" s="32"/>
      <c r="K52" s="33"/>
      <c r="M52" s="4"/>
      <c r="N52" s="395"/>
      <c r="P52" s="4"/>
      <c r="Q52" s="395"/>
      <c r="S52" s="4"/>
      <c r="T52" s="6">
        <f t="shared" si="2"/>
        <v>0</v>
      </c>
      <c r="U52" s="6">
        <f t="shared" si="3"/>
        <v>0</v>
      </c>
      <c r="V52" s="395"/>
      <c r="X52" s="4"/>
      <c r="Y52" s="395"/>
      <c r="AA52" s="4"/>
      <c r="AB52" s="395"/>
      <c r="AD52" s="4"/>
      <c r="AE52" s="395"/>
      <c r="AG52" s="4"/>
      <c r="AH52" s="395"/>
    </row>
    <row r="53" spans="1:36" s="3" customFormat="1" ht="16.5" customHeight="1">
      <c r="A53" s="87" t="s">
        <v>46</v>
      </c>
      <c r="B53" s="87" t="s">
        <v>6</v>
      </c>
      <c r="C53" s="4">
        <v>0</v>
      </c>
      <c r="D53" s="395">
        <v>55000</v>
      </c>
      <c r="E53" s="396"/>
      <c r="F53" s="397"/>
      <c r="G53" s="6">
        <f t="shared" si="0"/>
        <v>0</v>
      </c>
      <c r="H53" s="6">
        <f t="shared" si="1"/>
        <v>0</v>
      </c>
      <c r="J53" s="32"/>
      <c r="K53" s="33"/>
      <c r="M53" s="4"/>
      <c r="N53" s="395"/>
      <c r="P53" s="4"/>
      <c r="Q53" s="395"/>
      <c r="S53" s="4"/>
      <c r="T53" s="6">
        <f t="shared" si="2"/>
        <v>0</v>
      </c>
      <c r="U53" s="6">
        <f t="shared" si="3"/>
        <v>1200</v>
      </c>
      <c r="V53" s="395"/>
      <c r="X53" s="4"/>
      <c r="Y53" s="395"/>
      <c r="AA53" s="4"/>
      <c r="AB53" s="395"/>
      <c r="AD53" s="4"/>
      <c r="AE53" s="395"/>
      <c r="AG53" s="4"/>
      <c r="AH53" s="395">
        <v>1200</v>
      </c>
    </row>
    <row r="54" spans="1:36" s="3" customFormat="1" ht="30">
      <c r="A54" s="86">
        <v>1.3</v>
      </c>
      <c r="B54" s="86" t="s">
        <v>386</v>
      </c>
      <c r="C54" s="78">
        <f>SUM(C55:C56)</f>
        <v>0</v>
      </c>
      <c r="D54" s="78">
        <f>SUM(D55:D56)</f>
        <v>0</v>
      </c>
      <c r="E54" s="396"/>
      <c r="F54" s="397"/>
      <c r="G54" s="6">
        <f t="shared" si="0"/>
        <v>0</v>
      </c>
      <c r="H54" s="6">
        <f t="shared" si="1"/>
        <v>0</v>
      </c>
      <c r="J54" s="32"/>
      <c r="K54" s="33"/>
      <c r="M54" s="78">
        <f>SUM(M55:M56)</f>
        <v>0</v>
      </c>
      <c r="N54" s="78">
        <f>SUM(N55:N56)</f>
        <v>0</v>
      </c>
      <c r="P54" s="78">
        <f>SUM(P55:P56)</f>
        <v>0</v>
      </c>
      <c r="Q54" s="78">
        <f>SUM(Q55:Q56)</f>
        <v>0</v>
      </c>
      <c r="S54" s="78">
        <f>SUM(S55:S56)</f>
        <v>0</v>
      </c>
      <c r="T54" s="6">
        <f t="shared" si="2"/>
        <v>1820</v>
      </c>
      <c r="U54" s="6">
        <f t="shared" si="3"/>
        <v>1820</v>
      </c>
      <c r="V54" s="78">
        <f>SUM(V55:V56)</f>
        <v>0</v>
      </c>
      <c r="X54" s="78">
        <f>SUM(X55:X56)</f>
        <v>0</v>
      </c>
      <c r="Y54" s="78">
        <f>SUM(Y55:Y56)</f>
        <v>0</v>
      </c>
      <c r="AA54" s="78">
        <f>SUM(AA55:AA56)</f>
        <v>0</v>
      </c>
      <c r="AB54" s="78">
        <f>SUM(AB55:AB56)</f>
        <v>0</v>
      </c>
      <c r="AD54" s="78">
        <f>SUM(AD55:AD56)</f>
        <v>0</v>
      </c>
      <c r="AE54" s="78">
        <f>SUM(AE55:AE56)</f>
        <v>0</v>
      </c>
      <c r="AG54" s="78">
        <f>SUM(AG55:AG56)</f>
        <v>1820</v>
      </c>
      <c r="AH54" s="78">
        <f>SUM(AH55:AH56)</f>
        <v>1820</v>
      </c>
    </row>
    <row r="55" spans="1:36" s="3" customFormat="1" ht="30">
      <c r="A55" s="87" t="s">
        <v>50</v>
      </c>
      <c r="B55" s="87" t="s">
        <v>48</v>
      </c>
      <c r="C55" s="4"/>
      <c r="D55" s="395"/>
      <c r="E55" s="396"/>
      <c r="F55" s="397"/>
      <c r="G55" s="6">
        <f t="shared" si="0"/>
        <v>0</v>
      </c>
      <c r="H55" s="6">
        <f t="shared" si="1"/>
        <v>0</v>
      </c>
      <c r="J55" s="83">
        <f>SUM(J56:J57)</f>
        <v>0</v>
      </c>
      <c r="K55" s="83">
        <f>SUM(K56:K57)</f>
        <v>0</v>
      </c>
      <c r="M55" s="4"/>
      <c r="N55" s="395"/>
      <c r="P55" s="4"/>
      <c r="Q55" s="395"/>
      <c r="S55" s="4"/>
      <c r="T55" s="6">
        <f t="shared" si="2"/>
        <v>1820</v>
      </c>
      <c r="U55" s="6">
        <f t="shared" si="3"/>
        <v>1820</v>
      </c>
      <c r="V55" s="395"/>
      <c r="X55" s="4"/>
      <c r="Y55" s="395"/>
      <c r="AA55" s="4"/>
      <c r="AB55" s="395"/>
      <c r="AD55" s="4"/>
      <c r="AE55" s="395"/>
      <c r="AG55" s="4">
        <v>1820</v>
      </c>
      <c r="AH55" s="395">
        <v>1820</v>
      </c>
      <c r="AJ55" s="397"/>
    </row>
    <row r="56" spans="1:36" s="3" customFormat="1" ht="16.5" customHeight="1">
      <c r="A56" s="87" t="s">
        <v>51</v>
      </c>
      <c r="B56" s="87" t="s">
        <v>47</v>
      </c>
      <c r="C56" s="4"/>
      <c r="D56" s="395"/>
      <c r="E56" s="396"/>
      <c r="F56" s="397"/>
      <c r="G56" s="6">
        <f t="shared" si="0"/>
        <v>0</v>
      </c>
      <c r="H56" s="6">
        <f t="shared" si="1"/>
        <v>0</v>
      </c>
      <c r="J56" s="32"/>
      <c r="K56" s="33"/>
      <c r="M56" s="4"/>
      <c r="N56" s="395"/>
      <c r="P56" s="4"/>
      <c r="Q56" s="395"/>
      <c r="S56" s="4"/>
      <c r="T56" s="6">
        <f t="shared" si="2"/>
        <v>0</v>
      </c>
      <c r="U56" s="6">
        <f t="shared" si="3"/>
        <v>0</v>
      </c>
      <c r="V56" s="395"/>
      <c r="X56" s="4"/>
      <c r="Y56" s="395"/>
      <c r="AA56" s="4"/>
      <c r="AB56" s="395"/>
      <c r="AD56" s="4"/>
      <c r="AE56" s="395"/>
      <c r="AG56" s="4"/>
      <c r="AH56" s="395"/>
    </row>
    <row r="57" spans="1:36" s="3" customFormat="1">
      <c r="A57" s="86">
        <v>1.4</v>
      </c>
      <c r="B57" s="86" t="s">
        <v>388</v>
      </c>
      <c r="C57" s="4"/>
      <c r="D57" s="395"/>
      <c r="E57" s="396"/>
      <c r="F57" s="397"/>
      <c r="G57" s="6">
        <f t="shared" si="0"/>
        <v>0</v>
      </c>
      <c r="H57" s="6">
        <f t="shared" si="1"/>
        <v>0</v>
      </c>
      <c r="J57" s="32"/>
      <c r="K57" s="33"/>
      <c r="M57" s="4"/>
      <c r="N57" s="395"/>
      <c r="P57" s="4"/>
      <c r="Q57" s="395"/>
      <c r="S57" s="4"/>
      <c r="T57" s="6">
        <f t="shared" si="2"/>
        <v>0</v>
      </c>
      <c r="U57" s="6">
        <f t="shared" si="3"/>
        <v>0</v>
      </c>
      <c r="V57" s="395"/>
      <c r="X57" s="4"/>
      <c r="Y57" s="395"/>
      <c r="AA57" s="4"/>
      <c r="AB57" s="395"/>
      <c r="AD57" s="4"/>
      <c r="AE57" s="395"/>
      <c r="AG57" s="4"/>
      <c r="AH57" s="395"/>
    </row>
    <row r="58" spans="1:36" s="399" customFormat="1">
      <c r="A58" s="86">
        <v>1.5</v>
      </c>
      <c r="B58" s="86" t="s">
        <v>7</v>
      </c>
      <c r="C58" s="419"/>
      <c r="D58" s="423"/>
      <c r="E58" s="398"/>
      <c r="G58" s="6">
        <f t="shared" si="0"/>
        <v>0</v>
      </c>
      <c r="H58" s="6">
        <f t="shared" si="1"/>
        <v>0</v>
      </c>
      <c r="J58" s="32"/>
      <c r="K58" s="33"/>
      <c r="M58" s="419"/>
      <c r="N58" s="423"/>
      <c r="P58" s="419"/>
      <c r="Q58" s="423"/>
      <c r="S58" s="419"/>
      <c r="T58" s="6">
        <f t="shared" si="2"/>
        <v>0</v>
      </c>
      <c r="U58" s="6">
        <f t="shared" si="3"/>
        <v>0</v>
      </c>
      <c r="V58" s="423"/>
      <c r="X58" s="419"/>
      <c r="Y58" s="423"/>
      <c r="AA58" s="419"/>
      <c r="AB58" s="423"/>
      <c r="AD58" s="419"/>
      <c r="AE58" s="423"/>
      <c r="AG58" s="419"/>
      <c r="AH58" s="423"/>
    </row>
    <row r="59" spans="1:36" s="399" customFormat="1">
      <c r="A59" s="86">
        <v>1.6</v>
      </c>
      <c r="B59" s="43" t="s">
        <v>8</v>
      </c>
      <c r="C59" s="486">
        <f>SUM(C60:C64)</f>
        <v>40.04</v>
      </c>
      <c r="D59" s="426">
        <f>SUM(D60:D64)</f>
        <v>40.04</v>
      </c>
      <c r="E59" s="398"/>
      <c r="G59" s="6">
        <f t="shared" si="0"/>
        <v>0</v>
      </c>
      <c r="H59" s="6">
        <f t="shared" si="1"/>
        <v>0</v>
      </c>
      <c r="J59" s="36"/>
      <c r="K59" s="39"/>
      <c r="M59" s="425">
        <f>SUM(M60:M64)</f>
        <v>0</v>
      </c>
      <c r="N59" s="426">
        <f>SUM(N60:N64)</f>
        <v>0</v>
      </c>
      <c r="P59" s="425">
        <f>SUM(P60:P64)</f>
        <v>0</v>
      </c>
      <c r="Q59" s="426">
        <f>SUM(Q60:Q64)</f>
        <v>0</v>
      </c>
      <c r="S59" s="425">
        <f>SUM(S60:S64)</f>
        <v>0</v>
      </c>
      <c r="T59" s="6">
        <f t="shared" si="2"/>
        <v>0</v>
      </c>
      <c r="U59" s="6">
        <f t="shared" si="3"/>
        <v>0</v>
      </c>
      <c r="V59" s="426">
        <f>SUM(V60:V64)</f>
        <v>0</v>
      </c>
      <c r="X59" s="425">
        <f>SUM(X60:X64)</f>
        <v>0</v>
      </c>
      <c r="Y59" s="426">
        <f>SUM(Y60:Y64)</f>
        <v>0</v>
      </c>
      <c r="AA59" s="425">
        <f>SUM(AA60:AA64)</f>
        <v>0</v>
      </c>
      <c r="AB59" s="426">
        <f>SUM(AB60:AB64)</f>
        <v>0</v>
      </c>
      <c r="AD59" s="425">
        <f>SUM(AD60:AD64)</f>
        <v>0</v>
      </c>
      <c r="AE59" s="426">
        <f>SUM(AE60:AE64)</f>
        <v>0</v>
      </c>
      <c r="AG59" s="425">
        <f>SUM(AG60:AG64)</f>
        <v>0</v>
      </c>
      <c r="AH59" s="426">
        <f>SUM(AH60:AH64)</f>
        <v>0</v>
      </c>
    </row>
    <row r="60" spans="1:36" s="399" customFormat="1">
      <c r="A60" s="87" t="s">
        <v>287</v>
      </c>
      <c r="B60" s="44" t="s">
        <v>52</v>
      </c>
      <c r="C60" s="419"/>
      <c r="D60" s="423"/>
      <c r="E60" s="398"/>
      <c r="G60" s="6">
        <f t="shared" si="0"/>
        <v>0</v>
      </c>
      <c r="H60" s="6">
        <f t="shared" si="1"/>
        <v>0</v>
      </c>
      <c r="J60" s="83">
        <f>SUM(J61:J65)</f>
        <v>0</v>
      </c>
      <c r="K60" s="83">
        <f>SUM(K61:K65)</f>
        <v>0</v>
      </c>
      <c r="M60" s="419"/>
      <c r="N60" s="423"/>
      <c r="P60" s="419"/>
      <c r="Q60" s="423"/>
      <c r="S60" s="419"/>
      <c r="T60" s="6">
        <f t="shared" si="2"/>
        <v>0</v>
      </c>
      <c r="U60" s="6">
        <f t="shared" si="3"/>
        <v>0</v>
      </c>
      <c r="V60" s="423"/>
      <c r="X60" s="419"/>
      <c r="Y60" s="423"/>
      <c r="AA60" s="419"/>
      <c r="AB60" s="423"/>
      <c r="AD60" s="419"/>
      <c r="AE60" s="423"/>
      <c r="AG60" s="419"/>
      <c r="AH60" s="423"/>
    </row>
    <row r="61" spans="1:36" s="399" customFormat="1" ht="30">
      <c r="A61" s="87" t="s">
        <v>288</v>
      </c>
      <c r="B61" s="44" t="s">
        <v>54</v>
      </c>
      <c r="C61" s="419"/>
      <c r="D61" s="423"/>
      <c r="E61" s="398"/>
      <c r="G61" s="6">
        <f t="shared" si="0"/>
        <v>0</v>
      </c>
      <c r="H61" s="6">
        <f t="shared" si="1"/>
        <v>0</v>
      </c>
      <c r="J61" s="36"/>
      <c r="K61" s="39"/>
      <c r="M61" s="419"/>
      <c r="N61" s="423"/>
      <c r="P61" s="419"/>
      <c r="Q61" s="423"/>
      <c r="S61" s="419"/>
      <c r="T61" s="6">
        <f t="shared" si="2"/>
        <v>0</v>
      </c>
      <c r="U61" s="6">
        <f t="shared" si="3"/>
        <v>0</v>
      </c>
      <c r="V61" s="423"/>
      <c r="X61" s="419"/>
      <c r="Y61" s="423"/>
      <c r="AA61" s="419"/>
      <c r="AB61" s="423"/>
      <c r="AD61" s="419"/>
      <c r="AE61" s="423"/>
      <c r="AG61" s="419"/>
      <c r="AH61" s="423"/>
    </row>
    <row r="62" spans="1:36" s="399" customFormat="1">
      <c r="A62" s="87" t="s">
        <v>289</v>
      </c>
      <c r="B62" s="44" t="s">
        <v>53</v>
      </c>
      <c r="C62" s="423"/>
      <c r="D62" s="423"/>
      <c r="E62" s="398"/>
      <c r="G62" s="6">
        <f t="shared" si="0"/>
        <v>0</v>
      </c>
      <c r="H62" s="6">
        <f t="shared" si="1"/>
        <v>0</v>
      </c>
      <c r="J62" s="36"/>
      <c r="K62" s="39"/>
      <c r="M62" s="423"/>
      <c r="N62" s="423"/>
      <c r="P62" s="423"/>
      <c r="Q62" s="423"/>
      <c r="S62" s="423"/>
      <c r="T62" s="6">
        <f t="shared" si="2"/>
        <v>0</v>
      </c>
      <c r="U62" s="6">
        <f t="shared" si="3"/>
        <v>0</v>
      </c>
      <c r="V62" s="423"/>
      <c r="X62" s="423"/>
      <c r="Y62" s="423"/>
      <c r="AA62" s="423"/>
      <c r="AB62" s="423"/>
      <c r="AD62" s="423"/>
      <c r="AE62" s="423"/>
      <c r="AG62" s="423"/>
      <c r="AH62" s="423"/>
    </row>
    <row r="63" spans="1:36" s="399" customFormat="1">
      <c r="A63" s="87" t="s">
        <v>290</v>
      </c>
      <c r="B63" s="44" t="s">
        <v>27</v>
      </c>
      <c r="C63" s="419"/>
      <c r="D63" s="423"/>
      <c r="E63" s="398"/>
      <c r="G63" s="6">
        <f t="shared" si="0"/>
        <v>0</v>
      </c>
      <c r="H63" s="6">
        <f t="shared" si="1"/>
        <v>0</v>
      </c>
      <c r="J63" s="39"/>
      <c r="K63" s="39"/>
      <c r="M63" s="419"/>
      <c r="N63" s="423"/>
      <c r="P63" s="419"/>
      <c r="Q63" s="423"/>
      <c r="S63" s="419"/>
      <c r="T63" s="6">
        <f t="shared" si="2"/>
        <v>0</v>
      </c>
      <c r="U63" s="6">
        <f t="shared" si="3"/>
        <v>0</v>
      </c>
      <c r="V63" s="423"/>
      <c r="X63" s="419"/>
      <c r="Y63" s="423"/>
      <c r="AA63" s="419"/>
      <c r="AB63" s="423"/>
      <c r="AD63" s="419"/>
      <c r="AE63" s="423"/>
      <c r="AG63" s="419"/>
      <c r="AH63" s="423"/>
    </row>
    <row r="64" spans="1:36" s="399" customFormat="1">
      <c r="A64" s="87" t="s">
        <v>325</v>
      </c>
      <c r="B64" s="44" t="s">
        <v>326</v>
      </c>
      <c r="C64" s="434">
        <v>40.04</v>
      </c>
      <c r="D64" s="435">
        <v>40.04</v>
      </c>
      <c r="E64" s="398"/>
      <c r="G64" s="6">
        <f t="shared" si="0"/>
        <v>0</v>
      </c>
      <c r="H64" s="6">
        <f t="shared" si="1"/>
        <v>0</v>
      </c>
      <c r="J64" s="36"/>
      <c r="K64" s="39"/>
      <c r="M64" s="419"/>
      <c r="N64" s="423"/>
      <c r="P64" s="419"/>
      <c r="Q64" s="423"/>
      <c r="S64" s="419"/>
      <c r="T64" s="6">
        <f t="shared" si="2"/>
        <v>0</v>
      </c>
      <c r="U64" s="6">
        <f t="shared" si="3"/>
        <v>0</v>
      </c>
      <c r="V64" s="423"/>
      <c r="X64" s="419"/>
      <c r="Y64" s="423"/>
      <c r="AA64" s="419"/>
      <c r="AB64" s="423"/>
      <c r="AD64" s="419"/>
      <c r="AE64" s="423"/>
      <c r="AG64" s="419"/>
      <c r="AH64" s="423"/>
    </row>
    <row r="65" spans="1:34">
      <c r="A65" s="238">
        <v>2</v>
      </c>
      <c r="B65" s="238" t="s">
        <v>664</v>
      </c>
      <c r="C65" s="401"/>
      <c r="D65" s="425">
        <f>SUM(D66:D72)</f>
        <v>74011.47</v>
      </c>
      <c r="E65" s="402"/>
      <c r="G65" s="6">
        <f t="shared" si="0"/>
        <v>0</v>
      </c>
      <c r="H65" s="6">
        <f t="shared" si="1"/>
        <v>0</v>
      </c>
      <c r="J65" s="36"/>
      <c r="K65" s="216"/>
      <c r="M65" s="401"/>
      <c r="N65" s="425">
        <f>SUM(N66:N72)</f>
        <v>0</v>
      </c>
      <c r="P65" s="401"/>
      <c r="Q65" s="425">
        <f>SUM(Q66:Q72)</f>
        <v>0</v>
      </c>
      <c r="S65" s="401"/>
      <c r="T65" s="6">
        <f t="shared" si="2"/>
        <v>0</v>
      </c>
      <c r="U65" s="6">
        <f t="shared" si="3"/>
        <v>0</v>
      </c>
      <c r="V65" s="425">
        <f>SUM(V66:V72)</f>
        <v>0</v>
      </c>
      <c r="X65" s="401"/>
      <c r="Y65" s="425">
        <f>SUM(Y66:Y72)</f>
        <v>0</v>
      </c>
      <c r="AA65" s="401"/>
      <c r="AB65" s="425">
        <f>SUM(AB66:AB72)</f>
        <v>0</v>
      </c>
      <c r="AD65" s="401"/>
      <c r="AE65" s="425">
        <f>SUM(AE66:AE72)</f>
        <v>0</v>
      </c>
      <c r="AG65" s="401"/>
      <c r="AH65" s="425">
        <f>SUM(AH66:AH72)</f>
        <v>0</v>
      </c>
    </row>
    <row r="66" spans="1:34">
      <c r="A66" s="97">
        <v>2.1</v>
      </c>
      <c r="B66" s="403" t="s">
        <v>89</v>
      </c>
      <c r="C66" s="404"/>
      <c r="D66" s="427"/>
      <c r="E66" s="402"/>
      <c r="G66" s="6">
        <f t="shared" si="0"/>
        <v>0</v>
      </c>
      <c r="H66" s="6">
        <f t="shared" si="1"/>
        <v>0</v>
      </c>
      <c r="J66" s="267"/>
      <c r="K66" s="118">
        <f>SUM(K67:K72)</f>
        <v>0</v>
      </c>
      <c r="M66" s="404"/>
      <c r="N66" s="427"/>
      <c r="P66" s="404"/>
      <c r="Q66" s="427"/>
      <c r="S66" s="404"/>
      <c r="T66" s="6">
        <f t="shared" si="2"/>
        <v>0</v>
      </c>
      <c r="U66" s="6">
        <f t="shared" si="3"/>
        <v>0</v>
      </c>
      <c r="V66" s="427"/>
      <c r="X66" s="404"/>
      <c r="Y66" s="427"/>
      <c r="AA66" s="404"/>
      <c r="AB66" s="427"/>
      <c r="AD66" s="404"/>
      <c r="AE66" s="427"/>
      <c r="AG66" s="404"/>
      <c r="AH66" s="427"/>
    </row>
    <row r="67" spans="1:34">
      <c r="A67" s="97">
        <v>2.2000000000000002</v>
      </c>
      <c r="B67" s="403" t="s">
        <v>385</v>
      </c>
      <c r="C67" s="404"/>
      <c r="D67" s="427"/>
      <c r="E67" s="402"/>
      <c r="G67" s="6">
        <f t="shared" si="0"/>
        <v>0</v>
      </c>
      <c r="H67" s="6">
        <f t="shared" si="1"/>
        <v>0</v>
      </c>
      <c r="J67" s="267"/>
      <c r="K67" s="40"/>
      <c r="M67" s="404"/>
      <c r="N67" s="427"/>
      <c r="P67" s="404"/>
      <c r="Q67" s="427"/>
      <c r="S67" s="404"/>
      <c r="T67" s="6">
        <f t="shared" si="2"/>
        <v>0</v>
      </c>
      <c r="U67" s="6">
        <f t="shared" si="3"/>
        <v>0</v>
      </c>
      <c r="V67" s="427"/>
      <c r="X67" s="404"/>
      <c r="Y67" s="427"/>
      <c r="AA67" s="404"/>
      <c r="AB67" s="427"/>
      <c r="AD67" s="404"/>
      <c r="AE67" s="427"/>
      <c r="AG67" s="404"/>
      <c r="AH67" s="427"/>
    </row>
    <row r="68" spans="1:34">
      <c r="A68" s="97">
        <v>2.2999999999999998</v>
      </c>
      <c r="B68" s="403" t="s">
        <v>93</v>
      </c>
      <c r="C68" s="404"/>
      <c r="D68" s="427"/>
      <c r="E68" s="402"/>
      <c r="G68" s="6">
        <f t="shared" si="0"/>
        <v>0</v>
      </c>
      <c r="H68" s="6">
        <f t="shared" si="1"/>
        <v>0</v>
      </c>
      <c r="J68" s="269"/>
      <c r="K68" s="41"/>
      <c r="M68" s="404"/>
      <c r="N68" s="427"/>
      <c r="P68" s="404"/>
      <c r="Q68" s="427"/>
      <c r="S68" s="404"/>
      <c r="T68" s="6">
        <f t="shared" si="2"/>
        <v>0</v>
      </c>
      <c r="U68" s="6">
        <f t="shared" si="3"/>
        <v>0</v>
      </c>
      <c r="V68" s="427"/>
      <c r="X68" s="404"/>
      <c r="Y68" s="427"/>
      <c r="AA68" s="404"/>
      <c r="AB68" s="427"/>
      <c r="AD68" s="404"/>
      <c r="AE68" s="427"/>
      <c r="AG68" s="404"/>
      <c r="AH68" s="427"/>
    </row>
    <row r="69" spans="1:34">
      <c r="A69" s="97">
        <v>2.4</v>
      </c>
      <c r="B69" s="403" t="s">
        <v>92</v>
      </c>
      <c r="C69" s="404"/>
      <c r="D69" s="427">
        <v>74011.47</v>
      </c>
      <c r="E69" s="402"/>
      <c r="G69" s="6">
        <f t="shared" si="0"/>
        <v>0</v>
      </c>
      <c r="H69" s="6">
        <f t="shared" si="1"/>
        <v>0</v>
      </c>
      <c r="J69" s="269"/>
      <c r="K69" s="41"/>
      <c r="M69" s="404"/>
      <c r="N69" s="427"/>
      <c r="P69" s="404"/>
      <c r="Q69" s="427"/>
      <c r="S69" s="404"/>
      <c r="T69" s="6">
        <f t="shared" si="2"/>
        <v>0</v>
      </c>
      <c r="U69" s="6">
        <f t="shared" si="3"/>
        <v>0</v>
      </c>
      <c r="V69" s="427"/>
      <c r="X69" s="404"/>
      <c r="Y69" s="427"/>
      <c r="AA69" s="404"/>
      <c r="AB69" s="427"/>
      <c r="AD69" s="404"/>
      <c r="AE69" s="427"/>
      <c r="AG69" s="404"/>
      <c r="AH69" s="427"/>
    </row>
    <row r="70" spans="1:34">
      <c r="A70" s="97">
        <v>2.5</v>
      </c>
      <c r="B70" s="403" t="s">
        <v>665</v>
      </c>
      <c r="C70" s="404"/>
      <c r="D70" s="427">
        <v>0</v>
      </c>
      <c r="E70" s="402"/>
      <c r="G70" s="6">
        <f t="shared" si="0"/>
        <v>0</v>
      </c>
      <c r="H70" s="6">
        <f t="shared" si="1"/>
        <v>0</v>
      </c>
      <c r="J70" s="269"/>
      <c r="K70" s="41"/>
      <c r="M70" s="404"/>
      <c r="N70" s="427"/>
      <c r="P70" s="404"/>
      <c r="Q70" s="427"/>
      <c r="S70" s="404"/>
      <c r="T70" s="6">
        <f t="shared" si="2"/>
        <v>0</v>
      </c>
      <c r="U70" s="6">
        <f t="shared" si="3"/>
        <v>0</v>
      </c>
      <c r="V70" s="427"/>
      <c r="X70" s="404"/>
      <c r="Y70" s="427"/>
      <c r="AA70" s="404"/>
      <c r="AB70" s="427"/>
      <c r="AD70" s="404"/>
      <c r="AE70" s="427"/>
      <c r="AG70" s="404"/>
      <c r="AH70" s="427"/>
    </row>
    <row r="71" spans="1:34">
      <c r="A71" s="97">
        <v>2.6</v>
      </c>
      <c r="B71" s="403" t="s">
        <v>90</v>
      </c>
      <c r="C71" s="404"/>
      <c r="D71" s="427"/>
      <c r="E71" s="402"/>
      <c r="G71" s="6">
        <f t="shared" si="0"/>
        <v>0</v>
      </c>
      <c r="H71" s="6">
        <f t="shared" si="1"/>
        <v>0</v>
      </c>
      <c r="J71" s="269"/>
      <c r="K71" s="41"/>
      <c r="M71" s="404"/>
      <c r="N71" s="427"/>
      <c r="P71" s="404"/>
      <c r="Q71" s="427"/>
      <c r="S71" s="404"/>
      <c r="T71" s="6">
        <f t="shared" si="2"/>
        <v>0</v>
      </c>
      <c r="U71" s="6">
        <f t="shared" si="3"/>
        <v>0</v>
      </c>
      <c r="V71" s="427"/>
      <c r="X71" s="404"/>
      <c r="Y71" s="427"/>
      <c r="AA71" s="404"/>
      <c r="AB71" s="427"/>
      <c r="AD71" s="404"/>
      <c r="AE71" s="427"/>
      <c r="AG71" s="404"/>
      <c r="AH71" s="427"/>
    </row>
    <row r="72" spans="1:34">
      <c r="A72" s="97">
        <v>2.7</v>
      </c>
      <c r="B72" s="403" t="s">
        <v>91</v>
      </c>
      <c r="C72" s="405"/>
      <c r="D72" s="427"/>
      <c r="E72" s="402"/>
      <c r="G72" s="6">
        <f t="shared" si="0"/>
        <v>0</v>
      </c>
      <c r="H72" s="6">
        <f t="shared" si="1"/>
        <v>0</v>
      </c>
      <c r="J72" s="269"/>
      <c r="K72" s="41"/>
      <c r="M72" s="405"/>
      <c r="N72" s="427"/>
      <c r="P72" s="405"/>
      <c r="Q72" s="427"/>
      <c r="S72" s="405"/>
      <c r="T72" s="6">
        <f t="shared" si="2"/>
        <v>0</v>
      </c>
      <c r="U72" s="6">
        <f t="shared" si="3"/>
        <v>0</v>
      </c>
      <c r="V72" s="427"/>
      <c r="X72" s="405"/>
      <c r="Y72" s="427"/>
      <c r="AA72" s="405"/>
      <c r="AB72" s="427"/>
      <c r="AD72" s="405"/>
      <c r="AE72" s="427"/>
      <c r="AG72" s="405"/>
      <c r="AH72" s="427"/>
    </row>
    <row r="73" spans="1:34">
      <c r="A73" s="238">
        <v>3</v>
      </c>
      <c r="B73" s="238" t="s">
        <v>418</v>
      </c>
      <c r="C73" s="425"/>
      <c r="D73" s="427"/>
      <c r="E73" s="402"/>
      <c r="G73" s="6">
        <f t="shared" si="0"/>
        <v>0</v>
      </c>
      <c r="H73" s="6">
        <f t="shared" si="1"/>
        <v>0</v>
      </c>
      <c r="J73" s="268"/>
      <c r="K73" s="266"/>
      <c r="M73" s="425"/>
      <c r="N73" s="427"/>
      <c r="P73" s="425"/>
      <c r="Q73" s="427"/>
      <c r="S73" s="425"/>
      <c r="T73" s="6">
        <f t="shared" si="2"/>
        <v>0</v>
      </c>
      <c r="U73" s="6">
        <f t="shared" si="3"/>
        <v>0</v>
      </c>
      <c r="V73" s="427"/>
      <c r="X73" s="425"/>
      <c r="Y73" s="427"/>
      <c r="AA73" s="425"/>
      <c r="AB73" s="427"/>
      <c r="AD73" s="425"/>
      <c r="AE73" s="427"/>
      <c r="AG73" s="425"/>
      <c r="AH73" s="427"/>
    </row>
    <row r="74" spans="1:34">
      <c r="A74" s="238">
        <v>4</v>
      </c>
      <c r="B74" s="238" t="s">
        <v>241</v>
      </c>
      <c r="C74" s="425"/>
      <c r="D74" s="425">
        <f>SUM(D75:D76)</f>
        <v>0</v>
      </c>
      <c r="E74" s="402"/>
      <c r="G74" s="6">
        <f t="shared" si="0"/>
        <v>0</v>
      </c>
      <c r="H74" s="6">
        <f t="shared" si="1"/>
        <v>0</v>
      </c>
      <c r="J74" s="268">
        <f>SUM(J75:J76)</f>
        <v>0</v>
      </c>
      <c r="K74" s="84">
        <f>SUM(K75:K76)</f>
        <v>0</v>
      </c>
      <c r="M74" s="425"/>
      <c r="N74" s="425">
        <f>SUM(N75:N76)</f>
        <v>0</v>
      </c>
      <c r="P74" s="425"/>
      <c r="Q74" s="425">
        <f>SUM(Q75:Q76)</f>
        <v>0</v>
      </c>
      <c r="S74" s="425"/>
      <c r="T74" s="6">
        <f t="shared" si="2"/>
        <v>0</v>
      </c>
      <c r="U74" s="6">
        <f t="shared" si="3"/>
        <v>0</v>
      </c>
      <c r="V74" s="425">
        <f>SUM(V75:V76)</f>
        <v>0</v>
      </c>
      <c r="X74" s="425"/>
      <c r="Y74" s="425">
        <f>SUM(Y75:Y76)</f>
        <v>0</v>
      </c>
      <c r="AA74" s="425"/>
      <c r="AB74" s="425">
        <f>SUM(AB75:AB76)</f>
        <v>0</v>
      </c>
      <c r="AD74" s="425"/>
      <c r="AE74" s="425">
        <f>SUM(AE75:AE76)</f>
        <v>0</v>
      </c>
      <c r="AG74" s="425"/>
      <c r="AH74" s="425">
        <f>SUM(AH75:AH76)</f>
        <v>0</v>
      </c>
    </row>
    <row r="75" spans="1:34">
      <c r="A75" s="97">
        <v>4.0999999999999996</v>
      </c>
      <c r="B75" s="97" t="s">
        <v>242</v>
      </c>
      <c r="C75" s="404"/>
      <c r="D75" s="428"/>
      <c r="E75" s="402"/>
      <c r="G75" s="6">
        <f t="shared" ref="G75:G77" si="4">J:J+M:M+P:P+S:S</f>
        <v>0</v>
      </c>
      <c r="H75" s="6">
        <f t="shared" ref="H75:H77" si="5">K:K+N:N+Q:Q+V:V</f>
        <v>0</v>
      </c>
      <c r="J75" s="8"/>
      <c r="K75" s="8"/>
      <c r="M75" s="404"/>
      <c r="N75" s="428"/>
      <c r="P75" s="404"/>
      <c r="Q75" s="428"/>
      <c r="S75" s="404"/>
      <c r="T75" s="6">
        <f t="shared" si="2"/>
        <v>0</v>
      </c>
      <c r="U75" s="6">
        <f t="shared" si="3"/>
        <v>0</v>
      </c>
      <c r="V75" s="428"/>
      <c r="X75" s="404"/>
      <c r="Y75" s="428"/>
      <c r="AA75" s="404"/>
      <c r="AB75" s="428"/>
      <c r="AD75" s="404"/>
      <c r="AE75" s="428"/>
      <c r="AG75" s="404"/>
      <c r="AH75" s="428"/>
    </row>
    <row r="76" spans="1:34">
      <c r="A76" s="97">
        <v>4.2</v>
      </c>
      <c r="B76" s="97" t="s">
        <v>243</v>
      </c>
      <c r="C76" s="405"/>
      <c r="D76" s="428"/>
      <c r="E76" s="402"/>
      <c r="G76" s="6">
        <f t="shared" si="4"/>
        <v>0</v>
      </c>
      <c r="H76" s="6">
        <f t="shared" si="5"/>
        <v>0</v>
      </c>
      <c r="J76" s="8"/>
      <c r="K76" s="8"/>
      <c r="M76" s="405"/>
      <c r="N76" s="428"/>
      <c r="P76" s="405"/>
      <c r="Q76" s="428"/>
      <c r="S76" s="405"/>
      <c r="T76" s="6">
        <f t="shared" ref="T76:T77" si="6">X:X+AA:AA+AD:AD+AG:AG</f>
        <v>0</v>
      </c>
      <c r="U76" s="6">
        <f t="shared" ref="U76:U77" si="7">Y:Y+AB:AB+AE:AE+AH:AH</f>
        <v>0</v>
      </c>
      <c r="V76" s="428"/>
      <c r="X76" s="405"/>
      <c r="Y76" s="428"/>
      <c r="AA76" s="405"/>
      <c r="AB76" s="428"/>
      <c r="AD76" s="405"/>
      <c r="AE76" s="428"/>
      <c r="AG76" s="405"/>
      <c r="AH76" s="428"/>
    </row>
    <row r="77" spans="1:34">
      <c r="A77" s="238">
        <v>5</v>
      </c>
      <c r="B77" s="238" t="s">
        <v>269</v>
      </c>
      <c r="C77" s="406">
        <v>0</v>
      </c>
      <c r="D77" s="405"/>
      <c r="E77" s="402"/>
      <c r="G77" s="6">
        <f t="shared" si="4"/>
        <v>0</v>
      </c>
      <c r="H77" s="6">
        <f t="shared" si="5"/>
        <v>0</v>
      </c>
      <c r="M77" s="406"/>
      <c r="N77" s="405"/>
      <c r="P77" s="406"/>
      <c r="Q77" s="405"/>
      <c r="S77" s="406"/>
      <c r="T77" s="6">
        <f t="shared" si="6"/>
        <v>0</v>
      </c>
      <c r="U77" s="6">
        <f t="shared" si="7"/>
        <v>0</v>
      </c>
      <c r="V77" s="405"/>
      <c r="X77" s="406"/>
      <c r="Y77" s="405"/>
      <c r="AA77" s="406"/>
      <c r="AB77" s="405"/>
      <c r="AD77" s="406"/>
      <c r="AE77" s="405"/>
      <c r="AG77" s="406"/>
      <c r="AH77" s="405"/>
    </row>
    <row r="78" spans="1:34">
      <c r="B78" s="209"/>
    </row>
    <row r="79" spans="1:34">
      <c r="E79" s="19"/>
    </row>
    <row r="80" spans="1:34">
      <c r="B80" s="209"/>
    </row>
    <row r="81" spans="1:11" s="195" customFormat="1" ht="12.75"/>
    <row r="82" spans="1:11">
      <c r="A82" s="206" t="s">
        <v>96</v>
      </c>
      <c r="E82" s="19"/>
    </row>
    <row r="83" spans="1:11">
      <c r="E83" s="211"/>
      <c r="F83" s="211"/>
      <c r="G83" s="211"/>
      <c r="H83" s="211"/>
      <c r="I83" s="211"/>
      <c r="J83" s="211"/>
      <c r="K83" s="211"/>
    </row>
    <row r="84" spans="1:11">
      <c r="D84" s="207"/>
      <c r="E84" s="211"/>
      <c r="F84" s="211"/>
      <c r="G84" s="211"/>
      <c r="H84" s="211"/>
      <c r="I84" s="211"/>
      <c r="J84" s="211"/>
      <c r="K84" s="211"/>
    </row>
    <row r="85" spans="1:11">
      <c r="A85" s="211"/>
      <c r="B85" s="206" t="s">
        <v>415</v>
      </c>
      <c r="D85" s="207"/>
      <c r="E85" s="211"/>
      <c r="F85" s="211"/>
      <c r="G85" s="211"/>
      <c r="H85" s="211"/>
      <c r="I85" s="211"/>
      <c r="J85" s="211"/>
      <c r="K85" s="211"/>
    </row>
    <row r="86" spans="1:11">
      <c r="A86" s="211"/>
      <c r="B86" s="21" t="s">
        <v>416</v>
      </c>
      <c r="D86" s="207"/>
      <c r="E86" s="211"/>
      <c r="F86" s="211"/>
      <c r="G86" s="211"/>
      <c r="H86" s="211"/>
      <c r="I86" s="211"/>
      <c r="J86" s="211"/>
      <c r="K86" s="211"/>
    </row>
    <row r="87" spans="1:11" s="211" customFormat="1" ht="12.75">
      <c r="B87" s="407" t="s">
        <v>128</v>
      </c>
    </row>
    <row r="88" spans="1:11" s="195" customFormat="1" ht="12.75"/>
  </sheetData>
  <mergeCells count="4">
    <mergeCell ref="C1:D1"/>
    <mergeCell ref="C2:D2"/>
    <mergeCell ref="P2:Q2"/>
    <mergeCell ref="P10:Q10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Normal="100" zoomScaleSheetLayoutView="70" workbookViewId="0">
      <selection activeCell="B18" sqref="B18"/>
    </sheetView>
  </sheetViews>
  <sheetFormatPr defaultRowHeight="15"/>
  <cols>
    <col min="1" max="1" width="8.85546875" style="21" customWidth="1"/>
    <col min="2" max="2" width="88" style="21" customWidth="1"/>
    <col min="3" max="4" width="13.5703125" style="21" customWidth="1"/>
    <col min="5" max="5" width="0.7109375" style="21" customWidth="1"/>
    <col min="6" max="16384" width="9.140625" style="21"/>
  </cols>
  <sheetData>
    <row r="1" spans="1:5" s="6" customFormat="1">
      <c r="A1" s="389" t="s">
        <v>666</v>
      </c>
      <c r="B1" s="390"/>
      <c r="C1" s="566" t="s">
        <v>98</v>
      </c>
      <c r="D1" s="566"/>
      <c r="E1" s="90"/>
    </row>
    <row r="2" spans="1:5" s="6" customFormat="1">
      <c r="A2" s="389" t="s">
        <v>317</v>
      </c>
      <c r="B2" s="390"/>
      <c r="C2" s="564" t="s">
        <v>943</v>
      </c>
      <c r="D2" s="565"/>
      <c r="E2" s="90"/>
    </row>
    <row r="3" spans="1:5" s="6" customFormat="1">
      <c r="A3" s="114" t="s">
        <v>129</v>
      </c>
      <c r="B3" s="389"/>
      <c r="C3" s="385"/>
      <c r="D3" s="385"/>
      <c r="E3" s="90"/>
    </row>
    <row r="4" spans="1:5" s="6" customFormat="1">
      <c r="A4" s="114"/>
      <c r="B4" s="114"/>
      <c r="C4" s="385"/>
      <c r="D4" s="385"/>
      <c r="E4" s="90"/>
    </row>
    <row r="5" spans="1:5">
      <c r="A5" s="390" t="str">
        <f>'[1]ფორმა N2'!A4</f>
        <v>ანგარიშვალდებული პირის დასახელება:</v>
      </c>
      <c r="B5" s="390"/>
      <c r="C5" s="114"/>
      <c r="D5" s="114"/>
      <c r="E5" s="391"/>
    </row>
    <row r="6" spans="1:5">
      <c r="A6" s="110" t="s">
        <v>654</v>
      </c>
      <c r="B6" s="392"/>
      <c r="C6" s="393"/>
      <c r="D6" s="393"/>
      <c r="E6" s="391"/>
    </row>
    <row r="7" spans="1:5">
      <c r="A7" s="390"/>
      <c r="B7" s="390"/>
      <c r="C7" s="114"/>
      <c r="D7" s="114"/>
      <c r="E7" s="391"/>
    </row>
    <row r="8" spans="1:5" s="6" customFormat="1">
      <c r="A8" s="384"/>
      <c r="B8" s="384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5" s="10" customFormat="1" ht="17.25" customHeight="1">
      <c r="A17" s="97" t="s">
        <v>320</v>
      </c>
      <c r="B17" s="86" t="s">
        <v>1529</v>
      </c>
      <c r="C17" s="4"/>
      <c r="D17" s="4">
        <v>55000</v>
      </c>
      <c r="E17" s="93"/>
    </row>
    <row r="18" spans="1:5" s="10" customFormat="1" ht="18" customHeight="1">
      <c r="A18" s="97" t="s">
        <v>321</v>
      </c>
      <c r="B18" s="86"/>
      <c r="C18" s="4"/>
      <c r="D18" s="4"/>
      <c r="E18" s="93"/>
    </row>
    <row r="19" spans="1:5" s="10" customFormat="1">
      <c r="A19" s="86" t="s">
        <v>268</v>
      </c>
      <c r="B19" s="86"/>
      <c r="C19" s="4"/>
      <c r="D19" s="4"/>
      <c r="E19" s="93"/>
    </row>
    <row r="20" spans="1:5" s="10" customFormat="1">
      <c r="A20" s="86" t="s">
        <v>268</v>
      </c>
      <c r="B20" s="86"/>
      <c r="C20" s="4"/>
      <c r="D20" s="4"/>
      <c r="E20" s="93"/>
    </row>
    <row r="21" spans="1:5" s="10" customFormat="1">
      <c r="A21" s="86" t="s">
        <v>268</v>
      </c>
      <c r="B21" s="86"/>
      <c r="C21" s="4"/>
      <c r="D21" s="4"/>
      <c r="E21" s="93"/>
    </row>
    <row r="22" spans="1:5" s="10" customFormat="1">
      <c r="A22" s="86" t="s">
        <v>268</v>
      </c>
      <c r="B22" s="86"/>
      <c r="C22" s="4"/>
      <c r="D22" s="4"/>
      <c r="E22" s="93"/>
    </row>
    <row r="23" spans="1:5" s="10" customFormat="1">
      <c r="A23" s="86" t="s">
        <v>268</v>
      </c>
      <c r="B23" s="86"/>
      <c r="C23" s="4"/>
      <c r="D23" s="4"/>
      <c r="E23" s="93"/>
    </row>
    <row r="24" spans="1:5">
      <c r="A24" s="408"/>
      <c r="B24" s="408" t="s">
        <v>667</v>
      </c>
      <c r="C24" s="400">
        <f>SUM(C10:C23)</f>
        <v>0</v>
      </c>
      <c r="D24" s="400">
        <f>SUM(D10:D23)</f>
        <v>55000</v>
      </c>
      <c r="E24" s="402"/>
    </row>
    <row r="25" spans="1:5">
      <c r="A25" s="209"/>
      <c r="B25" s="209"/>
    </row>
    <row r="26" spans="1:5">
      <c r="A26" s="409" t="s">
        <v>668</v>
      </c>
      <c r="E26" s="19"/>
    </row>
    <row r="27" spans="1:5">
      <c r="A27" s="21" t="s">
        <v>669</v>
      </c>
    </row>
    <row r="28" spans="1:5">
      <c r="A28" s="210" t="s">
        <v>670</v>
      </c>
    </row>
    <row r="29" spans="1:5">
      <c r="A29" s="210"/>
    </row>
    <row r="30" spans="1:5">
      <c r="A30" s="210" t="s">
        <v>671</v>
      </c>
    </row>
    <row r="31" spans="1:5" s="195" customFormat="1" ht="12.75"/>
    <row r="32" spans="1:5">
      <c r="A32" s="206" t="s">
        <v>96</v>
      </c>
      <c r="E32" s="19"/>
    </row>
    <row r="33" spans="1:9">
      <c r="E33" s="211"/>
      <c r="F33" s="211"/>
      <c r="G33" s="211"/>
      <c r="H33" s="211"/>
      <c r="I33" s="211"/>
    </row>
    <row r="34" spans="1:9">
      <c r="D34" s="207"/>
      <c r="E34" s="211"/>
      <c r="F34" s="211"/>
      <c r="G34" s="211"/>
      <c r="H34" s="211"/>
      <c r="I34" s="211"/>
    </row>
    <row r="35" spans="1:9">
      <c r="A35" s="206"/>
      <c r="B35" s="206" t="s">
        <v>260</v>
      </c>
      <c r="D35" s="207"/>
      <c r="E35" s="211"/>
      <c r="F35" s="211"/>
      <c r="G35" s="211"/>
      <c r="H35" s="211"/>
      <c r="I35" s="211"/>
    </row>
    <row r="36" spans="1:9">
      <c r="B36" s="21" t="s">
        <v>259</v>
      </c>
      <c r="D36" s="207"/>
      <c r="E36" s="211"/>
      <c r="F36" s="211"/>
      <c r="G36" s="211"/>
      <c r="H36" s="211"/>
      <c r="I36" s="211"/>
    </row>
    <row r="37" spans="1:9" s="211" customFormat="1" ht="12.75">
      <c r="A37" s="407"/>
      <c r="B37" s="407" t="s">
        <v>128</v>
      </c>
    </row>
    <row r="38" spans="1:9" s="195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2"/>
  <sheetViews>
    <sheetView view="pageBreakPreview" zoomScale="70" zoomScaleNormal="100" zoomScaleSheetLayoutView="70" workbookViewId="0">
      <selection activeCell="G15" sqref="G15"/>
    </sheetView>
  </sheetViews>
  <sheetFormatPr defaultRowHeight="12.75"/>
  <cols>
    <col min="1" max="1" width="5.42578125" style="410" customWidth="1"/>
    <col min="2" max="2" width="20.85546875" style="410" customWidth="1"/>
    <col min="3" max="3" width="26" style="410" customWidth="1"/>
    <col min="4" max="4" width="17" style="410" customWidth="1"/>
    <col min="5" max="5" width="18.140625" style="410" customWidth="1"/>
    <col min="6" max="6" width="14.7109375" style="410" customWidth="1"/>
    <col min="7" max="7" width="15.5703125" style="410" customWidth="1"/>
    <col min="8" max="8" width="14.7109375" style="410" customWidth="1"/>
    <col min="9" max="9" width="29.7109375" style="410" customWidth="1"/>
    <col min="10" max="10" width="0" style="410" hidden="1" customWidth="1"/>
    <col min="11" max="16384" width="9.140625" style="410"/>
  </cols>
  <sheetData>
    <row r="1" spans="1:10" ht="15">
      <c r="A1" s="389" t="s">
        <v>672</v>
      </c>
      <c r="B1" s="389"/>
      <c r="C1" s="390"/>
      <c r="D1" s="390"/>
      <c r="E1" s="390"/>
      <c r="F1" s="390"/>
      <c r="G1" s="385"/>
      <c r="H1" s="385"/>
      <c r="I1" s="566" t="s">
        <v>98</v>
      </c>
      <c r="J1" s="566"/>
    </row>
    <row r="2" spans="1:10" ht="15">
      <c r="A2" s="114" t="s">
        <v>129</v>
      </c>
      <c r="B2" s="389"/>
      <c r="C2" s="390"/>
      <c r="D2" s="390"/>
      <c r="E2" s="390"/>
      <c r="F2" s="390"/>
      <c r="G2" s="385"/>
      <c r="H2" s="385"/>
      <c r="I2" s="564" t="s">
        <v>943</v>
      </c>
      <c r="J2" s="565"/>
    </row>
    <row r="3" spans="1:10" ht="15">
      <c r="A3" s="114"/>
      <c r="B3" s="114"/>
      <c r="C3" s="389"/>
      <c r="D3" s="389"/>
      <c r="E3" s="389"/>
      <c r="F3" s="389"/>
      <c r="G3" s="385"/>
      <c r="H3" s="385"/>
      <c r="I3" s="385"/>
    </row>
    <row r="4" spans="1:10" ht="15">
      <c r="A4" s="390" t="str">
        <f>'[1]ფორმა N2'!A4</f>
        <v>ანგარიშვალდებული პირის დასახელება:</v>
      </c>
      <c r="B4" s="390"/>
      <c r="C4" s="390"/>
      <c r="D4" s="390"/>
      <c r="E4" s="390"/>
      <c r="F4" s="390"/>
      <c r="G4" s="114"/>
      <c r="H4" s="114"/>
      <c r="I4" s="114"/>
    </row>
    <row r="5" spans="1:10" ht="15">
      <c r="A5" s="110" t="s">
        <v>654</v>
      </c>
      <c r="B5" s="392"/>
      <c r="C5" s="392"/>
      <c r="D5" s="392"/>
      <c r="E5" s="392"/>
      <c r="F5" s="392"/>
      <c r="G5" s="393"/>
      <c r="H5" s="393"/>
      <c r="I5" s="393"/>
    </row>
    <row r="6" spans="1:10" ht="15">
      <c r="A6" s="390"/>
      <c r="B6" s="390"/>
      <c r="C6" s="390"/>
      <c r="D6" s="390"/>
      <c r="E6" s="390"/>
      <c r="F6" s="390"/>
      <c r="G6" s="114"/>
      <c r="H6" s="114"/>
      <c r="I6" s="114"/>
    </row>
    <row r="7" spans="1:10" ht="15">
      <c r="A7" s="384"/>
      <c r="B7" s="384"/>
      <c r="C7" s="384"/>
      <c r="D7" s="384"/>
      <c r="E7" s="384"/>
      <c r="F7" s="384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411" t="s">
        <v>335</v>
      </c>
    </row>
    <row r="9" spans="1:10" ht="15">
      <c r="A9" s="97">
        <v>1</v>
      </c>
      <c r="B9" s="388"/>
      <c r="C9" s="388"/>
      <c r="D9" s="386"/>
      <c r="E9" s="97"/>
      <c r="F9" s="97"/>
      <c r="G9" s="470"/>
      <c r="H9" s="470"/>
      <c r="I9" s="470"/>
      <c r="J9" s="411" t="s">
        <v>0</v>
      </c>
    </row>
    <row r="10" spans="1:10" ht="15">
      <c r="A10" s="97">
        <v>2</v>
      </c>
      <c r="B10" s="388"/>
      <c r="C10" s="388"/>
      <c r="D10" s="386"/>
      <c r="E10" s="97"/>
      <c r="F10" s="97"/>
      <c r="G10" s="470"/>
      <c r="H10" s="470"/>
      <c r="I10" s="470"/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86" t="s">
        <v>266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86"/>
      <c r="B20" s="408"/>
      <c r="C20" s="408"/>
      <c r="D20" s="408"/>
      <c r="E20" s="408"/>
      <c r="F20" s="86" t="s">
        <v>424</v>
      </c>
      <c r="G20" s="400">
        <f>SUM(G9:G19)</f>
        <v>0</v>
      </c>
      <c r="H20" s="400">
        <f>SUM(H9:H19)</f>
        <v>0</v>
      </c>
      <c r="I20" s="400">
        <f>SUM(I9:I19)</f>
        <v>0</v>
      </c>
    </row>
    <row r="21" spans="1:9" ht="15">
      <c r="A21" s="412"/>
      <c r="B21" s="412"/>
      <c r="C21" s="412"/>
      <c r="D21" s="412"/>
      <c r="E21" s="412"/>
      <c r="F21" s="412"/>
      <c r="G21" s="412"/>
      <c r="H21" s="413"/>
      <c r="I21" s="413"/>
    </row>
    <row r="22" spans="1:9" ht="15">
      <c r="A22" s="414" t="s">
        <v>673</v>
      </c>
      <c r="B22" s="414"/>
      <c r="C22" s="412"/>
      <c r="D22" s="412"/>
      <c r="E22" s="412"/>
      <c r="F22" s="412"/>
      <c r="G22" s="412"/>
      <c r="H22" s="413"/>
      <c r="I22" s="413"/>
    </row>
    <row r="23" spans="1:9" ht="15">
      <c r="A23" s="414"/>
      <c r="B23" s="414"/>
      <c r="C23" s="412"/>
      <c r="D23" s="412"/>
      <c r="E23" s="412"/>
      <c r="F23" s="412"/>
      <c r="G23" s="412"/>
      <c r="H23" s="413"/>
      <c r="I23" s="413"/>
    </row>
    <row r="24" spans="1:9" ht="15">
      <c r="A24" s="414"/>
      <c r="B24" s="414"/>
      <c r="C24" s="413"/>
      <c r="D24" s="413"/>
      <c r="E24" s="413"/>
      <c r="F24" s="413"/>
      <c r="G24" s="413"/>
      <c r="H24" s="413"/>
      <c r="I24" s="413"/>
    </row>
    <row r="25" spans="1:9" ht="15">
      <c r="A25" s="414"/>
      <c r="B25" s="414"/>
      <c r="C25" s="413"/>
      <c r="D25" s="413"/>
      <c r="E25" s="413"/>
      <c r="F25" s="413"/>
      <c r="G25" s="413"/>
      <c r="H25" s="413"/>
      <c r="I25" s="413"/>
    </row>
    <row r="26" spans="1:9">
      <c r="A26" s="415"/>
      <c r="B26" s="415"/>
      <c r="C26" s="415"/>
      <c r="D26" s="415"/>
      <c r="E26" s="415"/>
      <c r="F26" s="415"/>
      <c r="G26" s="415"/>
      <c r="H26" s="415"/>
      <c r="I26" s="415"/>
    </row>
    <row r="27" spans="1:9" ht="15">
      <c r="A27" s="416" t="s">
        <v>96</v>
      </c>
      <c r="B27" s="416"/>
      <c r="C27" s="413"/>
      <c r="D27" s="413"/>
      <c r="E27" s="413"/>
      <c r="F27" s="413"/>
      <c r="G27" s="413"/>
      <c r="H27" s="413"/>
      <c r="I27" s="413"/>
    </row>
    <row r="28" spans="1:9" ht="15">
      <c r="A28" s="413"/>
      <c r="B28" s="413"/>
      <c r="C28" s="413"/>
      <c r="D28" s="413"/>
      <c r="E28" s="413"/>
      <c r="F28" s="413"/>
      <c r="G28" s="413"/>
      <c r="H28" s="413"/>
      <c r="I28" s="413"/>
    </row>
    <row r="29" spans="1:9" ht="15">
      <c r="A29" s="413"/>
      <c r="B29" s="413"/>
      <c r="C29" s="413"/>
      <c r="D29" s="413"/>
      <c r="E29" s="417"/>
      <c r="F29" s="417"/>
      <c r="G29" s="417"/>
      <c r="H29" s="413"/>
      <c r="I29" s="413"/>
    </row>
    <row r="30" spans="1:9" ht="15">
      <c r="A30" s="416"/>
      <c r="B30" s="416"/>
      <c r="C30" s="416" t="s">
        <v>378</v>
      </c>
      <c r="D30" s="416"/>
      <c r="E30" s="416"/>
      <c r="F30" s="416"/>
      <c r="G30" s="416"/>
      <c r="H30" s="413"/>
      <c r="I30" s="413"/>
    </row>
    <row r="31" spans="1:9" ht="15">
      <c r="A31" s="413"/>
      <c r="B31" s="413"/>
      <c r="C31" s="413" t="s">
        <v>377</v>
      </c>
      <c r="D31" s="413"/>
      <c r="E31" s="413"/>
      <c r="F31" s="413"/>
      <c r="G31" s="413"/>
      <c r="H31" s="413"/>
      <c r="I31" s="413"/>
    </row>
    <row r="32" spans="1:9">
      <c r="A32" s="418"/>
      <c r="B32" s="418"/>
      <c r="C32" s="418" t="s">
        <v>128</v>
      </c>
      <c r="D32" s="418"/>
      <c r="E32" s="418"/>
      <c r="F32" s="418"/>
      <c r="G32" s="418"/>
    </row>
  </sheetData>
  <mergeCells count="2">
    <mergeCell ref="I1:J1"/>
    <mergeCell ref="I2:J2"/>
  </mergeCells>
  <printOptions gridLines="1"/>
  <pageMargins left="0.25" right="0.25" top="0.75" bottom="0.75" header="0.3" footer="0.3"/>
  <pageSetup scale="84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8"/>
  <sheetViews>
    <sheetView showGridLines="0" view="pageBreakPreview" zoomScale="70" zoomScaleSheetLayoutView="70" workbookViewId="0">
      <selection activeCell="D43" sqref="D43"/>
    </sheetView>
  </sheetViews>
  <sheetFormatPr defaultRowHeight="15"/>
  <cols>
    <col min="1" max="1" width="14.2851562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6" width="9.140625" style="21" customWidth="1"/>
    <col min="7" max="7" width="9.140625" style="21" hidden="1" customWidth="1"/>
    <col min="8" max="15" width="0" style="21" hidden="1" customWidth="1"/>
    <col min="16" max="16" width="10.7109375" style="21" hidden="1" customWidth="1"/>
    <col min="17" max="27" width="0" style="21" hidden="1" customWidth="1"/>
    <col min="28" max="16384" width="9.140625" style="21"/>
  </cols>
  <sheetData>
    <row r="1" spans="1:26">
      <c r="A1" s="73" t="s">
        <v>292</v>
      </c>
      <c r="B1" s="114"/>
      <c r="C1" s="566" t="s">
        <v>98</v>
      </c>
      <c r="D1" s="566"/>
      <c r="E1" s="151"/>
    </row>
    <row r="2" spans="1:26">
      <c r="A2" s="75" t="s">
        <v>129</v>
      </c>
      <c r="B2" s="114"/>
      <c r="C2" s="564" t="s">
        <v>943</v>
      </c>
      <c r="D2" s="565"/>
      <c r="E2" s="151"/>
    </row>
    <row r="3" spans="1:26">
      <c r="A3" s="75"/>
      <c r="B3" s="114"/>
      <c r="C3" s="274"/>
      <c r="D3" s="274"/>
      <c r="E3" s="151"/>
      <c r="I3" s="429"/>
      <c r="J3" s="429"/>
    </row>
    <row r="4" spans="1:26" s="2" customFormat="1">
      <c r="A4" s="76" t="str">
        <f>'[2]ფორმა N2'!A4</f>
        <v>ანგარიშვალდებული პირის დასახელება:</v>
      </c>
      <c r="B4" s="76"/>
      <c r="C4" s="75"/>
      <c r="D4" s="75"/>
      <c r="E4" s="108"/>
      <c r="G4" s="21"/>
      <c r="H4" s="21"/>
      <c r="I4" s="75"/>
      <c r="J4" s="75"/>
      <c r="M4" s="21"/>
    </row>
    <row r="5" spans="1:26" s="2" customFormat="1">
      <c r="A5" s="110" t="s">
        <v>654</v>
      </c>
      <c r="B5" s="111"/>
      <c r="C5" s="57"/>
      <c r="D5" s="57"/>
      <c r="E5" s="108"/>
      <c r="G5" s="21"/>
      <c r="H5" s="21"/>
      <c r="I5" s="57"/>
      <c r="J5" s="57"/>
    </row>
    <row r="6" spans="1:26" s="2" customFormat="1">
      <c r="A6" s="76"/>
      <c r="B6" s="76"/>
      <c r="C6" s="75"/>
      <c r="D6" s="75"/>
      <c r="E6" s="108"/>
      <c r="G6" s="21"/>
      <c r="H6" s="21"/>
      <c r="I6" s="75"/>
      <c r="J6" s="75"/>
    </row>
    <row r="7" spans="1:26" s="6" customFormat="1">
      <c r="A7" s="272"/>
      <c r="B7" s="272"/>
      <c r="C7" s="77"/>
      <c r="D7" s="77"/>
      <c r="E7" s="152"/>
      <c r="G7" s="21"/>
      <c r="H7" s="21"/>
      <c r="I7" s="77"/>
      <c r="J7" s="77"/>
    </row>
    <row r="8" spans="1:26" s="6" customFormat="1" ht="30">
      <c r="A8" s="106" t="s">
        <v>64</v>
      </c>
      <c r="B8" s="78" t="s">
        <v>11</v>
      </c>
      <c r="C8" s="78" t="s">
        <v>10</v>
      </c>
      <c r="D8" s="78" t="s">
        <v>9</v>
      </c>
      <c r="E8" s="152"/>
      <c r="G8" s="21"/>
      <c r="H8" s="21"/>
      <c r="I8" s="564" t="s">
        <v>677</v>
      </c>
      <c r="J8" s="565"/>
      <c r="L8" s="78" t="s">
        <v>683</v>
      </c>
      <c r="M8" s="78" t="s">
        <v>9</v>
      </c>
      <c r="Q8" s="6" t="s">
        <v>852</v>
      </c>
      <c r="T8" s="6" t="s">
        <v>859</v>
      </c>
      <c r="W8" s="6" t="s">
        <v>858</v>
      </c>
      <c r="Z8" s="6" t="s">
        <v>862</v>
      </c>
    </row>
    <row r="9" spans="1:26" s="9" customFormat="1" ht="18">
      <c r="A9" s="13">
        <v>1</v>
      </c>
      <c r="B9" s="13" t="s">
        <v>57</v>
      </c>
      <c r="C9" s="81">
        <f>SUM(C10,C13,C53,C56,C57,C58,C75)</f>
        <v>77460.399999999994</v>
      </c>
      <c r="D9" s="81">
        <f>SUM(D10,D13,D53,D56,D57,D58,D64,D71,D72)</f>
        <v>40410.259999999995</v>
      </c>
      <c r="E9" s="153"/>
      <c r="G9" s="21">
        <f>P:P+S:S+V:V+Y:Y</f>
        <v>152977.56</v>
      </c>
      <c r="H9" s="21">
        <f>Q:Q+T:T+W:W+Z:Z</f>
        <v>150469.96</v>
      </c>
      <c r="I9" s="81">
        <f>SUM(I10,I13,I53,I56,I57,I58,I75)</f>
        <v>2300</v>
      </c>
      <c r="J9" s="81">
        <f>SUM(J10,J13,J53,J56,J57,J58,J64,J71,J72)</f>
        <v>0</v>
      </c>
      <c r="L9" s="81">
        <f>SUM(L10,L13,L53,L56,L57,L58,L75)</f>
        <v>0</v>
      </c>
      <c r="M9" s="81">
        <f>SUM(M10,M13,M53,M56,M57,M58,M64,M71,M72)</f>
        <v>1975</v>
      </c>
      <c r="P9" s="81">
        <f>SUM(P10,P13,P53,P56,P57,P58,P75)</f>
        <v>1899.1</v>
      </c>
      <c r="Q9" s="81">
        <f>SUM(Q10,Q13,Q53,Q56,Q57,Q58,Q64,Q71,Q72)</f>
        <v>171.6</v>
      </c>
      <c r="S9" s="81">
        <f>SUM(S10,S13,S53,S56,S57,S58,S75)</f>
        <v>46997.65</v>
      </c>
      <c r="T9" s="81">
        <f>SUM(T10,T13,T53,T56,T57,T58,T64,T71,T72)</f>
        <v>46073.13</v>
      </c>
      <c r="V9" s="81">
        <f>SUM(V10,V13,V53,V56,V57,V58,V75)</f>
        <v>93609.2</v>
      </c>
      <c r="W9" s="81">
        <f>SUM(W10,W13,W53,W56,W57,W58,W64,W71,W72)</f>
        <v>62463.83</v>
      </c>
      <c r="Y9" s="81">
        <f>SUM(Y10,Y13,Y53,Y56,Y57,Y58,Y75)</f>
        <v>10471.61</v>
      </c>
      <c r="Z9" s="81">
        <f>SUM(Z10,Z13,Z53,Z56,Z57,Z58,Z64,Z71,Z72)</f>
        <v>41761.4</v>
      </c>
    </row>
    <row r="10" spans="1:26" s="9" customFormat="1" ht="18">
      <c r="A10" s="14">
        <v>1.1000000000000001</v>
      </c>
      <c r="B10" s="14" t="s">
        <v>58</v>
      </c>
      <c r="C10" s="83">
        <f>SUM(C11:C12)</f>
        <v>0</v>
      </c>
      <c r="D10" s="83">
        <f>SUM(D11:D12)</f>
        <v>0</v>
      </c>
      <c r="E10" s="153"/>
      <c r="G10" s="21">
        <f t="shared" ref="G10:G73" si="0">P:P+S:S+V:V+Y:Y</f>
        <v>0</v>
      </c>
      <c r="H10" s="21">
        <f t="shared" ref="H10:H73" si="1">Q:Q+T:T+W:W+Z:Z</f>
        <v>0</v>
      </c>
      <c r="I10" s="83">
        <f>SUM(I11:I12)</f>
        <v>0</v>
      </c>
      <c r="J10" s="83">
        <f>SUM(J11:J12)</f>
        <v>0</v>
      </c>
      <c r="L10" s="83">
        <f>SUM(L11:L12)</f>
        <v>0</v>
      </c>
      <c r="M10" s="83">
        <f>SUM(M11:M12)</f>
        <v>0</v>
      </c>
      <c r="P10" s="83">
        <f>SUM(P11:P12)</f>
        <v>0</v>
      </c>
      <c r="Q10" s="83">
        <f>SUM(Q11:Q12)</f>
        <v>0</v>
      </c>
      <c r="S10" s="83">
        <f>SUM(S11:S12)</f>
        <v>0</v>
      </c>
      <c r="T10" s="83">
        <f>SUM(T11:T12)</f>
        <v>0</v>
      </c>
      <c r="V10" s="83">
        <f>SUM(V11:V12)</f>
        <v>0</v>
      </c>
      <c r="W10" s="83">
        <f>SUM(W11:W12)</f>
        <v>0</v>
      </c>
      <c r="Y10" s="83">
        <f>SUM(Y11:Y12)</f>
        <v>0</v>
      </c>
      <c r="Z10" s="83">
        <f>SUM(Z11:Z12)</f>
        <v>0</v>
      </c>
    </row>
    <row r="11" spans="1:26" s="9" customFormat="1" ht="16.5" customHeight="1">
      <c r="A11" s="16" t="s">
        <v>30</v>
      </c>
      <c r="B11" s="16" t="s">
        <v>59</v>
      </c>
      <c r="C11" s="32">
        <v>0</v>
      </c>
      <c r="D11" s="33"/>
      <c r="E11" s="153"/>
      <c r="G11" s="21">
        <f t="shared" si="0"/>
        <v>0</v>
      </c>
      <c r="H11" s="21">
        <f t="shared" si="1"/>
        <v>0</v>
      </c>
      <c r="I11" s="32">
        <v>0</v>
      </c>
      <c r="J11" s="33"/>
      <c r="L11" s="32">
        <v>0</v>
      </c>
      <c r="M11" s="33"/>
      <c r="P11" s="32">
        <v>0</v>
      </c>
      <c r="Q11" s="33"/>
      <c r="S11" s="32">
        <v>0</v>
      </c>
      <c r="T11" s="33"/>
      <c r="V11" s="32">
        <v>0</v>
      </c>
      <c r="W11" s="33"/>
      <c r="Y11" s="32">
        <v>0</v>
      </c>
      <c r="Z11" s="33"/>
    </row>
    <row r="12" spans="1:26" ht="16.5" customHeight="1">
      <c r="A12" s="16" t="s">
        <v>31</v>
      </c>
      <c r="B12" s="16" t="s">
        <v>0</v>
      </c>
      <c r="C12" s="32"/>
      <c r="D12" s="33"/>
      <c r="E12" s="151"/>
      <c r="G12" s="21">
        <f t="shared" si="0"/>
        <v>0</v>
      </c>
      <c r="H12" s="21">
        <f t="shared" si="1"/>
        <v>0</v>
      </c>
      <c r="I12" s="32"/>
      <c r="J12" s="33"/>
      <c r="L12" s="32"/>
      <c r="M12" s="33"/>
      <c r="P12" s="32"/>
      <c r="Q12" s="33"/>
      <c r="S12" s="32"/>
      <c r="T12" s="33"/>
      <c r="V12" s="32"/>
      <c r="W12" s="33"/>
      <c r="Y12" s="32"/>
      <c r="Z12" s="33"/>
    </row>
    <row r="13" spans="1:26">
      <c r="A13" s="14">
        <v>1.2</v>
      </c>
      <c r="B13" s="14" t="s">
        <v>60</v>
      </c>
      <c r="C13" s="83">
        <f>SUM(C14,C17,C29:C32,C35,C36,C43,C44,C45,C46,C47,C51,C52)</f>
        <v>30953.399999999998</v>
      </c>
      <c r="D13" s="83">
        <f>SUM(D14,D17,D29:D32,D35,D36,D43,D44,D45,D46,D47,D51,D52)</f>
        <v>12497</v>
      </c>
      <c r="E13" s="151"/>
      <c r="G13" s="21">
        <f t="shared" si="0"/>
        <v>107671.06</v>
      </c>
      <c r="H13" s="21">
        <f t="shared" si="1"/>
        <v>105163.45999999999</v>
      </c>
      <c r="I13" s="83">
        <f>SUM(I14,I17,I29:I32,I35,I36,I43,I44,I45,I46,I47,I51,I52)</f>
        <v>2300</v>
      </c>
      <c r="J13" s="83">
        <f>SUM(J14,J17,J29:J32,J35,J36,J43,J44,J45,J46,J47,J51,J52)</f>
        <v>0</v>
      </c>
      <c r="L13" s="83">
        <f>SUM(L14,L17,L29:L32,L35,L36,L43,L44,L45,L46,L47,L51,L52)</f>
        <v>0</v>
      </c>
      <c r="M13" s="83">
        <f>SUM(M14,M17,M29:M32,M35,M36,M43,M44,M45,M46,M47,M51,M52)</f>
        <v>1975</v>
      </c>
      <c r="P13" s="83">
        <f>SUM(P14,P17,P29:P32,P35,P36,P43,P44,P45,P46,P47,P51,P52)</f>
        <v>1899.1</v>
      </c>
      <c r="Q13" s="83">
        <f>SUM(Q14,Q17,Q29:Q32,Q35,Q36,Q43,Q44,Q45,Q46,Q47,Q51,Q52)</f>
        <v>171.6</v>
      </c>
      <c r="S13" s="83">
        <f>SUM(S14,S17,S29:S32,S35,S36,S43,S44,S45,S46,S47,S51,S52)</f>
        <v>9941.1500000000015</v>
      </c>
      <c r="T13" s="83">
        <f>SUM(T14,T17,T29:T32,T35,T36,T43,T44,T45,T46,T47,T51,T52)</f>
        <v>20911.899999999998</v>
      </c>
      <c r="V13" s="83">
        <f>SUM(V14,V17,V29:V32,V35,V36,V43,V44,V45,V46,V47,V51,V52)</f>
        <v>85359.2</v>
      </c>
      <c r="W13" s="83">
        <f>SUM(W14,W17,W29:W32,W35,W36,W43,W44,W45,W46,W47,W51,W52)</f>
        <v>50568.560000000005</v>
      </c>
      <c r="Y13" s="83">
        <f>SUM(Y14,Y17,Y29:Y32,Y35,Y36,Y43,Y44,Y45,Y46,Y47,Y51,Y52)</f>
        <v>10471.61</v>
      </c>
      <c r="Z13" s="83">
        <f>SUM(Z14,Z17,Z29:Z32,Z35,Z36,Z43,Z44,Z45,Z46,Z47,Z51,Z52)</f>
        <v>33511.4</v>
      </c>
    </row>
    <row r="14" spans="1:26">
      <c r="A14" s="16" t="s">
        <v>32</v>
      </c>
      <c r="B14" s="16" t="s">
        <v>1</v>
      </c>
      <c r="C14" s="82">
        <f>SUM(C15:C16)</f>
        <v>0</v>
      </c>
      <c r="D14" s="82">
        <f>SUM(D15:D16)</f>
        <v>0</v>
      </c>
      <c r="E14" s="151"/>
      <c r="G14" s="21">
        <f t="shared" si="0"/>
        <v>0</v>
      </c>
      <c r="H14" s="21">
        <f t="shared" si="1"/>
        <v>0</v>
      </c>
      <c r="I14" s="82">
        <f>SUM(I15:I16)</f>
        <v>0</v>
      </c>
      <c r="J14" s="82">
        <f>SUM(J15:J16)</f>
        <v>0</v>
      </c>
      <c r="L14" s="82">
        <f>SUM(L15:L16)</f>
        <v>0</v>
      </c>
      <c r="M14" s="82">
        <f>SUM(M15:M16)</f>
        <v>0</v>
      </c>
      <c r="P14" s="82">
        <f>SUM(P15:P16)</f>
        <v>0</v>
      </c>
      <c r="Q14" s="82">
        <f>SUM(Q15:Q16)</f>
        <v>0</v>
      </c>
      <c r="S14" s="82">
        <f>SUM(S15:S16)</f>
        <v>0</v>
      </c>
      <c r="T14" s="82">
        <f>SUM(T15:T16)</f>
        <v>0</v>
      </c>
      <c r="V14" s="82">
        <f>SUM(V15:V16)</f>
        <v>0</v>
      </c>
      <c r="W14" s="82">
        <f>SUM(W15:W16)</f>
        <v>0</v>
      </c>
      <c r="Y14" s="82">
        <f>SUM(Y15:Y16)</f>
        <v>0</v>
      </c>
      <c r="Z14" s="82">
        <f>SUM(Z15:Z16)</f>
        <v>0</v>
      </c>
    </row>
    <row r="15" spans="1:26" ht="17.25" customHeight="1">
      <c r="A15" s="17" t="s">
        <v>87</v>
      </c>
      <c r="B15" s="17" t="s">
        <v>61</v>
      </c>
      <c r="C15" s="34"/>
      <c r="D15" s="35"/>
      <c r="E15" s="151"/>
      <c r="G15" s="21">
        <f t="shared" si="0"/>
        <v>0</v>
      </c>
      <c r="H15" s="21">
        <f t="shared" si="1"/>
        <v>0</v>
      </c>
      <c r="I15" s="34"/>
      <c r="J15" s="35"/>
      <c r="L15" s="432"/>
      <c r="M15" s="35"/>
      <c r="P15" s="34"/>
      <c r="Q15" s="35"/>
      <c r="S15" s="34"/>
      <c r="T15" s="35"/>
      <c r="V15" s="34"/>
      <c r="W15" s="35"/>
      <c r="Y15" s="34"/>
      <c r="Z15" s="35"/>
    </row>
    <row r="16" spans="1:26" ht="17.25" customHeight="1">
      <c r="A16" s="17" t="s">
        <v>88</v>
      </c>
      <c r="B16" s="17" t="s">
        <v>62</v>
      </c>
      <c r="C16" s="34"/>
      <c r="D16" s="35"/>
      <c r="E16" s="151"/>
      <c r="G16" s="21">
        <f t="shared" si="0"/>
        <v>0</v>
      </c>
      <c r="H16" s="21">
        <f t="shared" si="1"/>
        <v>0</v>
      </c>
      <c r="I16" s="34"/>
      <c r="J16" s="35"/>
      <c r="L16" s="432"/>
      <c r="M16" s="35"/>
      <c r="P16" s="34"/>
      <c r="Q16" s="35"/>
      <c r="S16" s="34"/>
      <c r="T16" s="35"/>
      <c r="V16" s="34"/>
      <c r="W16" s="35"/>
      <c r="Y16" s="34"/>
      <c r="Z16" s="35"/>
    </row>
    <row r="17" spans="1:26">
      <c r="A17" s="16" t="s">
        <v>33</v>
      </c>
      <c r="B17" s="16" t="s">
        <v>2</v>
      </c>
      <c r="C17" s="82">
        <f>SUM(C18:C23,C28)</f>
        <v>0</v>
      </c>
      <c r="D17" s="82">
        <f>SUM(D18:D23,D28)</f>
        <v>0</v>
      </c>
      <c r="E17" s="151"/>
      <c r="G17" s="21">
        <f t="shared" si="0"/>
        <v>571.68999999999994</v>
      </c>
      <c r="H17" s="21">
        <f t="shared" si="1"/>
        <v>444.18999999999994</v>
      </c>
      <c r="I17" s="82">
        <f>SUM(I18:I23,I28)</f>
        <v>0</v>
      </c>
      <c r="J17" s="82">
        <f>SUM(J18:J23,J28)</f>
        <v>0</v>
      </c>
      <c r="L17" s="82">
        <f>SUM(L18:L23,L28)</f>
        <v>0</v>
      </c>
      <c r="M17" s="82">
        <f>SUM(M18:M23,M28)</f>
        <v>0</v>
      </c>
      <c r="P17" s="82">
        <f>SUM(P18:P23,P28)</f>
        <v>127.5</v>
      </c>
      <c r="Q17" s="82">
        <f>SUM(Q18:Q23,Q28)</f>
        <v>0</v>
      </c>
      <c r="S17" s="82">
        <f>SUM(S18:S23,S28)</f>
        <v>132.16999999999999</v>
      </c>
      <c r="T17" s="82">
        <f>SUM(T18:T23,T28)</f>
        <v>132.16999999999999</v>
      </c>
      <c r="V17" s="82">
        <f>SUM(V18:V23,V28)</f>
        <v>312.02</v>
      </c>
      <c r="W17" s="82">
        <f>SUM(W18:W23,W28)</f>
        <v>312.02</v>
      </c>
      <c r="Y17" s="82">
        <f>SUM(Y18:Y23,Y28)</f>
        <v>0</v>
      </c>
      <c r="Z17" s="82">
        <f>SUM(Z18:Z23,Z28)</f>
        <v>0</v>
      </c>
    </row>
    <row r="18" spans="1:26" ht="30">
      <c r="A18" s="17" t="s">
        <v>12</v>
      </c>
      <c r="B18" s="17" t="s">
        <v>847</v>
      </c>
      <c r="C18" s="36"/>
      <c r="D18" s="37"/>
      <c r="E18" s="151"/>
      <c r="G18" s="21">
        <f t="shared" si="0"/>
        <v>127.5</v>
      </c>
      <c r="H18" s="21">
        <f t="shared" si="1"/>
        <v>0</v>
      </c>
      <c r="I18" s="36"/>
      <c r="J18" s="37"/>
      <c r="L18" s="36"/>
      <c r="M18" s="37"/>
      <c r="P18" s="36">
        <v>127.5</v>
      </c>
      <c r="Q18" s="37"/>
      <c r="S18" s="36"/>
      <c r="T18" s="37"/>
      <c r="V18" s="36"/>
      <c r="W18" s="37"/>
      <c r="Y18" s="36"/>
      <c r="Z18" s="37"/>
    </row>
    <row r="19" spans="1:26">
      <c r="A19" s="17" t="s">
        <v>13</v>
      </c>
      <c r="B19" s="17" t="s">
        <v>14</v>
      </c>
      <c r="C19" s="36"/>
      <c r="D19" s="38"/>
      <c r="E19" s="151"/>
      <c r="G19" s="21">
        <f t="shared" si="0"/>
        <v>0</v>
      </c>
      <c r="H19" s="21">
        <f t="shared" si="1"/>
        <v>0</v>
      </c>
      <c r="I19" s="36"/>
      <c r="J19" s="38"/>
      <c r="L19" s="36"/>
      <c r="M19" s="38"/>
      <c r="P19" s="36"/>
      <c r="Q19" s="38"/>
      <c r="S19" s="36"/>
      <c r="T19" s="38"/>
      <c r="V19" s="36"/>
      <c r="W19" s="38"/>
      <c r="Y19" s="36"/>
      <c r="Z19" s="38"/>
    </row>
    <row r="20" spans="1:26" ht="30">
      <c r="A20" s="17" t="s">
        <v>271</v>
      </c>
      <c r="B20" s="17" t="s">
        <v>22</v>
      </c>
      <c r="C20" s="36"/>
      <c r="D20" s="39"/>
      <c r="E20" s="151"/>
      <c r="G20" s="21">
        <f t="shared" si="0"/>
        <v>0</v>
      </c>
      <c r="H20" s="21">
        <f t="shared" si="1"/>
        <v>0</v>
      </c>
      <c r="I20" s="36"/>
      <c r="J20" s="39"/>
      <c r="L20" s="36"/>
      <c r="M20" s="39"/>
      <c r="P20" s="36"/>
      <c r="Q20" s="39"/>
      <c r="S20" s="36"/>
      <c r="T20" s="39"/>
      <c r="V20" s="36"/>
      <c r="W20" s="39"/>
      <c r="Y20" s="36"/>
      <c r="Z20" s="39"/>
    </row>
    <row r="21" spans="1:26">
      <c r="A21" s="17" t="s">
        <v>272</v>
      </c>
      <c r="B21" s="17" t="s">
        <v>15</v>
      </c>
      <c r="C21" s="450"/>
      <c r="D21" s="451"/>
      <c r="E21" s="151"/>
      <c r="G21" s="21">
        <f t="shared" si="0"/>
        <v>203.68</v>
      </c>
      <c r="H21" s="21">
        <f t="shared" si="1"/>
        <v>203.68</v>
      </c>
      <c r="I21" s="36">
        <v>0</v>
      </c>
      <c r="J21" s="39">
        <v>0</v>
      </c>
      <c r="L21" s="36">
        <v>0</v>
      </c>
      <c r="M21" s="39">
        <v>0</v>
      </c>
      <c r="P21" s="36">
        <v>0</v>
      </c>
      <c r="Q21" s="39">
        <v>0</v>
      </c>
      <c r="S21" s="36">
        <v>132.16999999999999</v>
      </c>
      <c r="T21" s="39">
        <v>132.16999999999999</v>
      </c>
      <c r="V21" s="450">
        <v>71.510000000000005</v>
      </c>
      <c r="W21" s="451">
        <v>71.510000000000005</v>
      </c>
      <c r="Y21" s="450"/>
      <c r="Z21" s="451"/>
    </row>
    <row r="22" spans="1:26">
      <c r="A22" s="17" t="s">
        <v>273</v>
      </c>
      <c r="B22" s="17" t="s">
        <v>16</v>
      </c>
      <c r="C22" s="36"/>
      <c r="D22" s="39"/>
      <c r="E22" s="151"/>
      <c r="G22" s="21">
        <f t="shared" si="0"/>
        <v>0</v>
      </c>
      <c r="H22" s="21">
        <f t="shared" si="1"/>
        <v>0</v>
      </c>
      <c r="I22" s="36"/>
      <c r="J22" s="39"/>
      <c r="L22" s="36"/>
      <c r="M22" s="39"/>
      <c r="P22" s="36"/>
      <c r="Q22" s="39"/>
      <c r="S22" s="36"/>
      <c r="T22" s="39"/>
      <c r="V22" s="36"/>
      <c r="W22" s="39"/>
      <c r="Y22" s="36"/>
      <c r="Z22" s="39"/>
    </row>
    <row r="23" spans="1:26">
      <c r="A23" s="17" t="s">
        <v>274</v>
      </c>
      <c r="B23" s="17" t="s">
        <v>17</v>
      </c>
      <c r="C23" s="452">
        <f>SUM(C24:C27)</f>
        <v>0</v>
      </c>
      <c r="D23" s="452">
        <f>SUM(D24:D27)</f>
        <v>0</v>
      </c>
      <c r="E23" s="151"/>
      <c r="G23" s="21">
        <f t="shared" si="0"/>
        <v>240.51</v>
      </c>
      <c r="H23" s="21">
        <f t="shared" si="1"/>
        <v>240.51</v>
      </c>
      <c r="I23" s="117">
        <f>SUM(I24:I27)</f>
        <v>0</v>
      </c>
      <c r="J23" s="117">
        <f>SUM(J24:J27)</f>
        <v>0</v>
      </c>
      <c r="L23" s="117">
        <f>SUM(L24:L27)</f>
        <v>0</v>
      </c>
      <c r="M23" s="117">
        <f>SUM(M24:M27)</f>
        <v>0</v>
      </c>
      <c r="P23" s="117">
        <f>SUM(P24:P27)</f>
        <v>0</v>
      </c>
      <c r="Q23" s="117">
        <f>SUM(Q24:Q27)</f>
        <v>0</v>
      </c>
      <c r="S23" s="117">
        <f>SUM(S24:S27)</f>
        <v>0</v>
      </c>
      <c r="T23" s="117">
        <f>SUM(T24:T27)</f>
        <v>0</v>
      </c>
      <c r="V23" s="452">
        <f>SUM(V24:V27)</f>
        <v>240.51</v>
      </c>
      <c r="W23" s="452">
        <f>SUM(W24:W27)</f>
        <v>240.51</v>
      </c>
      <c r="Y23" s="452">
        <f>SUM(Y24:Y27)</f>
        <v>0</v>
      </c>
      <c r="Z23" s="452">
        <f>SUM(Z24:Z27)</f>
        <v>0</v>
      </c>
    </row>
    <row r="24" spans="1:26" ht="16.5" customHeight="1">
      <c r="A24" s="18" t="s">
        <v>275</v>
      </c>
      <c r="B24" s="18" t="s">
        <v>18</v>
      </c>
      <c r="C24" s="450"/>
      <c r="D24" s="453"/>
      <c r="E24" s="151"/>
      <c r="G24" s="21">
        <f t="shared" si="0"/>
        <v>148.27000000000001</v>
      </c>
      <c r="H24" s="21">
        <f t="shared" si="1"/>
        <v>148.27000000000001</v>
      </c>
      <c r="I24" s="36">
        <v>0</v>
      </c>
      <c r="J24" s="39">
        <v>0</v>
      </c>
      <c r="L24" s="36">
        <v>0</v>
      </c>
      <c r="M24" s="39">
        <v>0</v>
      </c>
      <c r="P24" s="36">
        <v>0</v>
      </c>
      <c r="Q24" s="39">
        <v>0</v>
      </c>
      <c r="S24" s="36">
        <v>0</v>
      </c>
      <c r="T24" s="39">
        <v>0</v>
      </c>
      <c r="V24" s="450">
        <v>148.27000000000001</v>
      </c>
      <c r="W24" s="453">
        <v>148.27000000000001</v>
      </c>
      <c r="Y24" s="450"/>
      <c r="Z24" s="453"/>
    </row>
    <row r="25" spans="1:26" ht="16.5" customHeight="1">
      <c r="A25" s="18" t="s">
        <v>276</v>
      </c>
      <c r="B25" s="18" t="s">
        <v>19</v>
      </c>
      <c r="C25" s="450"/>
      <c r="D25" s="453"/>
      <c r="E25" s="151"/>
      <c r="G25" s="21">
        <f t="shared" si="0"/>
        <v>92.24</v>
      </c>
      <c r="H25" s="21">
        <f t="shared" si="1"/>
        <v>92.24</v>
      </c>
      <c r="I25" s="36">
        <v>0</v>
      </c>
      <c r="J25" s="39">
        <v>0</v>
      </c>
      <c r="L25" s="36">
        <v>0</v>
      </c>
      <c r="M25" s="39">
        <v>0</v>
      </c>
      <c r="P25" s="36">
        <v>0</v>
      </c>
      <c r="Q25" s="39">
        <v>0</v>
      </c>
      <c r="S25" s="36">
        <v>0</v>
      </c>
      <c r="T25" s="39">
        <v>0</v>
      </c>
      <c r="V25" s="450">
        <v>92.24</v>
      </c>
      <c r="W25" s="453">
        <v>92.24</v>
      </c>
      <c r="Y25" s="450"/>
      <c r="Z25" s="453"/>
    </row>
    <row r="26" spans="1:26" ht="16.5" customHeight="1">
      <c r="A26" s="18" t="s">
        <v>277</v>
      </c>
      <c r="B26" s="18" t="s">
        <v>20</v>
      </c>
      <c r="C26" s="36">
        <v>0</v>
      </c>
      <c r="D26" s="39">
        <v>0</v>
      </c>
      <c r="E26" s="151"/>
      <c r="G26" s="21">
        <f t="shared" si="0"/>
        <v>0</v>
      </c>
      <c r="H26" s="21">
        <f t="shared" si="1"/>
        <v>0</v>
      </c>
      <c r="I26" s="36">
        <v>0</v>
      </c>
      <c r="J26" s="39">
        <v>0</v>
      </c>
      <c r="L26" s="36">
        <v>0</v>
      </c>
      <c r="M26" s="39">
        <v>0</v>
      </c>
      <c r="P26" s="36">
        <v>0</v>
      </c>
      <c r="Q26" s="39">
        <v>0</v>
      </c>
      <c r="S26" s="36">
        <v>0</v>
      </c>
      <c r="T26" s="39">
        <v>0</v>
      </c>
      <c r="V26" s="36">
        <v>0</v>
      </c>
      <c r="W26" s="39">
        <v>0</v>
      </c>
      <c r="Y26" s="36">
        <v>0</v>
      </c>
      <c r="Z26" s="39">
        <v>0</v>
      </c>
    </row>
    <row r="27" spans="1:26" ht="16.5" customHeight="1">
      <c r="A27" s="18" t="s">
        <v>278</v>
      </c>
      <c r="B27" s="18" t="s">
        <v>23</v>
      </c>
      <c r="C27" s="36">
        <v>0</v>
      </c>
      <c r="D27" s="379">
        <v>0</v>
      </c>
      <c r="E27" s="151"/>
      <c r="G27" s="21">
        <f t="shared" si="0"/>
        <v>0</v>
      </c>
      <c r="H27" s="21">
        <f t="shared" si="1"/>
        <v>0</v>
      </c>
      <c r="I27" s="36">
        <v>0</v>
      </c>
      <c r="J27" s="379">
        <v>0</v>
      </c>
      <c r="L27" s="36">
        <v>0</v>
      </c>
      <c r="M27" s="379">
        <v>0</v>
      </c>
      <c r="P27" s="36">
        <v>0</v>
      </c>
      <c r="Q27" s="379">
        <v>0</v>
      </c>
      <c r="S27" s="36">
        <v>0</v>
      </c>
      <c r="T27" s="379">
        <v>0</v>
      </c>
      <c r="V27" s="36">
        <v>0</v>
      </c>
      <c r="W27" s="379">
        <v>0</v>
      </c>
      <c r="Y27" s="36">
        <v>0</v>
      </c>
      <c r="Z27" s="379">
        <v>0</v>
      </c>
    </row>
    <row r="28" spans="1:26">
      <c r="A28" s="17" t="s">
        <v>279</v>
      </c>
      <c r="B28" s="17" t="s">
        <v>21</v>
      </c>
      <c r="C28" s="36"/>
      <c r="D28" s="379">
        <v>0</v>
      </c>
      <c r="E28" s="151"/>
      <c r="G28" s="21">
        <f t="shared" si="0"/>
        <v>0</v>
      </c>
      <c r="H28" s="21">
        <f t="shared" si="1"/>
        <v>0</v>
      </c>
      <c r="I28" s="36"/>
      <c r="J28" s="379">
        <v>0</v>
      </c>
      <c r="L28" s="36"/>
      <c r="M28" s="379">
        <v>0</v>
      </c>
      <c r="P28" s="36"/>
      <c r="Q28" s="379">
        <v>0</v>
      </c>
      <c r="S28" s="36"/>
      <c r="T28" s="379">
        <v>0</v>
      </c>
      <c r="V28" s="36"/>
      <c r="W28" s="379">
        <v>0</v>
      </c>
      <c r="Y28" s="36"/>
      <c r="Z28" s="379">
        <v>0</v>
      </c>
    </row>
    <row r="29" spans="1:26">
      <c r="A29" s="16" t="s">
        <v>34</v>
      </c>
      <c r="B29" s="16" t="s">
        <v>3</v>
      </c>
      <c r="C29" s="32"/>
      <c r="D29" s="33"/>
      <c r="E29" s="151"/>
      <c r="G29" s="21">
        <f t="shared" si="0"/>
        <v>0</v>
      </c>
      <c r="H29" s="21">
        <f t="shared" si="1"/>
        <v>0</v>
      </c>
      <c r="I29" s="32"/>
      <c r="J29" s="33"/>
      <c r="L29" s="32"/>
      <c r="M29" s="33"/>
      <c r="P29" s="32"/>
      <c r="Q29" s="33"/>
      <c r="S29" s="32"/>
      <c r="T29" s="33"/>
      <c r="V29" s="32"/>
      <c r="W29" s="33"/>
      <c r="Y29" s="32"/>
      <c r="Z29" s="33"/>
    </row>
    <row r="30" spans="1:26">
      <c r="A30" s="16" t="s">
        <v>35</v>
      </c>
      <c r="B30" s="16" t="s">
        <v>4</v>
      </c>
      <c r="C30" s="32"/>
      <c r="D30" s="33"/>
      <c r="E30" s="151"/>
      <c r="G30" s="21">
        <f t="shared" si="0"/>
        <v>0</v>
      </c>
      <c r="H30" s="21">
        <f t="shared" si="1"/>
        <v>0</v>
      </c>
      <c r="I30" s="32"/>
      <c r="J30" s="33"/>
      <c r="L30" s="32"/>
      <c r="M30" s="33"/>
      <c r="P30" s="32"/>
      <c r="Q30" s="33"/>
      <c r="S30" s="32"/>
      <c r="T30" s="33"/>
      <c r="V30" s="32"/>
      <c r="W30" s="33"/>
      <c r="Y30" s="32"/>
      <c r="Z30" s="33"/>
    </row>
    <row r="31" spans="1:26">
      <c r="A31" s="16" t="s">
        <v>36</v>
      </c>
      <c r="B31" s="16" t="s">
        <v>5</v>
      </c>
      <c r="C31" s="32"/>
      <c r="D31" s="33"/>
      <c r="E31" s="151"/>
      <c r="G31" s="21">
        <f t="shared" si="0"/>
        <v>0</v>
      </c>
      <c r="H31" s="21">
        <f t="shared" si="1"/>
        <v>0</v>
      </c>
      <c r="I31" s="32"/>
      <c r="J31" s="33"/>
      <c r="L31" s="32"/>
      <c r="M31" s="33"/>
      <c r="P31" s="32"/>
      <c r="Q31" s="33"/>
      <c r="S31" s="32"/>
      <c r="T31" s="33"/>
      <c r="V31" s="32"/>
      <c r="W31" s="33"/>
      <c r="Y31" s="32"/>
      <c r="Z31" s="33"/>
    </row>
    <row r="32" spans="1:26">
      <c r="A32" s="16" t="s">
        <v>37</v>
      </c>
      <c r="B32" s="16" t="s">
        <v>63</v>
      </c>
      <c r="C32" s="82">
        <f>SUM(C33:C34)</f>
        <v>0</v>
      </c>
      <c r="D32" s="82">
        <f>SUM(D33:D34)</f>
        <v>0</v>
      </c>
      <c r="E32" s="151"/>
      <c r="G32" s="21">
        <f t="shared" si="0"/>
        <v>0</v>
      </c>
      <c r="H32" s="21">
        <f t="shared" si="1"/>
        <v>0</v>
      </c>
      <c r="I32" s="82">
        <f>SUM(I33:I34)</f>
        <v>0</v>
      </c>
      <c r="J32" s="82">
        <f>SUM(J33:J34)</f>
        <v>0</v>
      </c>
      <c r="L32" s="82">
        <f>SUM(L33:L34)</f>
        <v>0</v>
      </c>
      <c r="M32" s="82">
        <f>SUM(M33:M34)</f>
        <v>0</v>
      </c>
      <c r="P32" s="82">
        <f>SUM(P33:P34)</f>
        <v>0</v>
      </c>
      <c r="Q32" s="82">
        <f>SUM(Q33:Q34)</f>
        <v>0</v>
      </c>
      <c r="S32" s="82">
        <f>SUM(S33:S34)</f>
        <v>0</v>
      </c>
      <c r="T32" s="82">
        <f>SUM(T33:T34)</f>
        <v>0</v>
      </c>
      <c r="V32" s="82">
        <f>SUM(V33:V34)</f>
        <v>0</v>
      </c>
      <c r="W32" s="82">
        <f>SUM(W33:W34)</f>
        <v>0</v>
      </c>
      <c r="Y32" s="82">
        <f>SUM(Y33:Y34)</f>
        <v>0</v>
      </c>
      <c r="Z32" s="82">
        <f>SUM(Z33:Z34)</f>
        <v>0</v>
      </c>
    </row>
    <row r="33" spans="1:26">
      <c r="A33" s="17" t="s">
        <v>280</v>
      </c>
      <c r="B33" s="17" t="s">
        <v>56</v>
      </c>
      <c r="C33" s="32"/>
      <c r="D33" s="33"/>
      <c r="E33" s="151"/>
      <c r="G33" s="21">
        <f t="shared" si="0"/>
        <v>0</v>
      </c>
      <c r="H33" s="21">
        <f t="shared" si="1"/>
        <v>0</v>
      </c>
      <c r="I33" s="32"/>
      <c r="J33" s="33"/>
      <c r="L33" s="32"/>
      <c r="M33" s="33"/>
      <c r="P33" s="32"/>
      <c r="Q33" s="33"/>
      <c r="S33" s="32"/>
      <c r="T33" s="33"/>
      <c r="V33" s="32"/>
      <c r="W33" s="33"/>
      <c r="Y33" s="32"/>
      <c r="Z33" s="33"/>
    </row>
    <row r="34" spans="1:26">
      <c r="A34" s="17" t="s">
        <v>281</v>
      </c>
      <c r="B34" s="17" t="s">
        <v>55</v>
      </c>
      <c r="C34" s="32"/>
      <c r="D34" s="33"/>
      <c r="E34" s="151"/>
      <c r="G34" s="21">
        <f t="shared" si="0"/>
        <v>0</v>
      </c>
      <c r="H34" s="21">
        <f t="shared" si="1"/>
        <v>0</v>
      </c>
      <c r="I34" s="32"/>
      <c r="J34" s="33"/>
      <c r="L34" s="32"/>
      <c r="M34" s="33"/>
      <c r="P34" s="32"/>
      <c r="Q34" s="33"/>
      <c r="S34" s="32"/>
      <c r="T34" s="33"/>
      <c r="V34" s="32"/>
      <c r="W34" s="33"/>
      <c r="Y34" s="32"/>
      <c r="Z34" s="33"/>
    </row>
    <row r="35" spans="1:26">
      <c r="A35" s="16" t="s">
        <v>38</v>
      </c>
      <c r="B35" s="16" t="s">
        <v>49</v>
      </c>
      <c r="C35" s="32">
        <v>0</v>
      </c>
      <c r="D35" s="33">
        <v>0</v>
      </c>
      <c r="E35" s="151"/>
      <c r="G35" s="21">
        <f t="shared" si="0"/>
        <v>0</v>
      </c>
      <c r="H35" s="21">
        <f t="shared" si="1"/>
        <v>0</v>
      </c>
      <c r="I35" s="32">
        <v>0</v>
      </c>
      <c r="J35" s="33">
        <v>0</v>
      </c>
      <c r="L35" s="32">
        <v>0</v>
      </c>
      <c r="M35" s="33">
        <v>0</v>
      </c>
      <c r="P35" s="32">
        <v>0</v>
      </c>
      <c r="Q35" s="33">
        <v>0</v>
      </c>
      <c r="S35" s="32">
        <v>0</v>
      </c>
      <c r="T35" s="33">
        <v>0</v>
      </c>
      <c r="V35" s="32">
        <v>0</v>
      </c>
      <c r="W35" s="33">
        <v>0</v>
      </c>
      <c r="Y35" s="32">
        <v>0</v>
      </c>
      <c r="Z35" s="33">
        <v>0</v>
      </c>
    </row>
    <row r="36" spans="1:26">
      <c r="A36" s="16" t="s">
        <v>39</v>
      </c>
      <c r="B36" s="16" t="s">
        <v>342</v>
      </c>
      <c r="C36" s="82">
        <f>SUM(C37:C42)</f>
        <v>2730</v>
      </c>
      <c r="D36" s="82">
        <f>SUM(D37:D42)</f>
        <v>3123.6</v>
      </c>
      <c r="E36" s="151"/>
      <c r="G36" s="21">
        <f t="shared" si="0"/>
        <v>22199.629999999997</v>
      </c>
      <c r="H36" s="21">
        <f t="shared" si="1"/>
        <v>22199.629999999997</v>
      </c>
      <c r="I36" s="82">
        <f>SUM(I37:I42)</f>
        <v>0</v>
      </c>
      <c r="J36" s="82">
        <f>SUM(J37:J42)</f>
        <v>0</v>
      </c>
      <c r="L36" s="82">
        <f>SUM(L37:L42)</f>
        <v>0</v>
      </c>
      <c r="M36" s="82">
        <f>SUM(M37:M42)</f>
        <v>0</v>
      </c>
      <c r="P36" s="82">
        <f>SUM(P37:P42)</f>
        <v>0</v>
      </c>
      <c r="Q36" s="82">
        <f>SUM(Q37:Q42)</f>
        <v>0</v>
      </c>
      <c r="S36" s="82">
        <f>SUM(S37:S42)</f>
        <v>2103.17</v>
      </c>
      <c r="T36" s="82">
        <f>SUM(T37:T42)</f>
        <v>16559.73</v>
      </c>
      <c r="V36" s="82">
        <f>SUM(V37:V42)</f>
        <v>18296.46</v>
      </c>
      <c r="W36" s="82">
        <f>SUM(W37:W42)</f>
        <v>5639.9</v>
      </c>
      <c r="Y36" s="82">
        <f>SUM(Y37:Y42)</f>
        <v>1800</v>
      </c>
      <c r="Z36" s="82">
        <f>SUM(Z37:Z42)</f>
        <v>0</v>
      </c>
    </row>
    <row r="37" spans="1:26">
      <c r="A37" s="17" t="s">
        <v>339</v>
      </c>
      <c r="B37" s="17" t="s">
        <v>343</v>
      </c>
      <c r="C37" s="32"/>
      <c r="D37" s="32"/>
      <c r="E37" s="151"/>
      <c r="G37" s="21">
        <f t="shared" si="0"/>
        <v>0</v>
      </c>
      <c r="H37" s="21">
        <f t="shared" si="1"/>
        <v>0</v>
      </c>
      <c r="I37" s="32"/>
      <c r="J37" s="32"/>
      <c r="L37" s="32"/>
      <c r="M37" s="32"/>
      <c r="P37" s="32"/>
      <c r="Q37" s="32"/>
      <c r="S37" s="32"/>
      <c r="T37" s="32"/>
      <c r="V37" s="32"/>
      <c r="W37" s="32"/>
      <c r="Y37" s="32"/>
      <c r="Z37" s="32"/>
    </row>
    <row r="38" spans="1:26">
      <c r="A38" s="17" t="s">
        <v>340</v>
      </c>
      <c r="B38" s="17" t="s">
        <v>344</v>
      </c>
      <c r="C38" s="32"/>
      <c r="D38" s="32"/>
      <c r="E38" s="151"/>
      <c r="G38" s="21">
        <f t="shared" si="0"/>
        <v>238</v>
      </c>
      <c r="H38" s="21">
        <f t="shared" si="1"/>
        <v>238</v>
      </c>
      <c r="I38" s="32"/>
      <c r="J38" s="32"/>
      <c r="L38" s="32"/>
      <c r="M38" s="32"/>
      <c r="P38" s="32"/>
      <c r="Q38" s="32"/>
      <c r="S38" s="32"/>
      <c r="T38" s="32"/>
      <c r="V38" s="32">
        <v>238</v>
      </c>
      <c r="W38" s="32">
        <v>238</v>
      </c>
      <c r="Y38" s="32"/>
      <c r="Z38" s="32"/>
    </row>
    <row r="39" spans="1:26">
      <c r="A39" s="17" t="s">
        <v>341</v>
      </c>
      <c r="B39" s="17" t="s">
        <v>347</v>
      </c>
      <c r="C39" s="32"/>
      <c r="D39" s="33"/>
      <c r="E39" s="151"/>
      <c r="G39" s="21">
        <f t="shared" si="0"/>
        <v>0</v>
      </c>
      <c r="H39" s="21">
        <f t="shared" si="1"/>
        <v>0</v>
      </c>
      <c r="I39" s="32"/>
      <c r="J39" s="33"/>
      <c r="L39" s="32"/>
      <c r="M39" s="33"/>
      <c r="P39" s="32"/>
      <c r="Q39" s="33"/>
      <c r="S39" s="32"/>
      <c r="T39" s="33"/>
      <c r="V39" s="32"/>
      <c r="W39" s="33"/>
      <c r="Y39" s="32"/>
      <c r="Z39" s="33"/>
    </row>
    <row r="40" spans="1:26">
      <c r="A40" s="17" t="s">
        <v>346</v>
      </c>
      <c r="B40" s="17" t="s">
        <v>348</v>
      </c>
      <c r="C40" s="32"/>
      <c r="D40" s="33"/>
      <c r="E40" s="151"/>
      <c r="G40" s="21">
        <f t="shared" si="0"/>
        <v>0</v>
      </c>
      <c r="H40" s="21">
        <f t="shared" si="1"/>
        <v>0</v>
      </c>
      <c r="I40" s="32"/>
      <c r="J40" s="33"/>
      <c r="L40" s="32"/>
      <c r="M40" s="33"/>
      <c r="P40" s="32"/>
      <c r="Q40" s="33"/>
      <c r="S40" s="32"/>
      <c r="T40" s="33"/>
      <c r="V40" s="32"/>
      <c r="W40" s="33"/>
      <c r="Y40" s="32"/>
      <c r="Z40" s="33"/>
    </row>
    <row r="41" spans="1:26">
      <c r="A41" s="17" t="s">
        <v>349</v>
      </c>
      <c r="B41" s="17" t="s">
        <v>437</v>
      </c>
      <c r="C41" s="32"/>
      <c r="D41" s="33"/>
      <c r="E41" s="151"/>
      <c r="G41" s="21">
        <f t="shared" si="0"/>
        <v>21961.629999999997</v>
      </c>
      <c r="H41" s="21">
        <f t="shared" si="1"/>
        <v>21961.629999999997</v>
      </c>
      <c r="I41" s="32"/>
      <c r="J41" s="33"/>
      <c r="L41" s="32"/>
      <c r="M41" s="33"/>
      <c r="P41" s="32"/>
      <c r="Q41" s="33"/>
      <c r="S41" s="32">
        <v>2103.17</v>
      </c>
      <c r="T41" s="33">
        <f>5411.73+2280+2000+6868</f>
        <v>16559.73</v>
      </c>
      <c r="V41" s="32">
        <v>18058.46</v>
      </c>
      <c r="W41" s="33">
        <v>5401.9</v>
      </c>
      <c r="Y41" s="32">
        <v>1800</v>
      </c>
      <c r="Z41" s="33"/>
    </row>
    <row r="42" spans="1:26">
      <c r="A42" s="17" t="s">
        <v>438</v>
      </c>
      <c r="B42" s="17" t="s">
        <v>345</v>
      </c>
      <c r="C42" s="32">
        <v>2730</v>
      </c>
      <c r="D42" s="33">
        <f>393.6+2730</f>
        <v>3123.6</v>
      </c>
      <c r="E42" s="151"/>
      <c r="G42" s="21">
        <f t="shared" si="0"/>
        <v>0</v>
      </c>
      <c r="H42" s="21">
        <f t="shared" si="1"/>
        <v>0</v>
      </c>
      <c r="I42" s="32"/>
      <c r="J42" s="33"/>
      <c r="L42" s="32"/>
      <c r="M42" s="33"/>
      <c r="P42" s="32"/>
      <c r="Q42" s="33"/>
      <c r="S42" s="32"/>
      <c r="T42" s="33"/>
      <c r="V42" s="32"/>
      <c r="W42" s="33"/>
      <c r="Y42" s="32"/>
      <c r="Z42" s="33"/>
    </row>
    <row r="43" spans="1:26" ht="30">
      <c r="A43" s="16" t="s">
        <v>40</v>
      </c>
      <c r="B43" s="16" t="s">
        <v>28</v>
      </c>
      <c r="C43" s="32"/>
      <c r="D43" s="33"/>
      <c r="E43" s="151"/>
      <c r="G43" s="21">
        <f t="shared" si="0"/>
        <v>0</v>
      </c>
      <c r="H43" s="21">
        <f t="shared" si="1"/>
        <v>0</v>
      </c>
      <c r="I43" s="32"/>
      <c r="J43" s="33"/>
      <c r="L43" s="32"/>
      <c r="M43" s="33"/>
      <c r="P43" s="32"/>
      <c r="Q43" s="33"/>
      <c r="S43" s="32"/>
      <c r="T43" s="33"/>
      <c r="V43" s="32"/>
      <c r="W43" s="33"/>
      <c r="Y43" s="32"/>
      <c r="Z43" s="33"/>
    </row>
    <row r="44" spans="1:26">
      <c r="A44" s="16" t="s">
        <v>41</v>
      </c>
      <c r="B44" s="16" t="s">
        <v>24</v>
      </c>
      <c r="C44" s="32">
        <v>660.8</v>
      </c>
      <c r="D44" s="33">
        <v>660.8</v>
      </c>
      <c r="E44" s="151"/>
      <c r="G44" s="21">
        <f t="shared" si="0"/>
        <v>950</v>
      </c>
      <c r="H44" s="21">
        <f t="shared" si="1"/>
        <v>950</v>
      </c>
      <c r="I44" s="32"/>
      <c r="J44" s="33"/>
      <c r="L44" s="32"/>
      <c r="M44" s="33"/>
      <c r="P44" s="32"/>
      <c r="Q44" s="33"/>
      <c r="S44" s="32">
        <v>75</v>
      </c>
      <c r="T44" s="33">
        <v>75</v>
      </c>
      <c r="V44" s="32">
        <v>875</v>
      </c>
      <c r="W44" s="33">
        <v>875</v>
      </c>
      <c r="Y44" s="32"/>
      <c r="Z44" s="33"/>
    </row>
    <row r="45" spans="1:26">
      <c r="A45" s="16" t="s">
        <v>42</v>
      </c>
      <c r="B45" s="16" t="s">
        <v>25</v>
      </c>
      <c r="C45" s="32"/>
      <c r="D45" s="33">
        <v>0</v>
      </c>
      <c r="E45" s="151"/>
      <c r="G45" s="21">
        <f t="shared" si="0"/>
        <v>5000</v>
      </c>
      <c r="H45" s="21">
        <f t="shared" si="1"/>
        <v>5000</v>
      </c>
      <c r="I45" s="32"/>
      <c r="J45" s="33"/>
      <c r="L45" s="32"/>
      <c r="M45" s="33"/>
      <c r="P45" s="32"/>
      <c r="Q45" s="33"/>
      <c r="S45" s="32"/>
      <c r="T45" s="33"/>
      <c r="V45" s="32"/>
      <c r="W45" s="33"/>
      <c r="Y45" s="32">
        <v>5000</v>
      </c>
      <c r="Z45" s="33">
        <v>5000</v>
      </c>
    </row>
    <row r="46" spans="1:26">
      <c r="A46" s="16" t="s">
        <v>43</v>
      </c>
      <c r="B46" s="16" t="s">
        <v>26</v>
      </c>
      <c r="C46" s="32"/>
      <c r="D46" s="33"/>
      <c r="E46" s="151"/>
      <c r="G46" s="21">
        <f t="shared" si="0"/>
        <v>0</v>
      </c>
      <c r="H46" s="21">
        <f t="shared" si="1"/>
        <v>0</v>
      </c>
      <c r="I46" s="32">
        <v>0</v>
      </c>
      <c r="J46" s="33">
        <v>0</v>
      </c>
      <c r="L46" s="32">
        <v>0</v>
      </c>
      <c r="M46" s="33">
        <v>0</v>
      </c>
      <c r="P46" s="32">
        <v>0</v>
      </c>
      <c r="Q46" s="33">
        <v>0</v>
      </c>
      <c r="S46" s="32">
        <v>0</v>
      </c>
      <c r="T46" s="33">
        <v>0</v>
      </c>
      <c r="V46" s="32">
        <v>0</v>
      </c>
      <c r="W46" s="33">
        <v>0</v>
      </c>
      <c r="Y46" s="32">
        <v>0</v>
      </c>
      <c r="Z46" s="33">
        <v>0</v>
      </c>
    </row>
    <row r="47" spans="1:26">
      <c r="A47" s="16" t="s">
        <v>44</v>
      </c>
      <c r="B47" s="16" t="s">
        <v>286</v>
      </c>
      <c r="C47" s="82">
        <f>SUM(C48:C50)</f>
        <v>1825</v>
      </c>
      <c r="D47" s="82">
        <f>SUM(D48:D50)</f>
        <v>0</v>
      </c>
      <c r="E47" s="151"/>
      <c r="G47" s="21">
        <f t="shared" si="0"/>
        <v>13256.34</v>
      </c>
      <c r="H47" s="21">
        <f t="shared" si="1"/>
        <v>10956.34</v>
      </c>
      <c r="I47" s="82">
        <f>SUM(I48:I50)</f>
        <v>325</v>
      </c>
      <c r="J47" s="82">
        <f>SUM(J48:J50)</f>
        <v>0</v>
      </c>
      <c r="L47" s="82">
        <f>SUM(L48:L50)</f>
        <v>0</v>
      </c>
      <c r="M47" s="82">
        <f>SUM(M48:M50)</f>
        <v>0</v>
      </c>
      <c r="P47" s="82">
        <f>SUM(P48:P50)</f>
        <v>1600</v>
      </c>
      <c r="Q47" s="82">
        <f>SUM(Q48:Q50)</f>
        <v>0</v>
      </c>
      <c r="S47" s="82">
        <f>SUM(S48:S50)</f>
        <v>1785.71</v>
      </c>
      <c r="T47" s="82">
        <f>SUM(T48:T50)</f>
        <v>800</v>
      </c>
      <c r="V47" s="82">
        <f>SUM(V48:V50)</f>
        <v>6199.02</v>
      </c>
      <c r="W47" s="82">
        <f>SUM(W48:W50)</f>
        <v>8761.34</v>
      </c>
      <c r="Y47" s="82">
        <f>SUM(Y48:Y50)</f>
        <v>3671.61</v>
      </c>
      <c r="Z47" s="82">
        <f>SUM(Z48:Z50)</f>
        <v>1395</v>
      </c>
    </row>
    <row r="48" spans="1:26">
      <c r="A48" s="96" t="s">
        <v>354</v>
      </c>
      <c r="B48" s="96" t="s">
        <v>357</v>
      </c>
      <c r="C48" s="32">
        <v>1825</v>
      </c>
      <c r="D48" s="33"/>
      <c r="E48" s="151"/>
      <c r="G48" s="21">
        <f t="shared" si="0"/>
        <v>10529.84</v>
      </c>
      <c r="H48" s="21">
        <f t="shared" si="1"/>
        <v>8229.84</v>
      </c>
      <c r="I48" s="32">
        <v>325</v>
      </c>
      <c r="J48" s="33">
        <v>0</v>
      </c>
      <c r="L48" s="32">
        <v>0</v>
      </c>
      <c r="M48" s="33">
        <v>0</v>
      </c>
      <c r="O48" s="455"/>
      <c r="P48" s="32">
        <v>1600</v>
      </c>
      <c r="Q48" s="33">
        <v>0</v>
      </c>
      <c r="S48" s="32">
        <v>1785.71</v>
      </c>
      <c r="T48" s="33">
        <v>800</v>
      </c>
      <c r="V48" s="32">
        <v>3472.52</v>
      </c>
      <c r="W48" s="33">
        <f>4950+1084.84</f>
        <v>6034.84</v>
      </c>
      <c r="Y48" s="32">
        <v>3671.61</v>
      </c>
      <c r="Z48" s="33">
        <f>500+895</f>
        <v>1395</v>
      </c>
    </row>
    <row r="49" spans="1:26">
      <c r="A49" s="96" t="s">
        <v>355</v>
      </c>
      <c r="B49" s="96" t="s">
        <v>356</v>
      </c>
      <c r="C49" s="32"/>
      <c r="D49" s="33"/>
      <c r="E49" s="151"/>
      <c r="G49" s="21">
        <f t="shared" si="0"/>
        <v>2726.5</v>
      </c>
      <c r="H49" s="21">
        <f t="shared" si="1"/>
        <v>2726.5</v>
      </c>
      <c r="I49" s="32"/>
      <c r="J49" s="33"/>
      <c r="L49" s="32"/>
      <c r="M49" s="33"/>
      <c r="P49" s="32"/>
      <c r="Q49" s="33"/>
      <c r="S49" s="32"/>
      <c r="T49" s="33"/>
      <c r="V49" s="32">
        <v>2726.5</v>
      </c>
      <c r="W49" s="33">
        <v>2726.5</v>
      </c>
      <c r="Y49" s="32"/>
      <c r="Z49" s="33"/>
    </row>
    <row r="50" spans="1:26">
      <c r="A50" s="96" t="s">
        <v>358</v>
      </c>
      <c r="B50" s="96" t="s">
        <v>359</v>
      </c>
      <c r="C50" s="32"/>
      <c r="D50" s="33"/>
      <c r="E50" s="151"/>
      <c r="G50" s="21">
        <f t="shared" si="0"/>
        <v>0</v>
      </c>
      <c r="H50" s="21">
        <f t="shared" si="1"/>
        <v>0</v>
      </c>
      <c r="I50" s="32"/>
      <c r="J50" s="33"/>
      <c r="L50" s="32"/>
      <c r="M50" s="33"/>
      <c r="P50" s="32"/>
      <c r="Q50" s="33"/>
      <c r="S50" s="32"/>
      <c r="T50" s="33"/>
      <c r="V50" s="32"/>
      <c r="W50" s="33"/>
      <c r="Y50" s="32"/>
      <c r="Z50" s="33"/>
    </row>
    <row r="51" spans="1:26" ht="26.25" customHeight="1">
      <c r="A51" s="16" t="s">
        <v>45</v>
      </c>
      <c r="B51" s="16" t="s">
        <v>29</v>
      </c>
      <c r="C51" s="32"/>
      <c r="D51" s="33"/>
      <c r="E51" s="151"/>
      <c r="G51" s="21">
        <f t="shared" si="0"/>
        <v>0</v>
      </c>
      <c r="H51" s="21">
        <f t="shared" si="1"/>
        <v>0</v>
      </c>
      <c r="I51" s="32"/>
      <c r="J51" s="33"/>
      <c r="L51" s="32"/>
      <c r="M51" s="33"/>
      <c r="P51" s="32"/>
      <c r="Q51" s="33"/>
      <c r="S51" s="32"/>
      <c r="T51" s="33"/>
      <c r="V51" s="32"/>
      <c r="W51" s="33"/>
      <c r="Y51" s="32"/>
      <c r="Z51" s="33"/>
    </row>
    <row r="52" spans="1:26">
      <c r="A52" s="16" t="s">
        <v>46</v>
      </c>
      <c r="B52" s="16" t="s">
        <v>6</v>
      </c>
      <c r="C52" s="32">
        <f>1875+6750+8150+50+200+8712.6</f>
        <v>25737.599999999999</v>
      </c>
      <c r="D52" s="33">
        <f>11442.6-2730</f>
        <v>8712.6</v>
      </c>
      <c r="E52" s="151"/>
      <c r="G52" s="21">
        <f t="shared" si="0"/>
        <v>65693.399999999994</v>
      </c>
      <c r="H52" s="21">
        <f t="shared" si="1"/>
        <v>65613.3</v>
      </c>
      <c r="I52" s="32">
        <v>1975</v>
      </c>
      <c r="J52" s="33"/>
      <c r="L52" s="32"/>
      <c r="M52" s="33">
        <f>1125+850</f>
        <v>1975</v>
      </c>
      <c r="P52" s="32">
        <v>171.6</v>
      </c>
      <c r="Q52" s="33">
        <v>171.6</v>
      </c>
      <c r="S52" s="32">
        <f>360.6+713.33+600+50+198.9+1422.27+2500</f>
        <v>5845.1</v>
      </c>
      <c r="T52" s="33">
        <v>3345</v>
      </c>
      <c r="V52" s="32">
        <f>9375+500+1250+670+961.4+315+6000.3+2700+2000+15680+1200+3125+650+15250</f>
        <v>59676.7</v>
      </c>
      <c r="W52" s="33">
        <f>7475+2000+15130+6000.3+4375</f>
        <v>34980.300000000003</v>
      </c>
      <c r="Y52" s="32"/>
      <c r="Z52" s="33">
        <f>5000+1946.4+5000+15150+20</f>
        <v>27116.400000000001</v>
      </c>
    </row>
    <row r="53" spans="1:26" ht="30">
      <c r="A53" s="14">
        <v>1.3</v>
      </c>
      <c r="B53" s="86" t="s">
        <v>386</v>
      </c>
      <c r="C53" s="83">
        <f>SUM(C54:C55)</f>
        <v>46507</v>
      </c>
      <c r="D53" s="83">
        <f>SUM(D54:D55)</f>
        <v>27913.26</v>
      </c>
      <c r="E53" s="151"/>
      <c r="G53" s="21">
        <f t="shared" si="0"/>
        <v>45306.5</v>
      </c>
      <c r="H53" s="21">
        <f t="shared" si="1"/>
        <v>45306.5</v>
      </c>
      <c r="I53" s="83">
        <f>SUM(I54:I55)</f>
        <v>0</v>
      </c>
      <c r="J53" s="83">
        <f>SUM(J54:J55)</f>
        <v>0</v>
      </c>
      <c r="L53" s="83">
        <f>SUM(L54:L55)</f>
        <v>0</v>
      </c>
      <c r="M53" s="83">
        <f>SUM(M54:M55)</f>
        <v>0</v>
      </c>
      <c r="P53" s="83">
        <f>SUM(P54:P55)</f>
        <v>0</v>
      </c>
      <c r="Q53" s="83">
        <f>SUM(Q54:Q55)</f>
        <v>0</v>
      </c>
      <c r="S53" s="83">
        <f>SUM(S54:S55)</f>
        <v>37056.5</v>
      </c>
      <c r="T53" s="83">
        <f>SUM(T54:T55)</f>
        <v>25161.23</v>
      </c>
      <c r="V53" s="83">
        <f>SUM(V54:V55)</f>
        <v>8250</v>
      </c>
      <c r="W53" s="83">
        <f>SUM(W54:W55)</f>
        <v>11895.27</v>
      </c>
      <c r="Y53" s="83">
        <f>SUM(Y54:Y55)</f>
        <v>0</v>
      </c>
      <c r="Z53" s="83">
        <f>SUM(Z54:Z55)</f>
        <v>8250</v>
      </c>
    </row>
    <row r="54" spans="1:26" ht="30">
      <c r="A54" s="16" t="s">
        <v>50</v>
      </c>
      <c r="B54" s="16" t="s">
        <v>48</v>
      </c>
      <c r="C54" s="32">
        <v>46507</v>
      </c>
      <c r="D54" s="33">
        <v>27913.26</v>
      </c>
      <c r="E54" s="151"/>
      <c r="G54" s="21">
        <f t="shared" si="0"/>
        <v>45306.5</v>
      </c>
      <c r="H54" s="21">
        <f t="shared" si="1"/>
        <v>45306.5</v>
      </c>
      <c r="I54" s="32"/>
      <c r="J54" s="33"/>
      <c r="L54" s="32"/>
      <c r="M54" s="33"/>
      <c r="P54" s="32"/>
      <c r="Q54" s="33"/>
      <c r="S54" s="32">
        <v>37056.5</v>
      </c>
      <c r="T54" s="33">
        <v>25161.23</v>
      </c>
      <c r="V54" s="32">
        <f>2750+5500</f>
        <v>8250</v>
      </c>
      <c r="W54" s="33">
        <f>11895.27</f>
        <v>11895.27</v>
      </c>
      <c r="Y54" s="32"/>
      <c r="Z54" s="33">
        <v>8250</v>
      </c>
    </row>
    <row r="55" spans="1:26">
      <c r="A55" s="16" t="s">
        <v>51</v>
      </c>
      <c r="B55" s="16" t="s">
        <v>47</v>
      </c>
      <c r="C55" s="32"/>
      <c r="D55" s="33"/>
      <c r="E55" s="151"/>
      <c r="G55" s="21">
        <f t="shared" si="0"/>
        <v>0</v>
      </c>
      <c r="H55" s="21">
        <f t="shared" si="1"/>
        <v>0</v>
      </c>
      <c r="I55" s="32"/>
      <c r="J55" s="33"/>
      <c r="L55" s="32"/>
      <c r="M55" s="33"/>
      <c r="P55" s="32"/>
      <c r="Q55" s="33"/>
      <c r="S55" s="32"/>
      <c r="T55" s="33"/>
      <c r="V55" s="32"/>
      <c r="W55" s="33"/>
      <c r="Y55" s="32"/>
      <c r="Z55" s="33"/>
    </row>
    <row r="56" spans="1:26">
      <c r="A56" s="14">
        <v>1.4</v>
      </c>
      <c r="B56" s="14" t="s">
        <v>388</v>
      </c>
      <c r="C56" s="32"/>
      <c r="D56" s="33"/>
      <c r="E56" s="151"/>
      <c r="G56" s="21">
        <f t="shared" si="0"/>
        <v>0</v>
      </c>
      <c r="H56" s="21">
        <f t="shared" si="1"/>
        <v>0</v>
      </c>
      <c r="I56" s="32"/>
      <c r="J56" s="33"/>
      <c r="L56" s="32"/>
      <c r="M56" s="33"/>
      <c r="P56" s="32"/>
      <c r="Q56" s="33"/>
      <c r="S56" s="32"/>
      <c r="T56" s="33"/>
      <c r="V56" s="32"/>
      <c r="W56" s="33"/>
      <c r="Y56" s="32"/>
      <c r="Z56" s="33"/>
    </row>
    <row r="57" spans="1:26">
      <c r="A57" s="14">
        <v>1.5</v>
      </c>
      <c r="B57" s="14" t="s">
        <v>7</v>
      </c>
      <c r="C57" s="36"/>
      <c r="D57" s="39"/>
      <c r="E57" s="151"/>
      <c r="G57" s="21">
        <f t="shared" si="0"/>
        <v>0</v>
      </c>
      <c r="H57" s="21">
        <f t="shared" si="1"/>
        <v>0</v>
      </c>
      <c r="I57" s="36"/>
      <c r="J57" s="39"/>
      <c r="L57" s="36"/>
      <c r="M57" s="39"/>
      <c r="P57" s="36"/>
      <c r="Q57" s="39"/>
      <c r="S57" s="36"/>
      <c r="T57" s="39"/>
      <c r="V57" s="36"/>
      <c r="W57" s="39"/>
      <c r="Y57" s="36"/>
      <c r="Z57" s="39"/>
    </row>
    <row r="58" spans="1:26">
      <c r="A58" s="14">
        <v>1.6</v>
      </c>
      <c r="B58" s="43" t="s">
        <v>8</v>
      </c>
      <c r="C58" s="83">
        <f>SUM(C59:C63)</f>
        <v>0</v>
      </c>
      <c r="D58" s="83">
        <f>SUM(D59:D63)</f>
        <v>0</v>
      </c>
      <c r="E58" s="151"/>
      <c r="G58" s="21">
        <f t="shared" si="0"/>
        <v>0</v>
      </c>
      <c r="H58" s="21">
        <f t="shared" si="1"/>
        <v>0</v>
      </c>
      <c r="I58" s="83">
        <f>SUM(I59:I63)</f>
        <v>0</v>
      </c>
      <c r="J58" s="83">
        <f>SUM(J59:J63)</f>
        <v>0</v>
      </c>
      <c r="L58" s="83">
        <f>SUM(L59:L63)</f>
        <v>0</v>
      </c>
      <c r="M58" s="83">
        <f>SUM(M59:M63)</f>
        <v>0</v>
      </c>
      <c r="P58" s="83">
        <f>SUM(P59:P63)</f>
        <v>0</v>
      </c>
      <c r="Q58" s="83">
        <f>SUM(Q59:Q63)</f>
        <v>0</v>
      </c>
      <c r="S58" s="83">
        <f>SUM(S59:S63)</f>
        <v>0</v>
      </c>
      <c r="T58" s="83">
        <f>SUM(T59:T63)</f>
        <v>0</v>
      </c>
      <c r="V58" s="83">
        <f>SUM(V59:V63)</f>
        <v>0</v>
      </c>
      <c r="W58" s="83">
        <f>SUM(W59:W63)</f>
        <v>0</v>
      </c>
      <c r="Y58" s="83">
        <f>SUM(Y59:Y63)</f>
        <v>0</v>
      </c>
      <c r="Z58" s="83">
        <f>SUM(Z59:Z63)</f>
        <v>0</v>
      </c>
    </row>
    <row r="59" spans="1:26">
      <c r="A59" s="16" t="s">
        <v>287</v>
      </c>
      <c r="B59" s="44" t="s">
        <v>52</v>
      </c>
      <c r="C59" s="36"/>
      <c r="D59" s="39"/>
      <c r="E59" s="151"/>
      <c r="G59" s="21">
        <f t="shared" si="0"/>
        <v>0</v>
      </c>
      <c r="H59" s="21">
        <f t="shared" si="1"/>
        <v>0</v>
      </c>
      <c r="I59" s="36"/>
      <c r="J59" s="39"/>
      <c r="L59" s="36"/>
      <c r="M59" s="39"/>
      <c r="P59" s="36"/>
      <c r="Q59" s="39"/>
      <c r="S59" s="36"/>
      <c r="T59" s="39"/>
      <c r="V59" s="36"/>
      <c r="W59" s="39"/>
      <c r="Y59" s="36"/>
      <c r="Z59" s="39"/>
    </row>
    <row r="60" spans="1:26" ht="30">
      <c r="A60" s="16" t="s">
        <v>288</v>
      </c>
      <c r="B60" s="44" t="s">
        <v>54</v>
      </c>
      <c r="C60" s="36"/>
      <c r="D60" s="39"/>
      <c r="E60" s="151"/>
      <c r="G60" s="21">
        <f t="shared" si="0"/>
        <v>0</v>
      </c>
      <c r="H60" s="21">
        <f t="shared" si="1"/>
        <v>0</v>
      </c>
      <c r="I60" s="36"/>
      <c r="J60" s="39"/>
      <c r="L60" s="36"/>
      <c r="M60" s="39"/>
      <c r="P60" s="36"/>
      <c r="Q60" s="39"/>
      <c r="S60" s="36"/>
      <c r="T60" s="39"/>
      <c r="V60" s="36"/>
      <c r="W60" s="39"/>
      <c r="Y60" s="36"/>
      <c r="Z60" s="39"/>
    </row>
    <row r="61" spans="1:26">
      <c r="A61" s="16" t="s">
        <v>289</v>
      </c>
      <c r="B61" s="44" t="s">
        <v>53</v>
      </c>
      <c r="C61" s="39"/>
      <c r="D61" s="39"/>
      <c r="E61" s="151"/>
      <c r="G61" s="21">
        <f t="shared" si="0"/>
        <v>0</v>
      </c>
      <c r="H61" s="21">
        <f t="shared" si="1"/>
        <v>0</v>
      </c>
      <c r="I61" s="39"/>
      <c r="J61" s="39"/>
      <c r="L61" s="39"/>
      <c r="M61" s="39"/>
      <c r="P61" s="39"/>
      <c r="Q61" s="39"/>
      <c r="S61" s="39"/>
      <c r="T61" s="39"/>
      <c r="V61" s="39"/>
      <c r="W61" s="39"/>
      <c r="Y61" s="39"/>
      <c r="Z61" s="39"/>
    </row>
    <row r="62" spans="1:26">
      <c r="A62" s="16" t="s">
        <v>290</v>
      </c>
      <c r="B62" s="44" t="s">
        <v>27</v>
      </c>
      <c r="C62" s="36"/>
      <c r="D62" s="39"/>
      <c r="E62" s="151"/>
      <c r="G62" s="21">
        <f t="shared" si="0"/>
        <v>0</v>
      </c>
      <c r="H62" s="21">
        <f t="shared" si="1"/>
        <v>0</v>
      </c>
      <c r="I62" s="36"/>
      <c r="J62" s="39"/>
      <c r="L62" s="36"/>
      <c r="M62" s="39"/>
      <c r="P62" s="36"/>
      <c r="Q62" s="39"/>
      <c r="S62" s="36"/>
      <c r="T62" s="39"/>
      <c r="V62" s="36"/>
      <c r="W62" s="39"/>
      <c r="Y62" s="36"/>
      <c r="Z62" s="39"/>
    </row>
    <row r="63" spans="1:26">
      <c r="A63" s="16" t="s">
        <v>325</v>
      </c>
      <c r="B63" s="215" t="s">
        <v>326</v>
      </c>
      <c r="C63" s="36"/>
      <c r="D63" s="216"/>
      <c r="E63" s="151"/>
      <c r="G63" s="21">
        <f t="shared" si="0"/>
        <v>0</v>
      </c>
      <c r="H63" s="21">
        <f t="shared" si="1"/>
        <v>0</v>
      </c>
      <c r="I63" s="36"/>
      <c r="J63" s="216"/>
      <c r="L63" s="36"/>
      <c r="M63" s="216"/>
      <c r="P63" s="36"/>
      <c r="Q63" s="216"/>
      <c r="S63" s="36"/>
      <c r="T63" s="216"/>
      <c r="V63" s="36"/>
      <c r="W63" s="216"/>
      <c r="Y63" s="36"/>
      <c r="Z63" s="216"/>
    </row>
    <row r="64" spans="1:26">
      <c r="A64" s="13">
        <v>2</v>
      </c>
      <c r="B64" s="45" t="s">
        <v>95</v>
      </c>
      <c r="C64" s="267"/>
      <c r="D64" s="118">
        <f>SUM(D65:D70)</f>
        <v>0</v>
      </c>
      <c r="E64" s="151"/>
      <c r="G64" s="21">
        <f t="shared" si="0"/>
        <v>0</v>
      </c>
      <c r="H64" s="21">
        <f t="shared" si="1"/>
        <v>0</v>
      </c>
      <c r="I64" s="267"/>
      <c r="J64" s="118">
        <f>SUM(J65:J70)</f>
        <v>0</v>
      </c>
      <c r="L64" s="267"/>
      <c r="M64" s="118">
        <f>SUM(M65:M70)</f>
        <v>0</v>
      </c>
      <c r="P64" s="267"/>
      <c r="Q64" s="118">
        <f>SUM(Q65:Q70)</f>
        <v>0</v>
      </c>
      <c r="S64" s="267"/>
      <c r="T64" s="118">
        <f>SUM(T65:T70)</f>
        <v>0</v>
      </c>
      <c r="V64" s="267"/>
      <c r="W64" s="118">
        <f>SUM(W65:W70)</f>
        <v>0</v>
      </c>
      <c r="Y64" s="267"/>
      <c r="Z64" s="118">
        <f>SUM(Z65:Z70)</f>
        <v>0</v>
      </c>
    </row>
    <row r="65" spans="1:26">
      <c r="A65" s="15">
        <v>2.1</v>
      </c>
      <c r="B65" s="46" t="s">
        <v>89</v>
      </c>
      <c r="C65" s="267"/>
      <c r="D65" s="40"/>
      <c r="E65" s="151"/>
      <c r="G65" s="21">
        <f t="shared" si="0"/>
        <v>0</v>
      </c>
      <c r="H65" s="21">
        <f t="shared" si="1"/>
        <v>0</v>
      </c>
      <c r="I65" s="267"/>
      <c r="J65" s="40"/>
      <c r="L65" s="267"/>
      <c r="M65" s="40"/>
      <c r="P65" s="267"/>
      <c r="Q65" s="40"/>
      <c r="S65" s="267"/>
      <c r="T65" s="40"/>
      <c r="V65" s="267"/>
      <c r="W65" s="40"/>
      <c r="Y65" s="267"/>
      <c r="Z65" s="40"/>
    </row>
    <row r="66" spans="1:26">
      <c r="A66" s="15">
        <v>2.2000000000000002</v>
      </c>
      <c r="B66" s="46" t="s">
        <v>93</v>
      </c>
      <c r="C66" s="269"/>
      <c r="D66" s="41"/>
      <c r="E66" s="151"/>
      <c r="G66" s="21">
        <f t="shared" si="0"/>
        <v>0</v>
      </c>
      <c r="H66" s="21">
        <f t="shared" si="1"/>
        <v>0</v>
      </c>
      <c r="I66" s="269"/>
      <c r="J66" s="41"/>
      <c r="L66" s="269"/>
      <c r="M66" s="41"/>
      <c r="P66" s="269"/>
      <c r="Q66" s="41"/>
      <c r="S66" s="269"/>
      <c r="T66" s="41"/>
      <c r="V66" s="269"/>
      <c r="W66" s="41"/>
      <c r="Y66" s="269"/>
      <c r="Z66" s="41"/>
    </row>
    <row r="67" spans="1:26">
      <c r="A67" s="15">
        <v>2.2999999999999998</v>
      </c>
      <c r="B67" s="46" t="s">
        <v>92</v>
      </c>
      <c r="C67" s="269"/>
      <c r="D67" s="41"/>
      <c r="E67" s="151"/>
      <c r="G67" s="21">
        <f t="shared" si="0"/>
        <v>0</v>
      </c>
      <c r="H67" s="21">
        <f t="shared" si="1"/>
        <v>0</v>
      </c>
      <c r="I67" s="269"/>
      <c r="J67" s="41"/>
      <c r="L67" s="269"/>
      <c r="M67" s="41"/>
      <c r="P67" s="269"/>
      <c r="Q67" s="41"/>
      <c r="S67" s="269"/>
      <c r="T67" s="41"/>
      <c r="V67" s="269"/>
      <c r="W67" s="41"/>
      <c r="Y67" s="269"/>
      <c r="Z67" s="41"/>
    </row>
    <row r="68" spans="1:26">
      <c r="A68" s="15">
        <v>2.4</v>
      </c>
      <c r="B68" s="46" t="s">
        <v>94</v>
      </c>
      <c r="C68" s="269"/>
      <c r="D68" s="41"/>
      <c r="E68" s="151"/>
      <c r="G68" s="21">
        <f t="shared" si="0"/>
        <v>0</v>
      </c>
      <c r="H68" s="21">
        <f t="shared" si="1"/>
        <v>0</v>
      </c>
      <c r="I68" s="269"/>
      <c r="J68" s="41"/>
      <c r="L68" s="269"/>
      <c r="M68" s="41"/>
      <c r="P68" s="269"/>
      <c r="Q68" s="41"/>
      <c r="S68" s="269"/>
      <c r="T68" s="41"/>
      <c r="V68" s="269"/>
      <c r="W68" s="41"/>
      <c r="Y68" s="269"/>
      <c r="Z68" s="41"/>
    </row>
    <row r="69" spans="1:26">
      <c r="A69" s="15">
        <v>2.5</v>
      </c>
      <c r="B69" s="46" t="s">
        <v>90</v>
      </c>
      <c r="C69" s="269"/>
      <c r="D69" s="41"/>
      <c r="E69" s="151"/>
      <c r="G69" s="21">
        <f t="shared" si="0"/>
        <v>0</v>
      </c>
      <c r="H69" s="21">
        <f t="shared" si="1"/>
        <v>0</v>
      </c>
      <c r="I69" s="269"/>
      <c r="J69" s="41"/>
      <c r="L69" s="269"/>
      <c r="M69" s="41"/>
      <c r="P69" s="269"/>
      <c r="Q69" s="41"/>
      <c r="S69" s="269"/>
      <c r="T69" s="41"/>
      <c r="V69" s="269"/>
      <c r="W69" s="41"/>
      <c r="Y69" s="269"/>
      <c r="Z69" s="41"/>
    </row>
    <row r="70" spans="1:26">
      <c r="A70" s="15">
        <v>2.6</v>
      </c>
      <c r="B70" s="46" t="s">
        <v>91</v>
      </c>
      <c r="C70" s="269"/>
      <c r="D70" s="41"/>
      <c r="E70" s="151"/>
      <c r="G70" s="21">
        <f t="shared" si="0"/>
        <v>0</v>
      </c>
      <c r="H70" s="21">
        <f t="shared" si="1"/>
        <v>0</v>
      </c>
      <c r="I70" s="269"/>
      <c r="J70" s="41"/>
      <c r="L70" s="269"/>
      <c r="M70" s="41"/>
      <c r="P70" s="269"/>
      <c r="Q70" s="41"/>
      <c r="S70" s="269"/>
      <c r="T70" s="41"/>
      <c r="V70" s="269"/>
      <c r="W70" s="41"/>
      <c r="Y70" s="269"/>
      <c r="Z70" s="41"/>
    </row>
    <row r="71" spans="1:26" s="2" customFormat="1">
      <c r="A71" s="13">
        <v>3</v>
      </c>
      <c r="B71" s="265" t="s">
        <v>418</v>
      </c>
      <c r="C71" s="268"/>
      <c r="D71" s="266"/>
      <c r="E71" s="105"/>
      <c r="G71" s="21">
        <f t="shared" si="0"/>
        <v>0</v>
      </c>
      <c r="H71" s="21">
        <f t="shared" si="1"/>
        <v>0</v>
      </c>
      <c r="I71" s="268"/>
      <c r="J71" s="266"/>
      <c r="L71" s="268"/>
      <c r="M71" s="266"/>
      <c r="P71" s="268"/>
      <c r="Q71" s="266"/>
      <c r="S71" s="268"/>
      <c r="T71" s="266"/>
      <c r="V71" s="268"/>
      <c r="W71" s="266"/>
      <c r="Y71" s="268"/>
      <c r="Z71" s="266"/>
    </row>
    <row r="72" spans="1:26" s="2" customFormat="1">
      <c r="A72" s="13">
        <v>4</v>
      </c>
      <c r="B72" s="13" t="s">
        <v>241</v>
      </c>
      <c r="C72" s="268">
        <f>SUM(C73:C74)</f>
        <v>0</v>
      </c>
      <c r="D72" s="84">
        <f>SUM(D73:D74)</f>
        <v>0</v>
      </c>
      <c r="E72" s="105"/>
      <c r="G72" s="21">
        <f t="shared" si="0"/>
        <v>0</v>
      </c>
      <c r="H72" s="21">
        <f t="shared" si="1"/>
        <v>0</v>
      </c>
      <c r="I72" s="268">
        <f>SUM(I73:I74)</f>
        <v>0</v>
      </c>
      <c r="J72" s="84">
        <f>SUM(J73:J74)</f>
        <v>0</v>
      </c>
      <c r="L72" s="268">
        <f>SUM(L73:L74)</f>
        <v>0</v>
      </c>
      <c r="M72" s="84">
        <f>SUM(M73:M74)</f>
        <v>0</v>
      </c>
      <c r="P72" s="268">
        <f>SUM(P73:P74)</f>
        <v>0</v>
      </c>
      <c r="Q72" s="84">
        <f>SUM(Q73:Q74)</f>
        <v>0</v>
      </c>
      <c r="S72" s="268">
        <f>SUM(S73:S74)</f>
        <v>0</v>
      </c>
      <c r="T72" s="84">
        <f>SUM(T73:T74)</f>
        <v>0</v>
      </c>
      <c r="V72" s="268">
        <f>SUM(V73:V74)</f>
        <v>0</v>
      </c>
      <c r="W72" s="84">
        <f>SUM(W73:W74)</f>
        <v>0</v>
      </c>
      <c r="Y72" s="268">
        <f>SUM(Y73:Y74)</f>
        <v>0</v>
      </c>
      <c r="Z72" s="84">
        <f>SUM(Z73:Z74)</f>
        <v>0</v>
      </c>
    </row>
    <row r="73" spans="1:26" s="2" customFormat="1">
      <c r="A73" s="15">
        <v>4.0999999999999996</v>
      </c>
      <c r="B73" s="15" t="s">
        <v>242</v>
      </c>
      <c r="C73" s="8"/>
      <c r="D73" s="8"/>
      <c r="E73" s="105"/>
      <c r="G73" s="21">
        <f t="shared" si="0"/>
        <v>0</v>
      </c>
      <c r="H73" s="21">
        <f t="shared" si="1"/>
        <v>0</v>
      </c>
      <c r="I73" s="8"/>
      <c r="J73" s="8"/>
      <c r="L73" s="8"/>
      <c r="M73" s="8"/>
      <c r="P73" s="8"/>
      <c r="Q73" s="8"/>
      <c r="S73" s="8"/>
      <c r="T73" s="8"/>
      <c r="V73" s="8"/>
      <c r="W73" s="8"/>
      <c r="Y73" s="8"/>
      <c r="Z73" s="8"/>
    </row>
    <row r="74" spans="1:26" s="2" customFormat="1">
      <c r="A74" s="15">
        <v>4.2</v>
      </c>
      <c r="B74" s="15" t="s">
        <v>243</v>
      </c>
      <c r="C74" s="8"/>
      <c r="D74" s="8"/>
      <c r="E74" s="105"/>
      <c r="G74" s="21">
        <f t="shared" ref="G74:G75" si="2">P:P+S:S+V:V+Y:Y</f>
        <v>0</v>
      </c>
      <c r="H74" s="21">
        <f t="shared" ref="H74:H75" si="3">Q:Q+T:T+W:W+Z:Z</f>
        <v>0</v>
      </c>
      <c r="I74" s="8"/>
      <c r="J74" s="8"/>
      <c r="L74" s="8"/>
      <c r="M74" s="8"/>
      <c r="P74" s="8"/>
      <c r="Q74" s="8"/>
      <c r="S74" s="8"/>
      <c r="T74" s="8"/>
      <c r="V74" s="8"/>
      <c r="W74" s="8"/>
      <c r="Y74" s="8"/>
      <c r="Z74" s="8"/>
    </row>
    <row r="75" spans="1:26" s="2" customFormat="1">
      <c r="A75" s="13">
        <v>5</v>
      </c>
      <c r="B75" s="264" t="s">
        <v>269</v>
      </c>
      <c r="C75" s="8"/>
      <c r="D75" s="84"/>
      <c r="E75" s="105"/>
      <c r="G75" s="21">
        <f t="shared" si="2"/>
        <v>0</v>
      </c>
      <c r="H75" s="21">
        <f t="shared" si="3"/>
        <v>0</v>
      </c>
      <c r="I75" s="8"/>
      <c r="J75" s="84"/>
      <c r="L75" s="8"/>
      <c r="M75" s="84"/>
      <c r="P75" s="8"/>
      <c r="Q75" s="84"/>
      <c r="V75" s="8"/>
      <c r="W75" s="84"/>
      <c r="Y75" s="8"/>
      <c r="Z75" s="84"/>
    </row>
    <row r="76" spans="1:26" s="2" customFormat="1">
      <c r="A76" s="275"/>
      <c r="B76" s="275"/>
      <c r="C76" s="12"/>
      <c r="D76" s="12"/>
      <c r="E76" s="105"/>
    </row>
    <row r="77" spans="1:26" s="2" customFormat="1">
      <c r="A77" s="570" t="s">
        <v>439</v>
      </c>
      <c r="B77" s="570"/>
      <c r="C77" s="570"/>
      <c r="D77" s="570"/>
      <c r="E77" s="105"/>
    </row>
    <row r="78" spans="1:26" s="2" customFormat="1">
      <c r="A78" s="275"/>
      <c r="B78" s="275"/>
      <c r="C78" s="12"/>
      <c r="D78" s="12"/>
      <c r="E78" s="105"/>
    </row>
    <row r="79" spans="1:26" s="22" customFormat="1" ht="12.75"/>
    <row r="80" spans="1:26" s="2" customFormat="1">
      <c r="A80" s="68" t="s">
        <v>96</v>
      </c>
      <c r="E80" s="5"/>
    </row>
    <row r="81" spans="1:10" s="2" customFormat="1">
      <c r="E81"/>
      <c r="F81"/>
      <c r="G81"/>
      <c r="H81"/>
      <c r="I81"/>
      <c r="J81"/>
    </row>
    <row r="82" spans="1:10" s="2" customFormat="1">
      <c r="D82" s="12"/>
      <c r="E82"/>
      <c r="F82"/>
      <c r="G82"/>
      <c r="H82"/>
      <c r="I82"/>
      <c r="J82"/>
    </row>
    <row r="83" spans="1:10" s="2" customFormat="1">
      <c r="A83"/>
      <c r="B83" s="42" t="s">
        <v>440</v>
      </c>
      <c r="D83" s="12"/>
      <c r="E83"/>
      <c r="F83"/>
      <c r="G83"/>
      <c r="H83"/>
      <c r="I83"/>
      <c r="J83"/>
    </row>
    <row r="84" spans="1:10" s="2" customFormat="1">
      <c r="A84"/>
      <c r="B84" s="569" t="s">
        <v>441</v>
      </c>
      <c r="C84" s="569"/>
      <c r="D84" s="569"/>
      <c r="E84"/>
      <c r="F84"/>
      <c r="G84"/>
      <c r="H84"/>
      <c r="I84"/>
      <c r="J84"/>
    </row>
    <row r="85" spans="1:10" customFormat="1" ht="12.75">
      <c r="B85" s="64" t="s">
        <v>442</v>
      </c>
    </row>
    <row r="86" spans="1:10" s="2" customFormat="1">
      <c r="A86" s="11"/>
      <c r="B86" s="569" t="s">
        <v>443</v>
      </c>
      <c r="C86" s="569"/>
      <c r="D86" s="569"/>
    </row>
    <row r="87" spans="1:10" s="22" customFormat="1" ht="12.75"/>
    <row r="88" spans="1:10" s="22" customFormat="1" ht="12.75"/>
  </sheetData>
  <mergeCells count="6">
    <mergeCell ref="B86:D86"/>
    <mergeCell ref="I8:J8"/>
    <mergeCell ref="C1:D1"/>
    <mergeCell ref="C2:D2"/>
    <mergeCell ref="A77:D77"/>
    <mergeCell ref="B84:D84"/>
  </mergeCells>
  <printOptions gridLines="1"/>
  <pageMargins left="1" right="1" top="0.42" bottom="0.43" header="0.17" footer="0.17"/>
  <pageSetup paperSize="9" scale="6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showGridLines="0" view="pageBreakPreview" zoomScale="70" zoomScaleSheetLayoutView="70" workbookViewId="0">
      <selection activeCell="D20" sqref="D20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3" t="s">
        <v>323</v>
      </c>
      <c r="B1" s="76"/>
      <c r="C1" s="566" t="s">
        <v>98</v>
      </c>
      <c r="D1" s="566"/>
      <c r="E1" s="90"/>
    </row>
    <row r="2" spans="1:5" s="6" customFormat="1">
      <c r="A2" s="73" t="s">
        <v>317</v>
      </c>
      <c r="B2" s="76"/>
      <c r="C2" s="564" t="s">
        <v>943</v>
      </c>
      <c r="D2" s="565"/>
      <c r="E2" s="90"/>
    </row>
    <row r="3" spans="1:5" s="6" customFormat="1">
      <c r="A3" s="75" t="s">
        <v>129</v>
      </c>
      <c r="B3" s="73"/>
      <c r="C3" s="160"/>
      <c r="D3" s="160"/>
      <c r="E3" s="90"/>
    </row>
    <row r="4" spans="1:5" s="6" customFormat="1">
      <c r="A4" s="75"/>
      <c r="B4" s="75"/>
      <c r="C4" s="160"/>
      <c r="D4" s="160"/>
      <c r="E4" s="90"/>
    </row>
    <row r="5" spans="1:5">
      <c r="A5" s="76" t="str">
        <f>'ფორმა N2'!A4</f>
        <v>ანგარიშვალდებული პირის დასახელება:</v>
      </c>
      <c r="B5" s="76"/>
      <c r="C5" s="75"/>
      <c r="D5" s="75"/>
      <c r="E5" s="91"/>
    </row>
    <row r="6" spans="1:5">
      <c r="A6" s="110" t="s">
        <v>654</v>
      </c>
      <c r="B6" s="79"/>
      <c r="C6" s="80"/>
      <c r="D6" s="80"/>
      <c r="E6" s="91"/>
    </row>
    <row r="7" spans="1:5">
      <c r="A7" s="76"/>
      <c r="B7" s="76"/>
      <c r="C7" s="75"/>
      <c r="D7" s="75"/>
      <c r="E7" s="91"/>
    </row>
    <row r="8" spans="1:5" s="6" customFormat="1">
      <c r="A8" s="159"/>
      <c r="B8" s="159"/>
      <c r="C8" s="77"/>
      <c r="D8" s="77"/>
      <c r="E8" s="90"/>
    </row>
    <row r="9" spans="1:5" s="6" customFormat="1" ht="30">
      <c r="A9" s="88" t="s">
        <v>64</v>
      </c>
      <c r="B9" s="88" t="s">
        <v>322</v>
      </c>
      <c r="C9" s="78" t="s">
        <v>10</v>
      </c>
      <c r="D9" s="78" t="s">
        <v>9</v>
      </c>
      <c r="E9" s="90"/>
    </row>
    <row r="10" spans="1:5" s="9" customFormat="1" ht="18">
      <c r="A10" s="97" t="s">
        <v>318</v>
      </c>
      <c r="B10" s="97"/>
      <c r="C10" s="4"/>
      <c r="D10" s="4"/>
      <c r="E10" s="92"/>
    </row>
    <row r="11" spans="1:5" s="10" customFormat="1">
      <c r="A11" s="97" t="s">
        <v>319</v>
      </c>
      <c r="B11" s="97"/>
      <c r="C11" s="4"/>
      <c r="D11" s="4"/>
      <c r="E11" s="93"/>
    </row>
    <row r="12" spans="1:5" s="10" customFormat="1">
      <c r="A12" s="86" t="s">
        <v>268</v>
      </c>
      <c r="B12" s="86"/>
      <c r="C12" s="4"/>
      <c r="D12" s="4"/>
      <c r="E12" s="93"/>
    </row>
    <row r="13" spans="1:5" s="10" customFormat="1">
      <c r="A13" s="86" t="s">
        <v>268</v>
      </c>
      <c r="B13" s="86"/>
      <c r="C13" s="4"/>
      <c r="D13" s="4"/>
      <c r="E13" s="93"/>
    </row>
    <row r="14" spans="1:5" s="10" customFormat="1">
      <c r="A14" s="86" t="s">
        <v>268</v>
      </c>
      <c r="B14" s="86"/>
      <c r="C14" s="4"/>
      <c r="D14" s="4"/>
      <c r="E14" s="93"/>
    </row>
    <row r="15" spans="1:5" s="10" customFormat="1">
      <c r="A15" s="86" t="s">
        <v>268</v>
      </c>
      <c r="B15" s="86"/>
      <c r="C15" s="4"/>
      <c r="D15" s="4"/>
      <c r="E15" s="93"/>
    </row>
    <row r="16" spans="1:5" s="10" customFormat="1">
      <c r="A16" s="86" t="s">
        <v>268</v>
      </c>
      <c r="B16" s="86"/>
      <c r="C16" s="4"/>
      <c r="D16" s="4"/>
      <c r="E16" s="93"/>
    </row>
    <row r="17" spans="1:8" s="10" customFormat="1" ht="17.25" customHeight="1">
      <c r="A17" s="97" t="s">
        <v>320</v>
      </c>
      <c r="B17" s="86" t="s">
        <v>688</v>
      </c>
      <c r="C17" s="4">
        <v>8712.6</v>
      </c>
      <c r="D17" s="4">
        <v>8713</v>
      </c>
      <c r="E17" s="93"/>
      <c r="F17" s="67"/>
    </row>
    <row r="18" spans="1:8" s="10" customFormat="1" ht="18" customHeight="1">
      <c r="A18" s="97" t="s">
        <v>321</v>
      </c>
      <c r="B18" s="86" t="s">
        <v>1526</v>
      </c>
      <c r="C18" s="4">
        <v>1875</v>
      </c>
      <c r="D18" s="4"/>
      <c r="E18" s="93"/>
      <c r="H18" s="67"/>
    </row>
    <row r="19" spans="1:8" s="10" customFormat="1" ht="30">
      <c r="A19" s="97" t="s">
        <v>843</v>
      </c>
      <c r="B19" s="86" t="s">
        <v>1527</v>
      </c>
      <c r="C19" s="4">
        <v>6750</v>
      </c>
      <c r="D19" s="4"/>
      <c r="E19" s="93"/>
    </row>
    <row r="20" spans="1:8" s="10" customFormat="1" ht="30">
      <c r="A20" s="97" t="s">
        <v>844</v>
      </c>
      <c r="B20" s="86" t="s">
        <v>1528</v>
      </c>
      <c r="C20" s="4">
        <v>8150</v>
      </c>
      <c r="D20" s="4"/>
      <c r="E20" s="93"/>
    </row>
    <row r="21" spans="1:8" s="10" customFormat="1" ht="30">
      <c r="A21" s="97" t="s">
        <v>845</v>
      </c>
      <c r="B21" s="86" t="s">
        <v>1530</v>
      </c>
      <c r="C21" s="4">
        <v>50</v>
      </c>
      <c r="D21" s="4"/>
      <c r="E21" s="93"/>
    </row>
    <row r="22" spans="1:8" s="10" customFormat="1" ht="30">
      <c r="A22" s="97" t="s">
        <v>846</v>
      </c>
      <c r="B22" s="86" t="s">
        <v>1531</v>
      </c>
      <c r="C22" s="4">
        <v>200</v>
      </c>
      <c r="D22" s="4"/>
      <c r="E22" s="93"/>
    </row>
    <row r="23" spans="1:8" s="10" customFormat="1" ht="30">
      <c r="A23" s="97" t="s">
        <v>851</v>
      </c>
      <c r="B23" s="86"/>
      <c r="C23" s="4"/>
      <c r="D23" s="4"/>
      <c r="E23" s="93"/>
    </row>
    <row r="24" spans="1:8" s="3" customFormat="1" ht="30">
      <c r="A24" s="87" t="s">
        <v>866</v>
      </c>
      <c r="B24" s="463"/>
      <c r="C24" s="4"/>
      <c r="D24" s="4"/>
      <c r="E24" s="94"/>
    </row>
    <row r="25" spans="1:8">
      <c r="A25" s="98"/>
      <c r="B25" s="98" t="s">
        <v>324</v>
      </c>
      <c r="C25" s="85">
        <f>SUM(C10:C24)</f>
        <v>25737.599999999999</v>
      </c>
      <c r="D25" s="85">
        <f>SUM(D10:D24)</f>
        <v>8713</v>
      </c>
      <c r="E25" s="95"/>
    </row>
    <row r="26" spans="1:8">
      <c r="A26" s="42"/>
      <c r="B26" s="42"/>
    </row>
    <row r="27" spans="1:8">
      <c r="A27" s="2" t="s">
        <v>406</v>
      </c>
      <c r="E27" s="5"/>
    </row>
    <row r="28" spans="1:8">
      <c r="A28" s="2" t="s">
        <v>390</v>
      </c>
    </row>
    <row r="29" spans="1:8">
      <c r="A29" s="214" t="s">
        <v>391</v>
      </c>
    </row>
    <row r="30" spans="1:8">
      <c r="A30" s="214"/>
    </row>
    <row r="31" spans="1:8">
      <c r="A31" s="214" t="s">
        <v>337</v>
      </c>
    </row>
    <row r="32" spans="1:8" s="22" customFormat="1" ht="12.75"/>
    <row r="33" spans="1:7">
      <c r="A33" s="68" t="s">
        <v>96</v>
      </c>
      <c r="E33" s="5"/>
    </row>
    <row r="34" spans="1:7">
      <c r="E34"/>
      <c r="F34"/>
      <c r="G34"/>
    </row>
    <row r="35" spans="1:7">
      <c r="D35" s="12"/>
      <c r="E35"/>
      <c r="F35"/>
      <c r="G35"/>
    </row>
    <row r="36" spans="1:7">
      <c r="A36" s="68"/>
      <c r="B36" s="68" t="s">
        <v>260</v>
      </c>
      <c r="D36" s="12"/>
      <c r="E36"/>
      <c r="F36"/>
      <c r="G36"/>
    </row>
    <row r="37" spans="1:7">
      <c r="B37" s="2" t="s">
        <v>259</v>
      </c>
      <c r="D37" s="12"/>
      <c r="E37"/>
      <c r="F37"/>
      <c r="G37"/>
    </row>
    <row r="38" spans="1:7" customFormat="1" ht="12.75">
      <c r="A38" s="64"/>
      <c r="B38" s="64" t="s">
        <v>128</v>
      </c>
    </row>
    <row r="39" spans="1:7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SheetLayoutView="100" workbookViewId="0">
      <selection activeCell="I2" sqref="I2:J2"/>
    </sheetView>
  </sheetViews>
  <sheetFormatPr defaultRowHeight="12.75"/>
  <cols>
    <col min="1" max="1" width="5.42578125" style="184" customWidth="1"/>
    <col min="2" max="2" width="20.85546875" style="184" customWidth="1"/>
    <col min="3" max="3" width="26" style="184" customWidth="1"/>
    <col min="4" max="4" width="17" style="184" customWidth="1"/>
    <col min="5" max="5" width="18.140625" style="184" customWidth="1"/>
    <col min="6" max="6" width="14.7109375" style="184" customWidth="1"/>
    <col min="7" max="7" width="15.5703125" style="184" customWidth="1"/>
    <col min="8" max="8" width="14.7109375" style="184" customWidth="1"/>
    <col min="9" max="9" width="29.7109375" style="184" customWidth="1"/>
    <col min="10" max="10" width="0" style="184" hidden="1" customWidth="1"/>
    <col min="11" max="16384" width="9.140625" style="184"/>
  </cols>
  <sheetData>
    <row r="1" spans="1:10" ht="15">
      <c r="A1" s="73" t="s">
        <v>434</v>
      </c>
      <c r="B1" s="73"/>
      <c r="C1" s="76"/>
      <c r="D1" s="76"/>
      <c r="E1" s="76"/>
      <c r="F1" s="76"/>
      <c r="G1" s="226"/>
      <c r="H1" s="226"/>
      <c r="I1" s="566" t="s">
        <v>98</v>
      </c>
      <c r="J1" s="566"/>
    </row>
    <row r="2" spans="1:10" ht="15">
      <c r="A2" s="75" t="s">
        <v>129</v>
      </c>
      <c r="B2" s="73"/>
      <c r="C2" s="76"/>
      <c r="D2" s="76"/>
      <c r="E2" s="76"/>
      <c r="F2" s="76"/>
      <c r="G2" s="226"/>
      <c r="H2" s="226"/>
      <c r="I2" s="564" t="s">
        <v>943</v>
      </c>
      <c r="J2" s="565"/>
    </row>
    <row r="3" spans="1:10" ht="15">
      <c r="A3" s="75"/>
      <c r="B3" s="75"/>
      <c r="C3" s="73"/>
      <c r="D3" s="73"/>
      <c r="E3" s="73"/>
      <c r="F3" s="73"/>
      <c r="G3" s="162"/>
      <c r="H3" s="162"/>
      <c r="I3" s="226"/>
    </row>
    <row r="4" spans="1:10" ht="15">
      <c r="A4" s="76" t="str">
        <f>'ფორმა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5"/>
      <c r="H4" s="75"/>
      <c r="I4" s="75"/>
    </row>
    <row r="5" spans="1:10" ht="15">
      <c r="A5" s="110" t="s">
        <v>654</v>
      </c>
      <c r="B5" s="79"/>
      <c r="C5" s="79"/>
      <c r="D5" s="79"/>
      <c r="E5" s="79"/>
      <c r="F5" s="79"/>
      <c r="G5" s="80"/>
      <c r="H5" s="80"/>
      <c r="I5" s="80"/>
    </row>
    <row r="6" spans="1:10" ht="15">
      <c r="A6" s="76"/>
      <c r="B6" s="76"/>
      <c r="C6" s="76"/>
      <c r="D6" s="76"/>
      <c r="E6" s="76"/>
      <c r="F6" s="76"/>
      <c r="G6" s="75"/>
      <c r="H6" s="75"/>
      <c r="I6" s="75"/>
    </row>
    <row r="7" spans="1:10" ht="15">
      <c r="A7" s="161"/>
      <c r="B7" s="161"/>
      <c r="C7" s="161"/>
      <c r="D7" s="220"/>
      <c r="E7" s="161"/>
      <c r="F7" s="161"/>
      <c r="G7" s="77"/>
      <c r="H7" s="77"/>
      <c r="I7" s="77"/>
    </row>
    <row r="8" spans="1:10" ht="45">
      <c r="A8" s="89" t="s">
        <v>64</v>
      </c>
      <c r="B8" s="89" t="s">
        <v>328</v>
      </c>
      <c r="C8" s="89" t="s">
        <v>329</v>
      </c>
      <c r="D8" s="89" t="s">
        <v>216</v>
      </c>
      <c r="E8" s="89" t="s">
        <v>333</v>
      </c>
      <c r="F8" s="89" t="s">
        <v>336</v>
      </c>
      <c r="G8" s="78" t="s">
        <v>10</v>
      </c>
      <c r="H8" s="78" t="s">
        <v>9</v>
      </c>
      <c r="I8" s="78" t="s">
        <v>379</v>
      </c>
      <c r="J8" s="229" t="s">
        <v>335</v>
      </c>
    </row>
    <row r="9" spans="1:10" ht="15">
      <c r="A9" s="97">
        <v>1</v>
      </c>
      <c r="B9" s="388"/>
      <c r="C9" s="388"/>
      <c r="D9" s="386"/>
      <c r="E9" s="97"/>
      <c r="F9" s="97"/>
      <c r="G9" s="387"/>
      <c r="H9" s="387"/>
      <c r="I9" s="387"/>
      <c r="J9" s="229" t="s">
        <v>0</v>
      </c>
    </row>
    <row r="10" spans="1:10" ht="15">
      <c r="A10" s="97">
        <v>2</v>
      </c>
      <c r="B10" s="388"/>
      <c r="C10" s="388"/>
      <c r="D10" s="386"/>
      <c r="E10" s="97"/>
      <c r="F10" s="97"/>
      <c r="G10" s="387"/>
      <c r="H10" s="387"/>
      <c r="I10" s="387"/>
    </row>
    <row r="11" spans="1:10" ht="15">
      <c r="A11" s="97">
        <v>3</v>
      </c>
      <c r="B11" s="86"/>
      <c r="C11" s="86"/>
      <c r="D11" s="86"/>
      <c r="E11" s="86"/>
      <c r="F11" s="97"/>
      <c r="G11" s="4"/>
      <c r="H11" s="4"/>
      <c r="I11" s="4"/>
    </row>
    <row r="12" spans="1:10" ht="15">
      <c r="A12" s="97">
        <v>4</v>
      </c>
      <c r="B12" s="86"/>
      <c r="C12" s="86"/>
      <c r="D12" s="86"/>
      <c r="E12" s="86"/>
      <c r="F12" s="97"/>
      <c r="G12" s="4"/>
      <c r="H12" s="4"/>
      <c r="I12" s="4"/>
    </row>
    <row r="13" spans="1:10" ht="15">
      <c r="A13" s="97">
        <v>5</v>
      </c>
      <c r="B13" s="86"/>
      <c r="C13" s="86"/>
      <c r="D13" s="86"/>
      <c r="E13" s="86"/>
      <c r="F13" s="97"/>
      <c r="G13" s="4"/>
      <c r="H13" s="4"/>
      <c r="I13" s="4"/>
    </row>
    <row r="14" spans="1:10" ht="15">
      <c r="A14" s="97">
        <v>6</v>
      </c>
      <c r="B14" s="86"/>
      <c r="C14" s="86"/>
      <c r="D14" s="86"/>
      <c r="E14" s="86"/>
      <c r="F14" s="97"/>
      <c r="G14" s="4"/>
      <c r="H14" s="4"/>
      <c r="I14" s="4"/>
    </row>
    <row r="15" spans="1:10" ht="15">
      <c r="A15" s="97">
        <v>7</v>
      </c>
      <c r="B15" s="86"/>
      <c r="C15" s="86"/>
      <c r="D15" s="86"/>
      <c r="E15" s="86"/>
      <c r="F15" s="97"/>
      <c r="G15" s="4"/>
      <c r="H15" s="4"/>
      <c r="I15" s="4"/>
    </row>
    <row r="16" spans="1:10" ht="15">
      <c r="A16" s="97">
        <v>8</v>
      </c>
      <c r="B16" s="86"/>
      <c r="C16" s="86"/>
      <c r="D16" s="86"/>
      <c r="E16" s="86"/>
      <c r="F16" s="97"/>
      <c r="G16" s="4"/>
      <c r="H16" s="4"/>
      <c r="I16" s="4"/>
    </row>
    <row r="17" spans="1:9" ht="15">
      <c r="A17" s="97">
        <v>9</v>
      </c>
      <c r="B17" s="86"/>
      <c r="C17" s="86"/>
      <c r="D17" s="86"/>
      <c r="E17" s="86"/>
      <c r="F17" s="97"/>
      <c r="G17" s="4"/>
      <c r="H17" s="4"/>
      <c r="I17" s="4"/>
    </row>
    <row r="18" spans="1:9" ht="15">
      <c r="A18" s="97">
        <v>10</v>
      </c>
      <c r="B18" s="86"/>
      <c r="C18" s="86"/>
      <c r="D18" s="86"/>
      <c r="E18" s="86"/>
      <c r="F18" s="97"/>
      <c r="G18" s="4"/>
      <c r="H18" s="4"/>
      <c r="I18" s="4"/>
    </row>
    <row r="19" spans="1:9" ht="15">
      <c r="A19" s="97">
        <v>11</v>
      </c>
      <c r="B19" s="86"/>
      <c r="C19" s="86"/>
      <c r="D19" s="86"/>
      <c r="E19" s="86"/>
      <c r="F19" s="97"/>
      <c r="G19" s="4"/>
      <c r="H19" s="4"/>
      <c r="I19" s="4"/>
    </row>
    <row r="20" spans="1:9" ht="15">
      <c r="A20" s="97">
        <v>12</v>
      </c>
      <c r="B20" s="86"/>
      <c r="C20" s="86"/>
      <c r="D20" s="86"/>
      <c r="E20" s="86"/>
      <c r="F20" s="97"/>
      <c r="G20" s="4"/>
      <c r="H20" s="4"/>
      <c r="I20" s="4"/>
    </row>
    <row r="21" spans="1:9" ht="15">
      <c r="A21" s="97">
        <v>13</v>
      </c>
      <c r="B21" s="86"/>
      <c r="C21" s="86"/>
      <c r="D21" s="86"/>
      <c r="E21" s="86"/>
      <c r="F21" s="97"/>
      <c r="G21" s="4"/>
      <c r="H21" s="4"/>
      <c r="I21" s="4"/>
    </row>
    <row r="22" spans="1:9" ht="15">
      <c r="A22" s="97">
        <v>14</v>
      </c>
      <c r="B22" s="86"/>
      <c r="C22" s="86"/>
      <c r="D22" s="86"/>
      <c r="E22" s="86"/>
      <c r="F22" s="97"/>
      <c r="G22" s="4"/>
      <c r="H22" s="4"/>
      <c r="I22" s="4"/>
    </row>
    <row r="23" spans="1:9" ht="15">
      <c r="A23" s="97">
        <v>15</v>
      </c>
      <c r="B23" s="86"/>
      <c r="C23" s="86"/>
      <c r="D23" s="86"/>
      <c r="E23" s="86"/>
      <c r="F23" s="97"/>
      <c r="G23" s="4"/>
      <c r="H23" s="4"/>
      <c r="I23" s="4"/>
    </row>
    <row r="24" spans="1:9" ht="15">
      <c r="A24" s="97">
        <v>16</v>
      </c>
      <c r="B24" s="86"/>
      <c r="C24" s="86"/>
      <c r="D24" s="86"/>
      <c r="E24" s="86"/>
      <c r="F24" s="97"/>
      <c r="G24" s="4"/>
      <c r="H24" s="4"/>
      <c r="I24" s="4"/>
    </row>
    <row r="25" spans="1:9" ht="15">
      <c r="A25" s="97">
        <v>17</v>
      </c>
      <c r="B25" s="86"/>
      <c r="C25" s="86"/>
      <c r="D25" s="86"/>
      <c r="E25" s="86"/>
      <c r="F25" s="97"/>
      <c r="G25" s="4"/>
      <c r="H25" s="4"/>
      <c r="I25" s="4"/>
    </row>
    <row r="26" spans="1:9" ht="15">
      <c r="A26" s="97">
        <v>18</v>
      </c>
      <c r="B26" s="86"/>
      <c r="C26" s="86"/>
      <c r="D26" s="86"/>
      <c r="E26" s="86"/>
      <c r="F26" s="97"/>
      <c r="G26" s="4"/>
      <c r="H26" s="4"/>
      <c r="I26" s="4"/>
    </row>
    <row r="27" spans="1:9" ht="15">
      <c r="A27" s="97">
        <v>19</v>
      </c>
      <c r="B27" s="86"/>
      <c r="C27" s="86"/>
      <c r="D27" s="86"/>
      <c r="E27" s="86"/>
      <c r="F27" s="97"/>
      <c r="G27" s="4"/>
      <c r="H27" s="4"/>
      <c r="I27" s="4"/>
    </row>
    <row r="28" spans="1:9" ht="15">
      <c r="A28" s="97">
        <v>20</v>
      </c>
      <c r="B28" s="86"/>
      <c r="C28" s="86"/>
      <c r="D28" s="86"/>
      <c r="E28" s="86"/>
      <c r="F28" s="97"/>
      <c r="G28" s="4"/>
      <c r="H28" s="4"/>
      <c r="I28" s="4"/>
    </row>
    <row r="29" spans="1:9" ht="15">
      <c r="A29" s="97">
        <v>21</v>
      </c>
      <c r="B29" s="86"/>
      <c r="C29" s="86"/>
      <c r="D29" s="86"/>
      <c r="E29" s="86"/>
      <c r="F29" s="97"/>
      <c r="G29" s="4"/>
      <c r="H29" s="4"/>
      <c r="I29" s="4"/>
    </row>
    <row r="30" spans="1:9" ht="15">
      <c r="A30" s="97">
        <v>22</v>
      </c>
      <c r="B30" s="86"/>
      <c r="C30" s="86"/>
      <c r="D30" s="86"/>
      <c r="E30" s="86"/>
      <c r="F30" s="97"/>
      <c r="G30" s="4"/>
      <c r="H30" s="4"/>
      <c r="I30" s="4"/>
    </row>
    <row r="31" spans="1:9" ht="15">
      <c r="A31" s="97">
        <v>23</v>
      </c>
      <c r="B31" s="86"/>
      <c r="C31" s="86"/>
      <c r="D31" s="86"/>
      <c r="E31" s="86"/>
      <c r="F31" s="97"/>
      <c r="G31" s="4"/>
      <c r="H31" s="4"/>
      <c r="I31" s="4"/>
    </row>
    <row r="32" spans="1:9" ht="15">
      <c r="A32" s="97">
        <v>24</v>
      </c>
      <c r="B32" s="86"/>
      <c r="C32" s="86"/>
      <c r="D32" s="86"/>
      <c r="E32" s="86"/>
      <c r="F32" s="97"/>
      <c r="G32" s="4"/>
      <c r="H32" s="4"/>
      <c r="I32" s="4"/>
    </row>
    <row r="33" spans="1:9" ht="15">
      <c r="A33" s="86" t="s">
        <v>266</v>
      </c>
      <c r="B33" s="86"/>
      <c r="C33" s="86"/>
      <c r="D33" s="86"/>
      <c r="E33" s="86"/>
      <c r="F33" s="97"/>
      <c r="G33" s="4"/>
      <c r="H33" s="4"/>
      <c r="I33" s="4"/>
    </row>
    <row r="34" spans="1:9" ht="15">
      <c r="A34" s="86"/>
      <c r="B34" s="98"/>
      <c r="C34" s="98"/>
      <c r="D34" s="98"/>
      <c r="E34" s="98"/>
      <c r="F34" s="86" t="s">
        <v>424</v>
      </c>
      <c r="G34" s="85">
        <f>SUM(G9:G33)</f>
        <v>0</v>
      </c>
      <c r="H34" s="85">
        <f>SUM(H9:H33)</f>
        <v>0</v>
      </c>
      <c r="I34" s="85">
        <f>SUM(I9:I33)</f>
        <v>0</v>
      </c>
    </row>
    <row r="35" spans="1:9" ht="15">
      <c r="A35" s="227"/>
      <c r="B35" s="227"/>
      <c r="C35" s="227"/>
      <c r="D35" s="227"/>
      <c r="E35" s="227"/>
      <c r="F35" s="227"/>
      <c r="G35" s="227"/>
      <c r="H35" s="183"/>
      <c r="I35" s="183"/>
    </row>
    <row r="36" spans="1:9" ht="15">
      <c r="A36" s="228" t="s">
        <v>430</v>
      </c>
      <c r="B36" s="228"/>
      <c r="C36" s="227"/>
      <c r="D36" s="227"/>
      <c r="E36" s="227"/>
      <c r="F36" s="227"/>
      <c r="G36" s="227"/>
      <c r="H36" s="183"/>
      <c r="I36" s="183"/>
    </row>
    <row r="37" spans="1:9" ht="15">
      <c r="A37" s="228"/>
      <c r="B37" s="228"/>
      <c r="C37" s="227"/>
      <c r="D37" s="227"/>
      <c r="E37" s="227"/>
      <c r="F37" s="227"/>
      <c r="G37" s="227"/>
      <c r="H37" s="183"/>
      <c r="I37" s="183"/>
    </row>
    <row r="38" spans="1:9" ht="15">
      <c r="A38" s="228"/>
      <c r="B38" s="228"/>
      <c r="C38" s="183"/>
      <c r="D38" s="183"/>
      <c r="E38" s="183"/>
      <c r="F38" s="183"/>
      <c r="G38" s="183"/>
      <c r="H38" s="183"/>
      <c r="I38" s="183"/>
    </row>
    <row r="39" spans="1:9" ht="15">
      <c r="A39" s="228"/>
      <c r="B39" s="228"/>
      <c r="C39" s="183"/>
      <c r="D39" s="183"/>
      <c r="E39" s="183"/>
      <c r="F39" s="183"/>
      <c r="G39" s="183"/>
      <c r="H39" s="183"/>
      <c r="I39" s="183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89" t="s">
        <v>96</v>
      </c>
      <c r="B41" s="189"/>
      <c r="C41" s="183"/>
      <c r="D41" s="183"/>
      <c r="E41" s="183"/>
      <c r="F41" s="183"/>
      <c r="G41" s="183"/>
      <c r="H41" s="183"/>
      <c r="I41" s="183"/>
    </row>
    <row r="42" spans="1:9" ht="15">
      <c r="A42" s="183"/>
      <c r="B42" s="183"/>
      <c r="C42" s="183"/>
      <c r="D42" s="183"/>
      <c r="E42" s="183"/>
      <c r="F42" s="183"/>
      <c r="G42" s="183"/>
      <c r="H42" s="183"/>
      <c r="I42" s="183"/>
    </row>
    <row r="43" spans="1:9" ht="15">
      <c r="A43" s="183"/>
      <c r="B43" s="183"/>
      <c r="C43" s="183"/>
      <c r="D43" s="183"/>
      <c r="E43" s="187"/>
      <c r="F43" s="187"/>
      <c r="G43" s="187"/>
      <c r="H43" s="183"/>
      <c r="I43" s="183"/>
    </row>
    <row r="44" spans="1:9" ht="15">
      <c r="A44" s="189"/>
      <c r="B44" s="189"/>
      <c r="C44" s="189" t="s">
        <v>378</v>
      </c>
      <c r="D44" s="189"/>
      <c r="E44" s="189"/>
      <c r="F44" s="189"/>
      <c r="G44" s="189"/>
      <c r="H44" s="183"/>
      <c r="I44" s="183"/>
    </row>
    <row r="45" spans="1:9" ht="15">
      <c r="A45" s="183"/>
      <c r="B45" s="183"/>
      <c r="C45" s="183" t="s">
        <v>377</v>
      </c>
      <c r="D45" s="183"/>
      <c r="E45" s="183"/>
      <c r="F45" s="183"/>
      <c r="G45" s="183"/>
      <c r="H45" s="183"/>
      <c r="I45" s="183"/>
    </row>
    <row r="46" spans="1:9">
      <c r="A46" s="191"/>
      <c r="B46" s="191"/>
      <c r="C46" s="191" t="s">
        <v>128</v>
      </c>
      <c r="D46" s="191"/>
      <c r="E46" s="191"/>
      <c r="F46" s="191"/>
      <c r="G46" s="191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17</vt:i4>
      </vt:variant>
    </vt:vector>
  </HeadingPairs>
  <TitlesOfParts>
    <vt:vector size="4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5.4'!Print_Area</vt:lpstr>
      <vt:lpstr>'ფორმა 5.5'!Print_Area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2016-05-23T15:31:45Z</cp:lastPrinted>
  <dcterms:created xsi:type="dcterms:W3CDTF">2011-12-27T13:20:18Z</dcterms:created>
  <dcterms:modified xsi:type="dcterms:W3CDTF">2016-07-11T07:40:55Z</dcterms:modified>
</cp:coreProperties>
</file>